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ANJALI\JULY - 2022\NEW\9248 - Satyam\"/>
    </mc:Choice>
  </mc:AlternateContent>
  <xr:revisionPtr revIDLastSave="0" documentId="13_ncr:1_{9BB14A21-EB97-42B9-820D-409E12CE2DF8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6" i="1" l="1"/>
  <c r="C95" i="1"/>
  <c r="E95" i="1"/>
  <c r="D115" i="1"/>
  <c r="D113" i="1"/>
  <c r="D112" i="1"/>
  <c r="D111" i="1"/>
  <c r="D110" i="1"/>
  <c r="D108" i="1"/>
  <c r="F108" i="1" s="1"/>
  <c r="D107" i="1"/>
  <c r="D106" i="1"/>
  <c r="D105" i="1"/>
  <c r="D104" i="1"/>
  <c r="D102" i="1"/>
  <c r="F102" i="1" s="1"/>
  <c r="J112" i="1" s="1"/>
  <c r="I102" i="1"/>
  <c r="G102" i="1"/>
  <c r="I104" i="1"/>
  <c r="E28" i="1" l="1"/>
  <c r="F105" i="1" l="1"/>
  <c r="F106" i="1"/>
  <c r="J113" i="1" s="1"/>
  <c r="F107" i="1"/>
  <c r="F104" i="1"/>
  <c r="A105" i="1"/>
  <c r="A106" i="1" s="1"/>
  <c r="A107" i="1" s="1"/>
  <c r="A108" i="1" s="1"/>
  <c r="G104" i="1"/>
  <c r="G105" i="1" s="1"/>
  <c r="G106" i="1" s="1"/>
  <c r="G107" i="1" s="1"/>
  <c r="G108" i="1" s="1"/>
  <c r="F92" i="1" l="1"/>
  <c r="B118" i="1" l="1"/>
  <c r="F115" i="1" l="1"/>
  <c r="F113" i="1"/>
  <c r="J114" i="1" s="1"/>
  <c r="J115" i="1" s="1"/>
  <c r="F111" i="1"/>
  <c r="F110" i="1"/>
  <c r="F112" i="1"/>
  <c r="G95" i="1" l="1"/>
  <c r="F11" i="5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38" i="1"/>
  <c r="G115" i="1"/>
  <c r="G110" i="1"/>
  <c r="G111" i="1" s="1"/>
  <c r="G112" i="1" s="1"/>
  <c r="G113" i="1" s="1"/>
  <c r="A111" i="1"/>
  <c r="A112" i="1" s="1"/>
  <c r="A113" i="1" s="1"/>
  <c r="J76" i="1"/>
  <c r="J75" i="1"/>
  <c r="J74" i="1"/>
  <c r="J73" i="1"/>
  <c r="C65" i="1"/>
  <c r="D54" i="1"/>
  <c r="G48" i="1"/>
  <c r="C48" i="1"/>
  <c r="E41" i="1"/>
  <c r="E42" i="1" s="1"/>
  <c r="E25" i="1"/>
  <c r="E23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G69" i="1"/>
  <c r="D63" i="1" s="1"/>
  <c r="D71" i="1"/>
  <c r="J67" i="1"/>
  <c r="D69" i="1"/>
  <c r="D70" i="1" l="1"/>
  <c r="I66" i="1" s="1"/>
  <c r="E69" i="1"/>
  <c r="J66" i="1"/>
  <c r="F64" i="1"/>
  <c r="D64" i="1"/>
  <c r="I67" i="1" l="1"/>
  <c r="I65" i="1" s="1"/>
  <c r="C67" i="1" s="1"/>
</calcChain>
</file>

<file path=xl/sharedStrings.xml><?xml version="1.0" encoding="utf-8"?>
<sst xmlns="http://schemas.openxmlformats.org/spreadsheetml/2006/main" count="247" uniqueCount="214">
  <si>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</si>
  <si>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</si>
  <si>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</si>
  <si>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</si>
  <si>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</si>
  <si>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</si>
  <si>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</si>
  <si>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</si>
  <si>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</si>
  <si>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</si>
  <si>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</si>
  <si>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</si>
  <si>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</si>
  <si>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</si>
  <si>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</si>
  <si>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</si>
  <si>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</si>
  <si>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</si>
  <si>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</si>
  <si>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</si>
  <si>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</si>
  <si>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</si>
  <si>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</si>
  <si>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</si>
  <si>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</si>
  <si>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</si>
  <si>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</si>
  <si>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</si>
  <si>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</si>
  <si>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</si>
  <si>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</si>
  <si>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</si>
  <si>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</si>
  <si>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</si>
  <si>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</si>
  <si>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</si>
  <si>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</si>
  <si>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</si>
  <si>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</si>
  <si>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</si>
  <si>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</si>
  <si>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</si>
  <si>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</si>
  <si>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</si>
  <si>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</si>
  <si>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</si>
  <si>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</si>
  <si>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</si>
  <si>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</si>
  <si>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</si>
  <si>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</si>
  <si>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</si>
  <si>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</si>
  <si>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</si>
  <si>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</si>
  <si>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</si>
  <si>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</si>
  <si>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</si>
  <si>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</si>
  <si>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</si>
  <si>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</si>
  <si>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</si>
  <si>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</si>
  <si>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</si>
  <si>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</si>
  <si>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</si>
  <si>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</si>
  <si>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</si>
  <si>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</si>
  <si>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</si>
  <si>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</si>
  <si>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</si>
  <si>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</si>
  <si>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</si>
  <si>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</si>
  <si>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</si>
  <si>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</si>
  <si>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</si>
  <si>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</si>
  <si>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</si>
  <si>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</si>
  <si>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1302-ELLORA FIESTA, PLOT NO. 8, SECTOR 11, OPP. JUINAGAR RAILWAY STATION, SANPADA, NAVI MUMBAI 400 706. TEL: 022-27758396/95. FAX :022-27758394.
E mail : axisbank@vsjadon.com. vsjcvaluer@gmail.com. Web site : www.vsjadon.com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</si>
  <si>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</si>
  <si>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</si>
  <si>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</si>
  <si>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</si>
  <si>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</si>
  <si>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</si>
  <si>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</si>
  <si>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</si>
  <si>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</si>
  <si>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</si>
  <si>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</si>
  <si>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</si>
  <si>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</si>
  <si>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</si>
  <si>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</si>
  <si>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</si>
  <si>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</si>
  <si>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</si>
  <si>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</si>
  <si>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</si>
  <si>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</si>
  <si>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</si>
  <si>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</si>
  <si>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</si>
  <si>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</si>
  <si>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</si>
  <si>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</si>
  <si>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</si>
  <si>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</si>
  <si>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</si>
  <si>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</si>
  <si>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</si>
  <si>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</si>
  <si>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</si>
  <si>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</si>
  <si>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</si>
  <si>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</si>
  <si>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</si>
  <si>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</si>
  <si>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</si>
  <si>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</si>
  <si>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</si>
  <si>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</si>
  <si>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</si>
  <si>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</si>
  <si>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</si>
  <si>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</si>
  <si>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</si>
  <si>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</si>
  <si>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</si>
  <si>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</si>
  <si>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</si>
  <si>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</si>
  <si>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</si>
  <si>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</si>
  <si>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</si>
  <si>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</si>
  <si>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</si>
  <si>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</si>
  <si>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</si>
  <si>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</si>
  <si>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</si>
  <si>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</si>
  <si>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</si>
  <si>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</si>
  <si>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</si>
  <si>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</si>
  <si>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</si>
  <si>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</si>
  <si>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</si>
  <si>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</si>
  <si>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</si>
  <si>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</si>
  <si>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</si>
  <si>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</si>
  <si>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</si>
  <si>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</si>
  <si>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</si>
  <si>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</si>
  <si>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</si>
  <si>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</si>
  <si>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</si>
  <si>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</si>
  <si>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</si>
  <si>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</si>
  <si>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</si>
  <si>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</si>
  <si>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</si>
  <si>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</si>
  <si>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</si>
  <si>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</si>
  <si>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</si>
  <si>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</si>
  <si>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M/s. Poddar Infracon Private Limited</t>
  </si>
  <si>
    <t>Satyam</t>
  </si>
  <si>
    <t>022-66920678/79</t>
  </si>
  <si>
    <t>Approved Plans, CC</t>
  </si>
  <si>
    <t>P51800045715</t>
  </si>
  <si>
    <t>Proposed Redevelopment of Residential building situated on plot bearing C.T.S.no. 73,73/1 to 3, of village Ismalia, Junction of Hindu friends society road &amp; Natwar Nagar road no.2 , Jogeshwari (East), Mumbai. 400060.</t>
  </si>
  <si>
    <t>C.T.S No</t>
  </si>
  <si>
    <t>73, 73/1 to 3</t>
  </si>
  <si>
    <t>Ismalia</t>
  </si>
  <si>
    <t>Natwar Nagar</t>
  </si>
  <si>
    <t>Mumbai</t>
  </si>
  <si>
    <t>Andheri</t>
  </si>
  <si>
    <t>Road no.2</t>
  </si>
  <si>
    <t>https://goo.gl/maps/w7iB2vTHGmCYTvsb8</t>
  </si>
  <si>
    <t>Natwar Nagar Road No.2</t>
  </si>
  <si>
    <t>Keshav Priya Bunglow</t>
  </si>
  <si>
    <t>Ganesh Bhuvan, B Wing</t>
  </si>
  <si>
    <t>JES English School</t>
  </si>
  <si>
    <t>0.950 KM from Jogeshwari Railway Station</t>
  </si>
  <si>
    <t>Jogeshwari (East)</t>
  </si>
  <si>
    <t>Anjali</t>
  </si>
  <si>
    <t>Gouresh Naik</t>
  </si>
  <si>
    <t xml:space="preserve">Construction work is in process at the time of Visit. </t>
  </si>
  <si>
    <t>Municipal Corporation of Greater Mumbai.</t>
  </si>
  <si>
    <t>CHE/WS/5115/K/E/337(New)</t>
  </si>
  <si>
    <t>CHE/WS/5115/K/E/337(NEW)/CC/1/New</t>
  </si>
  <si>
    <t>CC upto top of Stilt floor (i.e.ht.6.30mt. A.G.L.) as per approved plan dated 11/01/2022.</t>
  </si>
  <si>
    <t>11/01/2022.</t>
  </si>
  <si>
    <t>Gr/St + 1st to 9th Floor</t>
  </si>
  <si>
    <t>As per RERA - 31/08/2025</t>
  </si>
  <si>
    <t>Ground Floor for Parking</t>
  </si>
  <si>
    <t>Gr/St + 1st to 18th Floor</t>
  </si>
  <si>
    <t>2nd to 6th &amp; 8th Floor for Residential</t>
  </si>
  <si>
    <t>7th Floor (Part Refuge Area)</t>
  </si>
  <si>
    <t>9th Floor (Part Terrace Area)</t>
  </si>
  <si>
    <t>1st Floor Residential &amp; Parking</t>
  </si>
  <si>
    <t>Flats</t>
  </si>
  <si>
    <t>Flats - 36</t>
  </si>
  <si>
    <t>Hosing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</si>
</sst>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hidden="1"/>
    </xf>
    <xf numFmtId="0" fontId="18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4" fillId="0" borderId="0" xfId="1" applyFont="1" applyFill="1"/>
    <xf numFmtId="0" fontId="7" fillId="0" borderId="9" xfId="1" applyFont="1" applyFill="1" applyBorder="1"/>
    <xf numFmtId="0" fontId="18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5" fillId="2" borderId="29" xfId="0" applyFont="1" applyFill="1" applyBorder="1"/>
    <xf numFmtId="0" fontId="26" fillId="0" borderId="30" xfId="0" applyFont="1" applyFill="1" applyBorder="1"/>
    <xf numFmtId="0" fontId="26" fillId="0" borderId="1" xfId="0" applyFont="1" applyFill="1" applyBorder="1"/>
    <xf numFmtId="0" fontId="26" fillId="0" borderId="4" xfId="0" applyFont="1" applyFill="1" applyBorder="1"/>
    <xf numFmtId="16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left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4" fontId="13" fillId="0" borderId="7" xfId="1" applyNumberFormat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17" fillId="0" borderId="7" xfId="0" applyNumberFormat="1" applyFont="1" applyFill="1" applyBorder="1" applyAlignment="1" applyProtection="1">
      <alignment vertical="top" wrapText="1"/>
      <protection locked="0"/>
    </xf>
    <xf numFmtId="1" fontId="17" fillId="0" borderId="20" xfId="0" applyNumberFormat="1" applyFont="1" applyFill="1" applyBorder="1" applyAlignment="1" applyProtection="1">
      <alignment vertical="top" wrapText="1"/>
      <protection locked="0"/>
    </xf>
    <xf numFmtId="1" fontId="17" fillId="0" borderId="8" xfId="0" applyNumberFormat="1" applyFont="1" applyFill="1" applyBorder="1" applyAlignment="1" applyProtection="1">
      <alignment vertical="top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6" fillId="0" borderId="0" xfId="2" applyNumberFormat="1" applyFont="1" applyFill="1"/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496965</xdr:colOff>
      <xdr:row>199</xdr:row>
      <xdr:rowOff>120919</xdr:rowOff>
    </xdr:from>
    <xdr:to>
      <xdr:col>6</xdr:col>
      <xdr:colOff>401295</xdr:colOff>
      <xdr:row>215</xdr:row>
      <xdr:rowOff>180397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0DF4C-1B5B-F285-C1C9-6ECE7AF4D4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943" y="57685049"/>
          <a:ext cx="436037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496965</xdr:colOff>
      <xdr:row>182</xdr:row>
      <xdr:rowOff>115953</xdr:rowOff>
    </xdr:from>
    <xdr:to>
      <xdr:col>6</xdr:col>
      <xdr:colOff>401295</xdr:colOff>
      <xdr:row>198</xdr:row>
      <xdr:rowOff>175431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783B93-992D-8452-C563-BE5602D2B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943" y="54300779"/>
          <a:ext cx="436037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988771</xdr:colOff>
      <xdr:row>139</xdr:row>
      <xdr:rowOff>0</xdr:rowOff>
    </xdr:from>
    <xdr:to>
      <xdr:col>7</xdr:col>
      <xdr:colOff>106220</xdr:colOff>
      <xdr:row>149</xdr:row>
      <xdr:rowOff>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8437F4-9559-5711-E651-F1D7E791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1228" y="45645457"/>
          <a:ext cx="2637557" cy="198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3</xdr:col>
      <xdr:colOff>865078</xdr:colOff>
      <xdr:row>149</xdr:row>
      <xdr:rowOff>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FD3669-F76D-A7DE-3784-0629B0DC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8" y="45645457"/>
          <a:ext cx="2637557" cy="198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326760</xdr:colOff>
      <xdr:row>160</xdr:row>
      <xdr:rowOff>30812</xdr:rowOff>
    </xdr:from>
    <xdr:to>
      <xdr:col>3</xdr:col>
      <xdr:colOff>899298</xdr:colOff>
      <xdr:row>170</xdr:row>
      <xdr:rowOff>22986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4AECB2-2CA9-1757-8471-3B5151E5D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8130" y="49842421"/>
          <a:ext cx="1483625" cy="198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31423</xdr:colOff>
      <xdr:row>160</xdr:row>
      <xdr:rowOff>30812</xdr:rowOff>
    </xdr:from>
    <xdr:to>
      <xdr:col>5</xdr:col>
      <xdr:colOff>678505</xdr:colOff>
      <xdr:row>170</xdr:row>
      <xdr:rowOff>22986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228794-B310-ED0D-FA37-CA571C40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4358" y="49842421"/>
          <a:ext cx="1483625" cy="198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7321</xdr:colOff>
      <xdr:row>149</xdr:row>
      <xdr:rowOff>133453</xdr:rowOff>
    </xdr:from>
    <xdr:to>
      <xdr:col>7</xdr:col>
      <xdr:colOff>135248</xdr:colOff>
      <xdr:row>159</xdr:row>
      <xdr:rowOff>125627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DEE4A44-E67F-A29C-B35A-B7E89EF1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0256" y="47758453"/>
          <a:ext cx="2637557" cy="198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133453</xdr:rowOff>
    </xdr:from>
    <xdr:to>
      <xdr:col>3</xdr:col>
      <xdr:colOff>865078</xdr:colOff>
      <xdr:row>159</xdr:row>
      <xdr:rowOff>125627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EB0491-1DF0-81A4-D5EF-2C0099E5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978" y="47758453"/>
          <a:ext cx="2637557" cy="198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140805</xdr:colOff>
      <xdr:row>144</xdr:row>
      <xdr:rowOff>82826</xdr:rowOff>
    </xdr:from>
    <xdr:to>
      <xdr:col>5</xdr:col>
      <xdr:colOff>579783</xdr:colOff>
      <xdr:row>146</xdr:row>
      <xdr:rowOff>16565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17FD9D2-EEA6-57B0-AF5D-EEB0D4EBC13A}"/>
            </a:ext>
          </a:extLst>
        </xdr:cNvPr>
        <xdr:cNvCxnSpPr/>
      </xdr:nvCxnSpPr>
      <xdr:spPr>
        <a:xfrm flipV="1">
          <a:off x="4580283" y="39466630"/>
          <a:ext cx="438978" cy="3313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7iB2vTHGmCYTvsb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82"/>
  <sheetViews>
    <sheetView tabSelected="1" view="pageBreakPreview" zoomScale="115" zoomScaleNormal="100" zoomScaleSheetLayoutView="115" workbookViewId="0">
      <selection activeCell="E6" sqref="E6:H6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52" t="s">
        <v>81</v>
      </c>
      <c r="B1" s="152"/>
      <c r="C1" s="152"/>
      <c r="D1" s="152"/>
      <c r="E1" s="152"/>
      <c r="F1" s="152"/>
      <c r="G1" s="152"/>
      <c r="H1" s="152"/>
    </row>
    <row r="2" spans="1:8" ht="16.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x14ac:dyDescent="0.25">
      <c r="A3" s="74" t="s">
        <v>1</v>
      </c>
      <c r="B3" s="74"/>
      <c r="C3" s="74"/>
      <c r="D3" s="74"/>
      <c r="E3" s="74" t="str">
        <f ca="1">TEXT(TODAY(),"DD/MM/YYYY")</f>
        <v>02/07/2022</v>
      </c>
      <c r="F3" s="74"/>
      <c r="G3" s="74"/>
      <c r="H3" s="74"/>
    </row>
    <row r="4" spans="1:8" ht="15" customHeight="1" x14ac:dyDescent="0.25">
      <c r="A4" s="74" t="s">
        <v>2</v>
      </c>
      <c r="B4" s="74"/>
      <c r="C4" s="74"/>
      <c r="D4" s="74"/>
      <c r="E4" s="74" t="s">
        <v>174</v>
      </c>
      <c r="F4" s="74"/>
      <c r="G4" s="74"/>
      <c r="H4" s="74"/>
    </row>
    <row r="5" spans="1:8" x14ac:dyDescent="0.25">
      <c r="A5" s="74" t="s">
        <v>3</v>
      </c>
      <c r="B5" s="74"/>
      <c r="C5" s="74"/>
      <c r="D5" s="74"/>
      <c r="E5" s="153">
        <v>44743</v>
      </c>
      <c r="F5" s="74"/>
      <c r="G5" s="74"/>
      <c r="H5" s="74"/>
    </row>
    <row r="6" spans="1:8" ht="16.5" customHeight="1" x14ac:dyDescent="0.25">
      <c r="A6" s="74" t="s">
        <v>4</v>
      </c>
      <c r="B6" s="74"/>
      <c r="C6" s="74"/>
      <c r="D6" s="74"/>
      <c r="E6" s="74" t="s">
        <v>175</v>
      </c>
      <c r="F6" s="74"/>
      <c r="G6" s="74"/>
      <c r="H6" s="74"/>
    </row>
    <row r="7" spans="1:8" ht="15" customHeight="1" x14ac:dyDescent="0.25">
      <c r="A7" s="74" t="s">
        <v>5</v>
      </c>
      <c r="B7" s="74"/>
      <c r="C7" s="74"/>
      <c r="D7" s="74"/>
      <c r="E7" s="74" t="str">
        <f>E6</f>
        <v>M/s. Poddar Infracon Private Limited</v>
      </c>
      <c r="F7" s="74"/>
      <c r="G7" s="74"/>
      <c r="H7" s="74"/>
    </row>
    <row r="8" spans="1:8" x14ac:dyDescent="0.25">
      <c r="A8" s="74" t="s">
        <v>6</v>
      </c>
      <c r="B8" s="74"/>
      <c r="C8" s="74"/>
      <c r="D8" s="74"/>
      <c r="E8" s="74" t="s">
        <v>176</v>
      </c>
      <c r="F8" s="74"/>
      <c r="G8" s="74"/>
      <c r="H8" s="74"/>
    </row>
    <row r="9" spans="1:8" x14ac:dyDescent="0.25">
      <c r="A9" s="74" t="s">
        <v>124</v>
      </c>
      <c r="B9" s="74"/>
      <c r="C9" s="74"/>
      <c r="D9" s="74"/>
      <c r="E9" s="74" t="s">
        <v>177</v>
      </c>
      <c r="F9" s="74"/>
      <c r="G9" s="74"/>
      <c r="H9" s="74"/>
    </row>
    <row r="10" spans="1:8" x14ac:dyDescent="0.25">
      <c r="A10" s="74" t="s">
        <v>7</v>
      </c>
      <c r="B10" s="74"/>
      <c r="C10" s="74"/>
      <c r="D10" s="74"/>
      <c r="E10" s="74" t="s">
        <v>125</v>
      </c>
      <c r="F10" s="74"/>
      <c r="G10" s="74"/>
      <c r="H10" s="74"/>
    </row>
    <row r="11" spans="1:8" x14ac:dyDescent="0.25">
      <c r="A11" s="75" t="s">
        <v>8</v>
      </c>
      <c r="B11" s="75"/>
      <c r="C11" s="75"/>
      <c r="D11" s="75"/>
      <c r="E11" s="104" t="s">
        <v>178</v>
      </c>
      <c r="F11" s="104"/>
      <c r="G11" s="104"/>
      <c r="H11" s="104"/>
    </row>
    <row r="12" spans="1:8" x14ac:dyDescent="0.25">
      <c r="A12" s="75" t="s">
        <v>9</v>
      </c>
      <c r="B12" s="75"/>
      <c r="C12" s="75"/>
      <c r="D12" s="75"/>
      <c r="E12" s="104" t="s">
        <v>179</v>
      </c>
      <c r="F12" s="74"/>
      <c r="G12" s="74"/>
      <c r="H12" s="74"/>
    </row>
    <row r="13" spans="1:8" ht="48.75" customHeight="1" x14ac:dyDescent="0.25">
      <c r="A13" s="103" t="s">
        <v>10</v>
      </c>
      <c r="B13" s="103"/>
      <c r="C13" s="103" t="s">
        <v>180</v>
      </c>
      <c r="D13" s="103"/>
      <c r="E13" s="103"/>
      <c r="F13" s="103"/>
      <c r="G13" s="103"/>
      <c r="H13" s="103"/>
    </row>
    <row r="14" spans="1:8" x14ac:dyDescent="0.25">
      <c r="A14" s="104" t="s">
        <v>181</v>
      </c>
      <c r="B14" s="104"/>
      <c r="C14" s="104" t="s">
        <v>182</v>
      </c>
      <c r="D14" s="104"/>
      <c r="E14" s="104"/>
      <c r="F14" s="104"/>
      <c r="G14" s="104"/>
      <c r="H14" s="104"/>
    </row>
    <row r="15" spans="1:8" ht="15.75" customHeight="1" x14ac:dyDescent="0.25">
      <c r="A15" s="93" t="s">
        <v>171</v>
      </c>
      <c r="B15" s="95"/>
      <c r="C15" s="93" t="s">
        <v>184</v>
      </c>
      <c r="D15" s="94"/>
      <c r="E15" s="94"/>
      <c r="F15" s="94"/>
      <c r="G15" s="94"/>
      <c r="H15" s="95"/>
    </row>
    <row r="16" spans="1:8" ht="15.75" customHeight="1" x14ac:dyDescent="0.25">
      <c r="A16" s="104" t="s">
        <v>11</v>
      </c>
      <c r="B16" s="104"/>
      <c r="C16" s="74" t="s">
        <v>187</v>
      </c>
      <c r="D16" s="74"/>
      <c r="E16" s="104" t="s">
        <v>172</v>
      </c>
      <c r="F16" s="104"/>
      <c r="G16" s="104" t="s">
        <v>183</v>
      </c>
      <c r="H16" s="104"/>
    </row>
    <row r="17" spans="1:8" x14ac:dyDescent="0.25">
      <c r="A17" s="74" t="s">
        <v>13</v>
      </c>
      <c r="B17" s="74"/>
      <c r="C17" s="104" t="s">
        <v>194</v>
      </c>
      <c r="D17" s="104"/>
      <c r="E17" s="104" t="s">
        <v>12</v>
      </c>
      <c r="F17" s="104"/>
      <c r="G17" s="154" t="s">
        <v>185</v>
      </c>
      <c r="H17" s="154"/>
    </row>
    <row r="18" spans="1:8" x14ac:dyDescent="0.25">
      <c r="A18" s="74" t="s">
        <v>76</v>
      </c>
      <c r="B18" s="74"/>
      <c r="C18" s="104" t="s">
        <v>186</v>
      </c>
      <c r="D18" s="104"/>
      <c r="E18" s="104" t="s">
        <v>14</v>
      </c>
      <c r="F18" s="104"/>
      <c r="G18" s="104">
        <v>400060</v>
      </c>
      <c r="H18" s="104"/>
    </row>
    <row r="19" spans="1:8" ht="32.25" customHeight="1" x14ac:dyDescent="0.25">
      <c r="A19" s="75" t="s">
        <v>127</v>
      </c>
      <c r="B19" s="75"/>
      <c r="C19" s="104" t="s">
        <v>192</v>
      </c>
      <c r="D19" s="104"/>
      <c r="E19" s="103" t="s">
        <v>15</v>
      </c>
      <c r="F19" s="103"/>
      <c r="G19" s="104" t="s">
        <v>193</v>
      </c>
      <c r="H19" s="104"/>
    </row>
    <row r="20" spans="1:8" ht="15" customHeight="1" x14ac:dyDescent="0.25">
      <c r="A20" s="103" t="s">
        <v>78</v>
      </c>
      <c r="B20" s="103"/>
      <c r="C20" s="103"/>
      <c r="D20" s="103"/>
      <c r="E20" s="74" t="s">
        <v>16</v>
      </c>
      <c r="F20" s="74"/>
      <c r="G20" s="74"/>
      <c r="H20" s="74"/>
    </row>
    <row r="21" spans="1:8" ht="18.75" customHeight="1" x14ac:dyDescent="0.25">
      <c r="A21" s="103"/>
      <c r="B21" s="103"/>
      <c r="C21" s="103"/>
      <c r="D21" s="103"/>
      <c r="E21" s="74"/>
      <c r="F21" s="74"/>
      <c r="G21" s="74"/>
      <c r="H21" s="74"/>
    </row>
    <row r="22" spans="1:8" ht="15" customHeight="1" x14ac:dyDescent="0.25">
      <c r="A22" s="103" t="s">
        <v>17</v>
      </c>
      <c r="B22" s="103"/>
      <c r="C22" s="103"/>
      <c r="D22" s="103"/>
      <c r="E22" s="104" t="s">
        <v>18</v>
      </c>
      <c r="F22" s="104"/>
      <c r="G22" s="104"/>
      <c r="H22" s="104"/>
    </row>
    <row r="23" spans="1:8" ht="15" customHeight="1" x14ac:dyDescent="0.25">
      <c r="A23" s="75" t="s">
        <v>19</v>
      </c>
      <c r="B23" s="75"/>
      <c r="C23" s="75"/>
      <c r="D23" s="75"/>
      <c r="E23" s="104" t="str">
        <f>IF(AND(G17="Mumbai"),"Upper Class","Middle Class")</f>
        <v>Upper Class</v>
      </c>
      <c r="F23" s="104"/>
      <c r="G23" s="104"/>
      <c r="H23" s="104"/>
    </row>
    <row r="24" spans="1:8" x14ac:dyDescent="0.25">
      <c r="A24" s="75" t="s">
        <v>20</v>
      </c>
      <c r="B24" s="75"/>
      <c r="C24" s="75"/>
      <c r="D24" s="75"/>
      <c r="E24" s="104" t="s">
        <v>21</v>
      </c>
      <c r="F24" s="104"/>
      <c r="G24" s="104"/>
      <c r="H24" s="104"/>
    </row>
    <row r="25" spans="1:8" ht="15.75" customHeight="1" x14ac:dyDescent="0.25">
      <c r="A25" s="75" t="s">
        <v>22</v>
      </c>
      <c r="B25" s="75"/>
      <c r="C25" s="75"/>
      <c r="D25" s="75"/>
      <c r="E25" s="104" t="str">
        <f>IF(AND(G17="Mumbai"),"Developed","Developing")</f>
        <v>Developed</v>
      </c>
      <c r="F25" s="104"/>
      <c r="G25" s="104"/>
      <c r="H25" s="104"/>
    </row>
    <row r="26" spans="1:8" x14ac:dyDescent="0.25">
      <c r="A26" s="75" t="s">
        <v>23</v>
      </c>
      <c r="B26" s="75"/>
      <c r="C26" s="75"/>
      <c r="D26" s="75"/>
      <c r="E26" s="104" t="s">
        <v>24</v>
      </c>
      <c r="F26" s="104"/>
      <c r="G26" s="104"/>
      <c r="H26" s="104"/>
    </row>
    <row r="27" spans="1:8" ht="15.75" customHeight="1" x14ac:dyDescent="0.25">
      <c r="A27" s="75" t="s">
        <v>84</v>
      </c>
      <c r="B27" s="75"/>
      <c r="C27" s="75"/>
      <c r="D27" s="75"/>
      <c r="E27" s="104" t="s">
        <v>85</v>
      </c>
      <c r="F27" s="104"/>
      <c r="G27" s="104"/>
      <c r="H27" s="104"/>
    </row>
    <row r="28" spans="1:8" ht="15" customHeight="1" x14ac:dyDescent="0.25">
      <c r="A28" s="75" t="s">
        <v>35</v>
      </c>
      <c r="B28" s="75"/>
      <c r="C28" s="75"/>
      <c r="D28" s="75"/>
      <c r="E28" s="10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8" s="104"/>
      <c r="G28" s="104"/>
      <c r="H28" s="104"/>
    </row>
    <row r="29" spans="1:8" ht="15.75" customHeight="1" x14ac:dyDescent="0.25">
      <c r="A29" s="75" t="s">
        <v>96</v>
      </c>
      <c r="B29" s="75"/>
      <c r="C29" s="75"/>
      <c r="D29" s="75"/>
      <c r="E29" s="104" t="s">
        <v>36</v>
      </c>
      <c r="F29" s="104"/>
      <c r="G29" s="104"/>
      <c r="H29" s="104"/>
    </row>
    <row r="30" spans="1:8" s="21" customFormat="1" x14ac:dyDescent="0.25">
      <c r="A30" s="160" t="s">
        <v>97</v>
      </c>
      <c r="B30" s="160"/>
      <c r="C30" s="157" t="s">
        <v>29</v>
      </c>
      <c r="D30" s="157"/>
      <c r="E30" s="157"/>
      <c r="F30" s="157" t="s">
        <v>31</v>
      </c>
      <c r="G30" s="157"/>
      <c r="H30" s="157"/>
    </row>
    <row r="31" spans="1:8" s="21" customFormat="1" x14ac:dyDescent="0.25">
      <c r="A31" s="155" t="s">
        <v>25</v>
      </c>
      <c r="B31" s="155" t="s">
        <v>30</v>
      </c>
      <c r="C31" s="156" t="s">
        <v>30</v>
      </c>
      <c r="D31" s="156"/>
      <c r="E31" s="156"/>
      <c r="F31" s="156" t="s">
        <v>11</v>
      </c>
      <c r="G31" s="156"/>
      <c r="H31" s="156"/>
    </row>
    <row r="32" spans="1:8" x14ac:dyDescent="0.25">
      <c r="A32" s="155" t="s">
        <v>26</v>
      </c>
      <c r="B32" s="155" t="s">
        <v>30</v>
      </c>
      <c r="C32" s="156" t="s">
        <v>30</v>
      </c>
      <c r="D32" s="156"/>
      <c r="E32" s="156"/>
      <c r="F32" s="156" t="s">
        <v>191</v>
      </c>
      <c r="G32" s="156"/>
      <c r="H32" s="156"/>
    </row>
    <row r="33" spans="1:8" s="21" customFormat="1" x14ac:dyDescent="0.25">
      <c r="A33" s="155" t="s">
        <v>28</v>
      </c>
      <c r="B33" s="155" t="s">
        <v>30</v>
      </c>
      <c r="C33" s="156" t="s">
        <v>30</v>
      </c>
      <c r="D33" s="156"/>
      <c r="E33" s="156"/>
      <c r="F33" s="156" t="s">
        <v>189</v>
      </c>
      <c r="G33" s="156"/>
      <c r="H33" s="156"/>
    </row>
    <row r="34" spans="1:8" x14ac:dyDescent="0.25">
      <c r="A34" s="155" t="s">
        <v>27</v>
      </c>
      <c r="B34" s="155" t="s">
        <v>30</v>
      </c>
      <c r="C34" s="156" t="s">
        <v>30</v>
      </c>
      <c r="D34" s="156"/>
      <c r="E34" s="156"/>
      <c r="F34" s="156" t="s">
        <v>190</v>
      </c>
      <c r="G34" s="156"/>
      <c r="H34" s="156"/>
    </row>
    <row r="35" spans="1:8" x14ac:dyDescent="0.25">
      <c r="A35" s="75" t="s">
        <v>32</v>
      </c>
      <c r="B35" s="75"/>
      <c r="C35" s="75"/>
      <c r="D35" s="75"/>
      <c r="E35" s="75"/>
      <c r="F35" s="75"/>
      <c r="G35" s="75"/>
      <c r="H35" s="75"/>
    </row>
    <row r="36" spans="1:8" ht="15.75" customHeight="1" x14ac:dyDescent="0.25">
      <c r="A36" s="126" t="s">
        <v>33</v>
      </c>
      <c r="B36" s="126"/>
      <c r="C36" s="158">
        <v>19.131004999999998</v>
      </c>
      <c r="D36" s="158"/>
      <c r="E36" s="126" t="s">
        <v>34</v>
      </c>
      <c r="F36" s="126"/>
      <c r="G36" s="159">
        <v>72.850210000000004</v>
      </c>
      <c r="H36" s="159"/>
    </row>
    <row r="37" spans="1:8" x14ac:dyDescent="0.25">
      <c r="A37" s="126" t="s">
        <v>170</v>
      </c>
      <c r="B37" s="126"/>
      <c r="C37" s="183" t="s">
        <v>188</v>
      </c>
      <c r="D37" s="104"/>
      <c r="E37" s="104"/>
      <c r="F37" s="104"/>
      <c r="G37" s="104"/>
      <c r="H37" s="104"/>
    </row>
    <row r="38" spans="1:8" x14ac:dyDescent="0.25">
      <c r="A38" s="132" t="s">
        <v>37</v>
      </c>
      <c r="B38" s="132"/>
      <c r="C38" s="132"/>
      <c r="D38" s="132"/>
      <c r="E38" s="132"/>
      <c r="F38" s="132"/>
      <c r="G38" s="132"/>
      <c r="H38" s="132"/>
    </row>
    <row r="39" spans="1:8" x14ac:dyDescent="0.25">
      <c r="A39" s="74" t="s">
        <v>38</v>
      </c>
      <c r="B39" s="74"/>
      <c r="C39" s="74"/>
      <c r="D39" s="74"/>
      <c r="E39" s="161">
        <v>1006.22</v>
      </c>
      <c r="F39" s="161"/>
      <c r="G39" s="161"/>
      <c r="H39" s="161"/>
    </row>
    <row r="40" spans="1:8" x14ac:dyDescent="0.25">
      <c r="A40" s="74" t="s">
        <v>39</v>
      </c>
      <c r="B40" s="74"/>
      <c r="C40" s="74"/>
      <c r="D40" s="74"/>
      <c r="E40" s="73">
        <v>1</v>
      </c>
      <c r="F40" s="73"/>
      <c r="G40" s="73"/>
      <c r="H40" s="73"/>
    </row>
    <row r="41" spans="1:8" x14ac:dyDescent="0.25">
      <c r="A41" s="74" t="s">
        <v>40</v>
      </c>
      <c r="B41" s="74"/>
      <c r="C41" s="74"/>
      <c r="D41" s="74"/>
      <c r="E41" s="73">
        <f>E43/E39-E40</f>
        <v>0</v>
      </c>
      <c r="F41" s="73"/>
      <c r="G41" s="73"/>
      <c r="H41" s="73"/>
    </row>
    <row r="42" spans="1:8" x14ac:dyDescent="0.25">
      <c r="A42" s="74" t="s">
        <v>41</v>
      </c>
      <c r="B42" s="74"/>
      <c r="C42" s="74"/>
      <c r="D42" s="74"/>
      <c r="E42" s="73">
        <f>E40+E41</f>
        <v>1</v>
      </c>
      <c r="F42" s="73"/>
      <c r="G42" s="73"/>
      <c r="H42" s="73"/>
    </row>
    <row r="43" spans="1:8" x14ac:dyDescent="0.25">
      <c r="A43" s="74" t="s">
        <v>95</v>
      </c>
      <c r="B43" s="74"/>
      <c r="C43" s="74"/>
      <c r="D43" s="74"/>
      <c r="E43" s="175">
        <v>1006.22</v>
      </c>
      <c r="F43" s="175"/>
      <c r="G43" s="175"/>
      <c r="H43" s="175"/>
    </row>
    <row r="44" spans="1:8" x14ac:dyDescent="0.25">
      <c r="A44" s="74" t="s">
        <v>42</v>
      </c>
      <c r="B44" s="74"/>
      <c r="C44" s="74"/>
      <c r="D44" s="74"/>
      <c r="E44" s="74" t="s">
        <v>125</v>
      </c>
      <c r="F44" s="74"/>
      <c r="G44" s="74"/>
      <c r="H44" s="74"/>
    </row>
    <row r="45" spans="1:8" x14ac:dyDescent="0.25">
      <c r="A45" s="132" t="s">
        <v>43</v>
      </c>
      <c r="B45" s="132"/>
      <c r="C45" s="132"/>
      <c r="D45" s="132"/>
      <c r="E45" s="132"/>
      <c r="F45" s="132"/>
      <c r="G45" s="132"/>
      <c r="H45" s="132"/>
    </row>
    <row r="46" spans="1:8" ht="33.75" customHeight="1" x14ac:dyDescent="0.25">
      <c r="A46" s="91" t="s">
        <v>158</v>
      </c>
      <c r="B46" s="92"/>
      <c r="C46" s="184" t="s">
        <v>198</v>
      </c>
      <c r="D46" s="185"/>
      <c r="E46" s="185"/>
      <c r="F46" s="185"/>
      <c r="G46" s="185"/>
      <c r="H46" s="106"/>
    </row>
    <row r="47" spans="1:8" ht="15.75" customHeight="1" x14ac:dyDescent="0.25">
      <c r="A47" s="91" t="s">
        <v>44</v>
      </c>
      <c r="B47" s="92"/>
      <c r="C47" s="93" t="s">
        <v>199</v>
      </c>
      <c r="D47" s="94"/>
      <c r="E47" s="95"/>
      <c r="F47" s="57" t="s">
        <v>45</v>
      </c>
      <c r="G47" s="96" t="s">
        <v>202</v>
      </c>
      <c r="H47" s="95"/>
    </row>
    <row r="48" spans="1:8" x14ac:dyDescent="0.25">
      <c r="A48" s="91" t="s">
        <v>46</v>
      </c>
      <c r="B48" s="92"/>
      <c r="C48" s="93" t="str">
        <f>C47</f>
        <v>CHE/WS/5115/K/E/337(New)</v>
      </c>
      <c r="D48" s="94"/>
      <c r="E48" s="95"/>
      <c r="F48" s="57" t="s">
        <v>45</v>
      </c>
      <c r="G48" s="96" t="str">
        <f>G47</f>
        <v>11/01/2022.</v>
      </c>
      <c r="H48" s="95"/>
    </row>
    <row r="49" spans="1:14" s="22" customFormat="1" ht="15.75" customHeight="1" x14ac:dyDescent="0.25">
      <c r="A49" s="138" t="s">
        <v>162</v>
      </c>
      <c r="B49" s="139"/>
      <c r="C49" s="93" t="s">
        <v>200</v>
      </c>
      <c r="D49" s="94"/>
      <c r="E49" s="95"/>
      <c r="F49" s="57" t="s">
        <v>45</v>
      </c>
      <c r="G49" s="96">
        <v>44700</v>
      </c>
      <c r="H49" s="95"/>
    </row>
    <row r="50" spans="1:14" s="22" customFormat="1" ht="51" customHeight="1" x14ac:dyDescent="0.25">
      <c r="A50" s="140"/>
      <c r="B50" s="141"/>
      <c r="C50" s="93" t="s">
        <v>201</v>
      </c>
      <c r="D50" s="94"/>
      <c r="E50" s="95"/>
      <c r="F50" s="57" t="s">
        <v>126</v>
      </c>
      <c r="G50" s="96">
        <v>45064</v>
      </c>
      <c r="H50" s="95"/>
    </row>
    <row r="51" spans="1:14" x14ac:dyDescent="0.25">
      <c r="A51" s="107" t="s">
        <v>173</v>
      </c>
      <c r="B51" s="108"/>
      <c r="C51" s="99" t="s">
        <v>30</v>
      </c>
      <c r="D51" s="100"/>
      <c r="E51" s="101"/>
      <c r="F51" s="58" t="s">
        <v>45</v>
      </c>
      <c r="G51" s="105" t="s">
        <v>30</v>
      </c>
      <c r="H51" s="106"/>
    </row>
    <row r="52" spans="1:14" hidden="1" x14ac:dyDescent="0.25">
      <c r="A52" s="109"/>
      <c r="B52" s="110"/>
      <c r="C52" s="111" t="s">
        <v>30</v>
      </c>
      <c r="D52" s="112"/>
      <c r="E52" s="112"/>
      <c r="F52" s="112"/>
      <c r="G52" s="112"/>
      <c r="H52" s="113"/>
    </row>
    <row r="53" spans="1:14" x14ac:dyDescent="0.25">
      <c r="A53" s="102" t="s">
        <v>48</v>
      </c>
      <c r="B53" s="102"/>
      <c r="C53" s="102"/>
      <c r="D53" s="102"/>
      <c r="E53" s="102"/>
      <c r="F53" s="102"/>
      <c r="G53" s="102"/>
      <c r="H53" s="102"/>
    </row>
    <row r="54" spans="1:14" x14ac:dyDescent="0.25">
      <c r="A54" s="103" t="s">
        <v>94</v>
      </c>
      <c r="B54" s="103"/>
      <c r="C54" s="103"/>
      <c r="D54" s="75">
        <f>E43</f>
        <v>1006.22</v>
      </c>
      <c r="E54" s="75"/>
      <c r="F54" s="75"/>
      <c r="G54" s="75"/>
      <c r="H54" s="75"/>
    </row>
    <row r="55" spans="1:14" x14ac:dyDescent="0.25">
      <c r="A55" s="104" t="s">
        <v>49</v>
      </c>
      <c r="B55" s="74"/>
      <c r="C55" s="74"/>
      <c r="D55" s="74" t="s">
        <v>212</v>
      </c>
      <c r="E55" s="74"/>
      <c r="F55" s="74"/>
      <c r="G55" s="74"/>
      <c r="H55" s="74"/>
      <c r="I55" s="23"/>
    </row>
    <row r="56" spans="1:14" x14ac:dyDescent="0.25">
      <c r="A56" s="97" t="s">
        <v>50</v>
      </c>
      <c r="B56" s="98"/>
      <c r="C56" s="137"/>
      <c r="D56" s="128" t="s">
        <v>203</v>
      </c>
      <c r="E56" s="136"/>
      <c r="F56" s="136"/>
      <c r="G56" s="136"/>
      <c r="H56" s="136"/>
      <c r="I56" s="24"/>
    </row>
    <row r="57" spans="1:14" ht="15.75" customHeight="1" x14ac:dyDescent="0.25">
      <c r="A57" s="97" t="s">
        <v>92</v>
      </c>
      <c r="B57" s="98"/>
      <c r="C57" s="98"/>
      <c r="D57" s="74" t="s">
        <v>206</v>
      </c>
      <c r="E57" s="74"/>
      <c r="F57" s="74"/>
      <c r="G57" s="74"/>
      <c r="H57" s="74"/>
      <c r="I57" s="24"/>
    </row>
    <row r="58" spans="1:14" ht="15.75" customHeight="1" x14ac:dyDescent="0.25">
      <c r="A58" s="75" t="s">
        <v>47</v>
      </c>
      <c r="B58" s="75"/>
      <c r="C58" s="75"/>
      <c r="D58" s="162" t="s">
        <v>204</v>
      </c>
      <c r="E58" s="162"/>
      <c r="F58" s="162"/>
      <c r="G58" s="162"/>
      <c r="H58" s="162"/>
      <c r="J58" s="25"/>
      <c r="K58" s="23"/>
      <c r="N58" s="23"/>
    </row>
    <row r="59" spans="1:14" ht="15.75" customHeight="1" x14ac:dyDescent="0.25">
      <c r="A59" s="75" t="s">
        <v>90</v>
      </c>
      <c r="B59" s="75"/>
      <c r="C59" s="75"/>
      <c r="D59" s="174" t="str">
        <f>(IF(G51="NA","60 Years After Completion",IF(G51&lt;&gt;"NA",""&amp;60-ROUNDDOWN((E3-G51)/360,0)&amp;" Years"," ")))</f>
        <v>60 Years After Completion</v>
      </c>
      <c r="E59" s="174"/>
      <c r="F59" s="174"/>
      <c r="G59" s="174"/>
      <c r="H59" s="174"/>
      <c r="N59" s="23"/>
    </row>
    <row r="60" spans="1:14" ht="15.75" customHeight="1" x14ac:dyDescent="0.25">
      <c r="A60" s="75" t="s">
        <v>91</v>
      </c>
      <c r="B60" s="75"/>
      <c r="C60" s="75"/>
      <c r="D60" s="103" t="s">
        <v>24</v>
      </c>
      <c r="E60" s="103"/>
      <c r="F60" s="103"/>
      <c r="G60" s="103"/>
      <c r="H60" s="103"/>
      <c r="J60" s="26"/>
      <c r="K60" s="26"/>
    </row>
    <row r="61" spans="1:14" ht="15" customHeight="1" x14ac:dyDescent="0.25">
      <c r="A61" s="75" t="s">
        <v>77</v>
      </c>
      <c r="B61" s="75"/>
      <c r="C61" s="75"/>
      <c r="D61" s="104" t="s">
        <v>155</v>
      </c>
      <c r="E61" s="103"/>
      <c r="F61" s="103"/>
      <c r="G61" s="103"/>
      <c r="H61" s="103"/>
    </row>
    <row r="62" spans="1:14" x14ac:dyDescent="0.25">
      <c r="A62" s="103" t="s">
        <v>156</v>
      </c>
      <c r="B62" s="103"/>
      <c r="C62" s="103"/>
      <c r="D62" s="103" t="s">
        <v>30</v>
      </c>
      <c r="E62" s="103"/>
      <c r="F62" s="103"/>
      <c r="G62" s="103"/>
      <c r="H62" s="103"/>
      <c r="I62" s="27"/>
      <c r="J62" s="27"/>
      <c r="K62" s="27"/>
      <c r="L62" s="27"/>
      <c r="M62" s="27"/>
      <c r="N62" s="27"/>
    </row>
    <row r="63" spans="1:14" ht="15.75" customHeight="1" x14ac:dyDescent="0.25">
      <c r="A63" s="127" t="s">
        <v>89</v>
      </c>
      <c r="B63" s="127"/>
      <c r="C63" s="127"/>
      <c r="D63" s="128" t="str">
        <f ca="1">(IF(G69&gt;95%,"Nothing",IF(G69&gt;0%,"Cement, Aggregate, Steel, etc",IF(G69=0%,"Work not yet Started"))))</f>
        <v>Cement, Aggregate, Steel, etc</v>
      </c>
      <c r="E63" s="128"/>
      <c r="F63" s="128"/>
      <c r="G63" s="128"/>
      <c r="H63" s="128"/>
      <c r="J63" s="26"/>
    </row>
    <row r="64" spans="1:14" ht="33.75" customHeight="1" thickBot="1" x14ac:dyDescent="0.3">
      <c r="A64" s="151" t="s">
        <v>121</v>
      </c>
      <c r="B64" s="151"/>
      <c r="C64" s="151"/>
      <c r="D64" s="128" t="str">
        <f ca="1">(IF(D63="Nothing","Yes",IF(D63="Cement, Aggregate, Steel, etc","Under Construction",IF(D63="Work not yet Started","Work not yet Started"))))</f>
        <v>Under Construction</v>
      </c>
      <c r="E64" s="128"/>
      <c r="F64" s="128" t="str">
        <f ca="1">(IF(D63="Nothing","Yes",IF(D63="Cement, Aggregate, Steel, etc","Under Construction",IF(D63="Work not yet Started","Work not yet Started"))))</f>
        <v>Under Construction</v>
      </c>
      <c r="G64" s="128"/>
      <c r="H64" s="128"/>
    </row>
    <row r="65" spans="1:10" ht="15.75" customHeight="1" x14ac:dyDescent="0.25">
      <c r="A65" s="144" t="s">
        <v>147</v>
      </c>
      <c r="B65" s="145"/>
      <c r="C65" s="146" t="str">
        <f>D57</f>
        <v>Gr/St + 1st to 18th Floor</v>
      </c>
      <c r="D65" s="147"/>
      <c r="E65" s="147"/>
      <c r="F65" s="147"/>
      <c r="G65" s="147"/>
      <c r="H65" s="148"/>
      <c r="I65" s="46" t="str">
        <f ca="1">IF(D78=100%,"All work Completed. Possession granted to the Building.",IF(D77=100%,"All work Completed, Waiting for OC",I66&amp;""&amp;I67&amp;""&amp;J66&amp;""&amp;J65&amp;" "&amp;J67))</f>
        <v xml:space="preserve">Excavation Completed </v>
      </c>
      <c r="J65" s="47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 x14ac:dyDescent="0.25">
      <c r="A66" s="18" t="s">
        <v>149</v>
      </c>
      <c r="B66" s="55">
        <v>0</v>
      </c>
      <c r="C66" s="55" t="s">
        <v>75</v>
      </c>
      <c r="D66" s="55">
        <v>1</v>
      </c>
      <c r="E66" s="55" t="s">
        <v>74</v>
      </c>
      <c r="F66" s="55">
        <v>0</v>
      </c>
      <c r="G66" s="55" t="s">
        <v>83</v>
      </c>
      <c r="H66" s="19">
        <f ca="1">--TRIM(RIGHT(SUBSTITUTE(LEFT(C65,_xlfn.AGGREGATE(16,6,FIND({0,1,2,3,4,5,6,7,8,9},C65,ROW(INDIRECT("1:"&amp;LEN(C65)))),1))," ",REPT(" ",LEN(C65))),LEN(C65)))</f>
        <v>18</v>
      </c>
      <c r="I66" s="48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</v>
      </c>
      <c r="J66" s="49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25">
      <c r="A67" s="142" t="s">
        <v>93</v>
      </c>
      <c r="B67" s="143"/>
      <c r="C67" s="149" t="str">
        <f ca="1">(IF($C$52=C65,"All work Completed. OC Received.",I65))</f>
        <v xml:space="preserve">Excavation Completed </v>
      </c>
      <c r="D67" s="149"/>
      <c r="E67" s="149"/>
      <c r="F67" s="149"/>
      <c r="G67" s="149"/>
      <c r="H67" s="150"/>
      <c r="I67" s="48" t="str">
        <f ca="1">IF(I66&lt;&gt;""," Completed","")</f>
        <v xml:space="preserve"> Completed</v>
      </c>
      <c r="J67" s="49" t="str">
        <f ca="1">IF(J65&lt;&gt;"","Completed","")</f>
        <v/>
      </c>
    </row>
    <row r="68" spans="1:10" ht="15.75" customHeight="1" x14ac:dyDescent="0.25">
      <c r="A68" s="87" t="s">
        <v>51</v>
      </c>
      <c r="B68" s="88"/>
      <c r="C68" s="59" t="s">
        <v>146</v>
      </c>
      <c r="D68" s="59" t="s">
        <v>86</v>
      </c>
      <c r="E68" s="88" t="s">
        <v>88</v>
      </c>
      <c r="F68" s="88"/>
      <c r="G68" s="88" t="s">
        <v>87</v>
      </c>
      <c r="H68" s="129"/>
      <c r="I68" s="16" t="s">
        <v>148</v>
      </c>
      <c r="J68" s="28">
        <f ca="1">H66*25%</f>
        <v>4.5</v>
      </c>
    </row>
    <row r="69" spans="1:10" x14ac:dyDescent="0.25">
      <c r="A69" s="87" t="s">
        <v>135</v>
      </c>
      <c r="B69" s="88"/>
      <c r="C69" s="59">
        <f ca="1">J70</f>
        <v>18</v>
      </c>
      <c r="D69" s="60">
        <f ca="1">((100/H66)*C69)/100</f>
        <v>1</v>
      </c>
      <c r="E69" s="163">
        <f ca="1">(((C70/H66*10)+(40/(D66+F66+H66)*C71)+(7.5/(H66)*C72)+(7.5/(H66)*C73)+(10/H66*C74)+(10/H66*C75)+(5/H66*C76)+(5/H66*C77)+(5/H66*C78))/100)</f>
        <v>0</v>
      </c>
      <c r="F69" s="164"/>
      <c r="G69" s="163">
        <f ca="1">((((C69/H66)*20)+((C70/H66)*25)+(30/(H66+F66+D66)*C71)+(5/H66*C72)+(5/H66*C73)+(5/H66*C74)+(5/H66*C75)+(0/H66*C76)+(0/H66*C77)+(5/H66*C78))/100)</f>
        <v>0.2</v>
      </c>
      <c r="H69" s="169"/>
      <c r="I69" s="16" t="s">
        <v>104</v>
      </c>
      <c r="J69" s="29">
        <f ca="1">H66*50%</f>
        <v>9</v>
      </c>
    </row>
    <row r="70" spans="1:10" x14ac:dyDescent="0.25">
      <c r="A70" s="87" t="s">
        <v>52</v>
      </c>
      <c r="B70" s="88"/>
      <c r="C70" s="63">
        <v>0</v>
      </c>
      <c r="D70" s="60">
        <f ca="1">((100/H66)*C70)/100</f>
        <v>0</v>
      </c>
      <c r="E70" s="165"/>
      <c r="F70" s="166"/>
      <c r="G70" s="165"/>
      <c r="H70" s="170"/>
      <c r="I70" s="16" t="s">
        <v>105</v>
      </c>
      <c r="J70" s="29">
        <f ca="1">H66</f>
        <v>18</v>
      </c>
    </row>
    <row r="71" spans="1:10" ht="15.75" customHeight="1" x14ac:dyDescent="0.25">
      <c r="A71" s="87" t="s">
        <v>136</v>
      </c>
      <c r="B71" s="88"/>
      <c r="C71" s="59">
        <v>0</v>
      </c>
      <c r="D71" s="60">
        <f ca="1">((100/(D66+F66+H66))*C71)/100</f>
        <v>0</v>
      </c>
      <c r="E71" s="165"/>
      <c r="F71" s="166"/>
      <c r="G71" s="165"/>
      <c r="H71" s="170"/>
      <c r="I71" s="16" t="s">
        <v>106</v>
      </c>
      <c r="J71" s="30">
        <f ca="1">(IF(B66&gt;1,(H66/(B66+2)),H66/4))</f>
        <v>4.5</v>
      </c>
    </row>
    <row r="72" spans="1:10" ht="15.75" customHeight="1" x14ac:dyDescent="0.25">
      <c r="A72" s="87" t="s">
        <v>143</v>
      </c>
      <c r="B72" s="88" t="s">
        <v>137</v>
      </c>
      <c r="C72" s="59">
        <v>0</v>
      </c>
      <c r="D72" s="60">
        <f ca="1">((100/H66)*C72)/100</f>
        <v>0</v>
      </c>
      <c r="E72" s="165"/>
      <c r="F72" s="166"/>
      <c r="G72" s="165"/>
      <c r="H72" s="170"/>
      <c r="I72" s="16" t="s">
        <v>107</v>
      </c>
      <c r="J72" s="30">
        <f ca="1">(IF(B66&gt;1,(H66/(B66+2)+J71),H66/4+J71))</f>
        <v>9</v>
      </c>
    </row>
    <row r="73" spans="1:10" ht="15.75" customHeight="1" x14ac:dyDescent="0.25">
      <c r="A73" s="87" t="s">
        <v>144</v>
      </c>
      <c r="B73" s="88" t="s">
        <v>137</v>
      </c>
      <c r="C73" s="59">
        <v>0</v>
      </c>
      <c r="D73" s="60">
        <f ca="1">((100/H66)*C73)/100</f>
        <v>0</v>
      </c>
      <c r="E73" s="165"/>
      <c r="F73" s="166"/>
      <c r="G73" s="165"/>
      <c r="H73" s="170"/>
      <c r="I73" s="16" t="s">
        <v>153</v>
      </c>
      <c r="J73" s="30">
        <f>(IF(B66&gt;1,(H66/(B66+2)+J72),0))</f>
        <v>0</v>
      </c>
    </row>
    <row r="74" spans="1:10" ht="15" customHeight="1" x14ac:dyDescent="0.25">
      <c r="A74" s="87" t="s">
        <v>142</v>
      </c>
      <c r="B74" s="88" t="s">
        <v>139</v>
      </c>
      <c r="C74" s="59">
        <v>0</v>
      </c>
      <c r="D74" s="60">
        <f ca="1">((100/(H66))*C74)/100</f>
        <v>0</v>
      </c>
      <c r="E74" s="165"/>
      <c r="F74" s="166"/>
      <c r="G74" s="165"/>
      <c r="H74" s="170"/>
      <c r="I74" s="16" t="s">
        <v>150</v>
      </c>
      <c r="J74" s="30">
        <f>(IF(B66&gt;2,(H66/(B66+2)+J73),0))</f>
        <v>0</v>
      </c>
    </row>
    <row r="75" spans="1:10" ht="15.75" customHeight="1" x14ac:dyDescent="0.25">
      <c r="A75" s="87" t="s">
        <v>138</v>
      </c>
      <c r="B75" s="88" t="s">
        <v>138</v>
      </c>
      <c r="C75" s="59">
        <v>0</v>
      </c>
      <c r="D75" s="60">
        <f ca="1">((100/H66)*C75)/100</f>
        <v>0</v>
      </c>
      <c r="E75" s="165"/>
      <c r="F75" s="166"/>
      <c r="G75" s="165"/>
      <c r="H75" s="170"/>
      <c r="I75" s="16" t="s">
        <v>151</v>
      </c>
      <c r="J75" s="31">
        <f>(IF(B66&gt;3,(H66/(B66+2)+J74),0))</f>
        <v>0</v>
      </c>
    </row>
    <row r="76" spans="1:10" ht="15.75" customHeight="1" x14ac:dyDescent="0.25">
      <c r="A76" s="87" t="s">
        <v>145</v>
      </c>
      <c r="B76" s="88"/>
      <c r="C76" s="59">
        <v>0</v>
      </c>
      <c r="D76" s="60">
        <f ca="1">((100/H66)*C76)/100</f>
        <v>0</v>
      </c>
      <c r="E76" s="165"/>
      <c r="F76" s="166"/>
      <c r="G76" s="165"/>
      <c r="H76" s="170"/>
      <c r="I76" s="16" t="s">
        <v>152</v>
      </c>
      <c r="J76" s="30">
        <f>(IF(B66&gt;4,(H66/(B66+2)+J75),0))</f>
        <v>0</v>
      </c>
    </row>
    <row r="77" spans="1:10" ht="15.75" customHeight="1" x14ac:dyDescent="0.25">
      <c r="A77" s="87" t="s">
        <v>140</v>
      </c>
      <c r="B77" s="88" t="s">
        <v>140</v>
      </c>
      <c r="C77" s="59">
        <v>0</v>
      </c>
      <c r="D77" s="60">
        <f ca="1">((100/(H66))*C77)/100</f>
        <v>0</v>
      </c>
      <c r="E77" s="165"/>
      <c r="F77" s="166"/>
      <c r="G77" s="165"/>
      <c r="H77" s="170"/>
      <c r="I77" s="16" t="s">
        <v>154</v>
      </c>
      <c r="J77" s="30">
        <f ca="1">(IF(B66=1,(H66/(B66+3)+J72),IF(B66=0,(H66/4+J72),IF(B66&gt;1,0))))</f>
        <v>13.5</v>
      </c>
    </row>
    <row r="78" spans="1:10" ht="16.5" thickBot="1" x14ac:dyDescent="0.3">
      <c r="A78" s="172" t="s">
        <v>141</v>
      </c>
      <c r="B78" s="173"/>
      <c r="C78" s="61">
        <v>0</v>
      </c>
      <c r="D78" s="62">
        <f ca="1">((100/(H66))*C78)/100</f>
        <v>0</v>
      </c>
      <c r="E78" s="167"/>
      <c r="F78" s="168"/>
      <c r="G78" s="167"/>
      <c r="H78" s="171"/>
      <c r="I78" s="17" t="s">
        <v>108</v>
      </c>
      <c r="J78" s="32">
        <f ca="1">(IF(B66&gt;1.5,(H66/(B66+2)+J72+MAX(0,J73-J72)+MAX(0,J74-J73)+MAX(0,J75-J74)+MAX(0,J76-J75)+MAX(0,J77-J76)),IF(B66=1,(H66/(B66+3)+J77),IF(B66=0,H66/4+J77))))</f>
        <v>18</v>
      </c>
    </row>
    <row r="79" spans="1:10" x14ac:dyDescent="0.25">
      <c r="A79" s="182" t="s">
        <v>163</v>
      </c>
      <c r="B79" s="182"/>
      <c r="C79" s="182"/>
      <c r="D79" s="182"/>
      <c r="E79" s="182"/>
      <c r="F79" s="178" t="s">
        <v>168</v>
      </c>
      <c r="G79" s="178"/>
      <c r="H79" s="178"/>
    </row>
    <row r="80" spans="1:10" x14ac:dyDescent="0.25">
      <c r="A80" s="75" t="s">
        <v>166</v>
      </c>
      <c r="B80" s="75"/>
      <c r="C80" s="75"/>
      <c r="D80" s="75"/>
      <c r="E80" s="75"/>
      <c r="F80" s="89">
        <v>18000</v>
      </c>
      <c r="G80" s="89"/>
      <c r="H80" s="89"/>
    </row>
    <row r="81" spans="1:10" hidden="1" x14ac:dyDescent="0.25">
      <c r="A81" s="75" t="s">
        <v>165</v>
      </c>
      <c r="B81" s="75"/>
      <c r="C81" s="75"/>
      <c r="D81" s="75"/>
      <c r="E81" s="75"/>
      <c r="F81" s="89"/>
      <c r="G81" s="89"/>
      <c r="H81" s="89"/>
    </row>
    <row r="82" spans="1:10" hidden="1" x14ac:dyDescent="0.25">
      <c r="A82" s="75" t="s">
        <v>167</v>
      </c>
      <c r="B82" s="75"/>
      <c r="C82" s="75"/>
      <c r="D82" s="75"/>
      <c r="E82" s="75"/>
      <c r="F82" s="89"/>
      <c r="G82" s="89"/>
      <c r="H82" s="89"/>
    </row>
    <row r="83" spans="1:10" s="33" customFormat="1" hidden="1" x14ac:dyDescent="0.25">
      <c r="A83" s="75" t="s">
        <v>164</v>
      </c>
      <c r="B83" s="75"/>
      <c r="C83" s="75"/>
      <c r="D83" s="75"/>
      <c r="E83" s="75"/>
      <c r="F83" s="89"/>
      <c r="G83" s="89"/>
      <c r="H83" s="89"/>
    </row>
    <row r="84" spans="1:10" s="33" customFormat="1" hidden="1" x14ac:dyDescent="0.25">
      <c r="A84" s="75" t="s">
        <v>98</v>
      </c>
      <c r="B84" s="75"/>
      <c r="C84" s="75"/>
      <c r="D84" s="75"/>
      <c r="E84" s="75"/>
      <c r="F84" s="89"/>
      <c r="G84" s="89"/>
      <c r="H84" s="89"/>
    </row>
    <row r="85" spans="1:10" s="33" customFormat="1" hidden="1" x14ac:dyDescent="0.25">
      <c r="A85" s="75" t="s">
        <v>99</v>
      </c>
      <c r="B85" s="75"/>
      <c r="C85" s="75"/>
      <c r="D85" s="75"/>
      <c r="E85" s="75"/>
      <c r="F85" s="89">
        <v>800</v>
      </c>
      <c r="G85" s="89"/>
      <c r="H85" s="89"/>
    </row>
    <row r="86" spans="1:10" s="33" customFormat="1" hidden="1" x14ac:dyDescent="0.25">
      <c r="A86" s="75" t="s">
        <v>169</v>
      </c>
      <c r="B86" s="75"/>
      <c r="C86" s="75"/>
      <c r="D86" s="75"/>
      <c r="E86" s="75"/>
      <c r="F86" s="89"/>
      <c r="G86" s="89"/>
      <c r="H86" s="89"/>
    </row>
    <row r="87" spans="1:10" s="33" customFormat="1" hidden="1" x14ac:dyDescent="0.25">
      <c r="A87" s="75" t="s">
        <v>100</v>
      </c>
      <c r="B87" s="75"/>
      <c r="C87" s="75"/>
      <c r="D87" s="75"/>
      <c r="E87" s="75"/>
      <c r="F87" s="89"/>
      <c r="G87" s="89"/>
      <c r="H87" s="89"/>
    </row>
    <row r="88" spans="1:10" s="33" customFormat="1" hidden="1" x14ac:dyDescent="0.25">
      <c r="A88" s="75" t="s">
        <v>101</v>
      </c>
      <c r="B88" s="75"/>
      <c r="C88" s="75"/>
      <c r="D88" s="75"/>
      <c r="E88" s="75"/>
      <c r="F88" s="89"/>
      <c r="G88" s="89"/>
      <c r="H88" s="89"/>
    </row>
    <row r="89" spans="1:10" s="33" customFormat="1" hidden="1" x14ac:dyDescent="0.25">
      <c r="A89" s="75" t="s">
        <v>102</v>
      </c>
      <c r="B89" s="75"/>
      <c r="C89" s="75"/>
      <c r="D89" s="75"/>
      <c r="E89" s="75"/>
      <c r="F89" s="89"/>
      <c r="G89" s="89"/>
      <c r="H89" s="89"/>
    </row>
    <row r="90" spans="1:10" s="33" customFormat="1" hidden="1" x14ac:dyDescent="0.25">
      <c r="A90" s="75" t="s">
        <v>103</v>
      </c>
      <c r="B90" s="75"/>
      <c r="C90" s="75"/>
      <c r="D90" s="75"/>
      <c r="E90" s="75"/>
      <c r="F90" s="89"/>
      <c r="G90" s="89"/>
      <c r="H90" s="89"/>
    </row>
    <row r="91" spans="1:10" x14ac:dyDescent="0.25">
      <c r="A91" s="75" t="s">
        <v>53</v>
      </c>
      <c r="B91" s="75"/>
      <c r="C91" s="75"/>
      <c r="D91" s="75"/>
      <c r="E91" s="75"/>
      <c r="F91" s="89">
        <v>800000</v>
      </c>
      <c r="G91" s="89"/>
      <c r="H91" s="89"/>
    </row>
    <row r="92" spans="1:10" s="34" customFormat="1" x14ac:dyDescent="0.25">
      <c r="A92" s="132" t="s">
        <v>54</v>
      </c>
      <c r="B92" s="132"/>
      <c r="C92" s="132"/>
      <c r="D92" s="132"/>
      <c r="E92" s="132"/>
      <c r="F92" s="89">
        <f>F80*0.8</f>
        <v>14400</v>
      </c>
      <c r="G92" s="89"/>
      <c r="H92" s="89"/>
    </row>
    <row r="93" spans="1:10" s="35" customFormat="1" x14ac:dyDescent="0.25">
      <c r="A93" s="135" t="s">
        <v>73</v>
      </c>
      <c r="B93" s="135"/>
      <c r="C93" s="135"/>
      <c r="D93" s="135"/>
      <c r="E93" s="135"/>
      <c r="F93" s="135"/>
      <c r="G93" s="135"/>
      <c r="H93" s="135"/>
    </row>
    <row r="94" spans="1:10" s="35" customFormat="1" ht="15.75" customHeight="1" x14ac:dyDescent="0.25">
      <c r="A94" s="78" t="s">
        <v>55</v>
      </c>
      <c r="B94" s="78"/>
      <c r="C94" s="181" t="s">
        <v>80</v>
      </c>
      <c r="D94" s="181"/>
      <c r="E94" s="114" t="s">
        <v>56</v>
      </c>
      <c r="F94" s="114"/>
      <c r="G94" s="78" t="s">
        <v>57</v>
      </c>
      <c r="H94" s="78"/>
    </row>
    <row r="95" spans="1:10" s="35" customFormat="1" x14ac:dyDescent="0.25">
      <c r="A95" s="134" t="s">
        <v>211</v>
      </c>
      <c r="B95" s="134"/>
      <c r="C95" s="177">
        <f>COUNT(D102)+COUNT(D104:D108)*6+COUNT(D110:D113)+COUNT(D115)</f>
        <v>36</v>
      </c>
      <c r="D95" s="177"/>
      <c r="E95" s="90">
        <f>SUM(D102)+SUM(D104:D108)*6+SUM(D110:D113)+SUM(D115)</f>
        <v>22801.919399999999</v>
      </c>
      <c r="F95" s="90"/>
      <c r="G95" s="90">
        <f>SUM(F102)+SUM(F104:F108)*6+SUM(F110:F113)+SUM(F115)</f>
        <v>36483.071039999995</v>
      </c>
      <c r="H95" s="90"/>
    </row>
    <row r="96" spans="1:10" s="34" customFormat="1" x14ac:dyDescent="0.25">
      <c r="A96" s="126" t="s">
        <v>58</v>
      </c>
      <c r="B96" s="126"/>
      <c r="C96" s="126"/>
      <c r="D96" s="126"/>
      <c r="E96" s="126"/>
      <c r="F96" s="126"/>
      <c r="G96" s="126"/>
      <c r="H96" s="126"/>
      <c r="J96" s="187">
        <f>30000/1.55</f>
        <v>19354.83870967742</v>
      </c>
    </row>
    <row r="97" spans="1:14" x14ac:dyDescent="0.25">
      <c r="A97" s="126" t="s">
        <v>59</v>
      </c>
      <c r="B97" s="126"/>
      <c r="C97" s="126"/>
      <c r="D97" s="126"/>
      <c r="E97" s="126"/>
      <c r="F97" s="126"/>
      <c r="G97" s="126"/>
      <c r="H97" s="126"/>
    </row>
    <row r="98" spans="1:14" ht="47.25" customHeight="1" x14ac:dyDescent="0.25">
      <c r="A98" s="83" t="s">
        <v>122</v>
      </c>
      <c r="B98" s="83" t="s">
        <v>123</v>
      </c>
      <c r="C98" s="79" t="s">
        <v>60</v>
      </c>
      <c r="D98" s="79" t="s">
        <v>61</v>
      </c>
      <c r="E98" s="81" t="s">
        <v>62</v>
      </c>
      <c r="F98" s="43" t="s">
        <v>157</v>
      </c>
      <c r="G98" s="83" t="s">
        <v>63</v>
      </c>
      <c r="H98" s="84"/>
      <c r="I98" s="36"/>
    </row>
    <row r="99" spans="1:14" s="45" customFormat="1" x14ac:dyDescent="0.25">
      <c r="A99" s="85"/>
      <c r="B99" s="85"/>
      <c r="C99" s="80"/>
      <c r="D99" s="80"/>
      <c r="E99" s="82"/>
      <c r="F99" s="15">
        <v>0.6</v>
      </c>
      <c r="G99" s="85"/>
      <c r="H99" s="86"/>
      <c r="I99" s="36"/>
    </row>
    <row r="100" spans="1:14" s="34" customFormat="1" x14ac:dyDescent="0.25">
      <c r="A100" s="126" t="s">
        <v>205</v>
      </c>
      <c r="B100" s="126"/>
      <c r="C100" s="126"/>
      <c r="D100" s="126"/>
      <c r="E100" s="126"/>
      <c r="F100" s="126"/>
      <c r="G100" s="126"/>
      <c r="H100" s="126"/>
    </row>
    <row r="101" spans="1:14" s="56" customFormat="1" x14ac:dyDescent="0.25">
      <c r="A101" s="70" t="s">
        <v>210</v>
      </c>
      <c r="B101" s="71"/>
      <c r="C101" s="71"/>
      <c r="D101" s="71"/>
      <c r="E101" s="71"/>
      <c r="F101" s="71"/>
      <c r="G101" s="71"/>
      <c r="H101" s="72"/>
      <c r="J101" s="36"/>
    </row>
    <row r="102" spans="1:14" s="56" customFormat="1" x14ac:dyDescent="0.25">
      <c r="A102" s="121">
        <v>3</v>
      </c>
      <c r="B102" s="122"/>
      <c r="C102" s="50">
        <v>1</v>
      </c>
      <c r="D102" s="64">
        <f>(31.8)*10.764</f>
        <v>342.29519999999997</v>
      </c>
      <c r="E102" s="54">
        <v>0</v>
      </c>
      <c r="F102" s="54">
        <f t="shared" ref="F102" si="0">D102*(($F$99)+1)+(IF(E102&lt;101,E102,IF(E102&lt;201,E102/2,IF(E102&lt;=301,E102/3,E102/4))))</f>
        <v>547.67232000000001</v>
      </c>
      <c r="G102" s="121" t="str">
        <f>A101</f>
        <v>1st Floor Residential &amp; Parking</v>
      </c>
      <c r="H102" s="122"/>
      <c r="I102" s="36">
        <f>(6.83*3.2+2.28*4.25+3*4.25+3.05*4.25+1.2*3.2+1.28*2.15+1.5*0.9+1.28*2.15+1.2*3.2)</f>
        <v>71.792500000000004</v>
      </c>
      <c r="L102" s="176"/>
      <c r="M102" s="176"/>
      <c r="N102" s="36"/>
    </row>
    <row r="103" spans="1:14" s="45" customFormat="1" x14ac:dyDescent="0.25">
      <c r="A103" s="70" t="s">
        <v>207</v>
      </c>
      <c r="B103" s="71"/>
      <c r="C103" s="71"/>
      <c r="D103" s="71"/>
      <c r="E103" s="71"/>
      <c r="F103" s="71"/>
      <c r="G103" s="71"/>
      <c r="H103" s="72"/>
      <c r="J103" s="36"/>
    </row>
    <row r="104" spans="1:14" s="45" customFormat="1" x14ac:dyDescent="0.25">
      <c r="A104" s="121">
        <v>1</v>
      </c>
      <c r="B104" s="122"/>
      <c r="C104" s="50">
        <v>2</v>
      </c>
      <c r="D104" s="64">
        <f>(71.61)*10.764</f>
        <v>770.81003999999996</v>
      </c>
      <c r="E104" s="42">
        <v>0</v>
      </c>
      <c r="F104" s="42">
        <f>D104*(($F$99)+1)+(IF(E104&lt;101,E104,IF(E104&lt;201,E104/2,IF(E104&lt;=301,E104/3,E104/4))))</f>
        <v>1233.2960640000001</v>
      </c>
      <c r="G104" s="121" t="str">
        <f>A103</f>
        <v>2nd to 6th &amp; 8th Floor for Residential</v>
      </c>
      <c r="H104" s="122"/>
      <c r="I104" s="36">
        <f>(6.83*3.2+2.28*4.25+3*4.25+3.05*4.25+1.2*3.2+1.28*2.15+1.5*0.9+1.28*2.15+1.2*3.2)</f>
        <v>71.792500000000004</v>
      </c>
      <c r="L104" s="176"/>
      <c r="M104" s="176"/>
      <c r="N104" s="36"/>
    </row>
    <row r="105" spans="1:14" s="45" customFormat="1" x14ac:dyDescent="0.25">
      <c r="A105" s="121">
        <f t="shared" ref="A105:A108" si="1">A104+1</f>
        <v>2</v>
      </c>
      <c r="B105" s="122"/>
      <c r="C105" s="50">
        <v>2</v>
      </c>
      <c r="D105" s="64">
        <f>(69)*10.764</f>
        <v>742.71600000000001</v>
      </c>
      <c r="E105" s="42">
        <v>0</v>
      </c>
      <c r="F105" s="42">
        <f>D105*(($F$99)+1)+(IF(E105&lt;101,E105,IF(E105&lt;201,E105/2,IF(E105&lt;=301,E105/3,E105/4))))</f>
        <v>1188.3456000000001</v>
      </c>
      <c r="G105" s="121" t="str">
        <f t="shared" ref="G105:G108" si="2">G104</f>
        <v>2nd to 6th &amp; 8th Floor for Residential</v>
      </c>
      <c r="H105" s="122"/>
      <c r="I105" s="36"/>
      <c r="L105" s="176"/>
      <c r="M105" s="176"/>
      <c r="N105" s="36"/>
    </row>
    <row r="106" spans="1:14" s="45" customFormat="1" x14ac:dyDescent="0.25">
      <c r="A106" s="121">
        <f t="shared" si="1"/>
        <v>3</v>
      </c>
      <c r="B106" s="122"/>
      <c r="C106" s="50">
        <v>1</v>
      </c>
      <c r="D106" s="64">
        <f>(41.72)*10.764</f>
        <v>449.07407999999998</v>
      </c>
      <c r="E106" s="42">
        <v>0</v>
      </c>
      <c r="F106" s="42">
        <f>D106*(($F$99)+1)+(IF(E106&lt;101,E106,IF(E106&lt;201,E106/2,IF(E106&lt;=301,E106/3,E106/4))))</f>
        <v>718.51852800000006</v>
      </c>
      <c r="G106" s="121" t="str">
        <f t="shared" si="2"/>
        <v>2nd to 6th &amp; 8th Floor for Residential</v>
      </c>
      <c r="H106" s="179"/>
      <c r="I106" s="65"/>
      <c r="J106" s="66">
        <v>10.763999999999999</v>
      </c>
      <c r="L106" s="176"/>
      <c r="M106" s="176"/>
      <c r="N106" s="36"/>
    </row>
    <row r="107" spans="1:14" s="45" customFormat="1" x14ac:dyDescent="0.25">
      <c r="A107" s="121">
        <f t="shared" si="1"/>
        <v>4</v>
      </c>
      <c r="B107" s="122"/>
      <c r="C107" s="50">
        <v>2</v>
      </c>
      <c r="D107" s="64">
        <f>(60.66)*10.764</f>
        <v>652.94423999999992</v>
      </c>
      <c r="E107" s="42">
        <v>0</v>
      </c>
      <c r="F107" s="42">
        <f>D107*(($F$99)+1)+(IF(E107&lt;101,E107,IF(E107&lt;201,E107/2,IF(E107&lt;=301,E107/3,E107/4))))</f>
        <v>1044.7107839999999</v>
      </c>
      <c r="G107" s="121" t="str">
        <f t="shared" si="2"/>
        <v>2nd to 6th &amp; 8th Floor for Residential</v>
      </c>
      <c r="H107" s="122"/>
      <c r="I107" s="36"/>
      <c r="L107" s="176"/>
      <c r="M107" s="176"/>
      <c r="N107" s="36"/>
    </row>
    <row r="108" spans="1:14" s="53" customFormat="1" x14ac:dyDescent="0.25">
      <c r="A108" s="121">
        <f t="shared" si="1"/>
        <v>5</v>
      </c>
      <c r="B108" s="122"/>
      <c r="C108" s="50">
        <v>2</v>
      </c>
      <c r="D108" s="64">
        <f>(55.02)*10.764</f>
        <v>592.23527999999999</v>
      </c>
      <c r="E108" s="52">
        <v>0</v>
      </c>
      <c r="F108" s="52">
        <f>D108*(($F$99)+1)+(IF(E108&lt;101,E108,IF(E108&lt;201,E108/2,IF(E108&lt;=301,E108/3,E108/4))))</f>
        <v>947.57644800000003</v>
      </c>
      <c r="G108" s="121" t="str">
        <f t="shared" si="2"/>
        <v>2nd to 6th &amp; 8th Floor for Residential</v>
      </c>
      <c r="H108" s="122"/>
      <c r="I108" s="36"/>
      <c r="L108" s="176"/>
      <c r="M108" s="176"/>
      <c r="N108" s="36"/>
    </row>
    <row r="109" spans="1:14" s="45" customFormat="1" x14ac:dyDescent="0.25">
      <c r="A109" s="133" t="s">
        <v>208</v>
      </c>
      <c r="B109" s="133"/>
      <c r="C109" s="133"/>
      <c r="D109" s="133"/>
      <c r="E109" s="133"/>
      <c r="F109" s="133"/>
      <c r="G109" s="133"/>
      <c r="H109" s="133"/>
      <c r="I109" s="36"/>
      <c r="L109" s="176"/>
      <c r="M109" s="176"/>
    </row>
    <row r="110" spans="1:14" s="45" customFormat="1" x14ac:dyDescent="0.25">
      <c r="A110" s="77">
        <v>1</v>
      </c>
      <c r="B110" s="77"/>
      <c r="C110" s="50">
        <v>2</v>
      </c>
      <c r="D110" s="64">
        <f>(71.61)*10.764</f>
        <v>770.81003999999996</v>
      </c>
      <c r="E110" s="42">
        <v>0</v>
      </c>
      <c r="F110" s="42">
        <f t="shared" ref="F110:F111" si="3">D110*(($F$99)+1)+(IF(E110&lt;101,E110,IF(E110&lt;201,E110/2,IF(E110&lt;=301,E110/3,E110/4))))</f>
        <v>1233.2960640000001</v>
      </c>
      <c r="G110" s="77" t="str">
        <f>A109</f>
        <v>7th Floor (Part Refuge Area)</v>
      </c>
      <c r="H110" s="77"/>
      <c r="I110" s="36"/>
      <c r="N110" s="36"/>
    </row>
    <row r="111" spans="1:14" s="45" customFormat="1" x14ac:dyDescent="0.25">
      <c r="A111" s="77">
        <f>A110+1</f>
        <v>2</v>
      </c>
      <c r="B111" s="77"/>
      <c r="C111" s="50">
        <v>1</v>
      </c>
      <c r="D111" s="64">
        <f>(41.72)*10.764</f>
        <v>449.07407999999998</v>
      </c>
      <c r="E111" s="42">
        <v>0</v>
      </c>
      <c r="F111" s="42">
        <f t="shared" si="3"/>
        <v>718.51852800000006</v>
      </c>
      <c r="G111" s="77" t="str">
        <f>G110</f>
        <v>7th Floor (Part Refuge Area)</v>
      </c>
      <c r="H111" s="77"/>
      <c r="I111" s="36"/>
      <c r="J111" s="67" t="s">
        <v>213</v>
      </c>
      <c r="L111" s="51"/>
      <c r="N111" s="36"/>
    </row>
    <row r="112" spans="1:14" s="45" customFormat="1" x14ac:dyDescent="0.25">
      <c r="A112" s="77">
        <f>A111+1</f>
        <v>3</v>
      </c>
      <c r="B112" s="77"/>
      <c r="C112" s="50">
        <v>2</v>
      </c>
      <c r="D112" s="64">
        <f>(60.66)*10.764</f>
        <v>652.94423999999992</v>
      </c>
      <c r="E112" s="42">
        <v>0</v>
      </c>
      <c r="F112" s="42">
        <f>D112*(($F$99)+1)+(IF(E112&lt;101,E112,IF(E112&lt;201,E112/2,IF(E112&lt;=301,E112/3,E112/4))))</f>
        <v>1044.7107839999999</v>
      </c>
      <c r="G112" s="77" t="str">
        <f>G111</f>
        <v>7th Floor (Part Refuge Area)</v>
      </c>
      <c r="H112" s="77"/>
      <c r="I112" s="36"/>
      <c r="J112" s="68">
        <f>3802000/F102</f>
        <v>6942.1072804994046</v>
      </c>
      <c r="N112" s="36"/>
    </row>
    <row r="113" spans="1:16" s="45" customFormat="1" x14ac:dyDescent="0.25">
      <c r="A113" s="77">
        <f>A112+1</f>
        <v>4</v>
      </c>
      <c r="B113" s="77"/>
      <c r="C113" s="50">
        <v>2</v>
      </c>
      <c r="D113" s="64">
        <f>(55.02)*10.764</f>
        <v>592.23527999999999</v>
      </c>
      <c r="E113" s="42">
        <v>0</v>
      </c>
      <c r="F113" s="42">
        <f>D113*(($F$99)+1)+(IF(E113&lt;101,E113,IF(E113&lt;201,E113/2,IF(E113&lt;=301,E113/3,E113/4))))</f>
        <v>947.57644800000003</v>
      </c>
      <c r="G113" s="77" t="str">
        <f>G112</f>
        <v>7th Floor (Part Refuge Area)</v>
      </c>
      <c r="H113" s="77"/>
      <c r="I113" s="36"/>
      <c r="J113" s="68">
        <f>4940000/F106</f>
        <v>6875.257641233713</v>
      </c>
      <c r="N113" s="36"/>
    </row>
    <row r="114" spans="1:16" s="45" customFormat="1" ht="15.75" customHeight="1" x14ac:dyDescent="0.25">
      <c r="A114" s="70" t="s">
        <v>209</v>
      </c>
      <c r="B114" s="71"/>
      <c r="C114" s="71"/>
      <c r="D114" s="71"/>
      <c r="E114" s="71"/>
      <c r="F114" s="71"/>
      <c r="G114" s="71"/>
      <c r="H114" s="72"/>
      <c r="I114" s="36"/>
      <c r="J114" s="68">
        <f>6515000/F113</f>
        <v>6875.4347089893054</v>
      </c>
      <c r="P114" s="37"/>
    </row>
    <row r="115" spans="1:16" s="45" customFormat="1" x14ac:dyDescent="0.25">
      <c r="A115" s="121">
        <v>1</v>
      </c>
      <c r="B115" s="122"/>
      <c r="C115" s="50">
        <v>2</v>
      </c>
      <c r="D115" s="64">
        <f>(69.48)*10.764</f>
        <v>747.88271999999995</v>
      </c>
      <c r="E115" s="42">
        <v>0</v>
      </c>
      <c r="F115" s="42">
        <f>D115*(($F$99)+1)+(IF(E115&lt;101,E115,IF(E115&lt;201,E115/2,IF(E115&lt;=301,E115/3,E115/4))))</f>
        <v>1196.6123519999999</v>
      </c>
      <c r="G115" s="121" t="str">
        <f>A114</f>
        <v>9th Floor (Part Terrace Area)</v>
      </c>
      <c r="H115" s="122"/>
      <c r="I115" s="36"/>
      <c r="J115" s="69">
        <f>AVERAGE(J112:J114)</f>
        <v>6897.5998769074749</v>
      </c>
    </row>
    <row r="116" spans="1:16" s="35" customFormat="1" x14ac:dyDescent="0.25">
      <c r="A116" s="180" t="s">
        <v>71</v>
      </c>
      <c r="B116" s="180"/>
      <c r="C116" s="180"/>
      <c r="D116" s="180"/>
      <c r="E116" s="180"/>
      <c r="F116" s="180"/>
      <c r="G116" s="180"/>
      <c r="H116" s="180"/>
    </row>
    <row r="117" spans="1:16" s="35" customFormat="1" x14ac:dyDescent="0.25">
      <c r="A117" s="44" t="s">
        <v>160</v>
      </c>
      <c r="B117" s="123" t="s">
        <v>197</v>
      </c>
      <c r="C117" s="124"/>
      <c r="D117" s="124"/>
      <c r="E117" s="124"/>
      <c r="F117" s="124"/>
      <c r="G117" s="124"/>
      <c r="H117" s="125"/>
    </row>
    <row r="118" spans="1:16" s="35" customFormat="1" x14ac:dyDescent="0.25">
      <c r="A118" s="44" t="s">
        <v>160</v>
      </c>
      <c r="B118" s="123" t="str">
        <f>(IF(F98="Saleable area Loading :","We have considered Saleable area of Flats as per our Calculation.","We considered Saleable area of Flat as per Builder area Sheet."))</f>
        <v>We have considered Saleable area of Flats as per our Calculation.</v>
      </c>
      <c r="C118" s="124"/>
      <c r="D118" s="124"/>
      <c r="E118" s="124"/>
      <c r="F118" s="124"/>
      <c r="G118" s="124"/>
      <c r="H118" s="125"/>
    </row>
    <row r="119" spans="1:16" s="35" customFormat="1" x14ac:dyDescent="0.25">
      <c r="A119" s="44" t="s">
        <v>160</v>
      </c>
      <c r="B119" s="123" t="s">
        <v>128</v>
      </c>
      <c r="C119" s="124"/>
      <c r="D119" s="124"/>
      <c r="E119" s="124"/>
      <c r="F119" s="124"/>
      <c r="G119" s="124"/>
      <c r="H119" s="125"/>
    </row>
    <row r="120" spans="1:16" s="35" customFormat="1" x14ac:dyDescent="0.25">
      <c r="A120" s="44" t="s">
        <v>160</v>
      </c>
      <c r="B120" s="123" t="s">
        <v>129</v>
      </c>
      <c r="C120" s="124"/>
      <c r="D120" s="124"/>
      <c r="E120" s="124"/>
      <c r="F120" s="124"/>
      <c r="G120" s="124"/>
      <c r="H120" s="125"/>
    </row>
    <row r="121" spans="1:16" s="35" customFormat="1" x14ac:dyDescent="0.25">
      <c r="A121" s="44" t="s">
        <v>160</v>
      </c>
      <c r="B121" s="123" t="s">
        <v>159</v>
      </c>
      <c r="C121" s="124"/>
      <c r="D121" s="124"/>
      <c r="E121" s="124"/>
      <c r="F121" s="124"/>
      <c r="G121" s="124"/>
      <c r="H121" s="125"/>
    </row>
    <row r="122" spans="1:16" s="35" customFormat="1" x14ac:dyDescent="0.25">
      <c r="A122" s="44" t="s">
        <v>160</v>
      </c>
      <c r="B122" s="123" t="s">
        <v>130</v>
      </c>
      <c r="C122" s="124"/>
      <c r="D122" s="124"/>
      <c r="E122" s="124"/>
      <c r="F122" s="124"/>
      <c r="G122" s="124"/>
      <c r="H122" s="125"/>
    </row>
    <row r="123" spans="1:16" s="35" customFormat="1" ht="34.5" customHeight="1" x14ac:dyDescent="0.25">
      <c r="A123" s="44" t="s">
        <v>160</v>
      </c>
      <c r="B123" s="123" t="s">
        <v>161</v>
      </c>
      <c r="C123" s="124"/>
      <c r="D123" s="124"/>
      <c r="E123" s="124"/>
      <c r="F123" s="124"/>
      <c r="G123" s="124"/>
      <c r="H123" s="125"/>
    </row>
    <row r="124" spans="1:16" s="35" customFormat="1" x14ac:dyDescent="0.25">
      <c r="A124" s="44" t="s">
        <v>160</v>
      </c>
      <c r="B124" s="115" t="s">
        <v>131</v>
      </c>
      <c r="C124" s="116"/>
      <c r="D124" s="116"/>
      <c r="E124" s="116"/>
      <c r="F124" s="116"/>
      <c r="G124" s="116"/>
      <c r="H124" s="117"/>
    </row>
    <row r="125" spans="1:16" s="35" customFormat="1" hidden="1" x14ac:dyDescent="0.25">
      <c r="A125" s="44" t="s">
        <v>160</v>
      </c>
      <c r="B125" s="118" t="s">
        <v>132</v>
      </c>
      <c r="C125" s="119"/>
      <c r="D125" s="119"/>
      <c r="E125" s="119"/>
      <c r="F125" s="119"/>
      <c r="G125" s="119"/>
      <c r="H125" s="120"/>
    </row>
    <row r="126" spans="1:16" x14ac:dyDescent="0.25">
      <c r="A126" s="102" t="s">
        <v>64</v>
      </c>
      <c r="B126" s="102"/>
      <c r="C126" s="102"/>
      <c r="D126" s="102"/>
      <c r="E126" s="102"/>
      <c r="F126" s="102"/>
      <c r="G126" s="102"/>
      <c r="H126" s="102"/>
    </row>
    <row r="127" spans="1:16" x14ac:dyDescent="0.25">
      <c r="A127" s="75" t="s">
        <v>65</v>
      </c>
      <c r="B127" s="75"/>
      <c r="C127" s="75"/>
      <c r="D127" s="75"/>
      <c r="E127" s="75"/>
      <c r="F127" s="75"/>
      <c r="G127" s="75"/>
      <c r="H127" s="75"/>
    </row>
    <row r="128" spans="1:16" ht="15.75" customHeight="1" x14ac:dyDescent="0.25">
      <c r="A128" s="76" t="s">
        <v>66</v>
      </c>
      <c r="B128" s="76"/>
      <c r="C128" s="76"/>
      <c r="D128" s="76"/>
      <c r="E128" s="76"/>
      <c r="F128" s="76"/>
      <c r="G128" s="76"/>
      <c r="H128" s="76"/>
    </row>
    <row r="129" spans="1:8" x14ac:dyDescent="0.25">
      <c r="A129" s="75" t="s">
        <v>67</v>
      </c>
      <c r="B129" s="75"/>
      <c r="C129" s="75"/>
      <c r="D129" s="75"/>
      <c r="E129" s="75"/>
      <c r="F129" s="75"/>
      <c r="G129" s="75"/>
      <c r="H129" s="75"/>
    </row>
    <row r="130" spans="1:8" x14ac:dyDescent="0.25">
      <c r="A130" s="75" t="s">
        <v>68</v>
      </c>
      <c r="B130" s="75"/>
      <c r="C130" s="75"/>
      <c r="D130" s="75"/>
      <c r="E130" s="75"/>
      <c r="F130" s="75"/>
      <c r="G130" s="75"/>
      <c r="H130" s="75"/>
    </row>
    <row r="131" spans="1:8" x14ac:dyDescent="0.25">
      <c r="A131" s="75" t="s">
        <v>133</v>
      </c>
      <c r="B131" s="75"/>
      <c r="C131" s="75"/>
      <c r="D131" s="75"/>
      <c r="E131" s="75"/>
      <c r="F131" s="75"/>
      <c r="G131" s="75"/>
      <c r="H131" s="75"/>
    </row>
    <row r="132" spans="1:8" ht="35.25" customHeight="1" x14ac:dyDescent="0.25">
      <c r="A132" s="103" t="s">
        <v>134</v>
      </c>
      <c r="B132" s="103"/>
      <c r="C132" s="103"/>
      <c r="D132" s="103"/>
      <c r="E132" s="103"/>
      <c r="F132" s="103"/>
      <c r="G132" s="103"/>
      <c r="H132" s="103"/>
    </row>
    <row r="133" spans="1:8" x14ac:dyDescent="0.25">
      <c r="A133" s="131" t="s">
        <v>79</v>
      </c>
      <c r="B133" s="131"/>
      <c r="C133" s="131" t="s">
        <v>196</v>
      </c>
      <c r="D133" s="131"/>
      <c r="E133" s="131" t="s">
        <v>109</v>
      </c>
      <c r="F133" s="131"/>
      <c r="G133" s="131" t="s">
        <v>195</v>
      </c>
      <c r="H133" s="131"/>
    </row>
    <row r="134" spans="1:8" x14ac:dyDescent="0.25">
      <c r="A134" s="130" t="s">
        <v>82</v>
      </c>
      <c r="B134" s="130"/>
      <c r="C134" s="130"/>
      <c r="D134" s="130"/>
      <c r="E134" s="130"/>
      <c r="F134" s="130"/>
      <c r="G134" s="130"/>
      <c r="H134" s="130"/>
    </row>
    <row r="135" spans="1:8" x14ac:dyDescent="0.25">
      <c r="A135" s="130"/>
      <c r="B135" s="130"/>
      <c r="C135" s="130"/>
      <c r="D135" s="130"/>
      <c r="E135" s="130"/>
      <c r="F135" s="130"/>
      <c r="G135" s="130"/>
      <c r="H135" s="130"/>
    </row>
    <row r="136" spans="1:8" x14ac:dyDescent="0.25">
      <c r="A136" s="130"/>
      <c r="B136" s="130"/>
      <c r="C136" s="130"/>
      <c r="D136" s="130"/>
      <c r="E136" s="130"/>
      <c r="F136" s="130"/>
      <c r="G136" s="130"/>
      <c r="H136" s="130"/>
    </row>
    <row r="137" spans="1:8" x14ac:dyDescent="0.25">
      <c r="A137" s="130"/>
      <c r="B137" s="130"/>
      <c r="C137" s="130"/>
      <c r="D137" s="130"/>
      <c r="E137" s="130"/>
      <c r="F137" s="130"/>
      <c r="G137" s="130"/>
      <c r="H137" s="130"/>
    </row>
    <row r="138" spans="1:8" x14ac:dyDescent="0.25">
      <c r="A138" s="38" t="s">
        <v>69</v>
      </c>
      <c r="B138" s="39"/>
      <c r="C138" s="39"/>
      <c r="D138" s="38" t="str">
        <f>E8</f>
        <v>Satyam</v>
      </c>
      <c r="F138" s="39"/>
      <c r="G138" s="39"/>
      <c r="H138" s="39"/>
    </row>
    <row r="139" spans="1:8" x14ac:dyDescent="0.25">
      <c r="A139" s="39"/>
      <c r="B139" s="39"/>
      <c r="C139" s="39"/>
      <c r="D139" s="39"/>
      <c r="E139" s="39"/>
      <c r="F139" s="39"/>
      <c r="G139" s="39"/>
      <c r="H139" s="39"/>
    </row>
    <row r="140" spans="1:8" x14ac:dyDescent="0.25">
      <c r="A140" s="39"/>
      <c r="B140" s="39"/>
      <c r="C140" s="39"/>
      <c r="D140" s="39"/>
      <c r="E140" s="39"/>
      <c r="F140" s="39"/>
      <c r="G140" s="39"/>
      <c r="H140" s="39"/>
    </row>
    <row r="141" spans="1:8" ht="15" customHeight="1" x14ac:dyDescent="0.25"/>
    <row r="182" spans="1:1" x14ac:dyDescent="0.25">
      <c r="A182" s="41" t="s">
        <v>70</v>
      </c>
    </row>
  </sheetData>
  <mergeCells count="258">
    <mergeCell ref="A82:E82"/>
    <mergeCell ref="A79:E79"/>
    <mergeCell ref="A15:B15"/>
    <mergeCell ref="C15:H15"/>
    <mergeCell ref="A37:B37"/>
    <mergeCell ref="C37:H37"/>
    <mergeCell ref="B123:H123"/>
    <mergeCell ref="A46:B46"/>
    <mergeCell ref="C46:H46"/>
    <mergeCell ref="B121:H121"/>
    <mergeCell ref="F81:H81"/>
    <mergeCell ref="A81:E81"/>
    <mergeCell ref="G113:H113"/>
    <mergeCell ref="G110:H110"/>
    <mergeCell ref="A83:E83"/>
    <mergeCell ref="A102:B102"/>
    <mergeCell ref="A108:B108"/>
    <mergeCell ref="G108:H108"/>
    <mergeCell ref="L109:M109"/>
    <mergeCell ref="A98:A99"/>
    <mergeCell ref="A111:B111"/>
    <mergeCell ref="A112:B112"/>
    <mergeCell ref="A113:B113"/>
    <mergeCell ref="L107:M107"/>
    <mergeCell ref="G104:H104"/>
    <mergeCell ref="L104:M104"/>
    <mergeCell ref="A105:B105"/>
    <mergeCell ref="G105:H105"/>
    <mergeCell ref="L105:M105"/>
    <mergeCell ref="A106:B106"/>
    <mergeCell ref="G106:H106"/>
    <mergeCell ref="L106:M106"/>
    <mergeCell ref="B98:B99"/>
    <mergeCell ref="G111:H111"/>
    <mergeCell ref="C98:C99"/>
    <mergeCell ref="A103:H103"/>
    <mergeCell ref="G107:H107"/>
    <mergeCell ref="A104:B104"/>
    <mergeCell ref="A107:B107"/>
    <mergeCell ref="L108:M108"/>
    <mergeCell ref="L102:M102"/>
    <mergeCell ref="A76:B76"/>
    <mergeCell ref="C95:D95"/>
    <mergeCell ref="E95:F95"/>
    <mergeCell ref="F86:H86"/>
    <mergeCell ref="A80:E80"/>
    <mergeCell ref="A100:H100"/>
    <mergeCell ref="F79:H79"/>
    <mergeCell ref="F84:H84"/>
    <mergeCell ref="F87:H87"/>
    <mergeCell ref="F90:H90"/>
    <mergeCell ref="F88:H88"/>
    <mergeCell ref="A89:E89"/>
    <mergeCell ref="A85:E85"/>
    <mergeCell ref="F85:H85"/>
    <mergeCell ref="A86:E86"/>
    <mergeCell ref="A88:E88"/>
    <mergeCell ref="F82:H82"/>
    <mergeCell ref="A87:E87"/>
    <mergeCell ref="A84:E84"/>
    <mergeCell ref="F83:H83"/>
    <mergeCell ref="F89:H89"/>
    <mergeCell ref="A90:E90"/>
    <mergeCell ref="C94:D94"/>
    <mergeCell ref="A39:D39"/>
    <mergeCell ref="E39:H39"/>
    <mergeCell ref="F31:H31"/>
    <mergeCell ref="F32:H32"/>
    <mergeCell ref="A38:H38"/>
    <mergeCell ref="A58:C58"/>
    <mergeCell ref="A59:C59"/>
    <mergeCell ref="D58:H58"/>
    <mergeCell ref="E69:F78"/>
    <mergeCell ref="G69:H78"/>
    <mergeCell ref="A77:B77"/>
    <mergeCell ref="A78:B78"/>
    <mergeCell ref="D59:H59"/>
    <mergeCell ref="A41:D41"/>
    <mergeCell ref="E41:H41"/>
    <mergeCell ref="E42:H42"/>
    <mergeCell ref="E43:H43"/>
    <mergeCell ref="E44:H44"/>
    <mergeCell ref="A42:D42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3:D43"/>
    <mergeCell ref="A44:D44"/>
    <mergeCell ref="A45:H45"/>
    <mergeCell ref="D56:H56"/>
    <mergeCell ref="A56:C56"/>
    <mergeCell ref="G48:H48"/>
    <mergeCell ref="A49:B50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34:H137"/>
    <mergeCell ref="A133:B133"/>
    <mergeCell ref="E133:F133"/>
    <mergeCell ref="C133:D133"/>
    <mergeCell ref="G133:H133"/>
    <mergeCell ref="A91:E91"/>
    <mergeCell ref="F91:H91"/>
    <mergeCell ref="A92:E92"/>
    <mergeCell ref="F92:H92"/>
    <mergeCell ref="A109:H109"/>
    <mergeCell ref="A95:B95"/>
    <mergeCell ref="A129:H129"/>
    <mergeCell ref="A93:H93"/>
    <mergeCell ref="A132:H132"/>
    <mergeCell ref="A130:H130"/>
    <mergeCell ref="A114:H114"/>
    <mergeCell ref="B117:H117"/>
    <mergeCell ref="B118:H118"/>
    <mergeCell ref="A126:H126"/>
    <mergeCell ref="A127:H127"/>
    <mergeCell ref="E94:F94"/>
    <mergeCell ref="B124:H124"/>
    <mergeCell ref="B125:H125"/>
    <mergeCell ref="G102:H102"/>
    <mergeCell ref="B122:H122"/>
    <mergeCell ref="A96:H96"/>
    <mergeCell ref="G112:H112"/>
    <mergeCell ref="A97:H97"/>
    <mergeCell ref="B119:H119"/>
    <mergeCell ref="B120:H120"/>
    <mergeCell ref="A116:H116"/>
    <mergeCell ref="A115:B115"/>
    <mergeCell ref="G115:H115"/>
    <mergeCell ref="G94:H94"/>
    <mergeCell ref="C51:E51"/>
    <mergeCell ref="A48:B48"/>
    <mergeCell ref="A53:H53"/>
    <mergeCell ref="A54:C54"/>
    <mergeCell ref="A55:C55"/>
    <mergeCell ref="D55:H55"/>
    <mergeCell ref="G51:H51"/>
    <mergeCell ref="A51:B52"/>
    <mergeCell ref="C52:H52"/>
    <mergeCell ref="A101:H101"/>
    <mergeCell ref="E40:H40"/>
    <mergeCell ref="A40:D40"/>
    <mergeCell ref="A131:H131"/>
    <mergeCell ref="A128:H128"/>
    <mergeCell ref="A110:B110"/>
    <mergeCell ref="A94:B94"/>
    <mergeCell ref="D98:D99"/>
    <mergeCell ref="E98:E99"/>
    <mergeCell ref="G98:H99"/>
    <mergeCell ref="A74:B74"/>
    <mergeCell ref="F80:H80"/>
    <mergeCell ref="G95:H95"/>
    <mergeCell ref="A47:B47"/>
    <mergeCell ref="C47:E47"/>
    <mergeCell ref="C50:E50"/>
    <mergeCell ref="G50:H50"/>
    <mergeCell ref="G47:H47"/>
    <mergeCell ref="G49:H49"/>
    <mergeCell ref="D54:H54"/>
    <mergeCell ref="C49:E49"/>
    <mergeCell ref="A57:C57"/>
    <mergeCell ref="D57:H57"/>
    <mergeCell ref="C48:E48"/>
  </mergeCells>
  <hyperlinks>
    <hyperlink ref="C37" r:id="rId1" xr:uid="{C7C45AEA-30BB-40C2-ACFC-881ED70E42CE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37" max="16383" man="1"/>
    <brk id="1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186" t="s">
        <v>110</v>
      </c>
      <c r="C3" s="186"/>
      <c r="D3" s="186"/>
      <c r="E3" s="186"/>
      <c r="F3" s="186"/>
      <c r="G3" s="186"/>
      <c r="H3" s="186"/>
    </row>
    <row r="4" spans="1:9" x14ac:dyDescent="0.25">
      <c r="A4" s="3"/>
      <c r="B4" s="4" t="s">
        <v>111</v>
      </c>
      <c r="C4" s="4" t="s">
        <v>112</v>
      </c>
      <c r="D4" s="4" t="s">
        <v>72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2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ANJALI</cp:lastModifiedBy>
  <cp:lastPrinted>2022-04-07T11:33:32Z</cp:lastPrinted>
  <dcterms:created xsi:type="dcterms:W3CDTF">2019-07-16T09:29:46Z</dcterms:created>
  <dcterms:modified xsi:type="dcterms:W3CDTF">2022-07-02T10:05:25Z</dcterms:modified>
</cp:coreProperties>
</file>