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VSJCV\Making\AXIS\2025-26\Axis\APF Old\July 2025\02-07-2025\"/>
    </mc:Choice>
  </mc:AlternateContent>
  <bookViews>
    <workbookView xWindow="0" yWindow="0" windowWidth="19200" windowHeight="6640" tabRatio="572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Report!$A$1:$H$637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9" i="1" l="1"/>
  <c r="D411" i="1" l="1"/>
  <c r="D410" i="1"/>
  <c r="F410" i="1" s="1"/>
  <c r="D409" i="1"/>
  <c r="D408" i="1"/>
  <c r="F408" i="1" s="1"/>
  <c r="D407" i="1"/>
  <c r="D406" i="1"/>
  <c r="F406" i="1" s="1"/>
  <c r="D405" i="1"/>
  <c r="F405" i="1" s="1"/>
  <c r="D404" i="1"/>
  <c r="F404" i="1" s="1"/>
  <c r="D400" i="1"/>
  <c r="F400" i="1" s="1"/>
  <c r="D399" i="1"/>
  <c r="F399" i="1" s="1"/>
  <c r="D398" i="1"/>
  <c r="F398" i="1" s="1"/>
  <c r="D397" i="1"/>
  <c r="F397" i="1" s="1"/>
  <c r="D396" i="1"/>
  <c r="F396" i="1" s="1"/>
  <c r="D395" i="1"/>
  <c r="F395" i="1" s="1"/>
  <c r="D394" i="1"/>
  <c r="F394" i="1" s="1"/>
  <c r="D393" i="1"/>
  <c r="F393" i="1" s="1"/>
  <c r="D389" i="1"/>
  <c r="F389" i="1" s="1"/>
  <c r="D388" i="1"/>
  <c r="F388" i="1" s="1"/>
  <c r="D387" i="1"/>
  <c r="F387" i="1" s="1"/>
  <c r="D386" i="1"/>
  <c r="F386" i="1" s="1"/>
  <c r="D385" i="1"/>
  <c r="F385" i="1" s="1"/>
  <c r="D384" i="1"/>
  <c r="F384" i="1" s="1"/>
  <c r="D383" i="1"/>
  <c r="F383" i="1" s="1"/>
  <c r="D382" i="1"/>
  <c r="F382" i="1" s="1"/>
  <c r="D372" i="1"/>
  <c r="D378" i="1"/>
  <c r="F378" i="1" s="1"/>
  <c r="D377" i="1"/>
  <c r="F377" i="1" s="1"/>
  <c r="D376" i="1"/>
  <c r="F376" i="1" s="1"/>
  <c r="D375" i="1"/>
  <c r="F375" i="1" s="1"/>
  <c r="D374" i="1"/>
  <c r="F374" i="1" s="1"/>
  <c r="D373" i="1"/>
  <c r="F373" i="1" s="1"/>
  <c r="D371" i="1"/>
  <c r="F371" i="1" s="1"/>
  <c r="D361" i="1"/>
  <c r="F361" i="1" s="1"/>
  <c r="D367" i="1"/>
  <c r="F367" i="1" s="1"/>
  <c r="D366" i="1"/>
  <c r="F366" i="1" s="1"/>
  <c r="D365" i="1"/>
  <c r="F365" i="1" s="1"/>
  <c r="D364" i="1"/>
  <c r="F364" i="1" s="1"/>
  <c r="D363" i="1"/>
  <c r="F363" i="1" s="1"/>
  <c r="D362" i="1"/>
  <c r="F362" i="1" s="1"/>
  <c r="D360" i="1"/>
  <c r="F360" i="1" s="1"/>
  <c r="D358" i="1"/>
  <c r="F358" i="1" s="1"/>
  <c r="D357" i="1"/>
  <c r="F357" i="1" s="1"/>
  <c r="D356" i="1"/>
  <c r="F356" i="1" s="1"/>
  <c r="D351" i="1"/>
  <c r="D348" i="1"/>
  <c r="D347" i="1"/>
  <c r="D346" i="1"/>
  <c r="D345" i="1"/>
  <c r="D344" i="1"/>
  <c r="D343" i="1"/>
  <c r="D341" i="1"/>
  <c r="D340" i="1"/>
  <c r="D336" i="1"/>
  <c r="D330" i="1"/>
  <c r="F330" i="1" s="1"/>
  <c r="D329" i="1"/>
  <c r="F329" i="1" s="1"/>
  <c r="D328" i="1"/>
  <c r="F328" i="1" s="1"/>
  <c r="D327" i="1"/>
  <c r="F327" i="1" s="1"/>
  <c r="D326" i="1"/>
  <c r="F326" i="1" s="1"/>
  <c r="D325" i="1"/>
  <c r="F325" i="1" s="1"/>
  <c r="D323" i="1"/>
  <c r="F323" i="1" s="1"/>
  <c r="D324" i="1"/>
  <c r="F324" i="1" s="1"/>
  <c r="D321" i="1"/>
  <c r="D320" i="1"/>
  <c r="D319" i="1"/>
  <c r="D314" i="1"/>
  <c r="D306" i="1"/>
  <c r="F306" i="1" s="1"/>
  <c r="D305" i="1"/>
  <c r="F305" i="1" s="1"/>
  <c r="D304" i="1"/>
  <c r="F304" i="1" s="1"/>
  <c r="D303" i="1"/>
  <c r="F303" i="1" s="1"/>
  <c r="D302" i="1"/>
  <c r="F302" i="1" s="1"/>
  <c r="D301" i="1"/>
  <c r="F301" i="1" s="1"/>
  <c r="D299" i="1"/>
  <c r="F299" i="1" s="1"/>
  <c r="D298" i="1"/>
  <c r="F298" i="1" s="1"/>
  <c r="D294" i="1"/>
  <c r="F11" i="5"/>
  <c r="G11" i="5" s="1"/>
  <c r="G10" i="5"/>
  <c r="F10" i="5"/>
  <c r="G9" i="5"/>
  <c r="F9" i="5"/>
  <c r="G8" i="5"/>
  <c r="F8" i="5"/>
  <c r="F7" i="5"/>
  <c r="G7" i="5" s="1"/>
  <c r="G6" i="5"/>
  <c r="F6" i="5"/>
  <c r="G5" i="5"/>
  <c r="G12" i="5" s="1"/>
  <c r="F5" i="5"/>
  <c r="D466" i="1"/>
  <c r="B444" i="1"/>
  <c r="B443" i="1"/>
  <c r="F440" i="1"/>
  <c r="F439" i="1"/>
  <c r="F438" i="1"/>
  <c r="F437" i="1"/>
  <c r="G436" i="1"/>
  <c r="G437" i="1" s="1"/>
  <c r="G438" i="1" s="1"/>
  <c r="G439" i="1" s="1"/>
  <c r="G440" i="1" s="1"/>
  <c r="F436" i="1"/>
  <c r="F434" i="1"/>
  <c r="F433" i="1"/>
  <c r="F432" i="1"/>
  <c r="F431" i="1"/>
  <c r="G430" i="1"/>
  <c r="G431" i="1" s="1"/>
  <c r="G432" i="1" s="1"/>
  <c r="G433" i="1" s="1"/>
  <c r="G434" i="1" s="1"/>
  <c r="F430" i="1"/>
  <c r="F428" i="1"/>
  <c r="F427" i="1"/>
  <c r="F426" i="1"/>
  <c r="F425" i="1"/>
  <c r="G424" i="1"/>
  <c r="G425" i="1" s="1"/>
  <c r="G426" i="1" s="1"/>
  <c r="G427" i="1" s="1"/>
  <c r="G428" i="1" s="1"/>
  <c r="F424" i="1"/>
  <c r="F422" i="1"/>
  <c r="F421" i="1"/>
  <c r="F420" i="1"/>
  <c r="F419" i="1"/>
  <c r="G418" i="1"/>
  <c r="G419" i="1" s="1"/>
  <c r="G420" i="1" s="1"/>
  <c r="G421" i="1" s="1"/>
  <c r="G422" i="1" s="1"/>
  <c r="F418" i="1"/>
  <c r="A418" i="1"/>
  <c r="A419" i="1" s="1"/>
  <c r="A420" i="1" s="1"/>
  <c r="A421" i="1" s="1"/>
  <c r="A422" i="1" s="1"/>
  <c r="F416" i="1"/>
  <c r="F415" i="1"/>
  <c r="F414" i="1"/>
  <c r="A414" i="1"/>
  <c r="A415" i="1" s="1"/>
  <c r="A416" i="1" s="1"/>
  <c r="G413" i="1"/>
  <c r="G414" i="1" s="1"/>
  <c r="G415" i="1" s="1"/>
  <c r="G416" i="1" s="1"/>
  <c r="F413" i="1"/>
  <c r="F411" i="1"/>
  <c r="F409" i="1"/>
  <c r="F407" i="1"/>
  <c r="G404" i="1"/>
  <c r="G405" i="1" s="1"/>
  <c r="G406" i="1" s="1"/>
  <c r="G407" i="1" s="1"/>
  <c r="G408" i="1" s="1"/>
  <c r="G409" i="1" s="1"/>
  <c r="G410" i="1" s="1"/>
  <c r="G411" i="1" s="1"/>
  <c r="G393" i="1"/>
  <c r="G394" i="1" s="1"/>
  <c r="G395" i="1" s="1"/>
  <c r="G396" i="1" s="1"/>
  <c r="G397" i="1" s="1"/>
  <c r="G398" i="1" s="1"/>
  <c r="G399" i="1" s="1"/>
  <c r="G400" i="1" s="1"/>
  <c r="G382" i="1"/>
  <c r="G383" i="1" s="1"/>
  <c r="G384" i="1" s="1"/>
  <c r="G385" i="1" s="1"/>
  <c r="G386" i="1" s="1"/>
  <c r="G387" i="1" s="1"/>
  <c r="G388" i="1" s="1"/>
  <c r="G389" i="1" s="1"/>
  <c r="F372" i="1"/>
  <c r="G371" i="1"/>
  <c r="G372" i="1" s="1"/>
  <c r="G373" i="1" s="1"/>
  <c r="G374" i="1" s="1"/>
  <c r="G375" i="1" s="1"/>
  <c r="G376" i="1" s="1"/>
  <c r="G377" i="1" s="1"/>
  <c r="G378" i="1" s="1"/>
  <c r="G360" i="1"/>
  <c r="E355" i="1"/>
  <c r="D355" i="1"/>
  <c r="E354" i="1"/>
  <c r="D354" i="1"/>
  <c r="E353" i="1"/>
  <c r="D353" i="1"/>
  <c r="E352" i="1"/>
  <c r="D352" i="1"/>
  <c r="G351" i="1"/>
  <c r="G352" i="1" s="1"/>
  <c r="G353" i="1" s="1"/>
  <c r="G354" i="1" s="1"/>
  <c r="G355" i="1" s="1"/>
  <c r="G356" i="1" s="1"/>
  <c r="G357" i="1" s="1"/>
  <c r="G358" i="1" s="1"/>
  <c r="F351" i="1"/>
  <c r="A351" i="1"/>
  <c r="A352" i="1" s="1"/>
  <c r="A353" i="1" s="1"/>
  <c r="A354" i="1" s="1"/>
  <c r="A355" i="1" s="1"/>
  <c r="A356" i="1" s="1"/>
  <c r="A357" i="1" s="1"/>
  <c r="A358" i="1" s="1"/>
  <c r="E348" i="1"/>
  <c r="E347" i="1"/>
  <c r="E346" i="1"/>
  <c r="E345" i="1"/>
  <c r="E344" i="1"/>
  <c r="F344" i="1" s="1"/>
  <c r="G343" i="1"/>
  <c r="E343" i="1"/>
  <c r="E341" i="1"/>
  <c r="F341" i="1" s="1"/>
  <c r="E340" i="1"/>
  <c r="E339" i="1"/>
  <c r="D339" i="1"/>
  <c r="I338" i="1"/>
  <c r="E338" i="1"/>
  <c r="D338" i="1"/>
  <c r="E337" i="1"/>
  <c r="D337" i="1"/>
  <c r="G336" i="1"/>
  <c r="E336" i="1"/>
  <c r="A336" i="1"/>
  <c r="A337" i="1" s="1"/>
  <c r="A338" i="1" s="1"/>
  <c r="A339" i="1" s="1"/>
  <c r="A340" i="1" s="1"/>
  <c r="A341" i="1" s="1"/>
  <c r="D334" i="1"/>
  <c r="F334" i="1" s="1"/>
  <c r="A334" i="1"/>
  <c r="I333" i="1"/>
  <c r="G333" i="1"/>
  <c r="D333" i="1"/>
  <c r="G323" i="1"/>
  <c r="E321" i="1"/>
  <c r="E320" i="1"/>
  <c r="E319" i="1"/>
  <c r="E318" i="1"/>
  <c r="D318" i="1"/>
  <c r="E317" i="1"/>
  <c r="D317" i="1"/>
  <c r="I316" i="1"/>
  <c r="E316" i="1"/>
  <c r="D316" i="1"/>
  <c r="I315" i="1"/>
  <c r="E315" i="1"/>
  <c r="D315" i="1"/>
  <c r="G314" i="1"/>
  <c r="E314" i="1"/>
  <c r="F314" i="1" s="1"/>
  <c r="A314" i="1"/>
  <c r="A315" i="1" s="1"/>
  <c r="A316" i="1" s="1"/>
  <c r="A317" i="1" s="1"/>
  <c r="A318" i="1" s="1"/>
  <c r="A319" i="1" s="1"/>
  <c r="A320" i="1" s="1"/>
  <c r="A321" i="1" s="1"/>
  <c r="D312" i="1"/>
  <c r="F312" i="1" s="1"/>
  <c r="D311" i="1"/>
  <c r="F311" i="1" s="1"/>
  <c r="D310" i="1"/>
  <c r="A310" i="1"/>
  <c r="A311" i="1" s="1"/>
  <c r="A312" i="1" s="1"/>
  <c r="I309" i="1"/>
  <c r="G309" i="1"/>
  <c r="D309" i="1"/>
  <c r="G301" i="1"/>
  <c r="E297" i="1"/>
  <c r="D297" i="1"/>
  <c r="E296" i="1"/>
  <c r="D296" i="1"/>
  <c r="E295" i="1"/>
  <c r="D295" i="1"/>
  <c r="G294" i="1"/>
  <c r="F294" i="1"/>
  <c r="A294" i="1"/>
  <c r="A295" i="1" s="1"/>
  <c r="A296" i="1" s="1"/>
  <c r="A297" i="1" s="1"/>
  <c r="A298" i="1" s="1"/>
  <c r="A299" i="1" s="1"/>
  <c r="I292" i="1"/>
  <c r="D292" i="1"/>
  <c r="F292" i="1" s="1"/>
  <c r="D291" i="1"/>
  <c r="F291" i="1" s="1"/>
  <c r="A291" i="1"/>
  <c r="A292" i="1" s="1"/>
  <c r="G290" i="1"/>
  <c r="D290" i="1"/>
  <c r="L287" i="1"/>
  <c r="D284" i="1"/>
  <c r="F284" i="1" s="1"/>
  <c r="D283" i="1"/>
  <c r="F283" i="1" s="1"/>
  <c r="D282" i="1"/>
  <c r="F282" i="1" s="1"/>
  <c r="D281" i="1"/>
  <c r="F281" i="1" s="1"/>
  <c r="I280" i="1"/>
  <c r="D280" i="1"/>
  <c r="F280" i="1" s="1"/>
  <c r="D279" i="1"/>
  <c r="F279" i="1" s="1"/>
  <c r="D278" i="1"/>
  <c r="D277" i="1"/>
  <c r="F277" i="1" s="1"/>
  <c r="D276" i="1"/>
  <c r="F276" i="1" s="1"/>
  <c r="I275" i="1"/>
  <c r="D275" i="1"/>
  <c r="F275" i="1" s="1"/>
  <c r="D274" i="1"/>
  <c r="F274" i="1" s="1"/>
  <c r="D273" i="1"/>
  <c r="F273" i="1" s="1"/>
  <c r="D272" i="1"/>
  <c r="F272" i="1" s="1"/>
  <c r="D271" i="1"/>
  <c r="F271" i="1" s="1"/>
  <c r="D270" i="1"/>
  <c r="F270" i="1" s="1"/>
  <c r="D269" i="1"/>
  <c r="F269" i="1" s="1"/>
  <c r="D268" i="1"/>
  <c r="F268" i="1" s="1"/>
  <c r="A268" i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G267" i="1"/>
  <c r="D267" i="1"/>
  <c r="F267" i="1" s="1"/>
  <c r="D264" i="1"/>
  <c r="F264" i="1" s="1"/>
  <c r="D263" i="1"/>
  <c r="F263" i="1" s="1"/>
  <c r="D262" i="1"/>
  <c r="F262" i="1" s="1"/>
  <c r="D261" i="1"/>
  <c r="F261" i="1" s="1"/>
  <c r="D260" i="1"/>
  <c r="F260" i="1" s="1"/>
  <c r="D259" i="1"/>
  <c r="F259" i="1" s="1"/>
  <c r="D258" i="1"/>
  <c r="F258" i="1" s="1"/>
  <c r="D257" i="1"/>
  <c r="F257" i="1" s="1"/>
  <c r="D256" i="1"/>
  <c r="F256" i="1" s="1"/>
  <c r="D255" i="1"/>
  <c r="F255" i="1" s="1"/>
  <c r="D254" i="1"/>
  <c r="F254" i="1" s="1"/>
  <c r="D253" i="1"/>
  <c r="F253" i="1" s="1"/>
  <c r="D252" i="1"/>
  <c r="F252" i="1" s="1"/>
  <c r="D251" i="1"/>
  <c r="F251" i="1" s="1"/>
  <c r="D250" i="1"/>
  <c r="F250" i="1" s="1"/>
  <c r="A250" i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G249" i="1"/>
  <c r="D249" i="1"/>
  <c r="D246" i="1"/>
  <c r="F246" i="1" s="1"/>
  <c r="I245" i="1"/>
  <c r="D245" i="1"/>
  <c r="F245" i="1" s="1"/>
  <c r="D244" i="1"/>
  <c r="F244" i="1" s="1"/>
  <c r="D243" i="1"/>
  <c r="F243" i="1" s="1"/>
  <c r="D242" i="1"/>
  <c r="F242" i="1" s="1"/>
  <c r="D241" i="1"/>
  <c r="F241" i="1" s="1"/>
  <c r="D240" i="1"/>
  <c r="F240" i="1" s="1"/>
  <c r="D239" i="1"/>
  <c r="F239" i="1" s="1"/>
  <c r="D238" i="1"/>
  <c r="F238" i="1" s="1"/>
  <c r="D237" i="1"/>
  <c r="F237" i="1" s="1"/>
  <c r="D236" i="1"/>
  <c r="F236" i="1" s="1"/>
  <c r="D235" i="1"/>
  <c r="F235" i="1" s="1"/>
  <c r="A235" i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G234" i="1"/>
  <c r="D234" i="1"/>
  <c r="F234" i="1" s="1"/>
  <c r="D231" i="1"/>
  <c r="F231" i="1" s="1"/>
  <c r="D230" i="1"/>
  <c r="F230" i="1" s="1"/>
  <c r="D229" i="1"/>
  <c r="F229" i="1" s="1"/>
  <c r="D228" i="1"/>
  <c r="F228" i="1" s="1"/>
  <c r="D227" i="1"/>
  <c r="F227" i="1" s="1"/>
  <c r="I226" i="1"/>
  <c r="F226" i="1"/>
  <c r="D226" i="1"/>
  <c r="I225" i="1"/>
  <c r="D225" i="1"/>
  <c r="F225" i="1" s="1"/>
  <c r="D224" i="1"/>
  <c r="F224" i="1" s="1"/>
  <c r="D223" i="1"/>
  <c r="F223" i="1" s="1"/>
  <c r="D222" i="1"/>
  <c r="F222" i="1" s="1"/>
  <c r="D221" i="1"/>
  <c r="F221" i="1" s="1"/>
  <c r="D220" i="1"/>
  <c r="F220" i="1" s="1"/>
  <c r="A220" i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G219" i="1"/>
  <c r="D219" i="1"/>
  <c r="F219" i="1" s="1"/>
  <c r="F193" i="1"/>
  <c r="J167" i="1"/>
  <c r="B167" i="1"/>
  <c r="J177" i="1" s="1"/>
  <c r="B153" i="1"/>
  <c r="J163" i="1" s="1"/>
  <c r="B139" i="1"/>
  <c r="J149" i="1" s="1"/>
  <c r="B125" i="1"/>
  <c r="J135" i="1" s="1"/>
  <c r="B111" i="1"/>
  <c r="J120" i="1" s="1"/>
  <c r="B97" i="1"/>
  <c r="J107" i="1" s="1"/>
  <c r="B83" i="1"/>
  <c r="J90" i="1" s="1"/>
  <c r="B69" i="1"/>
  <c r="J79" i="1" s="1"/>
  <c r="D62" i="1"/>
  <c r="D55" i="1"/>
  <c r="C51" i="1"/>
  <c r="C50" i="1"/>
  <c r="E43" i="1"/>
  <c r="E44" i="1" s="1"/>
  <c r="E30" i="1"/>
  <c r="E27" i="1"/>
  <c r="E25" i="1"/>
  <c r="C15" i="1"/>
  <c r="I14" i="1"/>
  <c r="Z12" i="1"/>
  <c r="E7" i="1"/>
  <c r="E3" i="1"/>
  <c r="H125" i="1"/>
  <c r="H97" i="1"/>
  <c r="A424" i="1"/>
  <c r="A430" i="1"/>
  <c r="H167" i="1"/>
  <c r="A404" i="1"/>
  <c r="H153" i="1"/>
  <c r="A343" i="1"/>
  <c r="A382" i="1"/>
  <c r="A360" i="1"/>
  <c r="H111" i="1"/>
  <c r="A371" i="1"/>
  <c r="H69" i="1"/>
  <c r="A301" i="1"/>
  <c r="H83" i="1"/>
  <c r="A323" i="1"/>
  <c r="A436" i="1"/>
  <c r="H139" i="1"/>
  <c r="A393" i="1"/>
  <c r="F321" i="1" l="1"/>
  <c r="F345" i="1"/>
  <c r="F317" i="1"/>
  <c r="F340" i="1"/>
  <c r="F354" i="1"/>
  <c r="F338" i="1"/>
  <c r="F343" i="1"/>
  <c r="F316" i="1"/>
  <c r="F355" i="1"/>
  <c r="F347" i="1"/>
  <c r="E204" i="1"/>
  <c r="F339" i="1"/>
  <c r="F296" i="1"/>
  <c r="F336" i="1"/>
  <c r="F315" i="1"/>
  <c r="F318" i="1"/>
  <c r="F353" i="1"/>
  <c r="F297" i="1"/>
  <c r="C205" i="1"/>
  <c r="E196" i="1"/>
  <c r="F295" i="1"/>
  <c r="F309" i="1"/>
  <c r="F346" i="1"/>
  <c r="E209" i="1"/>
  <c r="F348" i="1"/>
  <c r="E199" i="1"/>
  <c r="E198" i="1"/>
  <c r="E205" i="1"/>
  <c r="F319" i="1"/>
  <c r="F337" i="1"/>
  <c r="F320" i="1"/>
  <c r="C206" i="1"/>
  <c r="C204" i="1"/>
  <c r="E203" i="1"/>
  <c r="G210" i="1"/>
  <c r="G207" i="1"/>
  <c r="G209" i="1"/>
  <c r="G196" i="1"/>
  <c r="G208" i="1"/>
  <c r="G197" i="1"/>
  <c r="C196" i="1"/>
  <c r="E206" i="1"/>
  <c r="E210" i="1"/>
  <c r="F290" i="1"/>
  <c r="F352" i="1"/>
  <c r="J78" i="1"/>
  <c r="J91" i="1"/>
  <c r="J121" i="1"/>
  <c r="J92" i="1"/>
  <c r="J93" i="1"/>
  <c r="J132" i="1"/>
  <c r="J160" i="1"/>
  <c r="J161" i="1"/>
  <c r="C207" i="1"/>
  <c r="J76" i="1"/>
  <c r="J106" i="1"/>
  <c r="J133" i="1"/>
  <c r="C203" i="1"/>
  <c r="F278" i="1"/>
  <c r="G199" i="1" s="1"/>
  <c r="F310" i="1"/>
  <c r="F333" i="1"/>
  <c r="J104" i="1"/>
  <c r="J134" i="1"/>
  <c r="J162" i="1"/>
  <c r="C197" i="1"/>
  <c r="E207" i="1"/>
  <c r="F249" i="1"/>
  <c r="G198" i="1" s="1"/>
  <c r="J105" i="1"/>
  <c r="E197" i="1"/>
  <c r="C208" i="1"/>
  <c r="J77" i="1"/>
  <c r="C198" i="1"/>
  <c r="E208" i="1"/>
  <c r="J146" i="1"/>
  <c r="J174" i="1"/>
  <c r="J118" i="1"/>
  <c r="J147" i="1"/>
  <c r="J175" i="1"/>
  <c r="C209" i="1"/>
  <c r="J119" i="1"/>
  <c r="J176" i="1"/>
  <c r="J148" i="1"/>
  <c r="C199" i="1"/>
  <c r="C210" i="1"/>
  <c r="J124" i="1"/>
  <c r="J126" i="1" s="1"/>
  <c r="D133" i="1"/>
  <c r="D137" i="1"/>
  <c r="D131" i="1"/>
  <c r="D135" i="1"/>
  <c r="D132" i="1"/>
  <c r="J127" i="1"/>
  <c r="D134" i="1"/>
  <c r="J130" i="1"/>
  <c r="J131" i="1" s="1"/>
  <c r="J136" i="1" s="1"/>
  <c r="D136" i="1"/>
  <c r="D130" i="1"/>
  <c r="J129" i="1"/>
  <c r="C128" i="1" s="1"/>
  <c r="D128" i="1" s="1"/>
  <c r="J128" i="1"/>
  <c r="D118" i="1"/>
  <c r="D122" i="1"/>
  <c r="D120" i="1"/>
  <c r="J114" i="1"/>
  <c r="J113" i="1"/>
  <c r="D116" i="1"/>
  <c r="D123" i="1"/>
  <c r="D117" i="1"/>
  <c r="J116" i="1"/>
  <c r="J117" i="1" s="1"/>
  <c r="J122" i="1" s="1"/>
  <c r="J110" i="1"/>
  <c r="J112" i="1" s="1"/>
  <c r="D119" i="1"/>
  <c r="J115" i="1"/>
  <c r="C114" i="1" s="1"/>
  <c r="D121" i="1"/>
  <c r="G170" i="1"/>
  <c r="J166" i="1"/>
  <c r="J168" i="1" s="1"/>
  <c r="E170" i="1"/>
  <c r="D175" i="1"/>
  <c r="D170" i="1"/>
  <c r="D173" i="1"/>
  <c r="D177" i="1"/>
  <c r="D171" i="1"/>
  <c r="J169" i="1"/>
  <c r="D179" i="1"/>
  <c r="D174" i="1"/>
  <c r="J170" i="1"/>
  <c r="J172" i="1"/>
  <c r="J173" i="1" s="1"/>
  <c r="J178" i="1" s="1"/>
  <c r="J179" i="1" s="1"/>
  <c r="D178" i="1"/>
  <c r="D172" i="1"/>
  <c r="J171" i="1"/>
  <c r="D176" i="1"/>
  <c r="D104" i="1"/>
  <c r="J99" i="1"/>
  <c r="D109" i="1"/>
  <c r="D103" i="1"/>
  <c r="D107" i="1"/>
  <c r="D105" i="1"/>
  <c r="J102" i="1"/>
  <c r="J103" i="1" s="1"/>
  <c r="J108" i="1" s="1"/>
  <c r="J109" i="1" s="1"/>
  <c r="C101" i="1" s="1"/>
  <c r="D108" i="1"/>
  <c r="D102" i="1"/>
  <c r="J101" i="1"/>
  <c r="C100" i="1" s="1"/>
  <c r="J96" i="1"/>
  <c r="J98" i="1" s="1"/>
  <c r="D106" i="1"/>
  <c r="J100" i="1"/>
  <c r="D90" i="1"/>
  <c r="J88" i="1"/>
  <c r="J89" i="1" s="1"/>
  <c r="J94" i="1" s="1"/>
  <c r="J95" i="1" s="1"/>
  <c r="C87" i="1" s="1"/>
  <c r="D94" i="1"/>
  <c r="D88" i="1"/>
  <c r="D95" i="1"/>
  <c r="J87" i="1"/>
  <c r="C86" i="1" s="1"/>
  <c r="D86" i="1" s="1"/>
  <c r="D92" i="1"/>
  <c r="J86" i="1"/>
  <c r="D93" i="1"/>
  <c r="J85" i="1"/>
  <c r="D89" i="1"/>
  <c r="J82" i="1"/>
  <c r="J84" i="1" s="1"/>
  <c r="D91" i="1"/>
  <c r="J155" i="1"/>
  <c r="D165" i="1"/>
  <c r="D159" i="1"/>
  <c r="D163" i="1"/>
  <c r="D161" i="1"/>
  <c r="J158" i="1"/>
  <c r="D164" i="1"/>
  <c r="D158" i="1"/>
  <c r="J157" i="1"/>
  <c r="C156" i="1" s="1"/>
  <c r="D156" i="1" s="1"/>
  <c r="J156" i="1"/>
  <c r="J152" i="1"/>
  <c r="J154" i="1" s="1"/>
  <c r="D162" i="1"/>
  <c r="D160" i="1"/>
  <c r="J74" i="1"/>
  <c r="J75" i="1" s="1"/>
  <c r="J80" i="1" s="1"/>
  <c r="J81" i="1" s="1"/>
  <c r="C73" i="1" s="1"/>
  <c r="J73" i="1"/>
  <c r="C72" i="1" s="1"/>
  <c r="D72" i="1" s="1"/>
  <c r="D79" i="1"/>
  <c r="D77" i="1"/>
  <c r="D81" i="1"/>
  <c r="D75" i="1"/>
  <c r="D74" i="1"/>
  <c r="D78" i="1"/>
  <c r="J72" i="1"/>
  <c r="J68" i="1"/>
  <c r="J70" i="1" s="1"/>
  <c r="J71" i="1"/>
  <c r="D76" i="1"/>
  <c r="D80" i="1"/>
  <c r="D150" i="1"/>
  <c r="J143" i="1"/>
  <c r="C142" i="1" s="1"/>
  <c r="D142" i="1" s="1"/>
  <c r="D149" i="1"/>
  <c r="D147" i="1"/>
  <c r="D151" i="1"/>
  <c r="D145" i="1"/>
  <c r="J142" i="1"/>
  <c r="J138" i="1"/>
  <c r="J140" i="1" s="1"/>
  <c r="D148" i="1"/>
  <c r="J141" i="1"/>
  <c r="D146" i="1"/>
  <c r="D144" i="1"/>
  <c r="J144" i="1"/>
  <c r="A425" i="1"/>
  <c r="A405" i="1"/>
  <c r="A361" i="1"/>
  <c r="A431" i="1"/>
  <c r="A344" i="1"/>
  <c r="A324" i="1"/>
  <c r="A394" i="1"/>
  <c r="A383" i="1"/>
  <c r="A437" i="1"/>
  <c r="A372" i="1"/>
  <c r="A302" i="1"/>
  <c r="J159" i="1" l="1"/>
  <c r="E200" i="1"/>
  <c r="G206" i="1"/>
  <c r="J145" i="1"/>
  <c r="J150" i="1" s="1"/>
  <c r="G203" i="1"/>
  <c r="G200" i="1"/>
  <c r="G205" i="1"/>
  <c r="G204" i="1"/>
  <c r="E211" i="1"/>
  <c r="E212" i="1" s="1"/>
  <c r="C200" i="1"/>
  <c r="C211" i="1"/>
  <c r="E86" i="1"/>
  <c r="D87" i="1"/>
  <c r="I83" i="1" s="1"/>
  <c r="I84" i="1" s="1"/>
  <c r="J123" i="1"/>
  <c r="C115" i="1" s="1"/>
  <c r="G114" i="1" s="1"/>
  <c r="E72" i="1"/>
  <c r="D73" i="1"/>
  <c r="I69" i="1" s="1"/>
  <c r="I70" i="1" s="1"/>
  <c r="J137" i="1"/>
  <c r="C129" i="1" s="1"/>
  <c r="G128" i="1" s="1"/>
  <c r="E100" i="1"/>
  <c r="D101" i="1"/>
  <c r="J69" i="1"/>
  <c r="G72" i="1"/>
  <c r="D66" i="1" s="1"/>
  <c r="G100" i="1"/>
  <c r="D114" i="1"/>
  <c r="I167" i="1"/>
  <c r="I168" i="1" s="1"/>
  <c r="J83" i="1"/>
  <c r="G86" i="1"/>
  <c r="D100" i="1"/>
  <c r="A426" i="1"/>
  <c r="A432" i="1"/>
  <c r="A325" i="1"/>
  <c r="A438" i="1"/>
  <c r="A406" i="1"/>
  <c r="A395" i="1"/>
  <c r="A303" i="1"/>
  <c r="A373" i="1"/>
  <c r="A362" i="1"/>
  <c r="A345" i="1"/>
  <c r="A384" i="1"/>
  <c r="J164" i="1" l="1"/>
  <c r="J165" i="1" s="1"/>
  <c r="C157" i="1"/>
  <c r="E156" i="1" s="1"/>
  <c r="J151" i="1"/>
  <c r="C143" i="1" s="1"/>
  <c r="J139" i="1" s="1"/>
  <c r="G211" i="1"/>
  <c r="G212" i="1" s="1"/>
  <c r="C212" i="1"/>
  <c r="I97" i="1"/>
  <c r="I98" i="1" s="1"/>
  <c r="I82" i="1"/>
  <c r="C84" i="1" s="1"/>
  <c r="F67" i="1"/>
  <c r="D67" i="1"/>
  <c r="J111" i="1"/>
  <c r="E128" i="1"/>
  <c r="D129" i="1"/>
  <c r="I125" i="1" s="1"/>
  <c r="I166" i="1"/>
  <c r="C168" i="1" s="1"/>
  <c r="I68" i="1"/>
  <c r="C70" i="1" s="1"/>
  <c r="J125" i="1"/>
  <c r="J97" i="1"/>
  <c r="E114" i="1"/>
  <c r="D115" i="1"/>
  <c r="I111" i="1" s="1"/>
  <c r="A346" i="1"/>
  <c r="A326" i="1"/>
  <c r="A407" i="1"/>
  <c r="A363" i="1"/>
  <c r="A433" i="1"/>
  <c r="A396" i="1"/>
  <c r="A427" i="1"/>
  <c r="A385" i="1"/>
  <c r="A304" i="1"/>
  <c r="A439" i="1"/>
  <c r="A374" i="1"/>
  <c r="J153" i="1" l="1"/>
  <c r="G156" i="1"/>
  <c r="D157" i="1"/>
  <c r="I153" i="1" s="1"/>
  <c r="I154" i="1" s="1"/>
  <c r="E142" i="1"/>
  <c r="G142" i="1"/>
  <c r="D143" i="1"/>
  <c r="I139" i="1" s="1"/>
  <c r="I140" i="1" s="1"/>
  <c r="I96" i="1"/>
  <c r="C98" i="1" s="1"/>
  <c r="I112" i="1"/>
  <c r="I110" i="1" s="1"/>
  <c r="C112" i="1" s="1"/>
  <c r="I126" i="1"/>
  <c r="I124" i="1" s="1"/>
  <c r="C126" i="1" s="1"/>
  <c r="A305" i="1"/>
  <c r="A408" i="1"/>
  <c r="A440" i="1"/>
  <c r="A386" i="1"/>
  <c r="A375" i="1"/>
  <c r="A434" i="1"/>
  <c r="A364" i="1"/>
  <c r="A347" i="1"/>
  <c r="A428" i="1"/>
  <c r="A327" i="1"/>
  <c r="A397" i="1"/>
  <c r="I152" i="1" l="1"/>
  <c r="C154" i="1" s="1"/>
  <c r="I138" i="1"/>
  <c r="C140" i="1" s="1"/>
  <c r="A306" i="1"/>
  <c r="A328" i="1"/>
  <c r="A387" i="1"/>
  <c r="A348" i="1"/>
  <c r="A376" i="1"/>
  <c r="A398" i="1"/>
  <c r="A409" i="1"/>
  <c r="A365" i="1"/>
  <c r="A377" i="1" l="1"/>
  <c r="A388" i="1"/>
  <c r="A329" i="1"/>
  <c r="A366" i="1"/>
  <c r="A410" i="1"/>
  <c r="A399" i="1"/>
  <c r="A330" i="1"/>
  <c r="A389" i="1"/>
  <c r="A378" i="1"/>
  <c r="A400" i="1"/>
  <c r="A411" i="1"/>
  <c r="A367" i="1"/>
</calcChain>
</file>

<file path=xl/comments1.xml><?xml version="1.0" encoding="utf-8"?>
<comments xmlns="http://schemas.openxmlformats.org/spreadsheetml/2006/main">
  <authors>
    <author>Sachin</author>
  </authors>
  <commentList>
    <comment ref="E11" authorId="0" shapeId="0">
      <text>
        <r>
          <rPr>
            <b/>
            <sz val="9"/>
            <rFont val="Tahoma"/>
            <family val="2"/>
          </rPr>
          <t>Sachin:</t>
        </r>
        <r>
          <rPr>
            <sz val="9"/>
            <rFont val="Tahoma"/>
            <family val="2"/>
          </rPr>
          <t xml:space="preserve">
Building No. 
Tower No.
Wing 
Bunglow No., etc</t>
        </r>
      </text>
    </comment>
    <comment ref="E12" authorId="0" shapeId="0">
      <text>
        <r>
          <rPr>
            <b/>
            <sz val="9"/>
            <rFont val="Tahoma"/>
            <family val="2"/>
          </rPr>
          <t>Sachin:</t>
        </r>
        <r>
          <rPr>
            <sz val="9"/>
            <rFont val="Tahoma"/>
            <family val="2"/>
          </rPr>
          <t xml:space="preserve">
If exisiting Building is provided write it or else
NA</t>
        </r>
      </text>
    </comment>
    <comment ref="D55" authorId="0" shapeId="0">
      <text>
        <r>
          <rPr>
            <b/>
            <sz val="9"/>
            <rFont val="Tahoma"/>
            <family val="2"/>
          </rPr>
          <t>Sachin:</t>
        </r>
        <r>
          <rPr>
            <sz val="9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<sst xmlns="http://schemas.openxmlformats.org/spreadsheetml/2006/main" count="849" uniqueCount="302">
  <si>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</si>
  <si>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 xml:space="preserve">Valuation Report </t>
  </si>
  <si>
    <t>Date:</t>
  </si>
  <si>
    <t>CPC Name:</t>
  </si>
  <si>
    <t>Axis Badlapur</t>
  </si>
  <si>
    <t>Date Of Property Visit</t>
  </si>
  <si>
    <t>Name of the builder group</t>
  </si>
  <si>
    <t>Jai Balaji Sai Realtors</t>
  </si>
  <si>
    <t>Name of the builder company</t>
  </si>
  <si>
    <t>Name of the Project</t>
  </si>
  <si>
    <t>Seasons Green</t>
  </si>
  <si>
    <t>Provided Contact Details (Name &amp; Contact No.)</t>
  </si>
  <si>
    <t>Mr. Sujit Shinde 9702286227</t>
  </si>
  <si>
    <t>Site Person - Contact Details (Name &amp; Contact No.)</t>
  </si>
  <si>
    <t>Mr. Sandesh 9819172035</t>
  </si>
  <si>
    <t>Name / No of the Building</t>
  </si>
  <si>
    <t>Wing A to H</t>
  </si>
  <si>
    <t>Name / No of the Existing Building</t>
  </si>
  <si>
    <t>NA</t>
  </si>
  <si>
    <t xml:space="preserve">Thane </t>
  </si>
  <si>
    <t>Palghar</t>
  </si>
  <si>
    <t>Mumbai</t>
  </si>
  <si>
    <t>Raigad</t>
  </si>
  <si>
    <t>Pune</t>
  </si>
  <si>
    <t>Docouments Provided</t>
  </si>
  <si>
    <t>Approved Plans, CC</t>
  </si>
  <si>
    <t>Thane</t>
  </si>
  <si>
    <t>Mokhada</t>
  </si>
  <si>
    <t>Andheri</t>
  </si>
  <si>
    <t>Alibag</t>
  </si>
  <si>
    <t>Pune City</t>
  </si>
  <si>
    <t>RERA No.</t>
  </si>
  <si>
    <t>P51700051575</t>
  </si>
  <si>
    <t>Shahpur</t>
  </si>
  <si>
    <t>Talasari</t>
  </si>
  <si>
    <t>Borivali</t>
  </si>
  <si>
    <t>Panvel</t>
  </si>
  <si>
    <t>Haveli</t>
  </si>
  <si>
    <t xml:space="preserve">Project location details       </t>
  </si>
  <si>
    <t>Kalyan</t>
  </si>
  <si>
    <t>Vasai</t>
  </si>
  <si>
    <t>Kurla</t>
  </si>
  <si>
    <t>Uran</t>
  </si>
  <si>
    <t>Khed</t>
  </si>
  <si>
    <t>Survey No</t>
  </si>
  <si>
    <t>16, H. No. 2</t>
  </si>
  <si>
    <t>Bhiwandi</t>
  </si>
  <si>
    <t>Vikramgad</t>
  </si>
  <si>
    <t>Karjat</t>
  </si>
  <si>
    <t>Baramati</t>
  </si>
  <si>
    <t>Locality</t>
  </si>
  <si>
    <t>Chanakya Nagar, Khadakpada</t>
  </si>
  <si>
    <t>Ulhasnagar</t>
  </si>
  <si>
    <t>Khalapur</t>
  </si>
  <si>
    <t>Junnar</t>
  </si>
  <si>
    <t>Road</t>
  </si>
  <si>
    <t>Internal Rd</t>
  </si>
  <si>
    <t>Locality/Village</t>
  </si>
  <si>
    <t>Kolivali</t>
  </si>
  <si>
    <t>Ambernath</t>
  </si>
  <si>
    <t>Dahanu</t>
  </si>
  <si>
    <t>Pen</t>
  </si>
  <si>
    <t>Shirur</t>
  </si>
  <si>
    <t>City</t>
  </si>
  <si>
    <t>District</t>
  </si>
  <si>
    <t>Murbad</t>
  </si>
  <si>
    <t>Wada</t>
  </si>
  <si>
    <t>Sudhagad</t>
  </si>
  <si>
    <t>Indapur</t>
  </si>
  <si>
    <t>Taluka</t>
  </si>
  <si>
    <t>Pin Code</t>
  </si>
  <si>
    <t>Mahad</t>
  </si>
  <si>
    <t>Daund</t>
  </si>
  <si>
    <t>Nearby Landmark</t>
  </si>
  <si>
    <t>Shukla Sadan</t>
  </si>
  <si>
    <t xml:space="preserve">Distance from city centre: </t>
  </si>
  <si>
    <t>5.3KM from Kalyan Railway Station</t>
  </si>
  <si>
    <t>Roha</t>
  </si>
  <si>
    <t>Mawal</t>
  </si>
  <si>
    <t>Accessibility to the Project from the City: (Proximity to civic amenities like school, hospital, market, etc.)</t>
  </si>
  <si>
    <t>all available at  1 to 2 km.</t>
  </si>
  <si>
    <t>Mangaon</t>
  </si>
  <si>
    <t>Ambegaon</t>
  </si>
  <si>
    <t>Poladpur</t>
  </si>
  <si>
    <t>Purandhar</t>
  </si>
  <si>
    <t>Does property have Electricity / Water / Drainage Connection</t>
  </si>
  <si>
    <t>Yes</t>
  </si>
  <si>
    <t>Mahasala</t>
  </si>
  <si>
    <t>Bhor</t>
  </si>
  <si>
    <t>Class of locality</t>
  </si>
  <si>
    <t>Shriwardhan</t>
  </si>
  <si>
    <t>Mulshi</t>
  </si>
  <si>
    <t>Nature of land with topographical condtion</t>
  </si>
  <si>
    <t>Plane</t>
  </si>
  <si>
    <t>Murud</t>
  </si>
  <si>
    <t>Velhe</t>
  </si>
  <si>
    <t xml:space="preserve">Nature of the locality </t>
  </si>
  <si>
    <t>Quality of infrastructure in vicinity</t>
  </si>
  <si>
    <t>Good</t>
  </si>
  <si>
    <t>Type of Structure</t>
  </si>
  <si>
    <t>RCC Frame Structure</t>
  </si>
  <si>
    <t xml:space="preserve">Approved usage of the Property:                                                                                                                                             </t>
  </si>
  <si>
    <t>Restrictive Covenants in regard to Land Use</t>
  </si>
  <si>
    <t>No</t>
  </si>
  <si>
    <t>Boundries</t>
  </si>
  <si>
    <t>As per Layout</t>
  </si>
  <si>
    <t>At site</t>
  </si>
  <si>
    <t>East</t>
  </si>
  <si>
    <t>Other Plot</t>
  </si>
  <si>
    <t>West</t>
  </si>
  <si>
    <t>Existing Rd</t>
  </si>
  <si>
    <t>Internal Rd/ Open Plot</t>
  </si>
  <si>
    <t>North</t>
  </si>
  <si>
    <t>Open Plot</t>
  </si>
  <si>
    <t>South</t>
  </si>
  <si>
    <t>Does the boundaries at site match, as mentioned in the Docoumentation: NA</t>
  </si>
  <si>
    <t>Latitude, Longitude</t>
  </si>
  <si>
    <t>19.268987,73.132234</t>
  </si>
  <si>
    <t>Location Link</t>
  </si>
  <si>
    <t>https://maps.app.goo.gl/nonsNaSaN19L3MSq8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</si>
  <si>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</si>
  <si>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</si>
  <si>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</si>
  <si>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</si>
  <si>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</si>
  <si>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Approved Builtup area of the project (Sq.Mt)</t>
  </si>
  <si>
    <t>Total number of Buildings</t>
  </si>
  <si>
    <t>08 Buildings</t>
  </si>
  <si>
    <t xml:space="preserve">Approval Detail : Plan approval </t>
  </si>
  <si>
    <t>Name of Municipal Corporation/Authority</t>
  </si>
  <si>
    <t>Kalyan-Dombivli Municipal Corporation (KDMC)</t>
  </si>
  <si>
    <t xml:space="preserve">Layout Approval No     </t>
  </si>
  <si>
    <t>KDMC/TPD/BP/KD/2022-23/85</t>
  </si>
  <si>
    <t>Dated</t>
  </si>
  <si>
    <t xml:space="preserve">Approved Floor plan No.  </t>
  </si>
  <si>
    <t xml:space="preserve">Commencement-CC No
Valid Up to: </t>
  </si>
  <si>
    <t>Wing A to H = St(Pt)/Gr(Pt) + 1st to 7th Floor</t>
  </si>
  <si>
    <t xml:space="preserve">O. Certificate No.: </t>
  </si>
  <si>
    <t>NA
Approved upto : NA</t>
  </si>
  <si>
    <t>Building wise Construction details</t>
  </si>
  <si>
    <t>Approved area of building (Sq.Mt)</t>
  </si>
  <si>
    <t>Approved no of units</t>
  </si>
  <si>
    <t>Flats - 429, Shops - 60</t>
  </si>
  <si>
    <t>Approved no of Floors</t>
  </si>
  <si>
    <t>Proposed no of Floors</t>
  </si>
  <si>
    <t>Expected Completion</t>
  </si>
  <si>
    <t>As per RERA - 31/12/2027</t>
  </si>
  <si>
    <t>Projected life of the structure</t>
  </si>
  <si>
    <t xml:space="preserve">Quality of construction: </t>
  </si>
  <si>
    <r>
      <rPr>
        <sz val="12"/>
        <color theme="1"/>
        <rFont val="Times New Roman"/>
        <family val="1"/>
      </rP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</rPr>
      <t xml:space="preserve">                                               </t>
    </r>
  </si>
  <si>
    <t xml:space="preserve">Swimming Pool, Kids Play Area, Gymnasium, Gazebo, Club House, Sitting Lounge, Car Parking, Stargazing Deck </t>
  </si>
  <si>
    <t xml:space="preserve">Violations Observed if any : </t>
  </si>
  <si>
    <t xml:space="preserve">Material laying at Site: </t>
  </si>
  <si>
    <t xml:space="preserve">Wheather the construction is as per approved Building plan : </t>
  </si>
  <si>
    <t>Construction details:</t>
  </si>
  <si>
    <t>Wing A = St(Pt)/Gr(Pt) + 1st to 7th Floor</t>
  </si>
  <si>
    <t>Basement</t>
  </si>
  <si>
    <t>Ground</t>
  </si>
  <si>
    <t>Podium</t>
  </si>
  <si>
    <t>Floors</t>
  </si>
  <si>
    <t xml:space="preserve">Stage of construction: </t>
  </si>
  <si>
    <t>Type of Work</t>
  </si>
  <si>
    <t>Slab/Floor</t>
  </si>
  <si>
    <t>Complition %</t>
  </si>
  <si>
    <t>Progress %</t>
  </si>
  <si>
    <t>Disbursement %</t>
  </si>
  <si>
    <t>Piling Work in process</t>
  </si>
  <si>
    <t>Excavation</t>
  </si>
  <si>
    <t>Excavation in process</t>
  </si>
  <si>
    <t>Plinth</t>
  </si>
  <si>
    <t>Excavation Completed</t>
  </si>
  <si>
    <t>RCC (Including podiums)</t>
  </si>
  <si>
    <t>Footing in Process</t>
  </si>
  <si>
    <t>Brickwork</t>
  </si>
  <si>
    <t>Brickwork &amp; Internal Plaster</t>
  </si>
  <si>
    <t>Footing Completed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</si>
  <si>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</si>
  <si>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</si>
  <si>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</si>
  <si>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</si>
  <si>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</si>
  <si>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</si>
  <si>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</si>
  <si>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</si>
  <si>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</si>
  <si>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</si>
  <si>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Plinth in process</t>
  </si>
  <si>
    <t>Possession</t>
  </si>
  <si>
    <t>Plinth completed</t>
  </si>
  <si>
    <t>Wing B = St(Pt)/Gr(Pt) + 1st to 7th Floor</t>
  </si>
  <si>
    <t>Wing C = St(Pt)/Gr(Pt) + 1st to 7th Floor</t>
  </si>
  <si>
    <t>Wing D = St(Pt)/Gr(Pt) + 1st to 7th Floor</t>
  </si>
  <si>
    <t>Wing E = St(Pt)/Gr(Pt) + 1st to 7th Floor</t>
  </si>
  <si>
    <t>Wing H = St(Pt)/Gr(Pt) + 1st to 7th Floor</t>
  </si>
  <si>
    <t xml:space="preserve">Recommended Rates of the Property : </t>
  </si>
  <si>
    <t>On Saleable Area</t>
  </si>
  <si>
    <t>Recommended rate of the Flat Per Sq. Ft.</t>
  </si>
  <si>
    <t>Recommended rate of the Shop Per Sq. Ft.</t>
  </si>
  <si>
    <t>Recommended rate of the Office Per Sq. Ft.</t>
  </si>
  <si>
    <t>Floor Rise Rate from    Floor</t>
  </si>
  <si>
    <t>Development Charges</t>
  </si>
  <si>
    <t>Club Charges</t>
  </si>
  <si>
    <t>Legal Charges</t>
  </si>
  <si>
    <t>Gas Connection Charges</t>
  </si>
  <si>
    <t>Water, Electricity, Drainages, Sewerage Connection</t>
  </si>
  <si>
    <t>Society Formation Charges</t>
  </si>
  <si>
    <t>Advance Maintenance Charges</t>
  </si>
  <si>
    <t xml:space="preserve">Recommended rate of Parking </t>
  </si>
  <si>
    <t>Distressed valuation of the Property</t>
  </si>
  <si>
    <t>Commercial Area Details : Shop</t>
  </si>
  <si>
    <t>Building &amp; Wing</t>
  </si>
  <si>
    <t>No. of Units</t>
  </si>
  <si>
    <t>Total Carpet Area</t>
  </si>
  <si>
    <t>Total Saleable Area</t>
  </si>
  <si>
    <t>Wing A</t>
  </si>
  <si>
    <t>Wing B</t>
  </si>
  <si>
    <t>Wing C</t>
  </si>
  <si>
    <t>Wing D</t>
  </si>
  <si>
    <t>Total</t>
  </si>
  <si>
    <t>Residential Area Details :</t>
  </si>
  <si>
    <t>Wing E</t>
  </si>
  <si>
    <t>Wing F</t>
  </si>
  <si>
    <t>Wing G</t>
  </si>
  <si>
    <t>Wing H</t>
  </si>
  <si>
    <t>Grand Total</t>
  </si>
  <si>
    <t>Building details Floor Wise</t>
  </si>
  <si>
    <t xml:space="preserve">Details of Residential &amp; Commercials in Building   </t>
  </si>
  <si>
    <r>
      <rPr>
        <b/>
        <sz val="12"/>
        <color indexed="8"/>
        <rFont val="Times New Roman"/>
        <family val="1"/>
      </rP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</si>
  <si>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t>Shop No. (Sale Plan)</t>
  </si>
  <si>
    <t>Description</t>
  </si>
  <si>
    <t>Gross Carpet area</t>
  </si>
  <si>
    <t>Attached Loft area</t>
  </si>
  <si>
    <t>Saleable area Loading :</t>
  </si>
  <si>
    <t>Floor</t>
  </si>
  <si>
    <t>Ground Floor For Commercial &amp; Residential</t>
  </si>
  <si>
    <t>Shop</t>
  </si>
  <si>
    <t>Ground Floor For Commercial, Drivers Room &amp; Residential</t>
  </si>
  <si>
    <t>Ground Floor For Commercial, Society Office &amp; Parking</t>
  </si>
  <si>
    <t>Ground Floor</t>
  </si>
  <si>
    <r>
      <rPr>
        <b/>
        <sz val="12"/>
        <color indexed="8"/>
        <rFont val="Times New Roman"/>
        <family val="1"/>
      </rP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</si>
  <si>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 (Sale Plan)</t>
  </si>
  <si>
    <t>Attached Terrace area</t>
  </si>
  <si>
    <t xml:space="preserve">Ground Floor For Residential &amp; Commercial </t>
  </si>
  <si>
    <t>2BHK</t>
  </si>
  <si>
    <t>1BHK</t>
  </si>
  <si>
    <t>1st Floor For Residential</t>
  </si>
  <si>
    <t>2nd to 7th Floor</t>
  </si>
  <si>
    <t>1RK</t>
  </si>
  <si>
    <t>Enclose Balcony not included in rera carpet</t>
  </si>
  <si>
    <t xml:space="preserve">Ground Floor For Residential, Drivers Room &amp; Commercial </t>
  </si>
  <si>
    <t>Ground Floor For Parking</t>
  </si>
  <si>
    <t>1st to 7th Floor For Residential</t>
  </si>
  <si>
    <t>2nd Floor</t>
  </si>
  <si>
    <t>3rd, 5th, 7th, 9th, 11th, 13th, 15th Floor</t>
  </si>
  <si>
    <t>2nd to 5th Floor</t>
  </si>
  <si>
    <t>2nd &amp; 5th Floor</t>
  </si>
  <si>
    <t xml:space="preserve">Remarks:  </t>
  </si>
  <si>
    <t>*</t>
  </si>
  <si>
    <t>We considered Carpet area as per Approved Plan.</t>
  </si>
  <si>
    <t>We have considered proposed No. of Floor for Stage Calculation.</t>
  </si>
  <si>
    <t>We have considered rate by verifying it from market inquire.</t>
  </si>
  <si>
    <t>Recommended rate should be considered as all inclusive rate if other charges are not mentioned. (Excluding GST &amp; other government Taxes)</t>
  </si>
  <si>
    <t>Car parking is subjected to authentic documentation.</t>
  </si>
  <si>
    <t>We have updated approved plans on 12/11/2024.</t>
  </si>
  <si>
    <t xml:space="preserve">We have received an approved Layout plan, floor plan (not legible), and builder profile.
Please provide a legible, approved layout plan, floor plan and sale plan.
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</si>
  <si>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</si>
  <si>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</si>
  <si>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</si>
  <si>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</si>
  <si>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</si>
  <si>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</si>
  <si>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</si>
  <si>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>Inspected By :</t>
  </si>
  <si>
    <t>Mangesh Bapardekar</t>
  </si>
  <si>
    <t>Report By :</t>
  </si>
  <si>
    <t>Authorized Signatory
Name &amp; Seal of the agency</t>
  </si>
  <si>
    <t xml:space="preserve">PHOTOGRAPHS OF PROPERTY : 
</t>
  </si>
  <si>
    <t>Layout :</t>
  </si>
  <si>
    <t>Google Map :</t>
  </si>
  <si>
    <t>Market Research Data</t>
  </si>
  <si>
    <t>Source</t>
  </si>
  <si>
    <t>Distance from proposed property</t>
  </si>
  <si>
    <t>Flat</t>
  </si>
  <si>
    <t>Net Carpet</t>
  </si>
  <si>
    <t>Saleable Area</t>
  </si>
  <si>
    <t>Rate on Saleable</t>
  </si>
  <si>
    <t>Market Value</t>
  </si>
  <si>
    <t>Magic Brick</t>
  </si>
  <si>
    <t>99 Acres</t>
  </si>
  <si>
    <t>Average</t>
  </si>
  <si>
    <t xml:space="preserve">Valuation Adopted </t>
  </si>
  <si>
    <t>Approved Plans, CC, Sale Plans, Builder Saleable Area, Cost Sheet, Airport Noc, Railway Noc, OC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</si>
  <si>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</si>
  <si>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</si>
  <si>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</si>
  <si>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</si>
  <si>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We considered Gross carpet area = Net carpet + Enclosed balcony + Balcony + Chajja Area</t>
  </si>
  <si>
    <t>Wing F = St(Pt)/Gr(Pt) + 1st to 7th Floor</t>
  </si>
  <si>
    <t>Pooja Kawale</t>
  </si>
  <si>
    <t>Wing G  = St(Pt)/Gr(Pt) + 1st to 7th Floor</t>
  </si>
  <si>
    <t>Wing A to G = Construction Work in process at the time of visit.
Wing H = Work not yet Started.</t>
  </si>
  <si>
    <t>Since wing H have received CC on 25/01/2023, but as of construction work is not
started.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</si>
</sst>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_ * #,##0_ ;_ * \-#,##0_ ;_ * &quot;-&quot;??_ ;_ @_ "/>
  </numFmts>
  <fonts count="30">
    <font>
      <sz val="11"/>
      <color rgb="FF000000"/>
      <name val="Calibri"/>
      <charset val="134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u/>
      <sz val="11"/>
      <color theme="10"/>
      <name val="Calibri"/>
      <family val="2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sz val="11"/>
      <color rgb="FF000000"/>
      <name val="Times New Roman"/>
      <family val="1"/>
    </font>
    <font>
      <b/>
      <sz val="11"/>
      <color indexed="8"/>
      <name val="Times New Roman"/>
      <family val="1"/>
    </font>
    <font>
      <b/>
      <sz val="12"/>
      <color rgb="FFFF0000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color rgb="FF000000"/>
      <name val="Times New Roman"/>
      <family val="1"/>
    </font>
    <font>
      <b/>
      <sz val="9"/>
      <name val="Tahoma"/>
      <family val="2"/>
    </font>
    <font>
      <sz val="9"/>
      <name val="Tahoma"/>
      <family val="2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2">
    <xf numFmtId="0" fontId="0" fillId="0" borderId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3" fillId="0" borderId="0"/>
    <xf numFmtId="0" fontId="2" fillId="0" borderId="0"/>
  </cellStyleXfs>
  <cellXfs count="22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7"/>
    <xf numFmtId="0" fontId="2" fillId="0" borderId="0" xfId="11"/>
    <xf numFmtId="0" fontId="3" fillId="0" borderId="1" xfId="11" applyFont="1" applyBorder="1" applyAlignment="1">
      <alignment horizontal="center" vertical="top" wrapText="1"/>
    </xf>
    <xf numFmtId="0" fontId="2" fillId="0" borderId="1" xfId="11" applyBorder="1" applyAlignment="1">
      <alignment horizontal="center" vertical="center"/>
    </xf>
    <xf numFmtId="0" fontId="2" fillId="0" borderId="1" xfId="11" applyBorder="1" applyAlignment="1">
      <alignment horizontal="left" vertical="center"/>
    </xf>
    <xf numFmtId="1" fontId="2" fillId="0" borderId="1" xfId="11" applyNumberFormat="1" applyBorder="1" applyAlignment="1">
      <alignment horizontal="center" vertical="center"/>
    </xf>
    <xf numFmtId="165" fontId="2" fillId="0" borderId="1" xfId="5" applyNumberFormat="1" applyFont="1" applyBorder="1" applyAlignment="1">
      <alignment horizontal="right" vertical="center"/>
    </xf>
    <xf numFmtId="0" fontId="2" fillId="0" borderId="1" xfId="11" applyBorder="1" applyAlignment="1">
      <alignment horizontal="left" vertical="center" wrapText="1"/>
    </xf>
    <xf numFmtId="0" fontId="3" fillId="0" borderId="1" xfId="11" applyFont="1" applyBorder="1" applyAlignment="1">
      <alignment horizontal="center" vertical="center"/>
    </xf>
    <xf numFmtId="1" fontId="4" fillId="0" borderId="1" xfId="11" applyNumberFormat="1" applyFont="1" applyBorder="1" applyAlignment="1">
      <alignment horizontal="center" vertical="center"/>
    </xf>
    <xf numFmtId="0" fontId="1" fillId="0" borderId="1" xfId="7" applyBorder="1" applyAlignment="1">
      <alignment horizontal="center" vertical="center"/>
    </xf>
    <xf numFmtId="0" fontId="5" fillId="0" borderId="0" xfId="7" applyFont="1"/>
    <xf numFmtId="0" fontId="6" fillId="0" borderId="0" xfId="9" applyFont="1"/>
    <xf numFmtId="0" fontId="7" fillId="0" borderId="0" xfId="9" applyFont="1"/>
    <xf numFmtId="0" fontId="8" fillId="0" borderId="0" xfId="9" applyFont="1"/>
    <xf numFmtId="0" fontId="9" fillId="0" borderId="0" xfId="6" applyFont="1"/>
    <xf numFmtId="0" fontId="10" fillId="0" borderId="0" xfId="0" applyFont="1" applyAlignment="1">
      <alignment horizontal="center" vertical="center"/>
    </xf>
    <xf numFmtId="0" fontId="10" fillId="0" borderId="0" xfId="9" applyFont="1" applyAlignment="1">
      <alignment horizontal="center" vertical="center"/>
    </xf>
    <xf numFmtId="0" fontId="10" fillId="0" borderId="0" xfId="9" applyFont="1" applyProtection="1">
      <protection locked="0"/>
    </xf>
    <xf numFmtId="0" fontId="10" fillId="0" borderId="0" xfId="9" applyFont="1"/>
    <xf numFmtId="0" fontId="9" fillId="0" borderId="1" xfId="9" applyFont="1" applyBorder="1" applyAlignment="1" applyProtection="1">
      <alignment vertical="top" wrapText="1"/>
      <protection locked="0"/>
    </xf>
    <xf numFmtId="0" fontId="12" fillId="0" borderId="1" xfId="9" applyFont="1" applyBorder="1" applyAlignment="1" applyProtection="1">
      <alignment vertical="top"/>
      <protection locked="0"/>
    </xf>
    <xf numFmtId="1" fontId="10" fillId="0" borderId="0" xfId="9" applyNumberFormat="1" applyFont="1"/>
    <xf numFmtId="14" fontId="10" fillId="0" borderId="0" xfId="9" applyNumberFormat="1" applyFont="1"/>
    <xf numFmtId="0" fontId="10" fillId="0" borderId="0" xfId="9" applyFont="1" applyProtection="1">
      <protection hidden="1"/>
    </xf>
    <xf numFmtId="0" fontId="7" fillId="0" borderId="18" xfId="9" applyFont="1" applyBorder="1" applyAlignment="1" applyProtection="1">
      <alignment horizontal="center" vertical="top"/>
      <protection locked="0"/>
    </xf>
    <xf numFmtId="0" fontId="7" fillId="0" borderId="1" xfId="9" applyFont="1" applyBorder="1" applyAlignment="1" applyProtection="1">
      <alignment horizontal="center" vertical="top"/>
      <protection locked="0"/>
    </xf>
    <xf numFmtId="0" fontId="10" fillId="0" borderId="1" xfId="9" applyFont="1" applyBorder="1" applyAlignment="1" applyProtection="1">
      <alignment horizontal="center" vertical="top"/>
      <protection locked="0"/>
    </xf>
    <xf numFmtId="0" fontId="9" fillId="0" borderId="1" xfId="9" applyFont="1" applyBorder="1" applyAlignment="1" applyProtection="1">
      <alignment horizontal="center" vertical="top"/>
      <protection locked="0"/>
    </xf>
    <xf numFmtId="0" fontId="7" fillId="0" borderId="19" xfId="9" applyFont="1" applyBorder="1" applyAlignment="1" applyProtection="1">
      <alignment horizontal="center" vertical="top"/>
      <protection locked="0"/>
    </xf>
    <xf numFmtId="0" fontId="10" fillId="0" borderId="1" xfId="9" applyFont="1" applyBorder="1" applyAlignment="1" applyProtection="1">
      <alignment horizontal="center" vertical="top" wrapText="1"/>
      <protection locked="0"/>
    </xf>
    <xf numFmtId="9" fontId="10" fillId="0" borderId="1" xfId="3" applyFont="1" applyFill="1" applyBorder="1" applyAlignment="1" applyProtection="1">
      <alignment horizontal="center" vertical="top" wrapText="1"/>
      <protection locked="0"/>
    </xf>
    <xf numFmtId="1" fontId="10" fillId="0" borderId="1" xfId="9" applyNumberFormat="1" applyFont="1" applyBorder="1" applyAlignment="1" applyProtection="1">
      <alignment horizontal="center" vertical="top" wrapText="1"/>
      <protection locked="0"/>
    </xf>
    <xf numFmtId="0" fontId="10" fillId="0" borderId="24" xfId="9" applyFont="1" applyBorder="1" applyAlignment="1" applyProtection="1">
      <alignment horizontal="center" vertical="top" wrapText="1"/>
      <protection locked="0"/>
    </xf>
    <xf numFmtId="9" fontId="10" fillId="0" borderId="24" xfId="3" applyFont="1" applyFill="1" applyBorder="1" applyAlignment="1" applyProtection="1">
      <alignment horizontal="center" vertical="top" wrapText="1"/>
      <protection locked="0"/>
    </xf>
    <xf numFmtId="0" fontId="16" fillId="0" borderId="0" xfId="9" applyFont="1"/>
    <xf numFmtId="0" fontId="17" fillId="2" borderId="28" xfId="0" applyFont="1" applyFill="1" applyBorder="1"/>
    <xf numFmtId="0" fontId="18" fillId="0" borderId="29" xfId="0" applyFont="1" applyBorder="1"/>
    <xf numFmtId="0" fontId="18" fillId="0" borderId="1" xfId="0" applyFont="1" applyBorder="1"/>
    <xf numFmtId="0" fontId="18" fillId="0" borderId="19" xfId="0" applyFont="1" applyBorder="1"/>
    <xf numFmtId="0" fontId="19" fillId="0" borderId="0" xfId="0" applyFont="1" applyProtection="1">
      <protection hidden="1"/>
    </xf>
    <xf numFmtId="0" fontId="10" fillId="0" borderId="22" xfId="9" applyFont="1" applyBorder="1"/>
    <xf numFmtId="0" fontId="19" fillId="0" borderId="22" xfId="0" applyFont="1" applyBorder="1" applyProtection="1">
      <protection hidden="1"/>
    </xf>
    <xf numFmtId="1" fontId="0" fillId="0" borderId="22" xfId="0" applyNumberFormat="1" applyBorder="1"/>
    <xf numFmtId="1" fontId="0" fillId="0" borderId="22" xfId="0" applyNumberFormat="1" applyBorder="1" applyAlignment="1">
      <alignment horizontal="right"/>
    </xf>
    <xf numFmtId="0" fontId="19" fillId="0" borderId="30" xfId="0" applyFont="1" applyBorder="1" applyProtection="1">
      <protection hidden="1"/>
    </xf>
    <xf numFmtId="1" fontId="0" fillId="0" borderId="27" xfId="0" applyNumberFormat="1" applyBorder="1"/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0" xfId="9" applyNumberFormat="1" applyFont="1" applyBorder="1" applyAlignment="1" applyProtection="1">
      <alignment horizontal="center" vertical="top" wrapText="1"/>
      <protection locked="0"/>
    </xf>
    <xf numFmtId="9" fontId="12" fillId="0" borderId="31" xfId="3" applyFont="1" applyFill="1" applyBorder="1" applyAlignment="1" applyProtection="1">
      <alignment horizontal="center" vertical="top" wrapText="1"/>
      <protection locked="0"/>
    </xf>
    <xf numFmtId="1" fontId="9" fillId="0" borderId="1" xfId="9" applyNumberFormat="1" applyFont="1" applyBorder="1" applyAlignment="1" applyProtection="1">
      <alignment horizontal="center" vertical="center" wrapText="1"/>
      <protection locked="0"/>
    </xf>
    <xf numFmtId="1" fontId="10" fillId="0" borderId="1" xfId="9" applyNumberFormat="1" applyFont="1" applyBorder="1" applyAlignment="1">
      <alignment horizontal="center" vertical="center"/>
    </xf>
    <xf numFmtId="1" fontId="10" fillId="0" borderId="0" xfId="9" applyNumberFormat="1" applyFont="1" applyAlignment="1">
      <alignment horizontal="center" vertical="center"/>
    </xf>
    <xf numFmtId="1" fontId="10" fillId="0" borderId="0" xfId="2" applyNumberFormat="1" applyFont="1" applyAlignment="1">
      <alignment horizontal="center" vertical="center"/>
    </xf>
    <xf numFmtId="0" fontId="12" fillId="0" borderId="0" xfId="9" applyFont="1" applyAlignment="1" applyProtection="1">
      <alignment vertical="top"/>
      <protection locked="0"/>
    </xf>
    <xf numFmtId="0" fontId="12" fillId="0" borderId="0" xfId="9" applyFont="1" applyAlignment="1" applyProtection="1">
      <alignment vertical="top" wrapText="1"/>
      <protection locked="0"/>
    </xf>
    <xf numFmtId="0" fontId="15" fillId="0" borderId="0" xfId="9" applyFont="1" applyProtection="1">
      <protection locked="0"/>
    </xf>
    <xf numFmtId="0" fontId="10" fillId="0" borderId="1" xfId="9" applyFont="1" applyBorder="1" applyAlignment="1" applyProtection="1">
      <alignment horizontal="center" vertical="top" wrapText="1"/>
      <protection locked="0"/>
    </xf>
    <xf numFmtId="1" fontId="9" fillId="0" borderId="1" xfId="9" applyNumberFormat="1" applyFont="1" applyBorder="1" applyAlignment="1" applyProtection="1">
      <alignment horizontal="center" vertical="center" wrapText="1"/>
      <protection locked="0"/>
    </xf>
    <xf numFmtId="1" fontId="28" fillId="0" borderId="1" xfId="9" applyNumberFormat="1" applyFont="1" applyBorder="1" applyAlignment="1">
      <alignment horizontal="center" vertical="center"/>
    </xf>
    <xf numFmtId="1" fontId="9" fillId="0" borderId="1" xfId="9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9" applyFont="1" applyBorder="1" applyAlignment="1" applyProtection="1">
      <alignment horizontal="center" vertical="top" wrapText="1"/>
      <protection locked="0"/>
    </xf>
    <xf numFmtId="0" fontId="7" fillId="0" borderId="1" xfId="9" applyFont="1" applyBorder="1" applyAlignment="1" applyProtection="1">
      <alignment horizontal="center" vertical="top"/>
      <protection locked="0"/>
    </xf>
    <xf numFmtId="0" fontId="17" fillId="2" borderId="14" xfId="0" applyFont="1" applyFill="1" applyBorder="1"/>
    <xf numFmtId="0" fontId="18" fillId="0" borderId="4" xfId="0" applyFont="1" applyBorder="1"/>
    <xf numFmtId="0" fontId="10" fillId="0" borderId="10" xfId="9" applyFont="1" applyBorder="1" applyAlignment="1" applyProtection="1">
      <alignment horizontal="center" vertical="top" wrapText="1"/>
      <protection locked="0"/>
    </xf>
    <xf numFmtId="9" fontId="10" fillId="0" borderId="10" xfId="3" applyFont="1" applyFill="1" applyBorder="1" applyAlignment="1" applyProtection="1">
      <alignment horizontal="center" vertical="top" wrapText="1"/>
      <protection locked="0"/>
    </xf>
    <xf numFmtId="1" fontId="12" fillId="0" borderId="1" xfId="9" applyNumberFormat="1" applyFont="1" applyBorder="1" applyAlignment="1" applyProtection="1">
      <alignment horizontal="center" vertical="top" wrapText="1"/>
      <protection locked="0"/>
    </xf>
    <xf numFmtId="9" fontId="12" fillId="0" borderId="1" xfId="3" applyFont="1" applyFill="1" applyBorder="1" applyAlignment="1" applyProtection="1">
      <alignment horizontal="center" vertical="top" wrapText="1"/>
      <protection locked="0"/>
    </xf>
    <xf numFmtId="0" fontId="13" fillId="0" borderId="1" xfId="9" applyFont="1" applyBorder="1" applyAlignment="1" applyProtection="1">
      <alignment horizontal="center" vertical="top" wrapText="1"/>
      <protection locked="0"/>
    </xf>
    <xf numFmtId="0" fontId="9" fillId="0" borderId="5" xfId="9" applyFont="1" applyBorder="1" applyAlignment="1" applyProtection="1">
      <alignment horizontal="left" vertical="top" wrapText="1"/>
      <protection locked="0"/>
    </xf>
    <xf numFmtId="0" fontId="9" fillId="0" borderId="6" xfId="9" applyFont="1" applyBorder="1" applyAlignment="1" applyProtection="1">
      <alignment horizontal="left" vertical="top" wrapText="1"/>
      <protection locked="0"/>
    </xf>
    <xf numFmtId="0" fontId="9" fillId="0" borderId="7" xfId="9" applyFont="1" applyBorder="1" applyAlignment="1" applyProtection="1">
      <alignment horizontal="left" vertical="top" wrapText="1"/>
      <protection locked="0"/>
    </xf>
    <xf numFmtId="0" fontId="9" fillId="0" borderId="8" xfId="9" applyFont="1" applyBorder="1" applyAlignment="1" applyProtection="1">
      <alignment horizontal="left" vertical="top" wrapText="1"/>
      <protection locked="0"/>
    </xf>
    <xf numFmtId="0" fontId="9" fillId="0" borderId="1" xfId="9" applyFont="1" applyBorder="1" applyAlignment="1" applyProtection="1">
      <alignment horizontal="left" vertical="top" wrapText="1"/>
      <protection locked="0"/>
    </xf>
    <xf numFmtId="0" fontId="7" fillId="0" borderId="1" xfId="9" applyFont="1" applyBorder="1" applyAlignment="1" applyProtection="1">
      <alignment horizontal="left" vertical="top"/>
      <protection locked="0"/>
    </xf>
    <xf numFmtId="9" fontId="10" fillId="0" borderId="1" xfId="3" applyFont="1" applyFill="1" applyBorder="1" applyAlignment="1" applyProtection="1">
      <alignment horizontal="center" vertical="center" wrapText="1"/>
      <protection locked="0"/>
    </xf>
    <xf numFmtId="1" fontId="12" fillId="0" borderId="1" xfId="9" applyNumberFormat="1" applyFont="1" applyBorder="1" applyAlignment="1" applyProtection="1">
      <alignment horizontal="center" vertical="top" wrapText="1"/>
      <protection locked="0"/>
    </xf>
    <xf numFmtId="9" fontId="10" fillId="0" borderId="5" xfId="3" applyFont="1" applyFill="1" applyBorder="1" applyAlignment="1" applyProtection="1">
      <alignment horizontal="center" vertical="center" wrapText="1"/>
      <protection locked="0"/>
    </xf>
    <xf numFmtId="9" fontId="10" fillId="0" borderId="6" xfId="3" applyFont="1" applyFill="1" applyBorder="1" applyAlignment="1" applyProtection="1">
      <alignment horizontal="center" vertical="center" wrapText="1"/>
      <protection locked="0"/>
    </xf>
    <xf numFmtId="9" fontId="10" fillId="0" borderId="11" xfId="3" applyFont="1" applyFill="1" applyBorder="1" applyAlignment="1" applyProtection="1">
      <alignment horizontal="center" vertical="center" wrapText="1"/>
      <protection locked="0"/>
    </xf>
    <xf numFmtId="9" fontId="10" fillId="0" borderId="21" xfId="3" applyFont="1" applyFill="1" applyBorder="1" applyAlignment="1" applyProtection="1">
      <alignment horizontal="center" vertical="center" wrapText="1"/>
      <protection locked="0"/>
    </xf>
    <xf numFmtId="9" fontId="10" fillId="0" borderId="20" xfId="3" applyFont="1" applyFill="1" applyBorder="1" applyAlignment="1" applyProtection="1">
      <alignment horizontal="center" vertical="center" wrapText="1"/>
      <protection locked="0"/>
    </xf>
    <xf numFmtId="9" fontId="10" fillId="0" borderId="22" xfId="3" applyFont="1" applyFill="1" applyBorder="1" applyAlignment="1" applyProtection="1">
      <alignment horizontal="center" vertical="center" wrapText="1"/>
      <protection locked="0"/>
    </xf>
    <xf numFmtId="9" fontId="10" fillId="0" borderId="25" xfId="3" applyFont="1" applyFill="1" applyBorder="1" applyAlignment="1" applyProtection="1">
      <alignment horizontal="center" vertical="center" wrapText="1"/>
      <protection locked="0"/>
    </xf>
    <xf numFmtId="9" fontId="10" fillId="0" borderId="26" xfId="3" applyFont="1" applyFill="1" applyBorder="1" applyAlignment="1" applyProtection="1">
      <alignment horizontal="center" vertical="center" wrapText="1"/>
      <protection locked="0"/>
    </xf>
    <xf numFmtId="9" fontId="10" fillId="0" borderId="27" xfId="3" applyFont="1" applyFill="1" applyBorder="1" applyAlignment="1" applyProtection="1">
      <alignment horizontal="center" vertical="center" wrapText="1"/>
      <protection locked="0"/>
    </xf>
    <xf numFmtId="0" fontId="9" fillId="0" borderId="1" xfId="9" applyFont="1" applyBorder="1" applyAlignment="1" applyProtection="1">
      <alignment horizontal="left" vertical="top"/>
      <protection locked="0"/>
    </xf>
    <xf numFmtId="0" fontId="22" fillId="0" borderId="1" xfId="9" applyFont="1" applyBorder="1" applyAlignment="1" applyProtection="1">
      <alignment horizontal="center" vertical="top" wrapText="1"/>
      <protection locked="0"/>
    </xf>
    <xf numFmtId="0" fontId="22" fillId="0" borderId="1" xfId="9" applyFont="1" applyFill="1" applyBorder="1" applyAlignment="1" applyProtection="1">
      <alignment horizontal="center" vertical="top" wrapText="1"/>
      <protection locked="0"/>
    </xf>
    <xf numFmtId="1" fontId="12" fillId="0" borderId="5" xfId="9" applyNumberFormat="1" applyFont="1" applyBorder="1" applyAlignment="1" applyProtection="1">
      <alignment horizontal="center" vertical="top" wrapText="1"/>
      <protection locked="0"/>
    </xf>
    <xf numFmtId="1" fontId="12" fillId="0" borderId="7" xfId="9" applyNumberFormat="1" applyFont="1" applyBorder="1" applyAlignment="1" applyProtection="1">
      <alignment horizontal="center" vertical="top" wrapText="1"/>
      <protection locked="0"/>
    </xf>
    <xf numFmtId="1" fontId="12" fillId="0" borderId="10" xfId="9" applyNumberFormat="1" applyFont="1" applyBorder="1" applyAlignment="1" applyProtection="1">
      <alignment horizontal="center" vertical="top" wrapText="1"/>
      <protection locked="0"/>
    </xf>
    <xf numFmtId="1" fontId="12" fillId="0" borderId="31" xfId="9" applyNumberFormat="1" applyFont="1" applyBorder="1" applyAlignment="1" applyProtection="1">
      <alignment horizontal="center" vertical="top" wrapText="1"/>
      <protection locked="0"/>
    </xf>
    <xf numFmtId="1" fontId="20" fillId="0" borderId="1" xfId="9" applyNumberFormat="1" applyFont="1" applyBorder="1" applyAlignment="1" applyProtection="1">
      <alignment horizontal="center" vertical="top" wrapText="1"/>
      <protection locked="0"/>
    </xf>
    <xf numFmtId="1" fontId="20" fillId="0" borderId="10" xfId="9" applyNumberFormat="1" applyFont="1" applyBorder="1" applyAlignment="1" applyProtection="1">
      <alignment horizontal="center" vertical="top" wrapText="1"/>
      <protection locked="0"/>
    </xf>
    <xf numFmtId="1" fontId="20" fillId="0" borderId="31" xfId="9" applyNumberFormat="1" applyFont="1" applyBorder="1" applyAlignment="1" applyProtection="1">
      <alignment horizontal="center" vertical="top" wrapText="1"/>
      <protection locked="0"/>
    </xf>
    <xf numFmtId="1" fontId="9" fillId="0" borderId="5" xfId="9" applyNumberFormat="1" applyFont="1" applyBorder="1" applyAlignment="1" applyProtection="1">
      <alignment horizontal="center" vertical="center" wrapText="1"/>
      <protection locked="0"/>
    </xf>
    <xf numFmtId="1" fontId="9" fillId="0" borderId="6" xfId="9" applyNumberFormat="1" applyFont="1" applyBorder="1" applyAlignment="1" applyProtection="1">
      <alignment horizontal="center" vertical="center" wrapText="1"/>
      <protection locked="0"/>
    </xf>
    <xf numFmtId="1" fontId="9" fillId="0" borderId="11" xfId="9" applyNumberFormat="1" applyFont="1" applyBorder="1" applyAlignment="1" applyProtection="1">
      <alignment horizontal="center" vertical="center" wrapText="1"/>
      <protection locked="0"/>
    </xf>
    <xf numFmtId="1" fontId="9" fillId="0" borderId="21" xfId="9" applyNumberFormat="1" applyFont="1" applyBorder="1" applyAlignment="1" applyProtection="1">
      <alignment horizontal="center" vertical="center" wrapText="1"/>
      <protection locked="0"/>
    </xf>
    <xf numFmtId="1" fontId="9" fillId="0" borderId="7" xfId="9" applyNumberFormat="1" applyFont="1" applyBorder="1" applyAlignment="1" applyProtection="1">
      <alignment horizontal="center" vertical="center" wrapText="1"/>
      <protection locked="0"/>
    </xf>
    <xf numFmtId="1" fontId="9" fillId="0" borderId="8" xfId="9" applyNumberFormat="1" applyFont="1" applyBorder="1" applyAlignment="1" applyProtection="1">
      <alignment horizontal="center" vertical="center" wrapText="1"/>
      <protection locked="0"/>
    </xf>
    <xf numFmtId="1" fontId="9" fillId="0" borderId="1" xfId="9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vertical="top" wrapText="1"/>
      <protection locked="0"/>
    </xf>
    <xf numFmtId="1" fontId="21" fillId="0" borderId="1" xfId="0" applyNumberFormat="1" applyFont="1" applyBorder="1" applyAlignment="1" applyProtection="1">
      <alignment vertical="top" wrapText="1"/>
      <protection locked="0"/>
    </xf>
    <xf numFmtId="0" fontId="12" fillId="0" borderId="1" xfId="9" applyFont="1" applyBorder="1" applyAlignment="1" applyProtection="1">
      <alignment vertical="top"/>
      <protection locked="0"/>
    </xf>
    <xf numFmtId="0" fontId="9" fillId="0" borderId="1" xfId="9" applyFont="1" applyBorder="1" applyAlignment="1" applyProtection="1">
      <alignment vertical="top"/>
      <protection locked="0"/>
    </xf>
    <xf numFmtId="1" fontId="9" fillId="0" borderId="2" xfId="9" applyNumberFormat="1" applyFont="1" applyBorder="1" applyAlignment="1" applyProtection="1">
      <alignment horizontal="center" vertical="center" wrapText="1"/>
      <protection locked="0"/>
    </xf>
    <xf numFmtId="1" fontId="9" fillId="0" borderId="4" xfId="9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horizontal="left" vertical="top" wrapText="1"/>
      <protection locked="0"/>
    </xf>
    <xf numFmtId="1" fontId="15" fillId="0" borderId="2" xfId="0" applyNumberFormat="1" applyFont="1" applyBorder="1" applyAlignment="1" applyProtection="1">
      <alignment vertical="top" wrapText="1"/>
      <protection locked="0"/>
    </xf>
    <xf numFmtId="1" fontId="15" fillId="0" borderId="3" xfId="0" applyNumberFormat="1" applyFont="1" applyBorder="1" applyAlignment="1" applyProtection="1">
      <alignment vertical="top" wrapText="1"/>
      <protection locked="0"/>
    </xf>
    <xf numFmtId="1" fontId="15" fillId="0" borderId="4" xfId="0" applyNumberFormat="1" applyFont="1" applyBorder="1" applyAlignment="1" applyProtection="1">
      <alignment vertical="top" wrapText="1"/>
      <protection locked="0"/>
    </xf>
    <xf numFmtId="1" fontId="13" fillId="0" borderId="2" xfId="0" applyNumberFormat="1" applyFont="1" applyBorder="1" applyAlignment="1" applyProtection="1">
      <alignment vertical="top" wrapText="1"/>
      <protection locked="0"/>
    </xf>
    <xf numFmtId="1" fontId="13" fillId="0" borderId="3" xfId="0" applyNumberFormat="1" applyFont="1" applyBorder="1" applyAlignment="1" applyProtection="1">
      <alignment vertical="top" wrapText="1"/>
      <protection locked="0"/>
    </xf>
    <xf numFmtId="1" fontId="13" fillId="0" borderId="4" xfId="0" applyNumberFormat="1" applyFont="1" applyBorder="1" applyAlignment="1" applyProtection="1">
      <alignment vertical="top" wrapText="1"/>
      <protection locked="0"/>
    </xf>
    <xf numFmtId="1" fontId="12" fillId="0" borderId="2" xfId="0" applyNumberFormat="1" applyFont="1" applyBorder="1" applyAlignment="1" applyProtection="1">
      <alignment vertical="top" wrapText="1"/>
      <protection locked="0"/>
    </xf>
    <xf numFmtId="1" fontId="12" fillId="0" borderId="3" xfId="0" applyNumberFormat="1" applyFont="1" applyBorder="1" applyAlignment="1" applyProtection="1">
      <alignment vertical="top" wrapText="1"/>
      <protection locked="0"/>
    </xf>
    <xf numFmtId="1" fontId="12" fillId="0" borderId="4" xfId="0" applyNumberFormat="1" applyFont="1" applyBorder="1" applyAlignment="1" applyProtection="1">
      <alignment vertical="top" wrapText="1"/>
      <protection locked="0"/>
    </xf>
    <xf numFmtId="1" fontId="29" fillId="0" borderId="1" xfId="0" applyNumberFormat="1" applyFont="1" applyBorder="1" applyAlignment="1" applyProtection="1">
      <alignment vertical="top" wrapText="1"/>
      <protection locked="0"/>
    </xf>
    <xf numFmtId="1" fontId="12" fillId="0" borderId="2" xfId="9" applyNumberFormat="1" applyFont="1" applyBorder="1" applyAlignment="1" applyProtection="1">
      <alignment horizontal="center" vertical="center" wrapText="1"/>
      <protection locked="0"/>
    </xf>
    <xf numFmtId="1" fontId="12" fillId="0" borderId="3" xfId="9" applyNumberFormat="1" applyFont="1" applyBorder="1" applyAlignment="1" applyProtection="1">
      <alignment horizontal="center" vertical="center" wrapText="1"/>
      <protection locked="0"/>
    </xf>
    <xf numFmtId="1" fontId="12" fillId="0" borderId="4" xfId="9" applyNumberFormat="1" applyFont="1" applyBorder="1" applyAlignment="1" applyProtection="1">
      <alignment horizontal="center" vertical="center" wrapText="1"/>
      <protection locked="0"/>
    </xf>
    <xf numFmtId="0" fontId="10" fillId="0" borderId="0" xfId="9" applyFont="1" applyAlignment="1">
      <alignment horizontal="center" vertical="center"/>
    </xf>
    <xf numFmtId="1" fontId="12" fillId="0" borderId="1" xfId="9" applyNumberFormat="1" applyFont="1" applyBorder="1" applyAlignment="1" applyProtection="1">
      <alignment horizontal="center" vertical="center" wrapText="1"/>
      <protection locked="0"/>
    </xf>
    <xf numFmtId="1" fontId="13" fillId="0" borderId="1" xfId="9" applyNumberFormat="1" applyFont="1" applyBorder="1" applyAlignment="1" applyProtection="1">
      <alignment horizontal="center" vertical="center" wrapText="1"/>
      <protection locked="0"/>
    </xf>
    <xf numFmtId="1" fontId="9" fillId="0" borderId="3" xfId="9" applyNumberFormat="1" applyFont="1" applyBorder="1" applyAlignment="1" applyProtection="1">
      <alignment horizontal="center" vertical="center" wrapText="1"/>
      <protection locked="0"/>
    </xf>
    <xf numFmtId="1" fontId="12" fillId="0" borderId="6" xfId="9" applyNumberFormat="1" applyFont="1" applyBorder="1" applyAlignment="1" applyProtection="1">
      <alignment horizontal="center" vertical="top" wrapText="1"/>
      <protection locked="0"/>
    </xf>
    <xf numFmtId="1" fontId="12" fillId="0" borderId="8" xfId="9" applyNumberFormat="1" applyFont="1" applyBorder="1" applyAlignment="1" applyProtection="1">
      <alignment horizontal="center" vertical="top" wrapText="1"/>
      <protection locked="0"/>
    </xf>
    <xf numFmtId="0" fontId="12" fillId="0" borderId="1" xfId="9" applyFont="1" applyBorder="1" applyAlignment="1" applyProtection="1">
      <alignment horizontal="center" vertical="top"/>
      <protection locked="0"/>
    </xf>
    <xf numFmtId="1" fontId="12" fillId="0" borderId="10" xfId="0" applyNumberFormat="1" applyFont="1" applyBorder="1" applyAlignment="1" applyProtection="1">
      <alignment horizontal="center" vertical="center" wrapText="1"/>
      <protection locked="0"/>
    </xf>
    <xf numFmtId="1" fontId="15" fillId="0" borderId="10" xfId="0" applyNumberFormat="1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1" fontId="15" fillId="0" borderId="10" xfId="0" applyNumberFormat="1" applyFont="1" applyBorder="1" applyAlignment="1" applyProtection="1">
      <alignment horizontal="center" vertical="top" wrapText="1"/>
      <protection locked="0"/>
    </xf>
    <xf numFmtId="0" fontId="15" fillId="0" borderId="10" xfId="0" applyFont="1" applyBorder="1" applyAlignment="1" applyProtection="1">
      <alignment horizontal="center" vertical="top" wrapText="1"/>
      <protection locked="0"/>
    </xf>
    <xf numFmtId="1" fontId="12" fillId="0" borderId="35" xfId="0" applyNumberFormat="1" applyFont="1" applyBorder="1" applyAlignment="1" applyProtection="1">
      <alignment horizontal="center" vertical="center" wrapText="1"/>
      <protection locked="0"/>
    </xf>
    <xf numFmtId="1" fontId="12" fillId="0" borderId="36" xfId="0" applyNumberFormat="1" applyFont="1" applyBorder="1" applyAlignment="1" applyProtection="1">
      <alignment horizontal="center" vertical="center" wrapText="1"/>
      <protection locked="0"/>
    </xf>
    <xf numFmtId="1" fontId="15" fillId="0" borderId="36" xfId="0" applyNumberFormat="1" applyFont="1" applyBorder="1" applyAlignment="1" applyProtection="1">
      <alignment horizontal="center" vertical="center"/>
      <protection locked="0"/>
    </xf>
    <xf numFmtId="1" fontId="15" fillId="0" borderId="36" xfId="0" applyNumberFormat="1" applyFont="1" applyBorder="1" applyAlignment="1" applyProtection="1">
      <alignment horizontal="center" vertical="top" wrapText="1"/>
      <protection locked="0"/>
    </xf>
    <xf numFmtId="1" fontId="12" fillId="0" borderId="36" xfId="0" applyNumberFormat="1" applyFont="1" applyBorder="1" applyAlignment="1" applyProtection="1">
      <alignment horizontal="center" vertical="top" wrapText="1"/>
      <protection locked="0"/>
    </xf>
    <xf numFmtId="1" fontId="12" fillId="0" borderId="37" xfId="0" applyNumberFormat="1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top" wrapText="1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1" fontId="15" fillId="0" borderId="1" xfId="0" applyNumberFormat="1" applyFont="1" applyBorder="1" applyAlignment="1" applyProtection="1">
      <alignment horizontal="center" vertical="center"/>
      <protection locked="0"/>
    </xf>
    <xf numFmtId="167" fontId="7" fillId="0" borderId="1" xfId="1" applyNumberFormat="1" applyFont="1" applyFill="1" applyBorder="1" applyAlignment="1" applyProtection="1">
      <alignment horizontal="left" vertical="top"/>
      <protection locked="0"/>
    </xf>
    <xf numFmtId="167" fontId="28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1" xfId="9" applyFont="1" applyBorder="1" applyAlignment="1" applyProtection="1">
      <alignment horizontal="left" vertical="top"/>
      <protection locked="0"/>
    </xf>
    <xf numFmtId="0" fontId="10" fillId="0" borderId="1" xfId="9" applyFont="1" applyBorder="1" applyAlignment="1" applyProtection="1">
      <alignment horizontal="center" vertical="top" wrapText="1"/>
      <protection locked="0"/>
    </xf>
    <xf numFmtId="0" fontId="12" fillId="0" borderId="1" xfId="9" applyFont="1" applyBorder="1" applyAlignment="1" applyProtection="1">
      <alignment horizontal="left" vertical="top" wrapText="1"/>
      <protection locked="0"/>
    </xf>
    <xf numFmtId="0" fontId="13" fillId="0" borderId="1" xfId="9" applyFont="1" applyBorder="1" applyAlignment="1" applyProtection="1">
      <alignment horizontal="left" vertical="top"/>
      <protection locked="0"/>
    </xf>
    <xf numFmtId="0" fontId="13" fillId="0" borderId="1" xfId="9" applyFont="1" applyBorder="1" applyAlignment="1" applyProtection="1">
      <alignment horizontal="left" vertical="top" wrapText="1"/>
      <protection locked="0"/>
    </xf>
    <xf numFmtId="0" fontId="10" fillId="0" borderId="18" xfId="9" applyFont="1" applyBorder="1" applyAlignment="1" applyProtection="1">
      <alignment horizontal="center" vertical="top" wrapText="1"/>
      <protection locked="0"/>
    </xf>
    <xf numFmtId="0" fontId="10" fillId="0" borderId="34" xfId="9" applyFont="1" applyBorder="1" applyAlignment="1" applyProtection="1">
      <alignment horizontal="center" vertical="top" wrapText="1"/>
      <protection locked="0"/>
    </xf>
    <xf numFmtId="0" fontId="10" fillId="0" borderId="10" xfId="9" applyFont="1" applyBorder="1" applyAlignment="1" applyProtection="1">
      <alignment horizontal="center" vertical="top" wrapText="1"/>
      <protection locked="0"/>
    </xf>
    <xf numFmtId="0" fontId="12" fillId="0" borderId="32" xfId="9" applyFont="1" applyBorder="1" applyAlignment="1" applyProtection="1">
      <alignment horizontal="left" vertical="top" wrapText="1"/>
      <protection locked="0"/>
    </xf>
    <xf numFmtId="0" fontId="12" fillId="0" borderId="8" xfId="9" applyFont="1" applyBorder="1" applyAlignment="1" applyProtection="1">
      <alignment horizontal="left" vertical="top" wrapText="1"/>
      <protection locked="0"/>
    </xf>
    <xf numFmtId="0" fontId="12" fillId="0" borderId="7" xfId="9" applyFont="1" applyBorder="1" applyAlignment="1" applyProtection="1">
      <alignment horizontal="left" vertical="top" wrapText="1"/>
      <protection locked="0"/>
    </xf>
    <xf numFmtId="0" fontId="12" fillId="0" borderId="12" xfId="9" applyFont="1" applyBorder="1" applyAlignment="1" applyProtection="1">
      <alignment horizontal="left" vertical="top" wrapText="1"/>
      <protection locked="0"/>
    </xf>
    <xf numFmtId="0" fontId="12" fillId="0" borderId="33" xfId="9" applyFont="1" applyBorder="1" applyAlignment="1" applyProtection="1">
      <alignment horizontal="left" vertical="top" wrapText="1"/>
      <protection locked="0"/>
    </xf>
    <xf numFmtId="0" fontId="13" fillId="0" borderId="18" xfId="9" applyFont="1" applyBorder="1" applyAlignment="1" applyProtection="1">
      <alignment horizontal="left" vertical="top"/>
      <protection locked="0"/>
    </xf>
    <xf numFmtId="0" fontId="13" fillId="0" borderId="19" xfId="9" applyFont="1" applyBorder="1" applyAlignment="1" applyProtection="1">
      <alignment horizontal="left" vertical="top" wrapText="1"/>
      <protection locked="0"/>
    </xf>
    <xf numFmtId="0" fontId="10" fillId="0" borderId="19" xfId="9" applyFont="1" applyBorder="1" applyAlignment="1" applyProtection="1">
      <alignment horizontal="center" vertical="top" wrapText="1"/>
      <protection locked="0"/>
    </xf>
    <xf numFmtId="0" fontId="10" fillId="0" borderId="23" xfId="9" applyFont="1" applyBorder="1" applyAlignment="1" applyProtection="1">
      <alignment horizontal="center" vertical="top" wrapText="1"/>
      <protection locked="0"/>
    </xf>
    <xf numFmtId="0" fontId="10" fillId="0" borderId="24" xfId="9" applyFont="1" applyBorder="1" applyAlignment="1" applyProtection="1">
      <alignment horizontal="center" vertical="top" wrapText="1"/>
      <protection locked="0"/>
    </xf>
    <xf numFmtId="0" fontId="12" fillId="0" borderId="13" xfId="9" applyFont="1" applyBorder="1" applyAlignment="1" applyProtection="1">
      <alignment horizontal="left" vertical="top" wrapText="1"/>
      <protection locked="0"/>
    </xf>
    <xf numFmtId="0" fontId="12" fillId="0" borderId="14" xfId="9" applyFont="1" applyBorder="1" applyAlignment="1" applyProtection="1">
      <alignment horizontal="left" vertical="top" wrapText="1"/>
      <protection locked="0"/>
    </xf>
    <xf numFmtId="0" fontId="12" fillId="0" borderId="15" xfId="9" applyFont="1" applyBorder="1" applyAlignment="1" applyProtection="1">
      <alignment horizontal="left" vertical="top" wrapText="1"/>
      <protection locked="0"/>
    </xf>
    <xf numFmtId="0" fontId="12" fillId="0" borderId="16" xfId="9" applyFont="1" applyBorder="1" applyAlignment="1" applyProtection="1">
      <alignment horizontal="left" vertical="top" wrapText="1"/>
      <protection locked="0"/>
    </xf>
    <xf numFmtId="0" fontId="12" fillId="0" borderId="17" xfId="9" applyFont="1" applyBorder="1" applyAlignment="1" applyProtection="1">
      <alignment horizontal="left" vertical="top" wrapText="1"/>
      <protection locked="0"/>
    </xf>
    <xf numFmtId="0" fontId="10" fillId="0" borderId="1" xfId="9" applyFont="1" applyBorder="1" applyAlignment="1" applyProtection="1">
      <alignment horizontal="left" vertical="top"/>
      <protection locked="0"/>
    </xf>
    <xf numFmtId="0" fontId="7" fillId="0" borderId="1" xfId="9" applyFont="1" applyBorder="1" applyAlignment="1" applyProtection="1">
      <alignment horizontal="left" vertical="top" wrapText="1"/>
      <protection locked="0"/>
    </xf>
    <xf numFmtId="0" fontId="9" fillId="0" borderId="10" xfId="9" applyFont="1" applyBorder="1" applyAlignment="1" applyProtection="1">
      <alignment horizontal="left" vertical="top"/>
      <protection locked="0"/>
    </xf>
    <xf numFmtId="0" fontId="7" fillId="0" borderId="10" xfId="9" applyFont="1" applyBorder="1" applyAlignment="1" applyProtection="1">
      <alignment horizontal="left" vertical="top" wrapText="1"/>
      <protection locked="0"/>
    </xf>
    <xf numFmtId="0" fontId="9" fillId="0" borderId="10" xfId="9" applyFont="1" applyBorder="1" applyAlignment="1" applyProtection="1">
      <alignment horizontal="left" vertical="top" wrapText="1"/>
      <protection locked="0"/>
    </xf>
    <xf numFmtId="0" fontId="7" fillId="0" borderId="5" xfId="9" applyFont="1" applyBorder="1" applyAlignment="1" applyProtection="1">
      <alignment horizontal="left" vertical="top" wrapText="1"/>
      <protection locked="0"/>
    </xf>
    <xf numFmtId="0" fontId="7" fillId="0" borderId="9" xfId="9" applyFont="1" applyBorder="1" applyAlignment="1" applyProtection="1">
      <alignment horizontal="left" vertical="top" wrapText="1"/>
      <protection locked="0"/>
    </xf>
    <xf numFmtId="0" fontId="7" fillId="0" borderId="6" xfId="9" applyFont="1" applyBorder="1" applyAlignment="1" applyProtection="1">
      <alignment horizontal="left" vertical="top" wrapText="1"/>
      <protection locked="0"/>
    </xf>
    <xf numFmtId="0" fontId="10" fillId="0" borderId="10" xfId="9" applyFont="1" applyBorder="1" applyAlignment="1" applyProtection="1">
      <alignment horizontal="left" vertical="top" wrapText="1"/>
      <protection locked="0"/>
    </xf>
    <xf numFmtId="0" fontId="10" fillId="0" borderId="10" xfId="9" applyFont="1" applyBorder="1" applyAlignment="1" applyProtection="1">
      <alignment horizontal="left" vertical="top"/>
      <protection locked="0"/>
    </xf>
    <xf numFmtId="0" fontId="6" fillId="0" borderId="1" xfId="9" applyFont="1" applyBorder="1" applyAlignment="1" applyProtection="1">
      <alignment horizontal="left" vertical="top"/>
      <protection locked="0"/>
    </xf>
    <xf numFmtId="1" fontId="9" fillId="0" borderId="1" xfId="9" applyNumberFormat="1" applyFont="1" applyBorder="1" applyAlignment="1" applyProtection="1">
      <alignment horizontal="left" vertical="top" wrapText="1"/>
      <protection locked="0"/>
    </xf>
    <xf numFmtId="0" fontId="7" fillId="0" borderId="11" xfId="9" applyFont="1" applyBorder="1" applyAlignment="1" applyProtection="1">
      <alignment horizontal="left" vertical="top" wrapText="1"/>
      <protection locked="0"/>
    </xf>
    <xf numFmtId="0" fontId="7" fillId="0" borderId="0" xfId="9" applyFont="1" applyAlignment="1" applyProtection="1">
      <alignment horizontal="left" vertical="top" wrapText="1"/>
      <protection locked="0"/>
    </xf>
    <xf numFmtId="0" fontId="7" fillId="0" borderId="7" xfId="9" applyFont="1" applyBorder="1" applyAlignment="1" applyProtection="1">
      <alignment horizontal="left" vertical="top" wrapText="1"/>
      <protection locked="0"/>
    </xf>
    <xf numFmtId="0" fontId="7" fillId="0" borderId="12" xfId="9" applyFont="1" applyBorder="1" applyAlignment="1" applyProtection="1">
      <alignment horizontal="left" vertical="top" wrapText="1"/>
      <protection locked="0"/>
    </xf>
    <xf numFmtId="0" fontId="9" fillId="0" borderId="2" xfId="9" applyFont="1" applyBorder="1" applyAlignment="1" applyProtection="1">
      <alignment horizontal="left" vertical="top" wrapText="1"/>
      <protection locked="0"/>
    </xf>
    <xf numFmtId="0" fontId="9" fillId="0" borderId="3" xfId="9" applyFont="1" applyBorder="1" applyAlignment="1" applyProtection="1">
      <alignment horizontal="left" vertical="top" wrapText="1"/>
      <protection locked="0"/>
    </xf>
    <xf numFmtId="0" fontId="9" fillId="0" borderId="4" xfId="9" applyFont="1" applyBorder="1" applyAlignment="1" applyProtection="1">
      <alignment horizontal="left" vertical="top" wrapText="1"/>
      <protection locked="0"/>
    </xf>
    <xf numFmtId="0" fontId="12" fillId="0" borderId="2" xfId="9" applyFont="1" applyBorder="1" applyAlignment="1" applyProtection="1">
      <alignment horizontal="left" vertical="top" wrapText="1"/>
      <protection locked="0"/>
    </xf>
    <xf numFmtId="0" fontId="12" fillId="0" borderId="4" xfId="9" applyFont="1" applyBorder="1" applyAlignment="1" applyProtection="1">
      <alignment horizontal="left" vertical="top" wrapText="1"/>
      <protection locked="0"/>
    </xf>
    <xf numFmtId="0" fontId="12" fillId="0" borderId="3" xfId="9" applyFont="1" applyBorder="1" applyAlignment="1" applyProtection="1">
      <alignment horizontal="left" vertical="top" wrapText="1"/>
      <protection locked="0"/>
    </xf>
    <xf numFmtId="0" fontId="12" fillId="0" borderId="2" xfId="9" applyFont="1" applyBorder="1" applyAlignment="1" applyProtection="1">
      <alignment horizontal="left" vertical="top"/>
      <protection locked="0"/>
    </xf>
    <xf numFmtId="0" fontId="12" fillId="0" borderId="4" xfId="9" applyFont="1" applyBorder="1" applyAlignment="1" applyProtection="1">
      <alignment horizontal="left" vertical="top"/>
      <protection locked="0"/>
    </xf>
    <xf numFmtId="0" fontId="7" fillId="0" borderId="1" xfId="9" applyFont="1" applyFill="1" applyBorder="1" applyAlignment="1" applyProtection="1">
      <alignment horizontal="left" vertical="top" wrapText="1"/>
      <protection locked="0"/>
    </xf>
    <xf numFmtId="0" fontId="7" fillId="0" borderId="1" xfId="9" applyFont="1" applyFill="1" applyBorder="1" applyAlignment="1" applyProtection="1">
      <alignment horizontal="left" vertical="top"/>
      <protection locked="0"/>
    </xf>
    <xf numFmtId="0" fontId="10" fillId="0" borderId="2" xfId="9" applyFont="1" applyBorder="1" applyAlignment="1" applyProtection="1">
      <alignment horizontal="left" vertical="top" wrapText="1"/>
      <protection locked="0"/>
    </xf>
    <xf numFmtId="0" fontId="10" fillId="0" borderId="4" xfId="9" applyFont="1" applyBorder="1" applyAlignment="1" applyProtection="1">
      <alignment horizontal="left" vertical="top" wrapText="1"/>
      <protection locked="0"/>
    </xf>
    <xf numFmtId="0" fontId="15" fillId="0" borderId="2" xfId="9" applyFont="1" applyBorder="1" applyAlignment="1" applyProtection="1">
      <alignment horizontal="left" vertical="top"/>
      <protection locked="0"/>
    </xf>
    <xf numFmtId="0" fontId="15" fillId="0" borderId="3" xfId="9" applyFont="1" applyBorder="1" applyAlignment="1" applyProtection="1">
      <alignment horizontal="left" vertical="top"/>
      <protection locked="0"/>
    </xf>
    <xf numFmtId="0" fontId="15" fillId="0" borderId="4" xfId="9" applyFont="1" applyBorder="1" applyAlignment="1" applyProtection="1">
      <alignment horizontal="left" vertical="top"/>
      <protection locked="0"/>
    </xf>
    <xf numFmtId="14" fontId="9" fillId="0" borderId="2" xfId="9" applyNumberFormat="1" applyFont="1" applyBorder="1" applyAlignment="1" applyProtection="1">
      <alignment horizontal="left" vertical="top" wrapText="1"/>
      <protection locked="0"/>
    </xf>
    <xf numFmtId="166" fontId="9" fillId="0" borderId="1" xfId="9" applyNumberFormat="1" applyFont="1" applyBorder="1" applyAlignment="1" applyProtection="1">
      <alignment horizontal="left" vertical="top"/>
      <protection locked="0"/>
    </xf>
    <xf numFmtId="2" fontId="9" fillId="0" borderId="1" xfId="9" applyNumberFormat="1" applyFont="1" applyBorder="1" applyAlignment="1" applyProtection="1">
      <alignment horizontal="left" vertical="top"/>
      <protection locked="0"/>
    </xf>
    <xf numFmtId="0" fontId="15" fillId="0" borderId="1" xfId="9" applyFont="1" applyBorder="1" applyAlignment="1" applyProtection="1">
      <alignment horizontal="left" vertical="top"/>
      <protection locked="0"/>
    </xf>
    <xf numFmtId="0" fontId="14" fillId="0" borderId="1" xfId="4" applyFill="1" applyBorder="1" applyAlignment="1" applyProtection="1">
      <alignment horizontal="left" vertical="top" wrapText="1"/>
      <protection locked="0"/>
    </xf>
    <xf numFmtId="2" fontId="9" fillId="0" borderId="1" xfId="9" applyNumberFormat="1" applyFont="1" applyBorder="1" applyAlignment="1" applyProtection="1">
      <alignment horizontal="left" vertical="top" wrapText="1"/>
      <protection locked="0"/>
    </xf>
    <xf numFmtId="0" fontId="7" fillId="0" borderId="1" xfId="9" applyFont="1" applyBorder="1" applyAlignment="1" applyProtection="1">
      <alignment horizontal="center"/>
      <protection locked="0"/>
    </xf>
    <xf numFmtId="0" fontId="7" fillId="0" borderId="1" xfId="9" applyFont="1" applyBorder="1" applyAlignment="1" applyProtection="1">
      <alignment horizontal="center" vertical="top"/>
      <protection locked="0"/>
    </xf>
    <xf numFmtId="0" fontId="13" fillId="0" borderId="1" xfId="9" applyFont="1" applyBorder="1" applyAlignment="1" applyProtection="1">
      <alignment horizontal="center"/>
      <protection locked="0"/>
    </xf>
    <xf numFmtId="0" fontId="13" fillId="0" borderId="1" xfId="9" applyFont="1" applyBorder="1" applyAlignment="1" applyProtection="1">
      <alignment horizontal="center" vertical="top"/>
      <protection locked="0"/>
    </xf>
    <xf numFmtId="0" fontId="10" fillId="0" borderId="1" xfId="9" applyFont="1" applyBorder="1" applyAlignment="1" applyProtection="1">
      <alignment horizontal="left" vertical="top" wrapText="1"/>
      <protection locked="0"/>
    </xf>
    <xf numFmtId="0" fontId="10" fillId="0" borderId="1" xfId="9" applyFont="1" applyBorder="1" applyAlignment="1" applyProtection="1">
      <alignment horizontal="left"/>
      <protection locked="0"/>
    </xf>
    <xf numFmtId="0" fontId="10" fillId="0" borderId="11" xfId="9" applyFont="1" applyBorder="1" applyAlignment="1">
      <alignment horizontal="center"/>
    </xf>
    <xf numFmtId="0" fontId="10" fillId="0" borderId="0" xfId="9" applyFont="1" applyAlignment="1">
      <alignment horizontal="center"/>
    </xf>
    <xf numFmtId="0" fontId="11" fillId="0" borderId="1" xfId="9" applyFont="1" applyBorder="1" applyAlignment="1" applyProtection="1">
      <alignment horizontal="center" vertical="top" wrapText="1"/>
      <protection locked="0"/>
    </xf>
    <xf numFmtId="14" fontId="7" fillId="0" borderId="1" xfId="9" applyNumberFormat="1" applyFont="1" applyBorder="1" applyAlignment="1" applyProtection="1">
      <alignment horizontal="left" vertical="top"/>
      <protection locked="0"/>
    </xf>
    <xf numFmtId="0" fontId="3" fillId="0" borderId="1" xfId="11" applyFont="1" applyBorder="1" applyAlignment="1">
      <alignment horizontal="left"/>
    </xf>
  </cellXfs>
  <cellStyles count="12">
    <cellStyle name="Comma" xfId="1" builtinId="3"/>
    <cellStyle name="Comma 2" xfId="5"/>
    <cellStyle name="Currency" xfId="2" builtinId="4"/>
    <cellStyle name="Excel Built-in Normal" xfId="6"/>
    <cellStyle name="Excel Built-in Normal 2" xfId="7"/>
    <cellStyle name="Hyperlink" xfId="4" builtinId="8"/>
    <cellStyle name="Normal" xfId="0" builtinId="0"/>
    <cellStyle name="Normal 2" xfId="8"/>
    <cellStyle name="Normal 3" xfId="9"/>
    <cellStyle name="Normal 3 3" xfId="10"/>
    <cellStyle name="Normal 4" xfId="1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144693</xdr:colOff>
      <xdr:row>595</xdr:row>
      <xdr:rowOff>17465</xdr:rowOff>
    </xdr:from>
    <xdr:to>
      <xdr:col>6</xdr:col>
      <xdr:colOff>720798</xdr:colOff>
      <xdr:row>614</xdr:row>
      <xdr:rowOff>123264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screen"/>
        <a:srcRect/>
        <a:stretch>
          <a:fillRect/>
        </a:stretch>
      </xdr:blipFill>
      <xdr:spPr>
        <a:xfrm>
          <a:off x="906145" y="101673025"/>
          <a:ext cx="4729480" cy="390652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265590</xdr:colOff>
      <xdr:row>552</xdr:row>
      <xdr:rowOff>22412</xdr:rowOff>
    </xdr:from>
    <xdr:to>
      <xdr:col>6</xdr:col>
      <xdr:colOff>586825</xdr:colOff>
      <xdr:row>570</xdr:row>
      <xdr:rowOff>32860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7430" y="92877005"/>
          <a:ext cx="4474210" cy="361061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88084</xdr:colOff>
      <xdr:row>570</xdr:row>
      <xdr:rowOff>139645</xdr:rowOff>
    </xdr:from>
    <xdr:to>
      <xdr:col>7</xdr:col>
      <xdr:colOff>57842</xdr:colOff>
      <xdr:row>593</xdr:row>
      <xdr:rowOff>88900</xdr:rowOff>
    </xdr:to>
    <xdr:grpSp>
      <xdr:nvGrpSpPr>
        <xdr:cNvPr id="28" name="Group 27"/>
        <xdr:cNvGrpSpPr/>
      </xdr:nvGrpSpPr>
      <xdr:grpSpPr>
        <a:xfrm>
          <a:off x="888184" y="108400795"/>
          <a:ext cx="5125958" cy="4476805"/>
          <a:chOff x="776814" y="87857568"/>
          <a:chExt cx="4893450" cy="4615528"/>
        </a:xfrm>
      </xdr:grpSpPr>
      <xdr:pic>
        <xdr:nvPicPr>
          <xdr:cNvPr id="11" name="Picture 10"/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776814" y="87857568"/>
            <a:ext cx="4893450" cy="4615528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2" name="Rectangle 11"/>
          <xdr:cNvSpPr/>
        </xdr:nvSpPr>
        <xdr:spPr>
          <a:xfrm rot="896777">
            <a:off x="1697227" y="90533662"/>
            <a:ext cx="483577" cy="1004352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13" name="Rectangle 12"/>
          <xdr:cNvSpPr/>
        </xdr:nvSpPr>
        <xdr:spPr>
          <a:xfrm rot="5697817">
            <a:off x="2549928" y="90883587"/>
            <a:ext cx="483577" cy="1052532"/>
          </a:xfrm>
          <a:prstGeom prst="rect">
            <a:avLst/>
          </a:prstGeom>
          <a:noFill/>
          <a:ln w="28575">
            <a:solidFill>
              <a:schemeClr val="tx1">
                <a:lumMod val="95000"/>
                <a:lumOff val="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14" name="Rectangle 13"/>
          <xdr:cNvSpPr/>
        </xdr:nvSpPr>
        <xdr:spPr>
          <a:xfrm rot="2517077">
            <a:off x="3728096" y="90552411"/>
            <a:ext cx="483577" cy="1052532"/>
          </a:xfrm>
          <a:prstGeom prst="rect">
            <a:avLst/>
          </a:prstGeom>
          <a:noFill/>
          <a:ln w="28575">
            <a:solidFill>
              <a:schemeClr val="accent2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15" name="Rectangle 14"/>
          <xdr:cNvSpPr/>
        </xdr:nvSpPr>
        <xdr:spPr>
          <a:xfrm rot="1211473">
            <a:off x="4226530" y="89403107"/>
            <a:ext cx="496090" cy="1021955"/>
          </a:xfrm>
          <a:prstGeom prst="rect">
            <a:avLst/>
          </a:prstGeom>
          <a:noFill/>
          <a:ln w="28575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16" name="Rectangle 15"/>
          <xdr:cNvSpPr/>
        </xdr:nvSpPr>
        <xdr:spPr>
          <a:xfrm rot="5915772">
            <a:off x="3364634" y="88420349"/>
            <a:ext cx="460059" cy="1016540"/>
          </a:xfrm>
          <a:prstGeom prst="rect">
            <a:avLst/>
          </a:prstGeom>
          <a:noFill/>
          <a:ln w="28575">
            <a:solidFill>
              <a:srgbClr val="7030A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17" name="Rectangle 16"/>
          <xdr:cNvSpPr/>
        </xdr:nvSpPr>
        <xdr:spPr>
          <a:xfrm rot="896777">
            <a:off x="2215739" y="88629704"/>
            <a:ext cx="483577" cy="1006447"/>
          </a:xfrm>
          <a:prstGeom prst="rect">
            <a:avLst/>
          </a:prstGeom>
          <a:noFill/>
          <a:ln w="28575">
            <a:solidFill>
              <a:schemeClr val="accent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18" name="Rectangle 17"/>
          <xdr:cNvSpPr/>
        </xdr:nvSpPr>
        <xdr:spPr>
          <a:xfrm rot="896777">
            <a:off x="1956109" y="89603254"/>
            <a:ext cx="483577" cy="941511"/>
          </a:xfrm>
          <a:prstGeom prst="rect">
            <a:avLst/>
          </a:prstGeom>
          <a:noFill/>
          <a:ln w="28575"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19" name="Rectangle 18"/>
          <xdr:cNvSpPr/>
        </xdr:nvSpPr>
        <xdr:spPr>
          <a:xfrm rot="5915772">
            <a:off x="4394991" y="88589375"/>
            <a:ext cx="460059" cy="984594"/>
          </a:xfrm>
          <a:prstGeom prst="rect">
            <a:avLst/>
          </a:prstGeom>
          <a:noFill/>
          <a:ln w="28575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20" name="TextBox 19"/>
          <xdr:cNvSpPr txBox="1"/>
        </xdr:nvSpPr>
        <xdr:spPr>
          <a:xfrm rot="17465567">
            <a:off x="1905001" y="89894020"/>
            <a:ext cx="747346" cy="3150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 b="1">
                <a:solidFill>
                  <a:schemeClr val="accent6">
                    <a:lumMod val="50000"/>
                  </a:schemeClr>
                </a:solidFill>
              </a:rPr>
              <a:t>Wing B</a:t>
            </a:r>
          </a:p>
        </xdr:txBody>
      </xdr:sp>
      <xdr:sp macro="" textlink="">
        <xdr:nvSpPr>
          <xdr:cNvPr id="21" name="TextBox 20"/>
          <xdr:cNvSpPr txBox="1"/>
        </xdr:nvSpPr>
        <xdr:spPr>
          <a:xfrm rot="17479553">
            <a:off x="2146789" y="88948844"/>
            <a:ext cx="747346" cy="3150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 b="1">
                <a:solidFill>
                  <a:schemeClr val="accent5">
                    <a:lumMod val="50000"/>
                  </a:schemeClr>
                </a:solidFill>
              </a:rPr>
              <a:t>Wing C</a:t>
            </a:r>
          </a:p>
        </xdr:txBody>
      </xdr:sp>
      <xdr:sp macro="" textlink="">
        <xdr:nvSpPr>
          <xdr:cNvPr id="22" name="TextBox 21"/>
          <xdr:cNvSpPr txBox="1"/>
        </xdr:nvSpPr>
        <xdr:spPr>
          <a:xfrm>
            <a:off x="4299438" y="89013323"/>
            <a:ext cx="747346" cy="3150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 b="1">
                <a:solidFill>
                  <a:srgbClr val="FFFF00"/>
                </a:solidFill>
              </a:rPr>
              <a:t>Wing E</a:t>
            </a:r>
          </a:p>
        </xdr:txBody>
      </xdr:sp>
      <xdr:sp macro="" textlink="">
        <xdr:nvSpPr>
          <xdr:cNvPr id="23" name="TextBox 22"/>
          <xdr:cNvSpPr txBox="1"/>
        </xdr:nvSpPr>
        <xdr:spPr>
          <a:xfrm rot="666856">
            <a:off x="3272203" y="88857992"/>
            <a:ext cx="747346" cy="3150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 b="1">
                <a:solidFill>
                  <a:srgbClr val="7030A0"/>
                </a:solidFill>
              </a:rPr>
              <a:t>Wing D</a:t>
            </a:r>
          </a:p>
        </xdr:txBody>
      </xdr:sp>
      <xdr:sp macro="" textlink="">
        <xdr:nvSpPr>
          <xdr:cNvPr id="24" name="TextBox 23"/>
          <xdr:cNvSpPr txBox="1"/>
        </xdr:nvSpPr>
        <xdr:spPr>
          <a:xfrm>
            <a:off x="4215911" y="89794373"/>
            <a:ext cx="747346" cy="3150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 b="1">
                <a:solidFill>
                  <a:srgbClr val="C00000"/>
                </a:solidFill>
              </a:rPr>
              <a:t>Wing F</a:t>
            </a:r>
          </a:p>
        </xdr:txBody>
      </xdr:sp>
      <xdr:sp macro="" textlink="">
        <xdr:nvSpPr>
          <xdr:cNvPr id="25" name="TextBox 24"/>
          <xdr:cNvSpPr txBox="1"/>
        </xdr:nvSpPr>
        <xdr:spPr>
          <a:xfrm rot="19019163">
            <a:off x="3672254" y="90891946"/>
            <a:ext cx="747346" cy="3150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 b="1">
                <a:solidFill>
                  <a:schemeClr val="accent2">
                    <a:lumMod val="50000"/>
                  </a:schemeClr>
                </a:solidFill>
              </a:rPr>
              <a:t>Wing G</a:t>
            </a:r>
          </a:p>
        </xdr:txBody>
      </xdr:sp>
      <xdr:sp macro="" textlink="">
        <xdr:nvSpPr>
          <xdr:cNvPr id="26" name="TextBox 25"/>
          <xdr:cNvSpPr txBox="1"/>
        </xdr:nvSpPr>
        <xdr:spPr>
          <a:xfrm>
            <a:off x="2476500" y="91381385"/>
            <a:ext cx="747346" cy="3150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 b="1">
                <a:solidFill>
                  <a:sysClr val="windowText" lastClr="000000"/>
                </a:solidFill>
              </a:rPr>
              <a:t>Wing H</a:t>
            </a:r>
          </a:p>
        </xdr:txBody>
      </xdr:sp>
      <xdr:sp macro="" textlink="">
        <xdr:nvSpPr>
          <xdr:cNvPr id="27" name="TextBox 26"/>
          <xdr:cNvSpPr txBox="1"/>
        </xdr:nvSpPr>
        <xdr:spPr>
          <a:xfrm rot="17201243">
            <a:off x="1632437" y="90830398"/>
            <a:ext cx="747346" cy="3150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 b="1">
                <a:solidFill>
                  <a:srgbClr val="FF0000"/>
                </a:solidFill>
              </a:rPr>
              <a:t>Wing A</a:t>
            </a:r>
          </a:p>
        </xdr:txBody>
      </xdr:sp>
    </xdr:grpSp>
    <xdr:clientData/>
  </xdr:twoCellAnchor>
  <xdr:twoCellAnchor editAs="oneCell">
    <xdr:from>
      <xdr:col>8</xdr:col>
      <xdr:colOff>974912</xdr:colOff>
      <xdr:row>193</xdr:row>
      <xdr:rowOff>0</xdr:rowOff>
    </xdr:from>
    <xdr:to>
      <xdr:col>13</xdr:col>
      <xdr:colOff>90332</xdr:colOff>
      <xdr:row>214</xdr:row>
      <xdr:rowOff>163985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56475" y="34168715"/>
          <a:ext cx="3477895" cy="4389755"/>
        </a:xfrm>
        <a:prstGeom prst="rect">
          <a:avLst/>
        </a:prstGeom>
      </xdr:spPr>
    </xdr:pic>
    <xdr:clientData/>
  </xdr:twoCellAnchor>
  <xdr:twoCellAnchor>
    <xdr:from>
      <xdr:col>0</xdr:col>
      <xdr:colOff>313765</xdr:colOff>
      <xdr:row>615</xdr:row>
      <xdr:rowOff>36851</xdr:rowOff>
    </xdr:from>
    <xdr:to>
      <xdr:col>7</xdr:col>
      <xdr:colOff>392206</xdr:colOff>
      <xdr:row>636</xdr:row>
      <xdr:rowOff>6350</xdr:rowOff>
    </xdr:to>
    <xdr:grpSp>
      <xdr:nvGrpSpPr>
        <xdr:cNvPr id="32" name="Group 31"/>
        <xdr:cNvGrpSpPr/>
      </xdr:nvGrpSpPr>
      <xdr:grpSpPr>
        <a:xfrm>
          <a:off x="313765" y="117156251"/>
          <a:ext cx="6034741" cy="4103349"/>
          <a:chOff x="257736" y="112174117"/>
          <a:chExt cx="5767065" cy="4393954"/>
        </a:xfrm>
      </xdr:grpSpPr>
      <xdr:pic>
        <xdr:nvPicPr>
          <xdr:cNvPr id="30" name="Picture 29"/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257736" y="112174117"/>
            <a:ext cx="5767065" cy="439395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1" name="Freeform 30"/>
          <xdr:cNvSpPr/>
        </xdr:nvSpPr>
        <xdr:spPr>
          <a:xfrm>
            <a:off x="1871382" y="113201824"/>
            <a:ext cx="3003177" cy="2185147"/>
          </a:xfrm>
          <a:custGeom>
            <a:avLst/>
            <a:gdLst>
              <a:gd name="connsiteX0" fmla="*/ 694765 w 3003177"/>
              <a:gd name="connsiteY0" fmla="*/ 0 h 2185147"/>
              <a:gd name="connsiteX1" fmla="*/ 3003177 w 3003177"/>
              <a:gd name="connsiteY1" fmla="*/ 280147 h 2185147"/>
              <a:gd name="connsiteX2" fmla="*/ 2129118 w 3003177"/>
              <a:gd name="connsiteY2" fmla="*/ 1546411 h 2185147"/>
              <a:gd name="connsiteX3" fmla="*/ 2196353 w 3003177"/>
              <a:gd name="connsiteY3" fmla="*/ 1591235 h 2185147"/>
              <a:gd name="connsiteX4" fmla="*/ 1524000 w 3003177"/>
              <a:gd name="connsiteY4" fmla="*/ 2185147 h 2185147"/>
              <a:gd name="connsiteX5" fmla="*/ 1344706 w 3003177"/>
              <a:gd name="connsiteY5" fmla="*/ 2117911 h 2185147"/>
              <a:gd name="connsiteX6" fmla="*/ 997324 w 3003177"/>
              <a:gd name="connsiteY6" fmla="*/ 2173941 h 2185147"/>
              <a:gd name="connsiteX7" fmla="*/ 0 w 3003177"/>
              <a:gd name="connsiteY7" fmla="*/ 1938617 h 2185147"/>
              <a:gd name="connsiteX8" fmla="*/ 694765 w 3003177"/>
              <a:gd name="connsiteY8" fmla="*/ 0 h 218514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3003177" h="2185147">
                <a:moveTo>
                  <a:pt x="694765" y="0"/>
                </a:moveTo>
                <a:lnTo>
                  <a:pt x="3003177" y="280147"/>
                </a:lnTo>
                <a:lnTo>
                  <a:pt x="2129118" y="1546411"/>
                </a:lnTo>
                <a:lnTo>
                  <a:pt x="2196353" y="1591235"/>
                </a:lnTo>
                <a:lnTo>
                  <a:pt x="1524000" y="2185147"/>
                </a:lnTo>
                <a:lnTo>
                  <a:pt x="1344706" y="2117911"/>
                </a:lnTo>
                <a:lnTo>
                  <a:pt x="997324" y="2173941"/>
                </a:lnTo>
                <a:lnTo>
                  <a:pt x="0" y="1938617"/>
                </a:lnTo>
                <a:lnTo>
                  <a:pt x="694765" y="0"/>
                </a:lnTo>
                <a:close/>
              </a:path>
            </a:pathLst>
          </a:custGeom>
          <a:noFill/>
          <a:ln w="3810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</xdr:grpSp>
    <xdr:clientData/>
  </xdr:twoCellAnchor>
  <xdr:oneCellAnchor>
    <xdr:from>
      <xdr:col>9</xdr:col>
      <xdr:colOff>692150</xdr:colOff>
      <xdr:row>513</xdr:row>
      <xdr:rowOff>25400</xdr:rowOff>
    </xdr:from>
    <xdr:ext cx="687561" cy="311496"/>
    <xdr:sp macro="" textlink="">
      <xdr:nvSpPr>
        <xdr:cNvPr id="4" name="TextBox 3"/>
        <xdr:cNvSpPr txBox="1"/>
      </xdr:nvSpPr>
      <xdr:spPr>
        <a:xfrm>
          <a:off x="8604250" y="97066100"/>
          <a:ext cx="68756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F Wing</a:t>
          </a:r>
        </a:p>
      </xdr:txBody>
    </xdr:sp>
    <xdr:clientData/>
  </xdr:oneCellAnchor>
  <xdr:twoCellAnchor>
    <xdr:from>
      <xdr:col>0</xdr:col>
      <xdr:colOff>342900</xdr:colOff>
      <xdr:row>466</xdr:row>
      <xdr:rowOff>146050</xdr:rowOff>
    </xdr:from>
    <xdr:to>
      <xdr:col>7</xdr:col>
      <xdr:colOff>291189</xdr:colOff>
      <xdr:row>500</xdr:row>
      <xdr:rowOff>189520</xdr:rowOff>
    </xdr:to>
    <xdr:grpSp>
      <xdr:nvGrpSpPr>
        <xdr:cNvPr id="3" name="Group 2"/>
        <xdr:cNvGrpSpPr/>
      </xdr:nvGrpSpPr>
      <xdr:grpSpPr>
        <a:xfrm>
          <a:off x="342900" y="87947500"/>
          <a:ext cx="5904589" cy="6730020"/>
          <a:chOff x="342900" y="87947500"/>
          <a:chExt cx="5904589" cy="6730020"/>
        </a:xfrm>
      </xdr:grpSpPr>
      <xdr:pic>
        <xdr:nvPicPr>
          <xdr:cNvPr id="48" name="Picture 47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900" y="87947500"/>
            <a:ext cx="2877714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9" name="Picture 48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69775" y="87947500"/>
            <a:ext cx="2877714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0" name="Picture 49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900" y="90232510"/>
            <a:ext cx="2877714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1" name="Picture 50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69775" y="90232510"/>
            <a:ext cx="2877714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2" name="Picture 51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900" y="92517520"/>
            <a:ext cx="2877714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3" name="Picture 52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69775" y="92517520"/>
            <a:ext cx="2877714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425450</xdr:colOff>
      <xdr:row>509</xdr:row>
      <xdr:rowOff>120650</xdr:rowOff>
    </xdr:from>
    <xdr:to>
      <xdr:col>7</xdr:col>
      <xdr:colOff>373739</xdr:colOff>
      <xdr:row>543</xdr:row>
      <xdr:rowOff>169146</xdr:rowOff>
    </xdr:to>
    <xdr:grpSp>
      <xdr:nvGrpSpPr>
        <xdr:cNvPr id="6" name="Group 5"/>
        <xdr:cNvGrpSpPr/>
      </xdr:nvGrpSpPr>
      <xdr:grpSpPr>
        <a:xfrm>
          <a:off x="425450" y="96380300"/>
          <a:ext cx="5904589" cy="6735046"/>
          <a:chOff x="425450" y="96380300"/>
          <a:chExt cx="5904589" cy="6735046"/>
        </a:xfrm>
      </xdr:grpSpPr>
      <xdr:pic>
        <xdr:nvPicPr>
          <xdr:cNvPr id="54" name="Picture 53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47045" y="100955346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5" name="Picture 54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52325" y="98667823"/>
            <a:ext cx="2877714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6" name="Picture 55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5450" y="96380300"/>
            <a:ext cx="2877714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7" name="Picture 56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52325" y="96380300"/>
            <a:ext cx="2877714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3" name="Picture 62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84613" y="100955346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4" name="Picture 63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5450" y="98667823"/>
            <a:ext cx="2877714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5" name="Picture 64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65829" y="100955346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66" name="TextBox 65"/>
          <xdr:cNvSpPr txBox="1"/>
        </xdr:nvSpPr>
        <xdr:spPr>
          <a:xfrm>
            <a:off x="4531825" y="97250250"/>
            <a:ext cx="718274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G Wing</a:t>
            </a:r>
          </a:p>
        </xdr:txBody>
      </xdr:sp>
      <xdr:sp macro="" textlink="">
        <xdr:nvSpPr>
          <xdr:cNvPr id="67" name="TextBox 66"/>
          <xdr:cNvSpPr txBox="1"/>
        </xdr:nvSpPr>
        <xdr:spPr>
          <a:xfrm>
            <a:off x="1644650" y="97434400"/>
            <a:ext cx="718274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G Wing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nonsNaSaN19L3MSq8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Z595"/>
  <sheetViews>
    <sheetView tabSelected="1" view="pageBreakPreview" zoomScaleNormal="100" zoomScaleSheetLayoutView="100" zoomScalePageLayoutView="85" workbookViewId="0">
      <selection activeCell="E9" sqref="E9:H9"/>
    </sheetView>
  </sheetViews>
  <sheetFormatPr defaultColWidth="9.1796875" defaultRowHeight="15.5"/>
  <cols>
    <col min="1" max="1" width="11.453125" style="21" customWidth="1"/>
    <col min="2" max="2" width="12" style="21" customWidth="1"/>
    <col min="3" max="3" width="12.7265625" style="21" customWidth="1"/>
    <col min="4" max="4" width="14.1796875" style="21" customWidth="1"/>
    <col min="5" max="6" width="11.7265625" style="21" customWidth="1"/>
    <col min="7" max="7" width="11.453125" style="21" customWidth="1"/>
    <col min="8" max="8" width="10.54296875" style="21" customWidth="1"/>
    <col min="9" max="9" width="17.453125" style="22" customWidth="1"/>
    <col min="10" max="10" width="11.453125" style="22" customWidth="1"/>
    <col min="11" max="11" width="14.1796875" style="22" customWidth="1"/>
    <col min="12" max="12" width="10.54296875" style="22" customWidth="1"/>
    <col min="13" max="13" width="11.81640625" style="22" customWidth="1"/>
    <col min="14" max="14" width="12.54296875" style="22" customWidth="1"/>
    <col min="15" max="15" width="9.81640625" style="22" customWidth="1"/>
    <col min="16" max="16" width="11.7265625" style="22" customWidth="1"/>
    <col min="17" max="247" width="9.1796875" style="22"/>
    <col min="248" max="248" width="8.7265625" style="22" customWidth="1"/>
    <col min="249" max="249" width="9.81640625" style="22" customWidth="1"/>
    <col min="250" max="250" width="14.453125" style="22" customWidth="1"/>
    <col min="251" max="251" width="7.26953125" style="22" customWidth="1"/>
    <col min="252" max="252" width="5.54296875" style="22" customWidth="1"/>
    <col min="253" max="253" width="9" style="22" customWidth="1"/>
    <col min="254" max="255" width="9.81640625" style="22" customWidth="1"/>
    <col min="256" max="256" width="11.1796875" style="22" customWidth="1"/>
    <col min="257" max="257" width="2.81640625" style="22" customWidth="1"/>
    <col min="258" max="258" width="3.54296875" style="22" customWidth="1"/>
    <col min="259" max="503" width="9.1796875" style="22"/>
    <col min="504" max="504" width="8.7265625" style="22" customWidth="1"/>
    <col min="505" max="505" width="9.81640625" style="22" customWidth="1"/>
    <col min="506" max="506" width="14.453125" style="22" customWidth="1"/>
    <col min="507" max="507" width="7.26953125" style="22" customWidth="1"/>
    <col min="508" max="508" width="5.54296875" style="22" customWidth="1"/>
    <col min="509" max="509" width="9" style="22" customWidth="1"/>
    <col min="510" max="511" width="9.81640625" style="22" customWidth="1"/>
    <col min="512" max="512" width="11.1796875" style="22" customWidth="1"/>
    <col min="513" max="513" width="2.81640625" style="22" customWidth="1"/>
    <col min="514" max="514" width="3.54296875" style="22" customWidth="1"/>
    <col min="515" max="759" width="9.1796875" style="22"/>
    <col min="760" max="760" width="8.7265625" style="22" customWidth="1"/>
    <col min="761" max="761" width="9.81640625" style="22" customWidth="1"/>
    <col min="762" max="762" width="14.453125" style="22" customWidth="1"/>
    <col min="763" max="763" width="7.26953125" style="22" customWidth="1"/>
    <col min="764" max="764" width="5.54296875" style="22" customWidth="1"/>
    <col min="765" max="765" width="9" style="22" customWidth="1"/>
    <col min="766" max="767" width="9.81640625" style="22" customWidth="1"/>
    <col min="768" max="768" width="11.1796875" style="22" customWidth="1"/>
    <col min="769" max="769" width="2.81640625" style="22" customWidth="1"/>
    <col min="770" max="770" width="3.54296875" style="22" customWidth="1"/>
    <col min="771" max="1015" width="9.1796875" style="22"/>
    <col min="1016" max="1016" width="8.7265625" style="22" customWidth="1"/>
    <col min="1017" max="1017" width="9.81640625" style="22" customWidth="1"/>
    <col min="1018" max="1018" width="14.453125" style="22" customWidth="1"/>
    <col min="1019" max="1019" width="7.26953125" style="22" customWidth="1"/>
    <col min="1020" max="1020" width="5.54296875" style="22" customWidth="1"/>
    <col min="1021" max="1021" width="9" style="22" customWidth="1"/>
    <col min="1022" max="1023" width="9.81640625" style="22" customWidth="1"/>
    <col min="1024" max="1024" width="11.1796875" style="22" customWidth="1"/>
    <col min="1025" max="1025" width="2.81640625" style="22" customWidth="1"/>
    <col min="1026" max="1026" width="3.54296875" style="22" customWidth="1"/>
    <col min="1027" max="1271" width="9.1796875" style="22"/>
    <col min="1272" max="1272" width="8.7265625" style="22" customWidth="1"/>
    <col min="1273" max="1273" width="9.81640625" style="22" customWidth="1"/>
    <col min="1274" max="1274" width="14.453125" style="22" customWidth="1"/>
    <col min="1275" max="1275" width="7.26953125" style="22" customWidth="1"/>
    <col min="1276" max="1276" width="5.54296875" style="22" customWidth="1"/>
    <col min="1277" max="1277" width="9" style="22" customWidth="1"/>
    <col min="1278" max="1279" width="9.81640625" style="22" customWidth="1"/>
    <col min="1280" max="1280" width="11.1796875" style="22" customWidth="1"/>
    <col min="1281" max="1281" width="2.81640625" style="22" customWidth="1"/>
    <col min="1282" max="1282" width="3.54296875" style="22" customWidth="1"/>
    <col min="1283" max="1527" width="9.1796875" style="22"/>
    <col min="1528" max="1528" width="8.7265625" style="22" customWidth="1"/>
    <col min="1529" max="1529" width="9.81640625" style="22" customWidth="1"/>
    <col min="1530" max="1530" width="14.453125" style="22" customWidth="1"/>
    <col min="1531" max="1531" width="7.26953125" style="22" customWidth="1"/>
    <col min="1532" max="1532" width="5.54296875" style="22" customWidth="1"/>
    <col min="1533" max="1533" width="9" style="22" customWidth="1"/>
    <col min="1534" max="1535" width="9.81640625" style="22" customWidth="1"/>
    <col min="1536" max="1536" width="11.1796875" style="22" customWidth="1"/>
    <col min="1537" max="1537" width="2.81640625" style="22" customWidth="1"/>
    <col min="1538" max="1538" width="3.54296875" style="22" customWidth="1"/>
    <col min="1539" max="1783" width="9.1796875" style="22"/>
    <col min="1784" max="1784" width="8.7265625" style="22" customWidth="1"/>
    <col min="1785" max="1785" width="9.81640625" style="22" customWidth="1"/>
    <col min="1786" max="1786" width="14.453125" style="22" customWidth="1"/>
    <col min="1787" max="1787" width="7.26953125" style="22" customWidth="1"/>
    <col min="1788" max="1788" width="5.54296875" style="22" customWidth="1"/>
    <col min="1789" max="1789" width="9" style="22" customWidth="1"/>
    <col min="1790" max="1791" width="9.81640625" style="22" customWidth="1"/>
    <col min="1792" max="1792" width="11.1796875" style="22" customWidth="1"/>
    <col min="1793" max="1793" width="2.81640625" style="22" customWidth="1"/>
    <col min="1794" max="1794" width="3.54296875" style="22" customWidth="1"/>
    <col min="1795" max="2039" width="9.1796875" style="22"/>
    <col min="2040" max="2040" width="8.7265625" style="22" customWidth="1"/>
    <col min="2041" max="2041" width="9.81640625" style="22" customWidth="1"/>
    <col min="2042" max="2042" width="14.453125" style="22" customWidth="1"/>
    <col min="2043" max="2043" width="7.26953125" style="22" customWidth="1"/>
    <col min="2044" max="2044" width="5.54296875" style="22" customWidth="1"/>
    <col min="2045" max="2045" width="9" style="22" customWidth="1"/>
    <col min="2046" max="2047" width="9.81640625" style="22" customWidth="1"/>
    <col min="2048" max="2048" width="11.1796875" style="22" customWidth="1"/>
    <col min="2049" max="2049" width="2.81640625" style="22" customWidth="1"/>
    <col min="2050" max="2050" width="3.54296875" style="22" customWidth="1"/>
    <col min="2051" max="2295" width="9.1796875" style="22"/>
    <col min="2296" max="2296" width="8.7265625" style="22" customWidth="1"/>
    <col min="2297" max="2297" width="9.81640625" style="22" customWidth="1"/>
    <col min="2298" max="2298" width="14.453125" style="22" customWidth="1"/>
    <col min="2299" max="2299" width="7.26953125" style="22" customWidth="1"/>
    <col min="2300" max="2300" width="5.54296875" style="22" customWidth="1"/>
    <col min="2301" max="2301" width="9" style="22" customWidth="1"/>
    <col min="2302" max="2303" width="9.81640625" style="22" customWidth="1"/>
    <col min="2304" max="2304" width="11.1796875" style="22" customWidth="1"/>
    <col min="2305" max="2305" width="2.81640625" style="22" customWidth="1"/>
    <col min="2306" max="2306" width="3.54296875" style="22" customWidth="1"/>
    <col min="2307" max="2551" width="9.1796875" style="22"/>
    <col min="2552" max="2552" width="8.7265625" style="22" customWidth="1"/>
    <col min="2553" max="2553" width="9.81640625" style="22" customWidth="1"/>
    <col min="2554" max="2554" width="14.453125" style="22" customWidth="1"/>
    <col min="2555" max="2555" width="7.26953125" style="22" customWidth="1"/>
    <col min="2556" max="2556" width="5.54296875" style="22" customWidth="1"/>
    <col min="2557" max="2557" width="9" style="22" customWidth="1"/>
    <col min="2558" max="2559" width="9.81640625" style="22" customWidth="1"/>
    <col min="2560" max="2560" width="11.1796875" style="22" customWidth="1"/>
    <col min="2561" max="2561" width="2.81640625" style="22" customWidth="1"/>
    <col min="2562" max="2562" width="3.54296875" style="22" customWidth="1"/>
    <col min="2563" max="2807" width="9.1796875" style="22"/>
    <col min="2808" max="2808" width="8.7265625" style="22" customWidth="1"/>
    <col min="2809" max="2809" width="9.81640625" style="22" customWidth="1"/>
    <col min="2810" max="2810" width="14.453125" style="22" customWidth="1"/>
    <col min="2811" max="2811" width="7.26953125" style="22" customWidth="1"/>
    <col min="2812" max="2812" width="5.54296875" style="22" customWidth="1"/>
    <col min="2813" max="2813" width="9" style="22" customWidth="1"/>
    <col min="2814" max="2815" width="9.81640625" style="22" customWidth="1"/>
    <col min="2816" max="2816" width="11.1796875" style="22" customWidth="1"/>
    <col min="2817" max="2817" width="2.81640625" style="22" customWidth="1"/>
    <col min="2818" max="2818" width="3.54296875" style="22" customWidth="1"/>
    <col min="2819" max="3063" width="9.1796875" style="22"/>
    <col min="3064" max="3064" width="8.7265625" style="22" customWidth="1"/>
    <col min="3065" max="3065" width="9.81640625" style="22" customWidth="1"/>
    <col min="3066" max="3066" width="14.453125" style="22" customWidth="1"/>
    <col min="3067" max="3067" width="7.26953125" style="22" customWidth="1"/>
    <col min="3068" max="3068" width="5.54296875" style="22" customWidth="1"/>
    <col min="3069" max="3069" width="9" style="22" customWidth="1"/>
    <col min="3070" max="3071" width="9.81640625" style="22" customWidth="1"/>
    <col min="3072" max="3072" width="11.1796875" style="22" customWidth="1"/>
    <col min="3073" max="3073" width="2.81640625" style="22" customWidth="1"/>
    <col min="3074" max="3074" width="3.54296875" style="22" customWidth="1"/>
    <col min="3075" max="3319" width="9.1796875" style="22"/>
    <col min="3320" max="3320" width="8.7265625" style="22" customWidth="1"/>
    <col min="3321" max="3321" width="9.81640625" style="22" customWidth="1"/>
    <col min="3322" max="3322" width="14.453125" style="22" customWidth="1"/>
    <col min="3323" max="3323" width="7.26953125" style="22" customWidth="1"/>
    <col min="3324" max="3324" width="5.54296875" style="22" customWidth="1"/>
    <col min="3325" max="3325" width="9" style="22" customWidth="1"/>
    <col min="3326" max="3327" width="9.81640625" style="22" customWidth="1"/>
    <col min="3328" max="3328" width="11.1796875" style="22" customWidth="1"/>
    <col min="3329" max="3329" width="2.81640625" style="22" customWidth="1"/>
    <col min="3330" max="3330" width="3.54296875" style="22" customWidth="1"/>
    <col min="3331" max="3575" width="9.1796875" style="22"/>
    <col min="3576" max="3576" width="8.7265625" style="22" customWidth="1"/>
    <col min="3577" max="3577" width="9.81640625" style="22" customWidth="1"/>
    <col min="3578" max="3578" width="14.453125" style="22" customWidth="1"/>
    <col min="3579" max="3579" width="7.26953125" style="22" customWidth="1"/>
    <col min="3580" max="3580" width="5.54296875" style="22" customWidth="1"/>
    <col min="3581" max="3581" width="9" style="22" customWidth="1"/>
    <col min="3582" max="3583" width="9.81640625" style="22" customWidth="1"/>
    <col min="3584" max="3584" width="11.1796875" style="22" customWidth="1"/>
    <col min="3585" max="3585" width="2.81640625" style="22" customWidth="1"/>
    <col min="3586" max="3586" width="3.54296875" style="22" customWidth="1"/>
    <col min="3587" max="3831" width="9.1796875" style="22"/>
    <col min="3832" max="3832" width="8.7265625" style="22" customWidth="1"/>
    <col min="3833" max="3833" width="9.81640625" style="22" customWidth="1"/>
    <col min="3834" max="3834" width="14.453125" style="22" customWidth="1"/>
    <col min="3835" max="3835" width="7.26953125" style="22" customWidth="1"/>
    <col min="3836" max="3836" width="5.54296875" style="22" customWidth="1"/>
    <col min="3837" max="3837" width="9" style="22" customWidth="1"/>
    <col min="3838" max="3839" width="9.81640625" style="22" customWidth="1"/>
    <col min="3840" max="3840" width="11.1796875" style="22" customWidth="1"/>
    <col min="3841" max="3841" width="2.81640625" style="22" customWidth="1"/>
    <col min="3842" max="3842" width="3.54296875" style="22" customWidth="1"/>
    <col min="3843" max="4087" width="9.1796875" style="22"/>
    <col min="4088" max="4088" width="8.7265625" style="22" customWidth="1"/>
    <col min="4089" max="4089" width="9.81640625" style="22" customWidth="1"/>
    <col min="4090" max="4090" width="14.453125" style="22" customWidth="1"/>
    <col min="4091" max="4091" width="7.26953125" style="22" customWidth="1"/>
    <col min="4092" max="4092" width="5.54296875" style="22" customWidth="1"/>
    <col min="4093" max="4093" width="9" style="22" customWidth="1"/>
    <col min="4094" max="4095" width="9.81640625" style="22" customWidth="1"/>
    <col min="4096" max="4096" width="11.1796875" style="22" customWidth="1"/>
    <col min="4097" max="4097" width="2.81640625" style="22" customWidth="1"/>
    <col min="4098" max="4098" width="3.54296875" style="22" customWidth="1"/>
    <col min="4099" max="4343" width="9.1796875" style="22"/>
    <col min="4344" max="4344" width="8.7265625" style="22" customWidth="1"/>
    <col min="4345" max="4345" width="9.81640625" style="22" customWidth="1"/>
    <col min="4346" max="4346" width="14.453125" style="22" customWidth="1"/>
    <col min="4347" max="4347" width="7.26953125" style="22" customWidth="1"/>
    <col min="4348" max="4348" width="5.54296875" style="22" customWidth="1"/>
    <col min="4349" max="4349" width="9" style="22" customWidth="1"/>
    <col min="4350" max="4351" width="9.81640625" style="22" customWidth="1"/>
    <col min="4352" max="4352" width="11.1796875" style="22" customWidth="1"/>
    <col min="4353" max="4353" width="2.81640625" style="22" customWidth="1"/>
    <col min="4354" max="4354" width="3.54296875" style="22" customWidth="1"/>
    <col min="4355" max="4599" width="9.1796875" style="22"/>
    <col min="4600" max="4600" width="8.7265625" style="22" customWidth="1"/>
    <col min="4601" max="4601" width="9.81640625" style="22" customWidth="1"/>
    <col min="4602" max="4602" width="14.453125" style="22" customWidth="1"/>
    <col min="4603" max="4603" width="7.26953125" style="22" customWidth="1"/>
    <col min="4604" max="4604" width="5.54296875" style="22" customWidth="1"/>
    <col min="4605" max="4605" width="9" style="22" customWidth="1"/>
    <col min="4606" max="4607" width="9.81640625" style="22" customWidth="1"/>
    <col min="4608" max="4608" width="11.1796875" style="22" customWidth="1"/>
    <col min="4609" max="4609" width="2.81640625" style="22" customWidth="1"/>
    <col min="4610" max="4610" width="3.54296875" style="22" customWidth="1"/>
    <col min="4611" max="4855" width="9.1796875" style="22"/>
    <col min="4856" max="4856" width="8.7265625" style="22" customWidth="1"/>
    <col min="4857" max="4857" width="9.81640625" style="22" customWidth="1"/>
    <col min="4858" max="4858" width="14.453125" style="22" customWidth="1"/>
    <col min="4859" max="4859" width="7.26953125" style="22" customWidth="1"/>
    <col min="4860" max="4860" width="5.54296875" style="22" customWidth="1"/>
    <col min="4861" max="4861" width="9" style="22" customWidth="1"/>
    <col min="4862" max="4863" width="9.81640625" style="22" customWidth="1"/>
    <col min="4864" max="4864" width="11.1796875" style="22" customWidth="1"/>
    <col min="4865" max="4865" width="2.81640625" style="22" customWidth="1"/>
    <col min="4866" max="4866" width="3.54296875" style="22" customWidth="1"/>
    <col min="4867" max="5111" width="9.1796875" style="22"/>
    <col min="5112" max="5112" width="8.7265625" style="22" customWidth="1"/>
    <col min="5113" max="5113" width="9.81640625" style="22" customWidth="1"/>
    <col min="5114" max="5114" width="14.453125" style="22" customWidth="1"/>
    <col min="5115" max="5115" width="7.26953125" style="22" customWidth="1"/>
    <col min="5116" max="5116" width="5.54296875" style="22" customWidth="1"/>
    <col min="5117" max="5117" width="9" style="22" customWidth="1"/>
    <col min="5118" max="5119" width="9.81640625" style="22" customWidth="1"/>
    <col min="5120" max="5120" width="11.1796875" style="22" customWidth="1"/>
    <col min="5121" max="5121" width="2.81640625" style="22" customWidth="1"/>
    <col min="5122" max="5122" width="3.54296875" style="22" customWidth="1"/>
    <col min="5123" max="5367" width="9.1796875" style="22"/>
    <col min="5368" max="5368" width="8.7265625" style="22" customWidth="1"/>
    <col min="5369" max="5369" width="9.81640625" style="22" customWidth="1"/>
    <col min="5370" max="5370" width="14.453125" style="22" customWidth="1"/>
    <col min="5371" max="5371" width="7.26953125" style="22" customWidth="1"/>
    <col min="5372" max="5372" width="5.54296875" style="22" customWidth="1"/>
    <col min="5373" max="5373" width="9" style="22" customWidth="1"/>
    <col min="5374" max="5375" width="9.81640625" style="22" customWidth="1"/>
    <col min="5376" max="5376" width="11.1796875" style="22" customWidth="1"/>
    <col min="5377" max="5377" width="2.81640625" style="22" customWidth="1"/>
    <col min="5378" max="5378" width="3.54296875" style="22" customWidth="1"/>
    <col min="5379" max="5623" width="9.1796875" style="22"/>
    <col min="5624" max="5624" width="8.7265625" style="22" customWidth="1"/>
    <col min="5625" max="5625" width="9.81640625" style="22" customWidth="1"/>
    <col min="5626" max="5626" width="14.453125" style="22" customWidth="1"/>
    <col min="5627" max="5627" width="7.26953125" style="22" customWidth="1"/>
    <col min="5628" max="5628" width="5.54296875" style="22" customWidth="1"/>
    <col min="5629" max="5629" width="9" style="22" customWidth="1"/>
    <col min="5630" max="5631" width="9.81640625" style="22" customWidth="1"/>
    <col min="5632" max="5632" width="11.1796875" style="22" customWidth="1"/>
    <col min="5633" max="5633" width="2.81640625" style="22" customWidth="1"/>
    <col min="5634" max="5634" width="3.54296875" style="22" customWidth="1"/>
    <col min="5635" max="5879" width="9.1796875" style="22"/>
    <col min="5880" max="5880" width="8.7265625" style="22" customWidth="1"/>
    <col min="5881" max="5881" width="9.81640625" style="22" customWidth="1"/>
    <col min="5882" max="5882" width="14.453125" style="22" customWidth="1"/>
    <col min="5883" max="5883" width="7.26953125" style="22" customWidth="1"/>
    <col min="5884" max="5884" width="5.54296875" style="22" customWidth="1"/>
    <col min="5885" max="5885" width="9" style="22" customWidth="1"/>
    <col min="5886" max="5887" width="9.81640625" style="22" customWidth="1"/>
    <col min="5888" max="5888" width="11.1796875" style="22" customWidth="1"/>
    <col min="5889" max="5889" width="2.81640625" style="22" customWidth="1"/>
    <col min="5890" max="5890" width="3.54296875" style="22" customWidth="1"/>
    <col min="5891" max="6135" width="9.1796875" style="22"/>
    <col min="6136" max="6136" width="8.7265625" style="22" customWidth="1"/>
    <col min="6137" max="6137" width="9.81640625" style="22" customWidth="1"/>
    <col min="6138" max="6138" width="14.453125" style="22" customWidth="1"/>
    <col min="6139" max="6139" width="7.26953125" style="22" customWidth="1"/>
    <col min="6140" max="6140" width="5.54296875" style="22" customWidth="1"/>
    <col min="6141" max="6141" width="9" style="22" customWidth="1"/>
    <col min="6142" max="6143" width="9.81640625" style="22" customWidth="1"/>
    <col min="6144" max="6144" width="11.1796875" style="22" customWidth="1"/>
    <col min="6145" max="6145" width="2.81640625" style="22" customWidth="1"/>
    <col min="6146" max="6146" width="3.54296875" style="22" customWidth="1"/>
    <col min="6147" max="6391" width="9.1796875" style="22"/>
    <col min="6392" max="6392" width="8.7265625" style="22" customWidth="1"/>
    <col min="6393" max="6393" width="9.81640625" style="22" customWidth="1"/>
    <col min="6394" max="6394" width="14.453125" style="22" customWidth="1"/>
    <col min="6395" max="6395" width="7.26953125" style="22" customWidth="1"/>
    <col min="6396" max="6396" width="5.54296875" style="22" customWidth="1"/>
    <col min="6397" max="6397" width="9" style="22" customWidth="1"/>
    <col min="6398" max="6399" width="9.81640625" style="22" customWidth="1"/>
    <col min="6400" max="6400" width="11.1796875" style="22" customWidth="1"/>
    <col min="6401" max="6401" width="2.81640625" style="22" customWidth="1"/>
    <col min="6402" max="6402" width="3.54296875" style="22" customWidth="1"/>
    <col min="6403" max="6647" width="9.1796875" style="22"/>
    <col min="6648" max="6648" width="8.7265625" style="22" customWidth="1"/>
    <col min="6649" max="6649" width="9.81640625" style="22" customWidth="1"/>
    <col min="6650" max="6650" width="14.453125" style="22" customWidth="1"/>
    <col min="6651" max="6651" width="7.26953125" style="22" customWidth="1"/>
    <col min="6652" max="6652" width="5.54296875" style="22" customWidth="1"/>
    <col min="6653" max="6653" width="9" style="22" customWidth="1"/>
    <col min="6654" max="6655" width="9.81640625" style="22" customWidth="1"/>
    <col min="6656" max="6656" width="11.1796875" style="22" customWidth="1"/>
    <col min="6657" max="6657" width="2.81640625" style="22" customWidth="1"/>
    <col min="6658" max="6658" width="3.54296875" style="22" customWidth="1"/>
    <col min="6659" max="6903" width="9.1796875" style="22"/>
    <col min="6904" max="6904" width="8.7265625" style="22" customWidth="1"/>
    <col min="6905" max="6905" width="9.81640625" style="22" customWidth="1"/>
    <col min="6906" max="6906" width="14.453125" style="22" customWidth="1"/>
    <col min="6907" max="6907" width="7.26953125" style="22" customWidth="1"/>
    <col min="6908" max="6908" width="5.54296875" style="22" customWidth="1"/>
    <col min="6909" max="6909" width="9" style="22" customWidth="1"/>
    <col min="6910" max="6911" width="9.81640625" style="22" customWidth="1"/>
    <col min="6912" max="6912" width="11.1796875" style="22" customWidth="1"/>
    <col min="6913" max="6913" width="2.81640625" style="22" customWidth="1"/>
    <col min="6914" max="6914" width="3.54296875" style="22" customWidth="1"/>
    <col min="6915" max="7159" width="9.1796875" style="22"/>
    <col min="7160" max="7160" width="8.7265625" style="22" customWidth="1"/>
    <col min="7161" max="7161" width="9.81640625" style="22" customWidth="1"/>
    <col min="7162" max="7162" width="14.453125" style="22" customWidth="1"/>
    <col min="7163" max="7163" width="7.26953125" style="22" customWidth="1"/>
    <col min="7164" max="7164" width="5.54296875" style="22" customWidth="1"/>
    <col min="7165" max="7165" width="9" style="22" customWidth="1"/>
    <col min="7166" max="7167" width="9.81640625" style="22" customWidth="1"/>
    <col min="7168" max="7168" width="11.1796875" style="22" customWidth="1"/>
    <col min="7169" max="7169" width="2.81640625" style="22" customWidth="1"/>
    <col min="7170" max="7170" width="3.54296875" style="22" customWidth="1"/>
    <col min="7171" max="7415" width="9.1796875" style="22"/>
    <col min="7416" max="7416" width="8.7265625" style="22" customWidth="1"/>
    <col min="7417" max="7417" width="9.81640625" style="22" customWidth="1"/>
    <col min="7418" max="7418" width="14.453125" style="22" customWidth="1"/>
    <col min="7419" max="7419" width="7.26953125" style="22" customWidth="1"/>
    <col min="7420" max="7420" width="5.54296875" style="22" customWidth="1"/>
    <col min="7421" max="7421" width="9" style="22" customWidth="1"/>
    <col min="7422" max="7423" width="9.81640625" style="22" customWidth="1"/>
    <col min="7424" max="7424" width="11.1796875" style="22" customWidth="1"/>
    <col min="7425" max="7425" width="2.81640625" style="22" customWidth="1"/>
    <col min="7426" max="7426" width="3.54296875" style="22" customWidth="1"/>
    <col min="7427" max="7671" width="9.1796875" style="22"/>
    <col min="7672" max="7672" width="8.7265625" style="22" customWidth="1"/>
    <col min="7673" max="7673" width="9.81640625" style="22" customWidth="1"/>
    <col min="7674" max="7674" width="14.453125" style="22" customWidth="1"/>
    <col min="7675" max="7675" width="7.26953125" style="22" customWidth="1"/>
    <col min="7676" max="7676" width="5.54296875" style="22" customWidth="1"/>
    <col min="7677" max="7677" width="9" style="22" customWidth="1"/>
    <col min="7678" max="7679" width="9.81640625" style="22" customWidth="1"/>
    <col min="7680" max="7680" width="11.1796875" style="22" customWidth="1"/>
    <col min="7681" max="7681" width="2.81640625" style="22" customWidth="1"/>
    <col min="7682" max="7682" width="3.54296875" style="22" customWidth="1"/>
    <col min="7683" max="7927" width="9.1796875" style="22"/>
    <col min="7928" max="7928" width="8.7265625" style="22" customWidth="1"/>
    <col min="7929" max="7929" width="9.81640625" style="22" customWidth="1"/>
    <col min="7930" max="7930" width="14.453125" style="22" customWidth="1"/>
    <col min="7931" max="7931" width="7.26953125" style="22" customWidth="1"/>
    <col min="7932" max="7932" width="5.54296875" style="22" customWidth="1"/>
    <col min="7933" max="7933" width="9" style="22" customWidth="1"/>
    <col min="7934" max="7935" width="9.81640625" style="22" customWidth="1"/>
    <col min="7936" max="7936" width="11.1796875" style="22" customWidth="1"/>
    <col min="7937" max="7937" width="2.81640625" style="22" customWidth="1"/>
    <col min="7938" max="7938" width="3.54296875" style="22" customWidth="1"/>
    <col min="7939" max="8183" width="9.1796875" style="22"/>
    <col min="8184" max="8184" width="8.7265625" style="22" customWidth="1"/>
    <col min="8185" max="8185" width="9.81640625" style="22" customWidth="1"/>
    <col min="8186" max="8186" width="14.453125" style="22" customWidth="1"/>
    <col min="8187" max="8187" width="7.26953125" style="22" customWidth="1"/>
    <col min="8188" max="8188" width="5.54296875" style="22" customWidth="1"/>
    <col min="8189" max="8189" width="9" style="22" customWidth="1"/>
    <col min="8190" max="8191" width="9.81640625" style="22" customWidth="1"/>
    <col min="8192" max="8192" width="11.1796875" style="22" customWidth="1"/>
    <col min="8193" max="8193" width="2.81640625" style="22" customWidth="1"/>
    <col min="8194" max="8194" width="3.54296875" style="22" customWidth="1"/>
    <col min="8195" max="8439" width="9.1796875" style="22"/>
    <col min="8440" max="8440" width="8.7265625" style="22" customWidth="1"/>
    <col min="8441" max="8441" width="9.81640625" style="22" customWidth="1"/>
    <col min="8442" max="8442" width="14.453125" style="22" customWidth="1"/>
    <col min="8443" max="8443" width="7.26953125" style="22" customWidth="1"/>
    <col min="8444" max="8444" width="5.54296875" style="22" customWidth="1"/>
    <col min="8445" max="8445" width="9" style="22" customWidth="1"/>
    <col min="8446" max="8447" width="9.81640625" style="22" customWidth="1"/>
    <col min="8448" max="8448" width="11.1796875" style="22" customWidth="1"/>
    <col min="8449" max="8449" width="2.81640625" style="22" customWidth="1"/>
    <col min="8450" max="8450" width="3.54296875" style="22" customWidth="1"/>
    <col min="8451" max="8695" width="9.1796875" style="22"/>
    <col min="8696" max="8696" width="8.7265625" style="22" customWidth="1"/>
    <col min="8697" max="8697" width="9.81640625" style="22" customWidth="1"/>
    <col min="8698" max="8698" width="14.453125" style="22" customWidth="1"/>
    <col min="8699" max="8699" width="7.26953125" style="22" customWidth="1"/>
    <col min="8700" max="8700" width="5.54296875" style="22" customWidth="1"/>
    <col min="8701" max="8701" width="9" style="22" customWidth="1"/>
    <col min="8702" max="8703" width="9.81640625" style="22" customWidth="1"/>
    <col min="8704" max="8704" width="11.1796875" style="22" customWidth="1"/>
    <col min="8705" max="8705" width="2.81640625" style="22" customWidth="1"/>
    <col min="8706" max="8706" width="3.54296875" style="22" customWidth="1"/>
    <col min="8707" max="8951" width="9.1796875" style="22"/>
    <col min="8952" max="8952" width="8.7265625" style="22" customWidth="1"/>
    <col min="8953" max="8953" width="9.81640625" style="22" customWidth="1"/>
    <col min="8954" max="8954" width="14.453125" style="22" customWidth="1"/>
    <col min="8955" max="8955" width="7.26953125" style="22" customWidth="1"/>
    <col min="8956" max="8956" width="5.54296875" style="22" customWidth="1"/>
    <col min="8957" max="8957" width="9" style="22" customWidth="1"/>
    <col min="8958" max="8959" width="9.81640625" style="22" customWidth="1"/>
    <col min="8960" max="8960" width="11.1796875" style="22" customWidth="1"/>
    <col min="8961" max="8961" width="2.81640625" style="22" customWidth="1"/>
    <col min="8962" max="8962" width="3.54296875" style="22" customWidth="1"/>
    <col min="8963" max="9207" width="9.1796875" style="22"/>
    <col min="9208" max="9208" width="8.7265625" style="22" customWidth="1"/>
    <col min="9209" max="9209" width="9.81640625" style="22" customWidth="1"/>
    <col min="9210" max="9210" width="14.453125" style="22" customWidth="1"/>
    <col min="9211" max="9211" width="7.26953125" style="22" customWidth="1"/>
    <col min="9212" max="9212" width="5.54296875" style="22" customWidth="1"/>
    <col min="9213" max="9213" width="9" style="22" customWidth="1"/>
    <col min="9214" max="9215" width="9.81640625" style="22" customWidth="1"/>
    <col min="9216" max="9216" width="11.1796875" style="22" customWidth="1"/>
    <col min="9217" max="9217" width="2.81640625" style="22" customWidth="1"/>
    <col min="9218" max="9218" width="3.54296875" style="22" customWidth="1"/>
    <col min="9219" max="9463" width="9.1796875" style="22"/>
    <col min="9464" max="9464" width="8.7265625" style="22" customWidth="1"/>
    <col min="9465" max="9465" width="9.81640625" style="22" customWidth="1"/>
    <col min="9466" max="9466" width="14.453125" style="22" customWidth="1"/>
    <col min="9467" max="9467" width="7.26953125" style="22" customWidth="1"/>
    <col min="9468" max="9468" width="5.54296875" style="22" customWidth="1"/>
    <col min="9469" max="9469" width="9" style="22" customWidth="1"/>
    <col min="9470" max="9471" width="9.81640625" style="22" customWidth="1"/>
    <col min="9472" max="9472" width="11.1796875" style="22" customWidth="1"/>
    <col min="9473" max="9473" width="2.81640625" style="22" customWidth="1"/>
    <col min="9474" max="9474" width="3.54296875" style="22" customWidth="1"/>
    <col min="9475" max="9719" width="9.1796875" style="22"/>
    <col min="9720" max="9720" width="8.7265625" style="22" customWidth="1"/>
    <col min="9721" max="9721" width="9.81640625" style="22" customWidth="1"/>
    <col min="9722" max="9722" width="14.453125" style="22" customWidth="1"/>
    <col min="9723" max="9723" width="7.26953125" style="22" customWidth="1"/>
    <col min="9724" max="9724" width="5.54296875" style="22" customWidth="1"/>
    <col min="9725" max="9725" width="9" style="22" customWidth="1"/>
    <col min="9726" max="9727" width="9.81640625" style="22" customWidth="1"/>
    <col min="9728" max="9728" width="11.1796875" style="22" customWidth="1"/>
    <col min="9729" max="9729" width="2.81640625" style="22" customWidth="1"/>
    <col min="9730" max="9730" width="3.54296875" style="22" customWidth="1"/>
    <col min="9731" max="9975" width="9.1796875" style="22"/>
    <col min="9976" max="9976" width="8.7265625" style="22" customWidth="1"/>
    <col min="9977" max="9977" width="9.81640625" style="22" customWidth="1"/>
    <col min="9978" max="9978" width="14.453125" style="22" customWidth="1"/>
    <col min="9979" max="9979" width="7.26953125" style="22" customWidth="1"/>
    <col min="9980" max="9980" width="5.54296875" style="22" customWidth="1"/>
    <col min="9981" max="9981" width="9" style="22" customWidth="1"/>
    <col min="9982" max="9983" width="9.81640625" style="22" customWidth="1"/>
    <col min="9984" max="9984" width="11.1796875" style="22" customWidth="1"/>
    <col min="9985" max="9985" width="2.81640625" style="22" customWidth="1"/>
    <col min="9986" max="9986" width="3.54296875" style="22" customWidth="1"/>
    <col min="9987" max="10231" width="9.1796875" style="22"/>
    <col min="10232" max="10232" width="8.7265625" style="22" customWidth="1"/>
    <col min="10233" max="10233" width="9.81640625" style="22" customWidth="1"/>
    <col min="10234" max="10234" width="14.453125" style="22" customWidth="1"/>
    <col min="10235" max="10235" width="7.26953125" style="22" customWidth="1"/>
    <col min="10236" max="10236" width="5.54296875" style="22" customWidth="1"/>
    <col min="10237" max="10237" width="9" style="22" customWidth="1"/>
    <col min="10238" max="10239" width="9.81640625" style="22" customWidth="1"/>
    <col min="10240" max="10240" width="11.1796875" style="22" customWidth="1"/>
    <col min="10241" max="10241" width="2.81640625" style="22" customWidth="1"/>
    <col min="10242" max="10242" width="3.54296875" style="22" customWidth="1"/>
    <col min="10243" max="10487" width="9.1796875" style="22"/>
    <col min="10488" max="10488" width="8.7265625" style="22" customWidth="1"/>
    <col min="10489" max="10489" width="9.81640625" style="22" customWidth="1"/>
    <col min="10490" max="10490" width="14.453125" style="22" customWidth="1"/>
    <col min="10491" max="10491" width="7.26953125" style="22" customWidth="1"/>
    <col min="10492" max="10492" width="5.54296875" style="22" customWidth="1"/>
    <col min="10493" max="10493" width="9" style="22" customWidth="1"/>
    <col min="10494" max="10495" width="9.81640625" style="22" customWidth="1"/>
    <col min="10496" max="10496" width="11.1796875" style="22" customWidth="1"/>
    <col min="10497" max="10497" width="2.81640625" style="22" customWidth="1"/>
    <col min="10498" max="10498" width="3.54296875" style="22" customWidth="1"/>
    <col min="10499" max="10743" width="9.1796875" style="22"/>
    <col min="10744" max="10744" width="8.7265625" style="22" customWidth="1"/>
    <col min="10745" max="10745" width="9.81640625" style="22" customWidth="1"/>
    <col min="10746" max="10746" width="14.453125" style="22" customWidth="1"/>
    <col min="10747" max="10747" width="7.26953125" style="22" customWidth="1"/>
    <col min="10748" max="10748" width="5.54296875" style="22" customWidth="1"/>
    <col min="10749" max="10749" width="9" style="22" customWidth="1"/>
    <col min="10750" max="10751" width="9.81640625" style="22" customWidth="1"/>
    <col min="10752" max="10752" width="11.1796875" style="22" customWidth="1"/>
    <col min="10753" max="10753" width="2.81640625" style="22" customWidth="1"/>
    <col min="10754" max="10754" width="3.54296875" style="22" customWidth="1"/>
    <col min="10755" max="10999" width="9.1796875" style="22"/>
    <col min="11000" max="11000" width="8.7265625" style="22" customWidth="1"/>
    <col min="11001" max="11001" width="9.81640625" style="22" customWidth="1"/>
    <col min="11002" max="11002" width="14.453125" style="22" customWidth="1"/>
    <col min="11003" max="11003" width="7.26953125" style="22" customWidth="1"/>
    <col min="11004" max="11004" width="5.54296875" style="22" customWidth="1"/>
    <col min="11005" max="11005" width="9" style="22" customWidth="1"/>
    <col min="11006" max="11007" width="9.81640625" style="22" customWidth="1"/>
    <col min="11008" max="11008" width="11.1796875" style="22" customWidth="1"/>
    <col min="11009" max="11009" width="2.81640625" style="22" customWidth="1"/>
    <col min="11010" max="11010" width="3.54296875" style="22" customWidth="1"/>
    <col min="11011" max="11255" width="9.1796875" style="22"/>
    <col min="11256" max="11256" width="8.7265625" style="22" customWidth="1"/>
    <col min="11257" max="11257" width="9.81640625" style="22" customWidth="1"/>
    <col min="11258" max="11258" width="14.453125" style="22" customWidth="1"/>
    <col min="11259" max="11259" width="7.26953125" style="22" customWidth="1"/>
    <col min="11260" max="11260" width="5.54296875" style="22" customWidth="1"/>
    <col min="11261" max="11261" width="9" style="22" customWidth="1"/>
    <col min="11262" max="11263" width="9.81640625" style="22" customWidth="1"/>
    <col min="11264" max="11264" width="11.1796875" style="22" customWidth="1"/>
    <col min="11265" max="11265" width="2.81640625" style="22" customWidth="1"/>
    <col min="11266" max="11266" width="3.54296875" style="22" customWidth="1"/>
    <col min="11267" max="11511" width="9.1796875" style="22"/>
    <col min="11512" max="11512" width="8.7265625" style="22" customWidth="1"/>
    <col min="11513" max="11513" width="9.81640625" style="22" customWidth="1"/>
    <col min="11514" max="11514" width="14.453125" style="22" customWidth="1"/>
    <col min="11515" max="11515" width="7.26953125" style="22" customWidth="1"/>
    <col min="11516" max="11516" width="5.54296875" style="22" customWidth="1"/>
    <col min="11517" max="11517" width="9" style="22" customWidth="1"/>
    <col min="11518" max="11519" width="9.81640625" style="22" customWidth="1"/>
    <col min="11520" max="11520" width="11.1796875" style="22" customWidth="1"/>
    <col min="11521" max="11521" width="2.81640625" style="22" customWidth="1"/>
    <col min="11522" max="11522" width="3.54296875" style="22" customWidth="1"/>
    <col min="11523" max="11767" width="9.1796875" style="22"/>
    <col min="11768" max="11768" width="8.7265625" style="22" customWidth="1"/>
    <col min="11769" max="11769" width="9.81640625" style="22" customWidth="1"/>
    <col min="11770" max="11770" width="14.453125" style="22" customWidth="1"/>
    <col min="11771" max="11771" width="7.26953125" style="22" customWidth="1"/>
    <col min="11772" max="11772" width="5.54296875" style="22" customWidth="1"/>
    <col min="11773" max="11773" width="9" style="22" customWidth="1"/>
    <col min="11774" max="11775" width="9.81640625" style="22" customWidth="1"/>
    <col min="11776" max="11776" width="11.1796875" style="22" customWidth="1"/>
    <col min="11777" max="11777" width="2.81640625" style="22" customWidth="1"/>
    <col min="11778" max="11778" width="3.54296875" style="22" customWidth="1"/>
    <col min="11779" max="12023" width="9.1796875" style="22"/>
    <col min="12024" max="12024" width="8.7265625" style="22" customWidth="1"/>
    <col min="12025" max="12025" width="9.81640625" style="22" customWidth="1"/>
    <col min="12026" max="12026" width="14.453125" style="22" customWidth="1"/>
    <col min="12027" max="12027" width="7.26953125" style="22" customWidth="1"/>
    <col min="12028" max="12028" width="5.54296875" style="22" customWidth="1"/>
    <col min="12029" max="12029" width="9" style="22" customWidth="1"/>
    <col min="12030" max="12031" width="9.81640625" style="22" customWidth="1"/>
    <col min="12032" max="12032" width="11.1796875" style="22" customWidth="1"/>
    <col min="12033" max="12033" width="2.81640625" style="22" customWidth="1"/>
    <col min="12034" max="12034" width="3.54296875" style="22" customWidth="1"/>
    <col min="12035" max="12279" width="9.1796875" style="22"/>
    <col min="12280" max="12280" width="8.7265625" style="22" customWidth="1"/>
    <col min="12281" max="12281" width="9.81640625" style="22" customWidth="1"/>
    <col min="12282" max="12282" width="14.453125" style="22" customWidth="1"/>
    <col min="12283" max="12283" width="7.26953125" style="22" customWidth="1"/>
    <col min="12284" max="12284" width="5.54296875" style="22" customWidth="1"/>
    <col min="12285" max="12285" width="9" style="22" customWidth="1"/>
    <col min="12286" max="12287" width="9.81640625" style="22" customWidth="1"/>
    <col min="12288" max="12288" width="11.1796875" style="22" customWidth="1"/>
    <col min="12289" max="12289" width="2.81640625" style="22" customWidth="1"/>
    <col min="12290" max="12290" width="3.54296875" style="22" customWidth="1"/>
    <col min="12291" max="12535" width="9.1796875" style="22"/>
    <col min="12536" max="12536" width="8.7265625" style="22" customWidth="1"/>
    <col min="12537" max="12537" width="9.81640625" style="22" customWidth="1"/>
    <col min="12538" max="12538" width="14.453125" style="22" customWidth="1"/>
    <col min="12539" max="12539" width="7.26953125" style="22" customWidth="1"/>
    <col min="12540" max="12540" width="5.54296875" style="22" customWidth="1"/>
    <col min="12541" max="12541" width="9" style="22" customWidth="1"/>
    <col min="12542" max="12543" width="9.81640625" style="22" customWidth="1"/>
    <col min="12544" max="12544" width="11.1796875" style="22" customWidth="1"/>
    <col min="12545" max="12545" width="2.81640625" style="22" customWidth="1"/>
    <col min="12546" max="12546" width="3.54296875" style="22" customWidth="1"/>
    <col min="12547" max="12791" width="9.1796875" style="22"/>
    <col min="12792" max="12792" width="8.7265625" style="22" customWidth="1"/>
    <col min="12793" max="12793" width="9.81640625" style="22" customWidth="1"/>
    <col min="12794" max="12794" width="14.453125" style="22" customWidth="1"/>
    <col min="12795" max="12795" width="7.26953125" style="22" customWidth="1"/>
    <col min="12796" max="12796" width="5.54296875" style="22" customWidth="1"/>
    <col min="12797" max="12797" width="9" style="22" customWidth="1"/>
    <col min="12798" max="12799" width="9.81640625" style="22" customWidth="1"/>
    <col min="12800" max="12800" width="11.1796875" style="22" customWidth="1"/>
    <col min="12801" max="12801" width="2.81640625" style="22" customWidth="1"/>
    <col min="12802" max="12802" width="3.54296875" style="22" customWidth="1"/>
    <col min="12803" max="13047" width="9.1796875" style="22"/>
    <col min="13048" max="13048" width="8.7265625" style="22" customWidth="1"/>
    <col min="13049" max="13049" width="9.81640625" style="22" customWidth="1"/>
    <col min="13050" max="13050" width="14.453125" style="22" customWidth="1"/>
    <col min="13051" max="13051" width="7.26953125" style="22" customWidth="1"/>
    <col min="13052" max="13052" width="5.54296875" style="22" customWidth="1"/>
    <col min="13053" max="13053" width="9" style="22" customWidth="1"/>
    <col min="13054" max="13055" width="9.81640625" style="22" customWidth="1"/>
    <col min="13056" max="13056" width="11.1796875" style="22" customWidth="1"/>
    <col min="13057" max="13057" width="2.81640625" style="22" customWidth="1"/>
    <col min="13058" max="13058" width="3.54296875" style="22" customWidth="1"/>
    <col min="13059" max="13303" width="9.1796875" style="22"/>
    <col min="13304" max="13304" width="8.7265625" style="22" customWidth="1"/>
    <col min="13305" max="13305" width="9.81640625" style="22" customWidth="1"/>
    <col min="13306" max="13306" width="14.453125" style="22" customWidth="1"/>
    <col min="13307" max="13307" width="7.26953125" style="22" customWidth="1"/>
    <col min="13308" max="13308" width="5.54296875" style="22" customWidth="1"/>
    <col min="13309" max="13309" width="9" style="22" customWidth="1"/>
    <col min="13310" max="13311" width="9.81640625" style="22" customWidth="1"/>
    <col min="13312" max="13312" width="11.1796875" style="22" customWidth="1"/>
    <col min="13313" max="13313" width="2.81640625" style="22" customWidth="1"/>
    <col min="13314" max="13314" width="3.54296875" style="22" customWidth="1"/>
    <col min="13315" max="13559" width="9.1796875" style="22"/>
    <col min="13560" max="13560" width="8.7265625" style="22" customWidth="1"/>
    <col min="13561" max="13561" width="9.81640625" style="22" customWidth="1"/>
    <col min="13562" max="13562" width="14.453125" style="22" customWidth="1"/>
    <col min="13563" max="13563" width="7.26953125" style="22" customWidth="1"/>
    <col min="13564" max="13564" width="5.54296875" style="22" customWidth="1"/>
    <col min="13565" max="13565" width="9" style="22" customWidth="1"/>
    <col min="13566" max="13567" width="9.81640625" style="22" customWidth="1"/>
    <col min="13568" max="13568" width="11.1796875" style="22" customWidth="1"/>
    <col min="13569" max="13569" width="2.81640625" style="22" customWidth="1"/>
    <col min="13570" max="13570" width="3.54296875" style="22" customWidth="1"/>
    <col min="13571" max="13815" width="9.1796875" style="22"/>
    <col min="13816" max="13816" width="8.7265625" style="22" customWidth="1"/>
    <col min="13817" max="13817" width="9.81640625" style="22" customWidth="1"/>
    <col min="13818" max="13818" width="14.453125" style="22" customWidth="1"/>
    <col min="13819" max="13819" width="7.26953125" style="22" customWidth="1"/>
    <col min="13820" max="13820" width="5.54296875" style="22" customWidth="1"/>
    <col min="13821" max="13821" width="9" style="22" customWidth="1"/>
    <col min="13822" max="13823" width="9.81640625" style="22" customWidth="1"/>
    <col min="13824" max="13824" width="11.1796875" style="22" customWidth="1"/>
    <col min="13825" max="13825" width="2.81640625" style="22" customWidth="1"/>
    <col min="13826" max="13826" width="3.54296875" style="22" customWidth="1"/>
    <col min="13827" max="14071" width="9.1796875" style="22"/>
    <col min="14072" max="14072" width="8.7265625" style="22" customWidth="1"/>
    <col min="14073" max="14073" width="9.81640625" style="22" customWidth="1"/>
    <col min="14074" max="14074" width="14.453125" style="22" customWidth="1"/>
    <col min="14075" max="14075" width="7.26953125" style="22" customWidth="1"/>
    <col min="14076" max="14076" width="5.54296875" style="22" customWidth="1"/>
    <col min="14077" max="14077" width="9" style="22" customWidth="1"/>
    <col min="14078" max="14079" width="9.81640625" style="22" customWidth="1"/>
    <col min="14080" max="14080" width="11.1796875" style="22" customWidth="1"/>
    <col min="14081" max="14081" width="2.81640625" style="22" customWidth="1"/>
    <col min="14082" max="14082" width="3.54296875" style="22" customWidth="1"/>
    <col min="14083" max="14327" width="9.1796875" style="22"/>
    <col min="14328" max="14328" width="8.7265625" style="22" customWidth="1"/>
    <col min="14329" max="14329" width="9.81640625" style="22" customWidth="1"/>
    <col min="14330" max="14330" width="14.453125" style="22" customWidth="1"/>
    <col min="14331" max="14331" width="7.26953125" style="22" customWidth="1"/>
    <col min="14332" max="14332" width="5.54296875" style="22" customWidth="1"/>
    <col min="14333" max="14333" width="9" style="22" customWidth="1"/>
    <col min="14334" max="14335" width="9.81640625" style="22" customWidth="1"/>
    <col min="14336" max="14336" width="11.1796875" style="22" customWidth="1"/>
    <col min="14337" max="14337" width="2.81640625" style="22" customWidth="1"/>
    <col min="14338" max="14338" width="3.54296875" style="22" customWidth="1"/>
    <col min="14339" max="14583" width="9.1796875" style="22"/>
    <col min="14584" max="14584" width="8.7265625" style="22" customWidth="1"/>
    <col min="14585" max="14585" width="9.81640625" style="22" customWidth="1"/>
    <col min="14586" max="14586" width="14.453125" style="22" customWidth="1"/>
    <col min="14587" max="14587" width="7.26953125" style="22" customWidth="1"/>
    <col min="14588" max="14588" width="5.54296875" style="22" customWidth="1"/>
    <col min="14589" max="14589" width="9" style="22" customWidth="1"/>
    <col min="14590" max="14591" width="9.81640625" style="22" customWidth="1"/>
    <col min="14592" max="14592" width="11.1796875" style="22" customWidth="1"/>
    <col min="14593" max="14593" width="2.81640625" style="22" customWidth="1"/>
    <col min="14594" max="14594" width="3.54296875" style="22" customWidth="1"/>
    <col min="14595" max="14839" width="9.1796875" style="22"/>
    <col min="14840" max="14840" width="8.7265625" style="22" customWidth="1"/>
    <col min="14841" max="14841" width="9.81640625" style="22" customWidth="1"/>
    <col min="14842" max="14842" width="14.453125" style="22" customWidth="1"/>
    <col min="14843" max="14843" width="7.26953125" style="22" customWidth="1"/>
    <col min="14844" max="14844" width="5.54296875" style="22" customWidth="1"/>
    <col min="14845" max="14845" width="9" style="22" customWidth="1"/>
    <col min="14846" max="14847" width="9.81640625" style="22" customWidth="1"/>
    <col min="14848" max="14848" width="11.1796875" style="22" customWidth="1"/>
    <col min="14849" max="14849" width="2.81640625" style="22" customWidth="1"/>
    <col min="14850" max="14850" width="3.54296875" style="22" customWidth="1"/>
    <col min="14851" max="15095" width="9.1796875" style="22"/>
    <col min="15096" max="15096" width="8.7265625" style="22" customWidth="1"/>
    <col min="15097" max="15097" width="9.81640625" style="22" customWidth="1"/>
    <col min="15098" max="15098" width="14.453125" style="22" customWidth="1"/>
    <col min="15099" max="15099" width="7.26953125" style="22" customWidth="1"/>
    <col min="15100" max="15100" width="5.54296875" style="22" customWidth="1"/>
    <col min="15101" max="15101" width="9" style="22" customWidth="1"/>
    <col min="15102" max="15103" width="9.81640625" style="22" customWidth="1"/>
    <col min="15104" max="15104" width="11.1796875" style="22" customWidth="1"/>
    <col min="15105" max="15105" width="2.81640625" style="22" customWidth="1"/>
    <col min="15106" max="15106" width="3.54296875" style="22" customWidth="1"/>
    <col min="15107" max="15351" width="9.1796875" style="22"/>
    <col min="15352" max="15352" width="8.7265625" style="22" customWidth="1"/>
    <col min="15353" max="15353" width="9.81640625" style="22" customWidth="1"/>
    <col min="15354" max="15354" width="14.453125" style="22" customWidth="1"/>
    <col min="15355" max="15355" width="7.26953125" style="22" customWidth="1"/>
    <col min="15356" max="15356" width="5.54296875" style="22" customWidth="1"/>
    <col min="15357" max="15357" width="9" style="22" customWidth="1"/>
    <col min="15358" max="15359" width="9.81640625" style="22" customWidth="1"/>
    <col min="15360" max="15360" width="11.1796875" style="22" customWidth="1"/>
    <col min="15361" max="15361" width="2.81640625" style="22" customWidth="1"/>
    <col min="15362" max="15362" width="3.54296875" style="22" customWidth="1"/>
    <col min="15363" max="15607" width="9.1796875" style="22"/>
    <col min="15608" max="15608" width="8.7265625" style="22" customWidth="1"/>
    <col min="15609" max="15609" width="9.81640625" style="22" customWidth="1"/>
    <col min="15610" max="15610" width="14.453125" style="22" customWidth="1"/>
    <col min="15611" max="15611" width="7.26953125" style="22" customWidth="1"/>
    <col min="15612" max="15612" width="5.54296875" style="22" customWidth="1"/>
    <col min="15613" max="15613" width="9" style="22" customWidth="1"/>
    <col min="15614" max="15615" width="9.81640625" style="22" customWidth="1"/>
    <col min="15616" max="15616" width="11.1796875" style="22" customWidth="1"/>
    <col min="15617" max="15617" width="2.81640625" style="22" customWidth="1"/>
    <col min="15618" max="15618" width="3.54296875" style="22" customWidth="1"/>
    <col min="15619" max="15863" width="9.1796875" style="22"/>
    <col min="15864" max="15864" width="8.7265625" style="22" customWidth="1"/>
    <col min="15865" max="15865" width="9.81640625" style="22" customWidth="1"/>
    <col min="15866" max="15866" width="14.453125" style="22" customWidth="1"/>
    <col min="15867" max="15867" width="7.26953125" style="22" customWidth="1"/>
    <col min="15868" max="15868" width="5.54296875" style="22" customWidth="1"/>
    <col min="15869" max="15869" width="9" style="22" customWidth="1"/>
    <col min="15870" max="15871" width="9.81640625" style="22" customWidth="1"/>
    <col min="15872" max="15872" width="11.1796875" style="22" customWidth="1"/>
    <col min="15873" max="15873" width="2.81640625" style="22" customWidth="1"/>
    <col min="15874" max="15874" width="3.54296875" style="22" customWidth="1"/>
    <col min="15875" max="16119" width="9.1796875" style="22"/>
    <col min="16120" max="16120" width="8.7265625" style="22" customWidth="1"/>
    <col min="16121" max="16121" width="9.81640625" style="22" customWidth="1"/>
    <col min="16122" max="16122" width="14.453125" style="22" customWidth="1"/>
    <col min="16123" max="16123" width="7.26953125" style="22" customWidth="1"/>
    <col min="16124" max="16124" width="5.54296875" style="22" customWidth="1"/>
    <col min="16125" max="16125" width="9" style="22" customWidth="1"/>
    <col min="16126" max="16127" width="9.81640625" style="22" customWidth="1"/>
    <col min="16128" max="16128" width="11.1796875" style="22" customWidth="1"/>
    <col min="16129" max="16129" width="2.81640625" style="22" customWidth="1"/>
    <col min="16130" max="16130" width="3.54296875" style="22" customWidth="1"/>
    <col min="16131" max="16384" width="9.1796875" style="22"/>
  </cols>
  <sheetData>
    <row r="1" spans="1:26" ht="46.5" customHeight="1">
      <c r="A1" s="226" t="s">
        <v>0</v>
      </c>
      <c r="B1" s="226"/>
      <c r="C1" s="226"/>
      <c r="D1" s="226"/>
      <c r="E1" s="226"/>
      <c r="F1" s="226"/>
      <c r="G1" s="226"/>
      <c r="H1" s="226"/>
    </row>
    <row r="2" spans="1:26" ht="16.5" customHeight="1">
      <c r="A2" s="134" t="s">
        <v>1</v>
      </c>
      <c r="B2" s="134"/>
      <c r="C2" s="134"/>
      <c r="D2" s="134"/>
      <c r="E2" s="134"/>
      <c r="F2" s="134"/>
      <c r="G2" s="134"/>
      <c r="H2" s="134"/>
    </row>
    <row r="3" spans="1:26">
      <c r="A3" s="79" t="s">
        <v>2</v>
      </c>
      <c r="B3" s="79"/>
      <c r="C3" s="79"/>
      <c r="D3" s="79"/>
      <c r="E3" s="79" t="str">
        <f ca="1">TEXT(TODAY(),"DD/MM/YYYY")</f>
        <v>02/07/2025</v>
      </c>
      <c r="F3" s="79"/>
      <c r="G3" s="79"/>
      <c r="H3" s="79"/>
    </row>
    <row r="4" spans="1:26" ht="15" customHeight="1">
      <c r="A4" s="79" t="s">
        <v>3</v>
      </c>
      <c r="B4" s="79"/>
      <c r="C4" s="79"/>
      <c r="D4" s="79"/>
      <c r="E4" s="181" t="s">
        <v>4</v>
      </c>
      <c r="F4" s="181"/>
      <c r="G4" s="181"/>
      <c r="H4" s="181"/>
    </row>
    <row r="5" spans="1:26">
      <c r="A5" s="206" t="s">
        <v>5</v>
      </c>
      <c r="B5" s="206"/>
      <c r="C5" s="206"/>
      <c r="D5" s="206"/>
      <c r="E5" s="227">
        <v>45840</v>
      </c>
      <c r="F5" s="79"/>
      <c r="G5" s="79"/>
      <c r="H5" s="79"/>
    </row>
    <row r="6" spans="1:26" ht="16.5" customHeight="1">
      <c r="A6" s="79" t="s">
        <v>6</v>
      </c>
      <c r="B6" s="79"/>
      <c r="C6" s="79"/>
      <c r="D6" s="79"/>
      <c r="E6" s="79" t="s">
        <v>7</v>
      </c>
      <c r="F6" s="79"/>
      <c r="G6" s="79"/>
      <c r="H6" s="79"/>
    </row>
    <row r="7" spans="1:26" ht="15" customHeight="1">
      <c r="A7" s="79" t="s">
        <v>8</v>
      </c>
      <c r="B7" s="79"/>
      <c r="C7" s="79"/>
      <c r="D7" s="79"/>
      <c r="E7" s="79" t="str">
        <f>E6</f>
        <v>Jai Balaji Sai Realtors</v>
      </c>
      <c r="F7" s="79"/>
      <c r="G7" s="79"/>
      <c r="H7" s="79"/>
    </row>
    <row r="8" spans="1:26">
      <c r="A8" s="79" t="s">
        <v>9</v>
      </c>
      <c r="B8" s="79"/>
      <c r="C8" s="79"/>
      <c r="D8" s="79"/>
      <c r="E8" s="161" t="s">
        <v>10</v>
      </c>
      <c r="F8" s="161"/>
      <c r="G8" s="161"/>
      <c r="H8" s="161"/>
    </row>
    <row r="9" spans="1:26">
      <c r="A9" s="79" t="s">
        <v>11</v>
      </c>
      <c r="B9" s="79"/>
      <c r="C9" s="79"/>
      <c r="D9" s="79"/>
      <c r="E9" s="79" t="s">
        <v>12</v>
      </c>
      <c r="F9" s="79"/>
      <c r="G9" s="79"/>
      <c r="H9" s="79"/>
    </row>
    <row r="10" spans="1:26">
      <c r="A10" s="206" t="s">
        <v>13</v>
      </c>
      <c r="B10" s="206"/>
      <c r="C10" s="206"/>
      <c r="D10" s="206"/>
      <c r="E10" s="79" t="s">
        <v>14</v>
      </c>
      <c r="F10" s="79"/>
      <c r="G10" s="79"/>
      <c r="H10" s="79"/>
    </row>
    <row r="11" spans="1:26">
      <c r="A11" s="79" t="s">
        <v>15</v>
      </c>
      <c r="B11" s="79"/>
      <c r="C11" s="79"/>
      <c r="D11" s="79"/>
      <c r="E11" s="79" t="s">
        <v>16</v>
      </c>
      <c r="F11" s="79"/>
      <c r="G11" s="79"/>
      <c r="H11" s="79"/>
    </row>
    <row r="12" spans="1:26">
      <c r="A12" s="79" t="s">
        <v>17</v>
      </c>
      <c r="B12" s="79"/>
      <c r="C12" s="79"/>
      <c r="D12" s="79"/>
      <c r="E12" s="79" t="s">
        <v>18</v>
      </c>
      <c r="F12" s="79"/>
      <c r="G12" s="79"/>
      <c r="H12" s="79"/>
      <c r="S12" s="2" t="s">
        <v>19</v>
      </c>
      <c r="T12" s="2" t="s">
        <v>20</v>
      </c>
      <c r="U12" s="2" t="s">
        <v>21</v>
      </c>
      <c r="V12" s="2" t="s">
        <v>22</v>
      </c>
      <c r="W12" s="2" t="s">
        <v>23</v>
      </c>
      <c r="X12"/>
      <c r="Y12" t="s">
        <v>22</v>
      </c>
      <c r="Z12" t="e">
        <f ca="1">OFFSET($S$12,1,MATCH($G19,$S$12:$W$12,0)-1,15,1)</f>
        <v>#VALUE!</v>
      </c>
    </row>
    <row r="13" spans="1:26">
      <c r="A13" s="181" t="s">
        <v>24</v>
      </c>
      <c r="B13" s="181"/>
      <c r="C13" s="181"/>
      <c r="D13" s="181"/>
      <c r="E13" s="222" t="s">
        <v>25</v>
      </c>
      <c r="F13" s="222"/>
      <c r="G13" s="222"/>
      <c r="H13" s="222"/>
      <c r="S13" s="2" t="s">
        <v>26</v>
      </c>
      <c r="T13" s="2" t="s">
        <v>27</v>
      </c>
      <c r="U13" s="2" t="s">
        <v>28</v>
      </c>
      <c r="V13" s="2" t="s">
        <v>29</v>
      </c>
      <c r="W13" s="2" t="s">
        <v>30</v>
      </c>
      <c r="X13"/>
      <c r="Y13"/>
      <c r="Z13"/>
    </row>
    <row r="14" spans="1:26">
      <c r="A14" s="181" t="s">
        <v>31</v>
      </c>
      <c r="B14" s="181"/>
      <c r="C14" s="181"/>
      <c r="D14" s="181"/>
      <c r="E14" s="222" t="s">
        <v>32</v>
      </c>
      <c r="F14" s="181"/>
      <c r="G14" s="181"/>
      <c r="H14" s="181"/>
      <c r="I14" s="224" t="e">
        <f ca="1">OFFSET($D$4,1,MATCH($J12,$D$4:$H$4,0)-1,15,1)</f>
        <v>#N/A</v>
      </c>
      <c r="J14" s="225"/>
      <c r="K14" s="225"/>
      <c r="L14" s="225"/>
      <c r="M14" s="225"/>
      <c r="N14" s="225"/>
      <c r="O14" s="225"/>
      <c r="P14" s="225"/>
      <c r="S14" s="2" t="s">
        <v>33</v>
      </c>
      <c r="T14" s="2" t="s">
        <v>34</v>
      </c>
      <c r="U14" s="2" t="s">
        <v>35</v>
      </c>
      <c r="V14" s="2" t="s">
        <v>36</v>
      </c>
      <c r="W14" s="2" t="s">
        <v>37</v>
      </c>
      <c r="X14"/>
      <c r="Y14"/>
      <c r="Z14"/>
    </row>
    <row r="15" spans="1:26" ht="33" customHeight="1">
      <c r="A15" s="222" t="s">
        <v>38</v>
      </c>
      <c r="B15" s="222"/>
      <c r="C15" s="222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Seasons Green, Survey No.16, H. No. 2, near Shukla Sadan, Internal Rd, Chanakya Nagar, Khadakpada, Kolivali, Kalyan, Kalyan, Thane  - 421301.</v>
      </c>
      <c r="D15" s="222"/>
      <c r="E15" s="222"/>
      <c r="F15" s="222"/>
      <c r="G15" s="222"/>
      <c r="H15" s="222"/>
      <c r="S15" s="2" t="s">
        <v>39</v>
      </c>
      <c r="T15" s="2" t="s">
        <v>40</v>
      </c>
      <c r="U15" s="2" t="s">
        <v>41</v>
      </c>
      <c r="V15" s="2" t="s">
        <v>42</v>
      </c>
      <c r="W15" s="2" t="s">
        <v>43</v>
      </c>
      <c r="X15"/>
      <c r="Y15"/>
      <c r="Z15"/>
    </row>
    <row r="16" spans="1:26">
      <c r="A16" s="222" t="s">
        <v>44</v>
      </c>
      <c r="B16" s="222"/>
      <c r="C16" s="222" t="s">
        <v>45</v>
      </c>
      <c r="D16" s="222"/>
      <c r="E16" s="222"/>
      <c r="F16" s="222"/>
      <c r="G16" s="222"/>
      <c r="H16" s="222"/>
      <c r="S16" s="2" t="s">
        <v>46</v>
      </c>
      <c r="T16" s="2" t="s">
        <v>47</v>
      </c>
      <c r="U16" s="2"/>
      <c r="V16" s="2" t="s">
        <v>48</v>
      </c>
      <c r="W16" s="2" t="s">
        <v>49</v>
      </c>
      <c r="X16"/>
      <c r="Y16"/>
      <c r="Z16"/>
    </row>
    <row r="17" spans="1:26" ht="15.75" customHeight="1">
      <c r="A17" s="222" t="s">
        <v>50</v>
      </c>
      <c r="B17" s="222"/>
      <c r="C17" s="222" t="s">
        <v>51</v>
      </c>
      <c r="D17" s="222"/>
      <c r="E17" s="222"/>
      <c r="F17" s="222"/>
      <c r="G17" s="222"/>
      <c r="H17" s="222"/>
      <c r="S17" s="2" t="s">
        <v>52</v>
      </c>
      <c r="T17" s="2" t="s">
        <v>20</v>
      </c>
      <c r="U17" s="2"/>
      <c r="V17" s="2" t="s">
        <v>53</v>
      </c>
      <c r="W17" s="2" t="s">
        <v>54</v>
      </c>
      <c r="X17"/>
      <c r="Y17"/>
      <c r="Z17"/>
    </row>
    <row r="18" spans="1:26" ht="15.75" customHeight="1">
      <c r="A18" s="222" t="s">
        <v>55</v>
      </c>
      <c r="B18" s="222"/>
      <c r="C18" s="181" t="s">
        <v>56</v>
      </c>
      <c r="D18" s="181"/>
      <c r="E18" s="222" t="s">
        <v>57</v>
      </c>
      <c r="F18" s="222"/>
      <c r="G18" s="222" t="s">
        <v>58</v>
      </c>
      <c r="H18" s="222"/>
      <c r="S18" s="2" t="s">
        <v>59</v>
      </c>
      <c r="T18" s="2" t="s">
        <v>60</v>
      </c>
      <c r="U18" s="2"/>
      <c r="V18" s="2" t="s">
        <v>61</v>
      </c>
      <c r="W18" s="2" t="s">
        <v>62</v>
      </c>
      <c r="X18"/>
      <c r="Y18"/>
      <c r="Z18"/>
    </row>
    <row r="19" spans="1:26">
      <c r="A19" s="181" t="s">
        <v>63</v>
      </c>
      <c r="B19" s="181"/>
      <c r="C19" s="222" t="s">
        <v>39</v>
      </c>
      <c r="D19" s="222"/>
      <c r="E19" s="222" t="s">
        <v>64</v>
      </c>
      <c r="F19" s="222"/>
      <c r="G19" s="223" t="s">
        <v>19</v>
      </c>
      <c r="H19" s="223"/>
      <c r="S19" s="2" t="s">
        <v>65</v>
      </c>
      <c r="T19" s="2" t="s">
        <v>66</v>
      </c>
      <c r="U19" s="2"/>
      <c r="V19" s="2" t="s">
        <v>67</v>
      </c>
      <c r="W19" s="2" t="s">
        <v>68</v>
      </c>
      <c r="X19"/>
      <c r="Y19"/>
      <c r="Z19"/>
    </row>
    <row r="20" spans="1:26" ht="15.75" customHeight="1">
      <c r="A20" s="181" t="s">
        <v>69</v>
      </c>
      <c r="B20" s="181"/>
      <c r="C20" s="222" t="s">
        <v>39</v>
      </c>
      <c r="D20" s="222"/>
      <c r="E20" s="222" t="s">
        <v>70</v>
      </c>
      <c r="F20" s="222"/>
      <c r="G20" s="222">
        <v>421301</v>
      </c>
      <c r="H20" s="222"/>
      <c r="S20" s="2"/>
      <c r="T20" s="2"/>
      <c r="U20" s="2"/>
      <c r="V20" s="2" t="s">
        <v>71</v>
      </c>
      <c r="W20" s="2" t="s">
        <v>72</v>
      </c>
      <c r="X20"/>
      <c r="Y20"/>
      <c r="Z20"/>
    </row>
    <row r="21" spans="1:26" ht="32.25" customHeight="1">
      <c r="A21" s="181" t="s">
        <v>73</v>
      </c>
      <c r="B21" s="181"/>
      <c r="C21" s="222" t="s">
        <v>74</v>
      </c>
      <c r="D21" s="222"/>
      <c r="E21" s="222" t="s">
        <v>75</v>
      </c>
      <c r="F21" s="222"/>
      <c r="G21" s="222" t="s">
        <v>76</v>
      </c>
      <c r="H21" s="222"/>
      <c r="S21" s="2"/>
      <c r="T21" s="2"/>
      <c r="U21" s="2"/>
      <c r="V21" s="2" t="s">
        <v>77</v>
      </c>
      <c r="W21" s="2" t="s">
        <v>78</v>
      </c>
      <c r="X21"/>
      <c r="Y21"/>
      <c r="Z21"/>
    </row>
    <row r="22" spans="1:26" ht="15" customHeight="1">
      <c r="A22" s="78" t="s">
        <v>79</v>
      </c>
      <c r="B22" s="78"/>
      <c r="C22" s="78"/>
      <c r="D22" s="78"/>
      <c r="E22" s="79" t="s">
        <v>80</v>
      </c>
      <c r="F22" s="79"/>
      <c r="G22" s="79"/>
      <c r="H22" s="79"/>
      <c r="S22" s="2"/>
      <c r="T22" s="2"/>
      <c r="U22" s="2"/>
      <c r="V22" s="2" t="s">
        <v>81</v>
      </c>
      <c r="W22" s="2" t="s">
        <v>82</v>
      </c>
      <c r="X22"/>
      <c r="Y22"/>
      <c r="Z22"/>
    </row>
    <row r="23" spans="1:26" ht="18.75" customHeight="1">
      <c r="A23" s="78"/>
      <c r="B23" s="78"/>
      <c r="C23" s="78"/>
      <c r="D23" s="78"/>
      <c r="E23" s="79"/>
      <c r="F23" s="79"/>
      <c r="G23" s="79"/>
      <c r="H23" s="79"/>
      <c r="S23" s="2"/>
      <c r="T23" s="2"/>
      <c r="U23" s="2"/>
      <c r="V23" s="2" t="s">
        <v>83</v>
      </c>
      <c r="W23" s="2" t="s">
        <v>84</v>
      </c>
      <c r="X23"/>
      <c r="Y23"/>
      <c r="Z23"/>
    </row>
    <row r="24" spans="1:26" ht="15" customHeight="1">
      <c r="A24" s="78" t="s">
        <v>85</v>
      </c>
      <c r="B24" s="78"/>
      <c r="C24" s="78"/>
      <c r="D24" s="78"/>
      <c r="E24" s="182" t="s">
        <v>86</v>
      </c>
      <c r="F24" s="182"/>
      <c r="G24" s="182"/>
      <c r="H24" s="182"/>
      <c r="S24" s="2"/>
      <c r="T24" s="2"/>
      <c r="U24" s="2"/>
      <c r="V24" s="2" t="s">
        <v>87</v>
      </c>
      <c r="W24" s="2" t="s">
        <v>88</v>
      </c>
      <c r="X24"/>
      <c r="Y24"/>
      <c r="Z24"/>
    </row>
    <row r="25" spans="1:26" ht="15" customHeight="1">
      <c r="A25" s="91" t="s">
        <v>89</v>
      </c>
      <c r="B25" s="91"/>
      <c r="C25" s="91"/>
      <c r="D25" s="91"/>
      <c r="E25" s="182" t="str">
        <f>IF(AND(G19="Mumbai"),"Upper Class","Middle Class")</f>
        <v>Middle Class</v>
      </c>
      <c r="F25" s="182"/>
      <c r="G25" s="182"/>
      <c r="H25" s="182"/>
      <c r="S25" s="2"/>
      <c r="T25" s="2"/>
      <c r="U25" s="2"/>
      <c r="V25" s="2" t="s">
        <v>90</v>
      </c>
      <c r="W25" s="2" t="s">
        <v>91</v>
      </c>
      <c r="X25"/>
      <c r="Y25"/>
      <c r="Z25"/>
    </row>
    <row r="26" spans="1:26">
      <c r="A26" s="91" t="s">
        <v>92</v>
      </c>
      <c r="B26" s="91"/>
      <c r="C26" s="91"/>
      <c r="D26" s="91"/>
      <c r="E26" s="182" t="s">
        <v>93</v>
      </c>
      <c r="F26" s="182"/>
      <c r="G26" s="182"/>
      <c r="H26" s="182"/>
      <c r="S26" s="2"/>
      <c r="T26" s="2"/>
      <c r="U26" s="2"/>
      <c r="V26" s="2" t="s">
        <v>94</v>
      </c>
      <c r="W26" s="2" t="s">
        <v>95</v>
      </c>
      <c r="X26"/>
      <c r="Y26"/>
      <c r="Z26"/>
    </row>
    <row r="27" spans="1:26" ht="15.75" customHeight="1">
      <c r="A27" s="91" t="s">
        <v>96</v>
      </c>
      <c r="B27" s="91"/>
      <c r="C27" s="91"/>
      <c r="D27" s="91"/>
      <c r="E27" s="182" t="str">
        <f>IF(AND(G19="Mumbai"),"Developed","Developing")</f>
        <v>Developing</v>
      </c>
      <c r="F27" s="182"/>
      <c r="G27" s="182"/>
      <c r="H27" s="182"/>
    </row>
    <row r="28" spans="1:26">
      <c r="A28" s="91" t="s">
        <v>97</v>
      </c>
      <c r="B28" s="91"/>
      <c r="C28" s="91"/>
      <c r="D28" s="91"/>
      <c r="E28" s="182" t="s">
        <v>98</v>
      </c>
      <c r="F28" s="182"/>
      <c r="G28" s="182"/>
      <c r="H28" s="182"/>
    </row>
    <row r="29" spans="1:26" ht="15.75" customHeight="1">
      <c r="A29" s="91" t="s">
        <v>99</v>
      </c>
      <c r="B29" s="91"/>
      <c r="C29" s="91"/>
      <c r="D29" s="91"/>
      <c r="E29" s="182" t="s">
        <v>100</v>
      </c>
      <c r="F29" s="182"/>
      <c r="G29" s="182"/>
      <c r="H29" s="182"/>
    </row>
    <row r="30" spans="1:26" ht="15" customHeight="1">
      <c r="A30" s="91" t="s">
        <v>101</v>
      </c>
      <c r="B30" s="91"/>
      <c r="C30" s="91"/>
      <c r="D30" s="91"/>
      <c r="E30" s="182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30" s="182"/>
      <c r="G30" s="182"/>
      <c r="H30" s="182"/>
    </row>
    <row r="31" spans="1:26" ht="15.75" customHeight="1">
      <c r="A31" s="91" t="s">
        <v>102</v>
      </c>
      <c r="B31" s="91"/>
      <c r="C31" s="91"/>
      <c r="D31" s="91"/>
      <c r="E31" s="182" t="s">
        <v>103</v>
      </c>
      <c r="F31" s="182"/>
      <c r="G31" s="182"/>
      <c r="H31" s="182"/>
    </row>
    <row r="32" spans="1:26" s="15" customFormat="1">
      <c r="A32" s="220" t="s">
        <v>104</v>
      </c>
      <c r="B32" s="220"/>
      <c r="C32" s="221" t="s">
        <v>105</v>
      </c>
      <c r="D32" s="221"/>
      <c r="E32" s="221"/>
      <c r="F32" s="221" t="s">
        <v>106</v>
      </c>
      <c r="G32" s="221"/>
      <c r="H32" s="221"/>
    </row>
    <row r="33" spans="1:8" s="15" customFormat="1">
      <c r="A33" s="218" t="s">
        <v>107</v>
      </c>
      <c r="B33" s="218" t="s">
        <v>18</v>
      </c>
      <c r="C33" s="219" t="s">
        <v>108</v>
      </c>
      <c r="D33" s="219"/>
      <c r="E33" s="219"/>
      <c r="F33" s="219" t="s">
        <v>74</v>
      </c>
      <c r="G33" s="219"/>
      <c r="H33" s="219"/>
    </row>
    <row r="34" spans="1:8">
      <c r="A34" s="218" t="s">
        <v>109</v>
      </c>
      <c r="B34" s="218" t="s">
        <v>18</v>
      </c>
      <c r="C34" s="219" t="s">
        <v>110</v>
      </c>
      <c r="D34" s="219"/>
      <c r="E34" s="219"/>
      <c r="F34" s="219" t="s">
        <v>111</v>
      </c>
      <c r="G34" s="219"/>
      <c r="H34" s="219"/>
    </row>
    <row r="35" spans="1:8" s="15" customFormat="1">
      <c r="A35" s="218" t="s">
        <v>112</v>
      </c>
      <c r="B35" s="218" t="s">
        <v>18</v>
      </c>
      <c r="C35" s="219" t="s">
        <v>110</v>
      </c>
      <c r="D35" s="219"/>
      <c r="E35" s="219"/>
      <c r="F35" s="219" t="s">
        <v>113</v>
      </c>
      <c r="G35" s="219"/>
      <c r="H35" s="219"/>
    </row>
    <row r="36" spans="1:8">
      <c r="A36" s="218" t="s">
        <v>114</v>
      </c>
      <c r="B36" s="218" t="s">
        <v>18</v>
      </c>
      <c r="C36" s="219" t="s">
        <v>108</v>
      </c>
      <c r="D36" s="219"/>
      <c r="E36" s="219"/>
      <c r="F36" s="219" t="s">
        <v>113</v>
      </c>
      <c r="G36" s="219"/>
      <c r="H36" s="219"/>
    </row>
    <row r="37" spans="1:8">
      <c r="A37" s="91" t="s">
        <v>115</v>
      </c>
      <c r="B37" s="91"/>
      <c r="C37" s="91"/>
      <c r="D37" s="91"/>
      <c r="E37" s="91"/>
      <c r="F37" s="91"/>
      <c r="G37" s="91"/>
      <c r="H37" s="91"/>
    </row>
    <row r="38" spans="1:8" ht="15.75" customHeight="1">
      <c r="A38" s="91" t="s">
        <v>116</v>
      </c>
      <c r="B38" s="91"/>
      <c r="C38" s="158" t="s">
        <v>117</v>
      </c>
      <c r="D38" s="158"/>
      <c r="E38" s="158"/>
      <c r="F38" s="158"/>
      <c r="G38" s="158"/>
      <c r="H38" s="158"/>
    </row>
    <row r="39" spans="1:8">
      <c r="A39" s="91" t="s">
        <v>118</v>
      </c>
      <c r="B39" s="91"/>
      <c r="C39" s="216" t="s">
        <v>119</v>
      </c>
      <c r="D39" s="182"/>
      <c r="E39" s="182"/>
      <c r="F39" s="182"/>
      <c r="G39" s="182"/>
      <c r="H39" s="182"/>
    </row>
    <row r="40" spans="1:8">
      <c r="A40" s="158" t="s">
        <v>120</v>
      </c>
      <c r="B40" s="158"/>
      <c r="C40" s="158"/>
      <c r="D40" s="158"/>
      <c r="E40" s="158"/>
      <c r="F40" s="158"/>
      <c r="G40" s="158"/>
      <c r="H40" s="158"/>
    </row>
    <row r="41" spans="1:8">
      <c r="A41" s="91" t="s">
        <v>121</v>
      </c>
      <c r="B41" s="91"/>
      <c r="C41" s="91"/>
      <c r="D41" s="91"/>
      <c r="E41" s="217">
        <v>12070</v>
      </c>
      <c r="F41" s="217"/>
      <c r="G41" s="217"/>
      <c r="H41" s="217"/>
    </row>
    <row r="42" spans="1:8">
      <c r="A42" s="91" t="s">
        <v>122</v>
      </c>
      <c r="B42" s="91"/>
      <c r="C42" s="91"/>
      <c r="D42" s="91"/>
      <c r="E42" s="213">
        <v>1</v>
      </c>
      <c r="F42" s="213"/>
      <c r="G42" s="213"/>
      <c r="H42" s="213"/>
    </row>
    <row r="43" spans="1:8">
      <c r="A43" s="91" t="s">
        <v>123</v>
      </c>
      <c r="B43" s="91"/>
      <c r="C43" s="91"/>
      <c r="D43" s="91"/>
      <c r="E43" s="213">
        <f>E45/E41-E42</f>
        <v>0.84060977630488809</v>
      </c>
      <c r="F43" s="213"/>
      <c r="G43" s="213"/>
      <c r="H43" s="213"/>
    </row>
    <row r="44" spans="1:8">
      <c r="A44" s="91" t="s">
        <v>124</v>
      </c>
      <c r="B44" s="91"/>
      <c r="C44" s="91"/>
      <c r="D44" s="91"/>
      <c r="E44" s="213">
        <f>E42+E43</f>
        <v>1.8406097763048881</v>
      </c>
      <c r="F44" s="213"/>
      <c r="G44" s="213"/>
      <c r="H44" s="213"/>
    </row>
    <row r="45" spans="1:8">
      <c r="A45" s="91" t="s">
        <v>125</v>
      </c>
      <c r="B45" s="91"/>
      <c r="C45" s="91"/>
      <c r="D45" s="91"/>
      <c r="E45" s="214">
        <v>22216.16</v>
      </c>
      <c r="F45" s="214"/>
      <c r="G45" s="214"/>
      <c r="H45" s="214"/>
    </row>
    <row r="46" spans="1:8">
      <c r="A46" s="181" t="s">
        <v>126</v>
      </c>
      <c r="B46" s="181"/>
      <c r="C46" s="181"/>
      <c r="D46" s="181"/>
      <c r="E46" s="181" t="s">
        <v>127</v>
      </c>
      <c r="F46" s="181"/>
      <c r="G46" s="181"/>
      <c r="H46" s="181"/>
    </row>
    <row r="47" spans="1:8">
      <c r="A47" s="215" t="s">
        <v>128</v>
      </c>
      <c r="B47" s="215"/>
      <c r="C47" s="215"/>
      <c r="D47" s="215"/>
      <c r="E47" s="215"/>
      <c r="F47" s="215"/>
      <c r="G47" s="215"/>
      <c r="H47" s="215"/>
    </row>
    <row r="48" spans="1:8" ht="33.75" customHeight="1">
      <c r="A48" s="207" t="s">
        <v>129</v>
      </c>
      <c r="B48" s="208"/>
      <c r="C48" s="209" t="s">
        <v>130</v>
      </c>
      <c r="D48" s="210"/>
      <c r="E48" s="210"/>
      <c r="F48" s="210"/>
      <c r="G48" s="210"/>
      <c r="H48" s="211"/>
    </row>
    <row r="49" spans="1:14" ht="15.75" customHeight="1">
      <c r="A49" s="197" t="s">
        <v>131</v>
      </c>
      <c r="B49" s="199"/>
      <c r="C49" s="197" t="s">
        <v>132</v>
      </c>
      <c r="D49" s="198"/>
      <c r="E49" s="199"/>
      <c r="F49" s="23" t="s">
        <v>133</v>
      </c>
      <c r="G49" s="212">
        <v>44951</v>
      </c>
      <c r="H49" s="199"/>
    </row>
    <row r="50" spans="1:14">
      <c r="A50" s="197" t="s">
        <v>134</v>
      </c>
      <c r="B50" s="199"/>
      <c r="C50" s="197" t="str">
        <f>C49</f>
        <v>KDMC/TPD/BP/KD/2022-23/85</v>
      </c>
      <c r="D50" s="198"/>
      <c r="E50" s="199"/>
      <c r="F50" s="23" t="s">
        <v>133</v>
      </c>
      <c r="G50" s="212">
        <v>44951</v>
      </c>
      <c r="H50" s="199"/>
    </row>
    <row r="51" spans="1:14" s="16" customFormat="1" ht="15.75" customHeight="1">
      <c r="A51" s="74" t="s">
        <v>135</v>
      </c>
      <c r="B51" s="75"/>
      <c r="C51" s="197" t="str">
        <f>C49</f>
        <v>KDMC/TPD/BP/KD/2022-23/85</v>
      </c>
      <c r="D51" s="198"/>
      <c r="E51" s="199"/>
      <c r="F51" s="23" t="s">
        <v>133</v>
      </c>
      <c r="G51" s="212">
        <v>44951</v>
      </c>
      <c r="H51" s="199"/>
    </row>
    <row r="52" spans="1:14" s="16" customFormat="1">
      <c r="A52" s="76"/>
      <c r="B52" s="77"/>
      <c r="C52" s="197" t="s">
        <v>136</v>
      </c>
      <c r="D52" s="198"/>
      <c r="E52" s="198"/>
      <c r="F52" s="198"/>
      <c r="G52" s="198"/>
      <c r="H52" s="199"/>
    </row>
    <row r="53" spans="1:14">
      <c r="A53" s="200" t="s">
        <v>137</v>
      </c>
      <c r="B53" s="201"/>
      <c r="C53" s="200" t="s">
        <v>138</v>
      </c>
      <c r="D53" s="202"/>
      <c r="E53" s="201"/>
      <c r="F53" s="24" t="s">
        <v>133</v>
      </c>
      <c r="G53" s="203" t="s">
        <v>18</v>
      </c>
      <c r="H53" s="204"/>
    </row>
    <row r="54" spans="1:14">
      <c r="A54" s="110" t="s">
        <v>139</v>
      </c>
      <c r="B54" s="110"/>
      <c r="C54" s="110"/>
      <c r="D54" s="110"/>
      <c r="E54" s="110"/>
      <c r="F54" s="110"/>
      <c r="G54" s="110"/>
      <c r="H54" s="110"/>
    </row>
    <row r="55" spans="1:14">
      <c r="A55" s="78" t="s">
        <v>140</v>
      </c>
      <c r="B55" s="78"/>
      <c r="C55" s="78"/>
      <c r="D55" s="91">
        <f>E45</f>
        <v>22216.16</v>
      </c>
      <c r="E55" s="91"/>
      <c r="F55" s="91"/>
      <c r="G55" s="91"/>
      <c r="H55" s="91"/>
    </row>
    <row r="56" spans="1:14">
      <c r="A56" s="205" t="s">
        <v>141</v>
      </c>
      <c r="B56" s="206"/>
      <c r="C56" s="206"/>
      <c r="D56" s="79" t="s">
        <v>142</v>
      </c>
      <c r="E56" s="79"/>
      <c r="F56" s="79"/>
      <c r="G56" s="79"/>
      <c r="H56" s="79"/>
      <c r="I56" s="25"/>
    </row>
    <row r="57" spans="1:14">
      <c r="A57" s="186" t="s">
        <v>143</v>
      </c>
      <c r="B57" s="187"/>
      <c r="C57" s="188"/>
      <c r="D57" s="189" t="s">
        <v>136</v>
      </c>
      <c r="E57" s="190"/>
      <c r="F57" s="190"/>
      <c r="G57" s="190"/>
      <c r="H57" s="190"/>
    </row>
    <row r="58" spans="1:14" ht="15.75" customHeight="1">
      <c r="A58" s="186" t="s">
        <v>144</v>
      </c>
      <c r="B58" s="187"/>
      <c r="C58" s="187"/>
      <c r="D58" s="181" t="s">
        <v>136</v>
      </c>
      <c r="E58" s="181"/>
      <c r="F58" s="181"/>
      <c r="G58" s="181"/>
      <c r="H58" s="181"/>
    </row>
    <row r="59" spans="1:14" ht="15.75" hidden="1" customHeight="1">
      <c r="A59" s="193"/>
      <c r="B59" s="194"/>
      <c r="C59" s="194"/>
      <c r="D59" s="191"/>
      <c r="E59" s="191"/>
      <c r="F59" s="191"/>
      <c r="G59" s="191"/>
      <c r="H59" s="191"/>
    </row>
    <row r="60" spans="1:14" ht="15.75" hidden="1" customHeight="1">
      <c r="A60" s="195"/>
      <c r="B60" s="196"/>
      <c r="C60" s="196"/>
      <c r="D60" s="191"/>
      <c r="E60" s="191"/>
      <c r="F60" s="191"/>
      <c r="G60" s="191"/>
      <c r="H60" s="191"/>
    </row>
    <row r="61" spans="1:14" ht="15.75" customHeight="1">
      <c r="A61" s="91" t="s">
        <v>145</v>
      </c>
      <c r="B61" s="91"/>
      <c r="C61" s="91"/>
      <c r="D61" s="78" t="s">
        <v>146</v>
      </c>
      <c r="E61" s="78"/>
      <c r="F61" s="78"/>
      <c r="G61" s="78"/>
      <c r="H61" s="78"/>
      <c r="J61" s="26"/>
      <c r="K61" s="25"/>
      <c r="N61" s="25"/>
    </row>
    <row r="62" spans="1:14" ht="15.75" customHeight="1">
      <c r="A62" s="91" t="s">
        <v>147</v>
      </c>
      <c r="B62" s="91"/>
      <c r="C62" s="91"/>
      <c r="D62" s="192" t="str">
        <f>(IF(G53="NA","60 Years After Completion",IF(G53&lt;&gt;"NA",""&amp;60-ROUNDDOWN((E3-G53)/360,0)&amp;" Years"," ")))</f>
        <v>60 Years After Completion</v>
      </c>
      <c r="E62" s="192"/>
      <c r="F62" s="192"/>
      <c r="G62" s="192"/>
      <c r="H62" s="192"/>
      <c r="N62" s="25"/>
    </row>
    <row r="63" spans="1:14" ht="15.75" customHeight="1">
      <c r="A63" s="91" t="s">
        <v>148</v>
      </c>
      <c r="B63" s="91"/>
      <c r="C63" s="91"/>
      <c r="D63" s="78" t="s">
        <v>98</v>
      </c>
      <c r="E63" s="78"/>
      <c r="F63" s="78"/>
      <c r="G63" s="78"/>
      <c r="H63" s="78"/>
      <c r="J63" s="27"/>
      <c r="K63" s="27"/>
    </row>
    <row r="64" spans="1:14" ht="38.5" customHeight="1">
      <c r="A64" s="181" t="s">
        <v>149</v>
      </c>
      <c r="B64" s="181"/>
      <c r="C64" s="181"/>
      <c r="D64" s="182" t="s">
        <v>150</v>
      </c>
      <c r="E64" s="78"/>
      <c r="F64" s="78"/>
      <c r="G64" s="78"/>
      <c r="H64" s="78"/>
    </row>
    <row r="65" spans="1:14">
      <c r="A65" s="78" t="s">
        <v>151</v>
      </c>
      <c r="B65" s="78"/>
      <c r="C65" s="78"/>
      <c r="D65" s="78" t="s">
        <v>18</v>
      </c>
      <c r="E65" s="78"/>
      <c r="F65" s="78"/>
      <c r="G65" s="78"/>
      <c r="H65" s="78"/>
      <c r="I65" s="38"/>
      <c r="J65" s="38"/>
      <c r="K65" s="38"/>
      <c r="L65" s="38"/>
      <c r="M65" s="38"/>
      <c r="N65" s="38"/>
    </row>
    <row r="66" spans="1:14" ht="15.75" customHeight="1">
      <c r="A66" s="183" t="s">
        <v>152</v>
      </c>
      <c r="B66" s="183"/>
      <c r="C66" s="183"/>
      <c r="D66" s="184" t="str">
        <f ca="1">(IF(G72&gt;95%,"Nothing",IF(G72&gt;0%,"Cement, Aggregate, Steel, etc",IF(G72=0%,"Work not yet Started"))))</f>
        <v>Cement, Aggregate, Steel, etc</v>
      </c>
      <c r="E66" s="184"/>
      <c r="F66" s="184"/>
      <c r="G66" s="184"/>
      <c r="H66" s="184"/>
      <c r="J66" s="27"/>
    </row>
    <row r="67" spans="1:14" ht="33.75" customHeight="1">
      <c r="A67" s="185" t="s">
        <v>153</v>
      </c>
      <c r="B67" s="185"/>
      <c r="C67" s="185"/>
      <c r="D67" s="184" t="str">
        <f ca="1">(IF(D66="Nothing","Yes",IF(D66="Cement, Aggregate, Steel, etc","Under Construction",IF(D66="Work not yet Started","Work not yet Started"))))</f>
        <v>Under Construction</v>
      </c>
      <c r="E67" s="184"/>
      <c r="F67" s="184" t="str">
        <f ca="1">(IF(D66="Nothing","Yes",IF(D66="Cement, Aggregate, Steel, etc","Under Construction",IF(D66="Work not yet Started","Work not yet Started"))))</f>
        <v>Under Construction</v>
      </c>
      <c r="G67" s="184"/>
      <c r="H67" s="184"/>
    </row>
    <row r="68" spans="1:14" ht="15.75" customHeight="1">
      <c r="A68" s="176" t="s">
        <v>154</v>
      </c>
      <c r="B68" s="177"/>
      <c r="C68" s="178" t="s">
        <v>155</v>
      </c>
      <c r="D68" s="179"/>
      <c r="E68" s="179"/>
      <c r="F68" s="179"/>
      <c r="G68" s="179"/>
      <c r="H68" s="180"/>
      <c r="I68" s="39" t="str">
        <f ca="1">IF(D81=100%,"All work Completed. Possession granted to the Building.",IF(D80=100%,"All work Completed, Waiting for OC",I69&amp;""&amp;I70&amp;""&amp;J69&amp;""&amp;J68&amp;" "&amp;J70))</f>
        <v>Excavation, Plinth, RCC Slab Completed, Brickwork upto 5 Floor, Internal Plaster upto 2 Floor Completed</v>
      </c>
      <c r="J68" s="40" t="str">
        <f ca="1">(IF(C74=(D69+F69+H69),"",IF(C74&gt;0,", RCC upto "&amp;C74&amp;" Slab","")))&amp;(IF(C75=H69,"",IF(C75&gt;0,", Brickwork upto "&amp;C75&amp;" Floor","")))&amp;(IF(C76=H69,"",IF(C76&gt;0,", Internal Plaster upto "&amp;C76&amp;" Floor","")))&amp;(IF(C77=H69,"",IF(C77&gt;0,", External Plaster upto "&amp;C77&amp;" Floor","")))&amp;(IF(C78=H69,"",IF(C78&gt;0,", Flooring upto "&amp;C78&amp;" Floor","")))&amp;(IF(C79=H69,"",IF(C79&gt;0,", Painting upto "&amp;C79&amp;" Floor","")))&amp;(IF(C80=H69,"",IF(C80&gt;0,", Finishing upto "&amp;C80&amp;" Floor","")))&amp;(IF(C81=H69,"",IF(C81&gt;0,", Possession upto "&amp;C81&amp;" Floor","")))</f>
        <v>, Brickwork upto 5 Floor, Internal Plaster upto 2 Floor</v>
      </c>
    </row>
    <row r="69" spans="1:14">
      <c r="A69" s="28" t="s">
        <v>156</v>
      </c>
      <c r="B69" s="29">
        <f>IF(AND(ISNUMBER(SEARCH("1B",C68))),1,IF(AND(ISNUMBER(SEARCH("2B",C68))),2,IF(AND(ISNUMBER(SEARCH("3B",C68))),3,IF(AND(ISNUMBER(SEARCH("4B",C68))),4,IF(ISNUMBER(SEARCH("5B",C68)),5,0)))))</f>
        <v>0</v>
      </c>
      <c r="C69" s="29" t="s">
        <v>157</v>
      </c>
      <c r="D69" s="29">
        <v>1</v>
      </c>
      <c r="E69" s="29" t="s">
        <v>158</v>
      </c>
      <c r="F69" s="30">
        <v>0</v>
      </c>
      <c r="G69" s="31" t="s">
        <v>159</v>
      </c>
      <c r="H69" s="32">
        <f ca="1">--TRIM(RIGHT(SUBSTITUTE(LEFT(C68,_xlfn.AGGREGATE(16,6,FIND({0,1,2,3,4,5,6,7,8,9},C68,ROW(INDIRECT("1:"&amp;LEN(C68)))),1))," ",REPT(" ",LEN(C68))),LEN(C68)))</f>
        <v>7</v>
      </c>
      <c r="I69" s="41" t="str">
        <f ca="1">IF(D72=100%,"Excavation","")&amp;IF(D73=100%,", Plinth","")&amp;IF(D74=100%,", RCC Slab","")&amp;IF(D75=100%,", Brickwork","")&amp;IF(D76=100%,", Internal Plaster","")&amp;IF(D77=100%,", External Plaster","")&amp;IF(D78=100%,", Flooring","")&amp;IF(D79=100%,", Painting","")&amp;IF(D80=100%,", Building common Amenities","")</f>
        <v>Excavation, Plinth, RCC Slab</v>
      </c>
      <c r="J69" s="42" t="str">
        <f ca="1">(IF(C72=0,"Work not yet Started.",IF(D72=25%,"Piling work in process",IF(D72=50%,"Excavation work in process",IF(D72=100%,"","0")))))&amp;(IF(C73=0%,"",IF(C73=J74,", Footing work is process",IF(C73=J75,", Footing work Completed",IF(C73=J76,", 1st Basement Completed",IF(C73=J77,", 1st &amp; 2nd Basement Completed",IF(C73=J78,", 1st to 3rd Basement Completed",IF(C73=J79,", 1st to 4th Basement Completed",IF(C73=J80,", Plinth work is process",IF(C73=J81,"","0"))))))))))</f>
        <v/>
      </c>
    </row>
    <row r="70" spans="1:14" ht="31" customHeight="1">
      <c r="A70" s="171" t="s">
        <v>160</v>
      </c>
      <c r="B70" s="161"/>
      <c r="C70" s="162" t="str">
        <f ca="1">I68</f>
        <v>Excavation, Plinth, RCC Slab Completed, Brickwork upto 5 Floor, Internal Plaster upto 2 Floor Completed</v>
      </c>
      <c r="D70" s="162"/>
      <c r="E70" s="162"/>
      <c r="F70" s="162"/>
      <c r="G70" s="162"/>
      <c r="H70" s="172"/>
      <c r="I70" s="41" t="str">
        <f ca="1">IF(I69&lt;&gt;""," Completed","")</f>
        <v xml:space="preserve"> Completed</v>
      </c>
      <c r="J70" s="42" t="str">
        <f ca="1">IF(J68&lt;&gt;"","Completed","")</f>
        <v>Completed</v>
      </c>
    </row>
    <row r="71" spans="1:14" ht="15.75" customHeight="1">
      <c r="A71" s="163" t="s">
        <v>161</v>
      </c>
      <c r="B71" s="159"/>
      <c r="C71" s="33" t="s">
        <v>162</v>
      </c>
      <c r="D71" s="33" t="s">
        <v>163</v>
      </c>
      <c r="E71" s="159" t="s">
        <v>164</v>
      </c>
      <c r="F71" s="159"/>
      <c r="G71" s="159" t="s">
        <v>165</v>
      </c>
      <c r="H71" s="173"/>
      <c r="I71" s="43" t="s">
        <v>166</v>
      </c>
      <c r="J71" s="44">
        <f ca="1">H69*25%</f>
        <v>1.75</v>
      </c>
    </row>
    <row r="72" spans="1:14">
      <c r="A72" s="159" t="s">
        <v>167</v>
      </c>
      <c r="B72" s="159"/>
      <c r="C72" s="65">
        <f ca="1">J73</f>
        <v>7</v>
      </c>
      <c r="D72" s="34">
        <f ca="1">((100/H69)*C72)/100</f>
        <v>1</v>
      </c>
      <c r="E72" s="80">
        <f ca="1">(((C73/H69*10)+(40/(D69+F69+H69)*C74)+(7.5/(H69)*C75)+(7.5/(H69)*C76)+(10/H69*C77)+(10/H69*C78)+(5/H69*C79)+(5/H69*C80)+(5/H69*C81))/100)</f>
        <v>0.57499999999999996</v>
      </c>
      <c r="F72" s="80"/>
      <c r="G72" s="80">
        <f ca="1">((((C72/H69)*20)+((C73/H69)*25)+(30/(H69+F69+D69)*C74)+(5/H69*C75)+(5/H69*C76)+(5/H69*C77)+(5/H69*C78)+(0/H69*C79)+(0/H69*C80)+(5/H69*C81))/100)</f>
        <v>0.8</v>
      </c>
      <c r="H72" s="80"/>
      <c r="I72" s="43" t="s">
        <v>168</v>
      </c>
      <c r="J72" s="45">
        <f ca="1">H69*50%</f>
        <v>3.5</v>
      </c>
    </row>
    <row r="73" spans="1:14">
      <c r="A73" s="159" t="s">
        <v>169</v>
      </c>
      <c r="B73" s="159"/>
      <c r="C73" s="35">
        <f ca="1">J81</f>
        <v>7</v>
      </c>
      <c r="D73" s="34">
        <f ca="1">((100/H69)*C73)/100</f>
        <v>1</v>
      </c>
      <c r="E73" s="80"/>
      <c r="F73" s="80"/>
      <c r="G73" s="80"/>
      <c r="H73" s="80"/>
      <c r="I73" s="43" t="s">
        <v>170</v>
      </c>
      <c r="J73" s="45">
        <f ca="1">H69</f>
        <v>7</v>
      </c>
    </row>
    <row r="74" spans="1:14" ht="15.75" customHeight="1">
      <c r="A74" s="159" t="s">
        <v>171</v>
      </c>
      <c r="B74" s="159"/>
      <c r="C74" s="65">
        <v>8</v>
      </c>
      <c r="D74" s="34">
        <f ca="1">((100/(D69+F69+H69))*C74)/100</f>
        <v>1</v>
      </c>
      <c r="E74" s="80"/>
      <c r="F74" s="80"/>
      <c r="G74" s="80"/>
      <c r="H74" s="80"/>
      <c r="I74" s="43" t="s">
        <v>172</v>
      </c>
      <c r="J74" s="46">
        <f ca="1">(IF(B69&gt;1,(H69/(B69+2)),H69/4))</f>
        <v>1.75</v>
      </c>
    </row>
    <row r="75" spans="1:14" ht="15.75" customHeight="1">
      <c r="A75" s="159" t="s">
        <v>173</v>
      </c>
      <c r="B75" s="159" t="s">
        <v>174</v>
      </c>
      <c r="C75" s="65">
        <v>5</v>
      </c>
      <c r="D75" s="34">
        <f ca="1">((100/H69)*C75)/100</f>
        <v>0.7142857142857143</v>
      </c>
      <c r="E75" s="80"/>
      <c r="F75" s="80"/>
      <c r="G75" s="80"/>
      <c r="H75" s="80"/>
      <c r="I75" s="43" t="s">
        <v>175</v>
      </c>
      <c r="J75" s="46">
        <f ca="1">(IF(B69&gt;1,(H69/(B69+2)+J74),H69/4+J74))</f>
        <v>3.5</v>
      </c>
    </row>
    <row r="76" spans="1:14" ht="15.75" customHeight="1">
      <c r="A76" s="159" t="s">
        <v>176</v>
      </c>
      <c r="B76" s="159" t="s">
        <v>174</v>
      </c>
      <c r="C76" s="65">
        <v>2</v>
      </c>
      <c r="D76" s="34">
        <f ca="1">((100/H69)*C76)/100</f>
        <v>0.28571428571428575</v>
      </c>
      <c r="E76" s="80"/>
      <c r="F76" s="80"/>
      <c r="G76" s="80"/>
      <c r="H76" s="80"/>
      <c r="I76" s="43" t="s">
        <v>177</v>
      </c>
      <c r="J76" s="46">
        <f>(IF(B69&gt;1,(H69/(B69+2)+J75),0))</f>
        <v>0</v>
      </c>
    </row>
    <row r="77" spans="1:14" ht="15" customHeight="1">
      <c r="A77" s="159" t="s">
        <v>178</v>
      </c>
      <c r="B77" s="159" t="s">
        <v>179</v>
      </c>
      <c r="C77" s="65">
        <v>0</v>
      </c>
      <c r="D77" s="34">
        <f ca="1">((100/(H69))*C77)/100</f>
        <v>0</v>
      </c>
      <c r="E77" s="80"/>
      <c r="F77" s="80"/>
      <c r="G77" s="80"/>
      <c r="H77" s="80"/>
      <c r="I77" s="43" t="s">
        <v>180</v>
      </c>
      <c r="J77" s="46">
        <f>(IF(B69&gt;2,(H69/(B69+2)+J76),0))</f>
        <v>0</v>
      </c>
    </row>
    <row r="78" spans="1:14" ht="15.75" customHeight="1">
      <c r="A78" s="159" t="s">
        <v>181</v>
      </c>
      <c r="B78" s="159" t="s">
        <v>181</v>
      </c>
      <c r="C78" s="65">
        <v>0</v>
      </c>
      <c r="D78" s="34">
        <f ca="1">((100/H69)*C78)/100</f>
        <v>0</v>
      </c>
      <c r="E78" s="80"/>
      <c r="F78" s="80"/>
      <c r="G78" s="80"/>
      <c r="H78" s="80"/>
      <c r="I78" s="43" t="s">
        <v>182</v>
      </c>
      <c r="J78" s="47">
        <f>(IF(B69&gt;3,(H69/(B69+2)+J77),0))</f>
        <v>0</v>
      </c>
    </row>
    <row r="79" spans="1:14" ht="15.75" customHeight="1">
      <c r="A79" s="159" t="s">
        <v>183</v>
      </c>
      <c r="B79" s="159"/>
      <c r="C79" s="65">
        <v>0</v>
      </c>
      <c r="D79" s="34">
        <f ca="1">((100/H69)*C79)/100</f>
        <v>0</v>
      </c>
      <c r="E79" s="80"/>
      <c r="F79" s="80"/>
      <c r="G79" s="80"/>
      <c r="H79" s="80"/>
      <c r="I79" s="43" t="s">
        <v>184</v>
      </c>
      <c r="J79" s="46">
        <f>(IF(B69&gt;4,(H69/(B69+2)+J78),0))</f>
        <v>0</v>
      </c>
    </row>
    <row r="80" spans="1:14" ht="15.75" customHeight="1">
      <c r="A80" s="159" t="s">
        <v>185</v>
      </c>
      <c r="B80" s="159" t="s">
        <v>185</v>
      </c>
      <c r="C80" s="65">
        <v>0</v>
      </c>
      <c r="D80" s="34">
        <f ca="1">((100/(H69))*C80)/100</f>
        <v>0</v>
      </c>
      <c r="E80" s="80"/>
      <c r="F80" s="80"/>
      <c r="G80" s="80"/>
      <c r="H80" s="80"/>
      <c r="I80" s="43" t="s">
        <v>186</v>
      </c>
      <c r="J80" s="46">
        <f ca="1">(IF(B69=1,(H69/(B69+3)+J75),IF(B69=0,(H69/4+J75),IF(B69&gt;1,0))))</f>
        <v>5.25</v>
      </c>
    </row>
    <row r="81" spans="1:10">
      <c r="A81" s="159" t="s">
        <v>187</v>
      </c>
      <c r="B81" s="159"/>
      <c r="C81" s="65">
        <v>0</v>
      </c>
      <c r="D81" s="34">
        <f ca="1">((100/(H69))*C81)/100</f>
        <v>0</v>
      </c>
      <c r="E81" s="80"/>
      <c r="F81" s="80"/>
      <c r="G81" s="80"/>
      <c r="H81" s="80"/>
      <c r="I81" s="48" t="s">
        <v>188</v>
      </c>
      <c r="J81" s="49">
        <f ca="1">(IF(B69&gt;1.5,(H69/(B69+2)+J75+MAX(0,J76-J75)+MAX(0,J77-J76)+MAX(0,J78-J77)+MAX(0,J79-J78)+MAX(0,J80-J79)),IF(B69=1,(H69/(B69+3)+J80),IF(B69=0,H69/4+J80))))</f>
        <v>7</v>
      </c>
    </row>
    <row r="82" spans="1:10" ht="15.75" customHeight="1">
      <c r="A82" s="160" t="s">
        <v>154</v>
      </c>
      <c r="B82" s="160"/>
      <c r="C82" s="160" t="s">
        <v>189</v>
      </c>
      <c r="D82" s="160"/>
      <c r="E82" s="160"/>
      <c r="F82" s="160"/>
      <c r="G82" s="160"/>
      <c r="H82" s="160"/>
      <c r="I82" s="67" t="str">
        <f ca="1">IF(D95=100%,"All work Completed. Possession granted to the Building.",IF(D94=100%,"All work Completed, Waiting for OC",I83&amp;""&amp;I84&amp;""&amp;J83&amp;""&amp;J82&amp;" "&amp;J84))</f>
        <v>Excavation, Plinth, RCC Slab, Brickwork Completed, Internal Plaster upto 2 Floor Completed</v>
      </c>
      <c r="J82" s="40" t="str">
        <f ca="1">(IF(C88=(D83+F83+H83),"",IF(C88&gt;0,", RCC upto "&amp;C88&amp;" Slab","")))&amp;(IF(C89=H83,"",IF(C89&gt;0,", Brickwork upto "&amp;C89&amp;" Floor","")))&amp;(IF(C90=H83,"",IF(C90&gt;0,", Internal Plaster upto "&amp;C90&amp;" Floor","")))&amp;(IF(C91=H83,"",IF(C91&gt;0,", External Plaster upto "&amp;C91&amp;" Floor","")))&amp;(IF(C92=H83,"",IF(C92&gt;0,", Flooring upto "&amp;C92&amp;" Floor","")))&amp;(IF(C93=H83,"",IF(C93&gt;0,", Painting upto "&amp;C93&amp;" Floor","")))&amp;(IF(C94=H83,"",IF(C94&gt;0,", Finishing upto "&amp;C94&amp;" Floor","")))&amp;(IF(C95=H83,"",IF(C95&gt;0,", Possession upto "&amp;C95&amp;" Floor","")))</f>
        <v>, Internal Plaster upto 2 Floor</v>
      </c>
    </row>
    <row r="83" spans="1:10">
      <c r="A83" s="66" t="s">
        <v>156</v>
      </c>
      <c r="B83" s="66">
        <f>IF(AND(ISNUMBER(SEARCH("1B",C82))),1,IF(AND(ISNUMBER(SEARCH("2B",C82))),2,IF(AND(ISNUMBER(SEARCH("3B",C82))),3,IF(AND(ISNUMBER(SEARCH("4B",C82))),4,IF(ISNUMBER(SEARCH("5B",C82)),5,0)))))</f>
        <v>0</v>
      </c>
      <c r="C83" s="66" t="s">
        <v>157</v>
      </c>
      <c r="D83" s="66">
        <v>1</v>
      </c>
      <c r="E83" s="66" t="s">
        <v>158</v>
      </c>
      <c r="F83" s="66">
        <v>0</v>
      </c>
      <c r="G83" s="31" t="s">
        <v>159</v>
      </c>
      <c r="H83" s="66">
        <f ca="1">--TRIM(RIGHT(SUBSTITUTE(LEFT(C82,_xlfn.AGGREGATE(16,6,FIND({0,1,2,3,4,5,6,7,8,9},C82,ROW(INDIRECT("1:"&amp;LEN(C82)))),1))," ",REPT(" ",LEN(C82))),LEN(C82)))</f>
        <v>7</v>
      </c>
      <c r="I83" s="68" t="str">
        <f ca="1">IF(D86=100%,"Excavation","")&amp;IF(D87=100%,", Plinth","")&amp;IF(D88=100%,", RCC Slab","")&amp;IF(D89=100%,", Brickwork","")&amp;IF(D90=100%,", Internal Plaster","")&amp;IF(D91=100%,", External Plaster","")&amp;IF(D92=100%,", Flooring","")&amp;IF(D93=100%,", Painting","")&amp;IF(D94=100%,", Building common Amenities","")</f>
        <v>Excavation, Plinth, RCC Slab, Brickwork</v>
      </c>
      <c r="J83" s="42" t="str">
        <f ca="1">(IF(C86=0,"Work not yet Started.",IF(D86=25%,"Piling work in process",IF(D86=50%,"Excavation work in process",IF(D86=100%,"","0")))))&amp;(IF(C87=0%,"",IF(C87=J88,", Footing work is process",IF(C87=J89,", Footing work Completed",IF(C87=J90,", 1st Basement Completed",IF(C87=J91,", 1st &amp; 2nd Basement Completed",IF(C87=J92,", 1st to 3rd Basement Completed",IF(C87=J93,", 1st to 4th Basement Completed",IF(C87=J94,", Plinth work is process",IF(C87=J95,"","0"))))))))))</f>
        <v/>
      </c>
    </row>
    <row r="84" spans="1:10" ht="31.5" customHeight="1">
      <c r="A84" s="161" t="s">
        <v>160</v>
      </c>
      <c r="B84" s="161"/>
      <c r="C84" s="162" t="str">
        <f ca="1">(IF($G$53="NA",I82,"All work Completed. OC Received."))</f>
        <v>Excavation, Plinth, RCC Slab, Brickwork Completed, Internal Plaster upto 2 Floor Completed</v>
      </c>
      <c r="D84" s="162"/>
      <c r="E84" s="162"/>
      <c r="F84" s="162"/>
      <c r="G84" s="162"/>
      <c r="H84" s="162"/>
      <c r="I84" s="68" t="str">
        <f ca="1">IF(I83&lt;&gt;""," Completed","")</f>
        <v xml:space="preserve"> Completed</v>
      </c>
      <c r="J84" s="42" t="str">
        <f ca="1">IF(J82&lt;&gt;"","Completed","")</f>
        <v>Completed</v>
      </c>
    </row>
    <row r="85" spans="1:10" ht="15.75" customHeight="1">
      <c r="A85" s="159" t="s">
        <v>161</v>
      </c>
      <c r="B85" s="159"/>
      <c r="C85" s="65" t="s">
        <v>162</v>
      </c>
      <c r="D85" s="65" t="s">
        <v>163</v>
      </c>
      <c r="E85" s="159" t="s">
        <v>164</v>
      </c>
      <c r="F85" s="159"/>
      <c r="G85" s="159" t="s">
        <v>165</v>
      </c>
      <c r="H85" s="159"/>
      <c r="I85" s="43" t="s">
        <v>166</v>
      </c>
      <c r="J85" s="44">
        <f ca="1">H83*25%</f>
        <v>1.75</v>
      </c>
    </row>
    <row r="86" spans="1:10">
      <c r="A86" s="159" t="s">
        <v>167</v>
      </c>
      <c r="B86" s="159"/>
      <c r="C86" s="60">
        <f ca="1">J87</f>
        <v>7</v>
      </c>
      <c r="D86" s="34">
        <f ca="1">((100/H83)*C86)/100</f>
        <v>1</v>
      </c>
      <c r="E86" s="80">
        <f ca="1">(((C87/H83*10)+(40/(D83+F83+H83)*C88)+(7.5/(H83)*C89)+(7.5/(H83)*C90)+(10/H83*C91)+(10/H83*C92)+(5/H83*C93)+(5/H83*C94)+(5/H83*C95))/100)</f>
        <v>0.59642857142857142</v>
      </c>
      <c r="F86" s="80"/>
      <c r="G86" s="80">
        <f ca="1">((((C86/H83)*20)+((C87/H83)*25)+(30/(H83+F83+D83)*C88)+(5/H83*C89)+(5/H83*C90)+(5/H83*C91)+(5/H83*C92)+(0/H83*C93)+(0/H83*C94)+(5/H83*C95))/100)</f>
        <v>0.81428571428571428</v>
      </c>
      <c r="H86" s="80"/>
      <c r="I86" s="43" t="s">
        <v>168</v>
      </c>
      <c r="J86" s="45">
        <f ca="1">H83*50%</f>
        <v>3.5</v>
      </c>
    </row>
    <row r="87" spans="1:10">
      <c r="A87" s="159" t="s">
        <v>169</v>
      </c>
      <c r="B87" s="159"/>
      <c r="C87" s="35">
        <f ca="1">J95</f>
        <v>7</v>
      </c>
      <c r="D87" s="34">
        <f ca="1">((100/H83)*C87)/100</f>
        <v>1</v>
      </c>
      <c r="E87" s="80"/>
      <c r="F87" s="80"/>
      <c r="G87" s="80"/>
      <c r="H87" s="80"/>
      <c r="I87" s="43" t="s">
        <v>170</v>
      </c>
      <c r="J87" s="45">
        <f ca="1">H83</f>
        <v>7</v>
      </c>
    </row>
    <row r="88" spans="1:10" ht="15.75" customHeight="1">
      <c r="A88" s="159" t="s">
        <v>171</v>
      </c>
      <c r="B88" s="159"/>
      <c r="C88" s="60">
        <v>8</v>
      </c>
      <c r="D88" s="34">
        <f ca="1">((100/(D83+F83+H83))*C88)/100</f>
        <v>1</v>
      </c>
      <c r="E88" s="80"/>
      <c r="F88" s="80"/>
      <c r="G88" s="80"/>
      <c r="H88" s="80"/>
      <c r="I88" s="43" t="s">
        <v>172</v>
      </c>
      <c r="J88" s="46">
        <f ca="1">(IF(B83&gt;1,(H83/(B83+2)),H83/4))</f>
        <v>1.75</v>
      </c>
    </row>
    <row r="89" spans="1:10" ht="15.75" customHeight="1">
      <c r="A89" s="159" t="s">
        <v>173</v>
      </c>
      <c r="B89" s="159" t="s">
        <v>174</v>
      </c>
      <c r="C89" s="60">
        <v>7</v>
      </c>
      <c r="D89" s="34">
        <f ca="1">((100/H83)*C89)/100</f>
        <v>1</v>
      </c>
      <c r="E89" s="80"/>
      <c r="F89" s="80"/>
      <c r="G89" s="80"/>
      <c r="H89" s="80"/>
      <c r="I89" s="43" t="s">
        <v>175</v>
      </c>
      <c r="J89" s="46">
        <f ca="1">(IF(B83&gt;1,(H83/(B83+2)+J88),H83/4+J88))</f>
        <v>3.5</v>
      </c>
    </row>
    <row r="90" spans="1:10" ht="15.75" customHeight="1">
      <c r="A90" s="159" t="s">
        <v>176</v>
      </c>
      <c r="B90" s="159" t="s">
        <v>174</v>
      </c>
      <c r="C90" s="60">
        <v>2</v>
      </c>
      <c r="D90" s="34">
        <f ca="1">((100/H83)*C90)/100</f>
        <v>0.28571428571428575</v>
      </c>
      <c r="E90" s="80"/>
      <c r="F90" s="80"/>
      <c r="G90" s="80"/>
      <c r="H90" s="80"/>
      <c r="I90" s="43" t="s">
        <v>177</v>
      </c>
      <c r="J90" s="46">
        <f>(IF(B83&gt;1,(H83/(B83+2)+J89),0))</f>
        <v>0</v>
      </c>
    </row>
    <row r="91" spans="1:10" ht="15" customHeight="1">
      <c r="A91" s="159" t="s">
        <v>178</v>
      </c>
      <c r="B91" s="159" t="s">
        <v>179</v>
      </c>
      <c r="C91" s="60">
        <v>0</v>
      </c>
      <c r="D91" s="34">
        <f ca="1">((100/(H83))*C91)/100</f>
        <v>0</v>
      </c>
      <c r="E91" s="80"/>
      <c r="F91" s="80"/>
      <c r="G91" s="80"/>
      <c r="H91" s="80"/>
      <c r="I91" s="43" t="s">
        <v>180</v>
      </c>
      <c r="J91" s="46">
        <f>(IF(B83&gt;2,(H83/(B83+2)+J90),0))</f>
        <v>0</v>
      </c>
    </row>
    <row r="92" spans="1:10" ht="15.75" customHeight="1">
      <c r="A92" s="159" t="s">
        <v>181</v>
      </c>
      <c r="B92" s="159" t="s">
        <v>181</v>
      </c>
      <c r="C92" s="60">
        <v>0</v>
      </c>
      <c r="D92" s="34">
        <f ca="1">((100/H83)*C92)/100</f>
        <v>0</v>
      </c>
      <c r="E92" s="80"/>
      <c r="F92" s="80"/>
      <c r="G92" s="80"/>
      <c r="H92" s="80"/>
      <c r="I92" s="43" t="s">
        <v>182</v>
      </c>
      <c r="J92" s="47">
        <f>(IF(B83&gt;3,(H83/(B83+2)+J91),0))</f>
        <v>0</v>
      </c>
    </row>
    <row r="93" spans="1:10" ht="15.75" customHeight="1">
      <c r="A93" s="159" t="s">
        <v>183</v>
      </c>
      <c r="B93" s="159"/>
      <c r="C93" s="60">
        <v>0</v>
      </c>
      <c r="D93" s="34">
        <f ca="1">((100/H83)*C93)/100</f>
        <v>0</v>
      </c>
      <c r="E93" s="80"/>
      <c r="F93" s="80"/>
      <c r="G93" s="80"/>
      <c r="H93" s="80"/>
      <c r="I93" s="43" t="s">
        <v>184</v>
      </c>
      <c r="J93" s="46">
        <f>(IF(B83&gt;4,(H83/(B83+2)+J92),0))</f>
        <v>0</v>
      </c>
    </row>
    <row r="94" spans="1:10" ht="15.75" customHeight="1">
      <c r="A94" s="159" t="s">
        <v>185</v>
      </c>
      <c r="B94" s="159" t="s">
        <v>185</v>
      </c>
      <c r="C94" s="60">
        <v>0</v>
      </c>
      <c r="D94" s="34">
        <f ca="1">((100/(H83))*C94)/100</f>
        <v>0</v>
      </c>
      <c r="E94" s="80"/>
      <c r="F94" s="80"/>
      <c r="G94" s="80"/>
      <c r="H94" s="80"/>
      <c r="I94" s="43" t="s">
        <v>186</v>
      </c>
      <c r="J94" s="46">
        <f ca="1">(IF(B83=1,(H83/(B83+3)+J89),IF(B83=0,(H83/4+J89),IF(B83&gt;1,0))))</f>
        <v>5.25</v>
      </c>
    </row>
    <row r="95" spans="1:10">
      <c r="A95" s="159" t="s">
        <v>187</v>
      </c>
      <c r="B95" s="159"/>
      <c r="C95" s="60">
        <v>0</v>
      </c>
      <c r="D95" s="34">
        <f ca="1">((100/(H83))*C95)/100</f>
        <v>0</v>
      </c>
      <c r="E95" s="80"/>
      <c r="F95" s="80"/>
      <c r="G95" s="80"/>
      <c r="H95" s="80"/>
      <c r="I95" s="48" t="s">
        <v>188</v>
      </c>
      <c r="J95" s="49">
        <f ca="1">(IF(B83&gt;1.5,(H83/(B83+2)+J89+MAX(0,J90-J89)+MAX(0,J91-J90)+MAX(0,J92-J91)+MAX(0,J93-J92)+MAX(0,J94-J93)),IF(B83=1,(H83/(B83+3)+J94),IF(B83=0,H83/4+J94))))</f>
        <v>7</v>
      </c>
    </row>
    <row r="96" spans="1:10" ht="15.75" customHeight="1">
      <c r="A96" s="166" t="s">
        <v>154</v>
      </c>
      <c r="B96" s="167"/>
      <c r="C96" s="168" t="s">
        <v>190</v>
      </c>
      <c r="D96" s="169"/>
      <c r="E96" s="169"/>
      <c r="F96" s="169"/>
      <c r="G96" s="169"/>
      <c r="H96" s="170"/>
      <c r="I96" s="39" t="str">
        <f ca="1">IF(D109=100%,"All work Completed. Possession granted to the Building.",IF(D108=100%,"All work Completed, Waiting for OC",I97&amp;""&amp;I98&amp;""&amp;J97&amp;""&amp;J96&amp;" "&amp;J98))</f>
        <v>Excavation, Plinth, RCC Slab, Brickwork Completed, Internal Plaster upto 2 Floor Completed</v>
      </c>
      <c r="J96" s="40" t="str">
        <f ca="1">(IF(C102=(D97+F97+H97),"",IF(C102&gt;0,", RCC upto "&amp;C102&amp;" Slab","")))&amp;(IF(C103=H97,"",IF(C103&gt;0,", Brickwork upto "&amp;C103&amp;" Floor","")))&amp;(IF(C104=H97,"",IF(C104&gt;0,", Internal Plaster upto "&amp;C104&amp;" Floor","")))&amp;(IF(C105=H97,"",IF(C105&gt;0,", External Plaster upto "&amp;C105&amp;" Floor","")))&amp;(IF(C106=H97,"",IF(C106&gt;0,", Flooring upto "&amp;C106&amp;" Floor","")))&amp;(IF(C107=H97,"",IF(C107&gt;0,", Painting upto "&amp;C107&amp;" Floor","")))&amp;(IF(C108=H97,"",IF(C108&gt;0,", Finishing upto "&amp;C108&amp;" Floor","")))&amp;(IF(C109=H97,"",IF(C109&gt;0,", Possession upto "&amp;C109&amp;" Floor","")))</f>
        <v>, Internal Plaster upto 2 Floor</v>
      </c>
    </row>
    <row r="97" spans="1:10">
      <c r="A97" s="28" t="s">
        <v>156</v>
      </c>
      <c r="B97" s="29">
        <f>IF(AND(ISNUMBER(SEARCH("1B",C96))),1,IF(AND(ISNUMBER(SEARCH("2B",C96))),2,IF(AND(ISNUMBER(SEARCH("3B",C96))),3,IF(AND(ISNUMBER(SEARCH("4B",C96))),4,IF(ISNUMBER(SEARCH("5B",C96)),5,0)))))</f>
        <v>0</v>
      </c>
      <c r="C97" s="29" t="s">
        <v>157</v>
      </c>
      <c r="D97" s="29">
        <v>1</v>
      </c>
      <c r="E97" s="29" t="s">
        <v>158</v>
      </c>
      <c r="F97" s="29">
        <v>0</v>
      </c>
      <c r="G97" s="31" t="s">
        <v>159</v>
      </c>
      <c r="H97" s="32">
        <f ca="1">--TRIM(RIGHT(SUBSTITUTE(LEFT(C96,_xlfn.AGGREGATE(16,6,FIND({0,1,2,3,4,5,6,7,8,9},C96,ROW(INDIRECT("1:"&amp;LEN(C96)))),1))," ",REPT(" ",LEN(C96))),LEN(C96)))</f>
        <v>7</v>
      </c>
      <c r="I97" s="41" t="str">
        <f ca="1">IF(D100=100%,"Excavation","")&amp;IF(D101=100%,", Plinth","")&amp;IF(D102=100%,", RCC Slab","")&amp;IF(D103=100%,", Brickwork","")&amp;IF(D104=100%,", Internal Plaster","")&amp;IF(D105=100%,", External Plaster","")&amp;IF(D106=100%,", Flooring","")&amp;IF(D107=100%,", Painting","")&amp;IF(D108=100%,", Building common Amenities","")</f>
        <v>Excavation, Plinth, RCC Slab, Brickwork</v>
      </c>
      <c r="J97" s="42" t="str">
        <f ca="1">(IF(C100=0,"Work not yet Started.",IF(D100=25%,"Piling work in process",IF(D100=50%,"Excavation work in process",IF(D100=100%,"","0")))))&amp;(IF(C101=0%,"",IF(C101=J102,", Footing work is process",IF(C101=J103,", Footing work Completed",IF(C101=J104,", 1st Basement Completed",IF(C101=J105,", 1st &amp; 2nd Basement Completed",IF(C101=J106,", 1st to 3rd Basement Completed",IF(C101=J107,", 1st to 4th Basement Completed",IF(C101=J108,", Plinth work is process",IF(C101=J109,"","0"))))))))))</f>
        <v/>
      </c>
    </row>
    <row r="98" spans="1:10" ht="32.5" customHeight="1">
      <c r="A98" s="171" t="s">
        <v>160</v>
      </c>
      <c r="B98" s="161"/>
      <c r="C98" s="162" t="str">
        <f ca="1">(IF($G$53="NA",I96,"All work Completed. OC Received."))</f>
        <v>Excavation, Plinth, RCC Slab, Brickwork Completed, Internal Plaster upto 2 Floor Completed</v>
      </c>
      <c r="D98" s="162"/>
      <c r="E98" s="162"/>
      <c r="F98" s="162"/>
      <c r="G98" s="162"/>
      <c r="H98" s="172"/>
      <c r="I98" s="41" t="str">
        <f ca="1">IF(I97&lt;&gt;""," Completed","")</f>
        <v xml:space="preserve"> Completed</v>
      </c>
      <c r="J98" s="42" t="str">
        <f ca="1">IF(J96&lt;&gt;"","Completed","")</f>
        <v>Completed</v>
      </c>
    </row>
    <row r="99" spans="1:10" ht="15.75" customHeight="1">
      <c r="A99" s="163" t="s">
        <v>161</v>
      </c>
      <c r="B99" s="159"/>
      <c r="C99" s="33" t="s">
        <v>162</v>
      </c>
      <c r="D99" s="33" t="s">
        <v>163</v>
      </c>
      <c r="E99" s="159" t="s">
        <v>164</v>
      </c>
      <c r="F99" s="159"/>
      <c r="G99" s="159" t="s">
        <v>165</v>
      </c>
      <c r="H99" s="173"/>
      <c r="I99" s="43" t="s">
        <v>166</v>
      </c>
      <c r="J99" s="44">
        <f ca="1">H97*25%</f>
        <v>1.75</v>
      </c>
    </row>
    <row r="100" spans="1:10">
      <c r="A100" s="163" t="s">
        <v>167</v>
      </c>
      <c r="B100" s="159"/>
      <c r="C100" s="33">
        <f ca="1">J101</f>
        <v>7</v>
      </c>
      <c r="D100" s="34">
        <f ca="1">((100/H97)*C100)/100</f>
        <v>1</v>
      </c>
      <c r="E100" s="82">
        <f ca="1">(((C101/H97*10)+(40/(D97+F97+H97)*C102)+(7.5/(H97)*C103)+(7.5/(H97)*C104)+(10/H97*C105)+(10/H97*C106)+(5/H97*C107)+(5/H97*C108)+(5/H97*C109))/100)</f>
        <v>0.59642857142857142</v>
      </c>
      <c r="F100" s="83"/>
      <c r="G100" s="82">
        <f ca="1">((((C100/H97)*20)+((C101/H97)*25)+(30/(H97+F97+D97)*C102)+(5/H97*C103)+(5/H97*C104)+(5/H97*C105)+(5/H97*C106)+(0/H97*C107)+(0/H97*C108)+(5/H97*C109))/100)</f>
        <v>0.81428571428571428</v>
      </c>
      <c r="H100" s="86"/>
      <c r="I100" s="43" t="s">
        <v>168</v>
      </c>
      <c r="J100" s="45">
        <f ca="1">H97*50%</f>
        <v>3.5</v>
      </c>
    </row>
    <row r="101" spans="1:10">
      <c r="A101" s="163" t="s">
        <v>169</v>
      </c>
      <c r="B101" s="159"/>
      <c r="C101" s="35">
        <f ca="1">J109</f>
        <v>7</v>
      </c>
      <c r="D101" s="34">
        <f ca="1">((100/H97)*C101)/100</f>
        <v>1</v>
      </c>
      <c r="E101" s="84"/>
      <c r="F101" s="85"/>
      <c r="G101" s="84"/>
      <c r="H101" s="87"/>
      <c r="I101" s="43" t="s">
        <v>170</v>
      </c>
      <c r="J101" s="45">
        <f ca="1">H97</f>
        <v>7</v>
      </c>
    </row>
    <row r="102" spans="1:10" ht="15.75" customHeight="1">
      <c r="A102" s="163" t="s">
        <v>171</v>
      </c>
      <c r="B102" s="159"/>
      <c r="C102" s="33">
        <v>8</v>
      </c>
      <c r="D102" s="34">
        <f ca="1">((100/(D97+F97+H97))*C102)/100</f>
        <v>1</v>
      </c>
      <c r="E102" s="84"/>
      <c r="F102" s="85"/>
      <c r="G102" s="84"/>
      <c r="H102" s="87"/>
      <c r="I102" s="43" t="s">
        <v>172</v>
      </c>
      <c r="J102" s="46">
        <f ca="1">(IF(B97&gt;1,(H97/(B97+2)),H97/4))</f>
        <v>1.75</v>
      </c>
    </row>
    <row r="103" spans="1:10" ht="15.75" customHeight="1">
      <c r="A103" s="163" t="s">
        <v>173</v>
      </c>
      <c r="B103" s="159" t="s">
        <v>174</v>
      </c>
      <c r="C103" s="33">
        <v>7</v>
      </c>
      <c r="D103" s="34">
        <f ca="1">((100/H97)*C103)/100</f>
        <v>1</v>
      </c>
      <c r="E103" s="84"/>
      <c r="F103" s="85"/>
      <c r="G103" s="84"/>
      <c r="H103" s="87"/>
      <c r="I103" s="43" t="s">
        <v>175</v>
      </c>
      <c r="J103" s="46">
        <f ca="1">(IF(B97&gt;1,(H97/(B97+2)+J102),H97/4+J102))</f>
        <v>3.5</v>
      </c>
    </row>
    <row r="104" spans="1:10" ht="15.75" customHeight="1">
      <c r="A104" s="163" t="s">
        <v>176</v>
      </c>
      <c r="B104" s="159" t="s">
        <v>174</v>
      </c>
      <c r="C104" s="33">
        <v>2</v>
      </c>
      <c r="D104" s="34">
        <f ca="1">((100/H97)*C104)/100</f>
        <v>0.28571428571428575</v>
      </c>
      <c r="E104" s="84"/>
      <c r="F104" s="85"/>
      <c r="G104" s="84"/>
      <c r="H104" s="87"/>
      <c r="I104" s="43" t="s">
        <v>177</v>
      </c>
      <c r="J104" s="46">
        <f>(IF(B97&gt;1,(H97/(B97+2)+J103),0))</f>
        <v>0</v>
      </c>
    </row>
    <row r="105" spans="1:10" ht="15" customHeight="1">
      <c r="A105" s="163" t="s">
        <v>178</v>
      </c>
      <c r="B105" s="159" t="s">
        <v>179</v>
      </c>
      <c r="C105" s="33">
        <v>0</v>
      </c>
      <c r="D105" s="34">
        <f ca="1">((100/(H97))*C105)/100</f>
        <v>0</v>
      </c>
      <c r="E105" s="84"/>
      <c r="F105" s="85"/>
      <c r="G105" s="84"/>
      <c r="H105" s="87"/>
      <c r="I105" s="43" t="s">
        <v>180</v>
      </c>
      <c r="J105" s="46">
        <f>(IF(B97&gt;2,(H97/(B97+2)+J104),0))</f>
        <v>0</v>
      </c>
    </row>
    <row r="106" spans="1:10" ht="15.75" customHeight="1">
      <c r="A106" s="163" t="s">
        <v>181</v>
      </c>
      <c r="B106" s="159" t="s">
        <v>181</v>
      </c>
      <c r="C106" s="33">
        <v>0</v>
      </c>
      <c r="D106" s="34">
        <f ca="1">((100/H97)*C106)/100</f>
        <v>0</v>
      </c>
      <c r="E106" s="84"/>
      <c r="F106" s="85"/>
      <c r="G106" s="84"/>
      <c r="H106" s="87"/>
      <c r="I106" s="43" t="s">
        <v>182</v>
      </c>
      <c r="J106" s="47">
        <f>(IF(B97&gt;3,(H97/(B97+2)+J105),0))</f>
        <v>0</v>
      </c>
    </row>
    <row r="107" spans="1:10" ht="15.75" customHeight="1">
      <c r="A107" s="163" t="s">
        <v>183</v>
      </c>
      <c r="B107" s="159"/>
      <c r="C107" s="33">
        <v>0</v>
      </c>
      <c r="D107" s="34">
        <f ca="1">((100/H97)*C107)/100</f>
        <v>0</v>
      </c>
      <c r="E107" s="84"/>
      <c r="F107" s="85"/>
      <c r="G107" s="84"/>
      <c r="H107" s="87"/>
      <c r="I107" s="43" t="s">
        <v>184</v>
      </c>
      <c r="J107" s="46">
        <f>(IF(B97&gt;4,(H97/(B97+2)+J106),0))</f>
        <v>0</v>
      </c>
    </row>
    <row r="108" spans="1:10" ht="15.75" customHeight="1">
      <c r="A108" s="163" t="s">
        <v>185</v>
      </c>
      <c r="B108" s="159" t="s">
        <v>185</v>
      </c>
      <c r="C108" s="33">
        <v>0</v>
      </c>
      <c r="D108" s="34">
        <f ca="1">((100/(H97))*C108)/100</f>
        <v>0</v>
      </c>
      <c r="E108" s="84"/>
      <c r="F108" s="85"/>
      <c r="G108" s="84"/>
      <c r="H108" s="87"/>
      <c r="I108" s="43" t="s">
        <v>186</v>
      </c>
      <c r="J108" s="46">
        <f ca="1">(IF(B97=1,(H97/(B97+3)+J103),IF(B97=0,(H97/4+J103),IF(B97&gt;1,0))))</f>
        <v>5.25</v>
      </c>
    </row>
    <row r="109" spans="1:10">
      <c r="A109" s="174" t="s">
        <v>187</v>
      </c>
      <c r="B109" s="175"/>
      <c r="C109" s="36">
        <v>0</v>
      </c>
      <c r="D109" s="37">
        <f ca="1">((100/(H97))*C109)/100</f>
        <v>0</v>
      </c>
      <c r="E109" s="88"/>
      <c r="F109" s="89"/>
      <c r="G109" s="88"/>
      <c r="H109" s="90"/>
      <c r="I109" s="48" t="s">
        <v>188</v>
      </c>
      <c r="J109" s="49">
        <f ca="1">(IF(B97&gt;1.5,(H97/(B97+2)+J103+MAX(0,J104-J103)+MAX(0,J105-J104)+MAX(0,J106-J105)+MAX(0,J107-J106)+MAX(0,J108-J107)),IF(B97=1,(H97/(B97+3)+J108),IF(B97=0,H97/4+J108))))</f>
        <v>7</v>
      </c>
    </row>
    <row r="110" spans="1:10" ht="15.75" customHeight="1">
      <c r="A110" s="176" t="s">
        <v>154</v>
      </c>
      <c r="B110" s="177"/>
      <c r="C110" s="178" t="s">
        <v>191</v>
      </c>
      <c r="D110" s="179"/>
      <c r="E110" s="179"/>
      <c r="F110" s="179"/>
      <c r="G110" s="179"/>
      <c r="H110" s="180"/>
      <c r="I110" s="39" t="str">
        <f ca="1">IF(D123=100%,"All work Completed. Possession granted to the Building.",IF(D122=100%,"All work Completed, Waiting for OC",I111&amp;""&amp;I112&amp;""&amp;J111&amp;""&amp;J110&amp;" "&amp;J112))</f>
        <v>Excavation, Plinth Completed, RCC upto 4 Slab Completed</v>
      </c>
      <c r="J110" s="40" t="str">
        <f ca="1">(IF(C116=(D111+F111+H111),"",IF(C116&gt;0,", RCC upto "&amp;C116&amp;" Slab","")))&amp;(IF(C117=H111,"",IF(C117&gt;0,", Brickwork upto "&amp;C117&amp;" Floor","")))&amp;(IF(C118=H111,"",IF(C118&gt;0,", Internal Plaster upto "&amp;C118&amp;" Floor","")))&amp;(IF(C119=H111,"",IF(C119&gt;0,", External Plaster upto "&amp;C119&amp;" Floor","")))&amp;(IF(C120=H111,"",IF(C120&gt;0,", Flooring upto "&amp;C120&amp;" Floor","")))&amp;(IF(C121=H111,"",IF(C121&gt;0,", Painting upto "&amp;C121&amp;" Floor","")))&amp;(IF(C122=H111,"",IF(C122&gt;0,", Finishing upto "&amp;C122&amp;" Floor","")))&amp;(IF(C123=H111,"",IF(C123&gt;0,", Possession upto "&amp;C123&amp;" Floor","")))</f>
        <v>, RCC upto 4 Slab</v>
      </c>
    </row>
    <row r="111" spans="1:10">
      <c r="A111" s="28" t="s">
        <v>156</v>
      </c>
      <c r="B111" s="29">
        <f>IF(AND(ISNUMBER(SEARCH("1B",C110))),1,IF(AND(ISNUMBER(SEARCH("2B",C110))),2,IF(AND(ISNUMBER(SEARCH("3B",C110))),3,IF(AND(ISNUMBER(SEARCH("4B",C110))),4,IF(ISNUMBER(SEARCH("5B",C110)),5,0)))))</f>
        <v>0</v>
      </c>
      <c r="C111" s="29" t="s">
        <v>157</v>
      </c>
      <c r="D111" s="29">
        <v>1</v>
      </c>
      <c r="E111" s="29" t="s">
        <v>158</v>
      </c>
      <c r="F111" s="29">
        <v>0</v>
      </c>
      <c r="G111" s="31" t="s">
        <v>159</v>
      </c>
      <c r="H111" s="32">
        <f ca="1">--TRIM(RIGHT(SUBSTITUTE(LEFT(C110,_xlfn.AGGREGATE(16,6,FIND({0,1,2,3,4,5,6,7,8,9},C110,ROW(INDIRECT("1:"&amp;LEN(C110)))),1))," ",REPT(" ",LEN(C110))),LEN(C110)))</f>
        <v>7</v>
      </c>
      <c r="I111" s="41" t="str">
        <f ca="1">IF(D114=100%,"Excavation","")&amp;IF(D115=100%,", Plinth","")&amp;IF(D116=100%,", RCC Slab","")&amp;IF(D117=100%,", Brickwork","")&amp;IF(D118=100%,", Internal Plaster","")&amp;IF(D119=100%,", External Plaster","")&amp;IF(D120=100%,", Flooring","")&amp;IF(D121=100%,", Painting","")&amp;IF(D122=100%,", Building common Amenities","")</f>
        <v>Excavation, Plinth</v>
      </c>
      <c r="J111" s="42" t="str">
        <f ca="1">(IF(C114=0,"Work not yet Started.",IF(D114=25%,"Piling work in process",IF(D114=50%,"Excavation work in process",IF(D114=100%,"","0")))))&amp;(IF(C115=0%,"",IF(C115=J116,", Footing work is process",IF(C115=J117,", Footing work Completed",IF(C115=J118,", 1st Basement Completed",IF(C115=J119,", 1st &amp; 2nd Basement Completed",IF(C115=J120,", 1st to 3rd Basement Completed",IF(C115=J121,", 1st to 4th Basement Completed",IF(C115=J122,", Plinth work is process",IF(C115=J123,"","0"))))))))))</f>
        <v/>
      </c>
    </row>
    <row r="112" spans="1:10">
      <c r="A112" s="171" t="s">
        <v>160</v>
      </c>
      <c r="B112" s="161"/>
      <c r="C112" s="162" t="str">
        <f ca="1">(IF($G$53="NA",I110,"All work Completed. OC Received."))</f>
        <v>Excavation, Plinth Completed, RCC upto 4 Slab Completed</v>
      </c>
      <c r="D112" s="162"/>
      <c r="E112" s="162"/>
      <c r="F112" s="162"/>
      <c r="G112" s="162"/>
      <c r="H112" s="172"/>
      <c r="I112" s="41" t="str">
        <f ca="1">IF(I111&lt;&gt;""," Completed","")</f>
        <v xml:space="preserve"> Completed</v>
      </c>
      <c r="J112" s="42" t="str">
        <f ca="1">IF(J110&lt;&gt;"","Completed","")</f>
        <v>Completed</v>
      </c>
    </row>
    <row r="113" spans="1:10" ht="15.75" customHeight="1">
      <c r="A113" s="163" t="s">
        <v>161</v>
      </c>
      <c r="B113" s="159"/>
      <c r="C113" s="33" t="s">
        <v>162</v>
      </c>
      <c r="D113" s="33" t="s">
        <v>163</v>
      </c>
      <c r="E113" s="159" t="s">
        <v>164</v>
      </c>
      <c r="F113" s="159"/>
      <c r="G113" s="159" t="s">
        <v>165</v>
      </c>
      <c r="H113" s="173"/>
      <c r="I113" s="43" t="s">
        <v>166</v>
      </c>
      <c r="J113" s="44">
        <f ca="1">H111*25%</f>
        <v>1.75</v>
      </c>
    </row>
    <row r="114" spans="1:10">
      <c r="A114" s="159" t="s">
        <v>167</v>
      </c>
      <c r="B114" s="159"/>
      <c r="C114" s="65">
        <f ca="1">J115</f>
        <v>7</v>
      </c>
      <c r="D114" s="34">
        <f ca="1">((100/H111)*C114)/100</f>
        <v>1</v>
      </c>
      <c r="E114" s="80">
        <f ca="1">(((C115/H111*10)+(40/(D111+F111+H111)*C116)+(7.5/(H111)*C117)+(7.5/(H111)*C118)+(10/H111*C119)+(10/H111*C120)+(5/H111*C121)+(5/H111*C122)+(5/H111*C123))/100)</f>
        <v>0.3</v>
      </c>
      <c r="F114" s="80"/>
      <c r="G114" s="80">
        <f ca="1">((((C114/H111)*20)+((C115/H111)*25)+(30/(H111+F111+D111)*C116)+(5/H111*C117)+(5/H111*C118)+(5/H111*C119)+(5/H111*C120)+(0/H111*C121)+(0/H111*C122)+(5/H111*C123))/100)</f>
        <v>0.6</v>
      </c>
      <c r="H114" s="80"/>
      <c r="I114" s="43" t="s">
        <v>168</v>
      </c>
      <c r="J114" s="45">
        <f ca="1">H111*50%</f>
        <v>3.5</v>
      </c>
    </row>
    <row r="115" spans="1:10">
      <c r="A115" s="159" t="s">
        <v>169</v>
      </c>
      <c r="B115" s="159"/>
      <c r="C115" s="35">
        <f ca="1">J123</f>
        <v>7</v>
      </c>
      <c r="D115" s="34">
        <f ca="1">((100/H111)*C115)/100</f>
        <v>1</v>
      </c>
      <c r="E115" s="80"/>
      <c r="F115" s="80"/>
      <c r="G115" s="80"/>
      <c r="H115" s="80"/>
      <c r="I115" s="43" t="s">
        <v>170</v>
      </c>
      <c r="J115" s="45">
        <f ca="1">H111</f>
        <v>7</v>
      </c>
    </row>
    <row r="116" spans="1:10" ht="15.75" customHeight="1">
      <c r="A116" s="159" t="s">
        <v>171</v>
      </c>
      <c r="B116" s="159"/>
      <c r="C116" s="65">
        <v>4</v>
      </c>
      <c r="D116" s="34">
        <f ca="1">((100/(D111+F111+H111))*C116)/100</f>
        <v>0.5</v>
      </c>
      <c r="E116" s="80"/>
      <c r="F116" s="80"/>
      <c r="G116" s="80"/>
      <c r="H116" s="80"/>
      <c r="I116" s="43" t="s">
        <v>172</v>
      </c>
      <c r="J116" s="46">
        <f ca="1">(IF(B111&gt;1,(H111/(B111+2)),H111/4))</f>
        <v>1.75</v>
      </c>
    </row>
    <row r="117" spans="1:10" ht="15.75" customHeight="1">
      <c r="A117" s="159" t="s">
        <v>173</v>
      </c>
      <c r="B117" s="159" t="s">
        <v>174</v>
      </c>
      <c r="C117" s="65">
        <v>0</v>
      </c>
      <c r="D117" s="34">
        <f ca="1">((100/H111)*C117)/100</f>
        <v>0</v>
      </c>
      <c r="E117" s="80"/>
      <c r="F117" s="80"/>
      <c r="G117" s="80"/>
      <c r="H117" s="80"/>
      <c r="I117" s="43" t="s">
        <v>175</v>
      </c>
      <c r="J117" s="46">
        <f ca="1">(IF(B111&gt;1,(H111/(B111+2)+J116),H111/4+J116))</f>
        <v>3.5</v>
      </c>
    </row>
    <row r="118" spans="1:10" ht="15.75" customHeight="1">
      <c r="A118" s="159" t="s">
        <v>176</v>
      </c>
      <c r="B118" s="159" t="s">
        <v>174</v>
      </c>
      <c r="C118" s="65">
        <v>0</v>
      </c>
      <c r="D118" s="34">
        <f ca="1">((100/H111)*C118)/100</f>
        <v>0</v>
      </c>
      <c r="E118" s="80"/>
      <c r="F118" s="80"/>
      <c r="G118" s="80"/>
      <c r="H118" s="80"/>
      <c r="I118" s="43" t="s">
        <v>177</v>
      </c>
      <c r="J118" s="46">
        <f>(IF(B111&gt;1,(H111/(B111+2)+J117),0))</f>
        <v>0</v>
      </c>
    </row>
    <row r="119" spans="1:10" ht="15" customHeight="1">
      <c r="A119" s="159" t="s">
        <v>178</v>
      </c>
      <c r="B119" s="159" t="s">
        <v>179</v>
      </c>
      <c r="C119" s="65">
        <v>0</v>
      </c>
      <c r="D119" s="34">
        <f ca="1">((100/(H111))*C119)/100</f>
        <v>0</v>
      </c>
      <c r="E119" s="80"/>
      <c r="F119" s="80"/>
      <c r="G119" s="80"/>
      <c r="H119" s="80"/>
      <c r="I119" s="43" t="s">
        <v>180</v>
      </c>
      <c r="J119" s="46">
        <f>(IF(B111&gt;2,(H111/(B111+2)+J118),0))</f>
        <v>0</v>
      </c>
    </row>
    <row r="120" spans="1:10" ht="15.75" customHeight="1">
      <c r="A120" s="159" t="s">
        <v>181</v>
      </c>
      <c r="B120" s="159" t="s">
        <v>181</v>
      </c>
      <c r="C120" s="65">
        <v>0</v>
      </c>
      <c r="D120" s="34">
        <f ca="1">((100/H111)*C120)/100</f>
        <v>0</v>
      </c>
      <c r="E120" s="80"/>
      <c r="F120" s="80"/>
      <c r="G120" s="80"/>
      <c r="H120" s="80"/>
      <c r="I120" s="43" t="s">
        <v>182</v>
      </c>
      <c r="J120" s="47">
        <f>(IF(B111&gt;3,(H111/(B111+2)+J119),0))</f>
        <v>0</v>
      </c>
    </row>
    <row r="121" spans="1:10" ht="15.75" customHeight="1">
      <c r="A121" s="159" t="s">
        <v>183</v>
      </c>
      <c r="B121" s="159"/>
      <c r="C121" s="65">
        <v>0</v>
      </c>
      <c r="D121" s="34">
        <f ca="1">((100/H111)*C121)/100</f>
        <v>0</v>
      </c>
      <c r="E121" s="80"/>
      <c r="F121" s="80"/>
      <c r="G121" s="80"/>
      <c r="H121" s="80"/>
      <c r="I121" s="43" t="s">
        <v>184</v>
      </c>
      <c r="J121" s="46">
        <f>(IF(B111&gt;4,(H111/(B111+2)+J120),0))</f>
        <v>0</v>
      </c>
    </row>
    <row r="122" spans="1:10" ht="15.75" customHeight="1">
      <c r="A122" s="159" t="s">
        <v>185</v>
      </c>
      <c r="B122" s="159" t="s">
        <v>185</v>
      </c>
      <c r="C122" s="65">
        <v>0</v>
      </c>
      <c r="D122" s="34">
        <f ca="1">((100/(H111))*C122)/100</f>
        <v>0</v>
      </c>
      <c r="E122" s="80"/>
      <c r="F122" s="80"/>
      <c r="G122" s="80"/>
      <c r="H122" s="80"/>
      <c r="I122" s="43" t="s">
        <v>186</v>
      </c>
      <c r="J122" s="46">
        <f ca="1">(IF(B111=1,(H111/(B111+3)+J117),IF(B111=0,(H111/4+J117),IF(B111&gt;1,0))))</f>
        <v>5.25</v>
      </c>
    </row>
    <row r="123" spans="1:10">
      <c r="A123" s="159" t="s">
        <v>187</v>
      </c>
      <c r="B123" s="159"/>
      <c r="C123" s="65">
        <v>0</v>
      </c>
      <c r="D123" s="34">
        <f ca="1">((100/(H111))*C123)/100</f>
        <v>0</v>
      </c>
      <c r="E123" s="80"/>
      <c r="F123" s="80"/>
      <c r="G123" s="80"/>
      <c r="H123" s="80"/>
      <c r="I123" s="48" t="s">
        <v>188</v>
      </c>
      <c r="J123" s="49">
        <f ca="1">(IF(B111&gt;1.5,(H111/(B111+2)+J117+MAX(0,J118-J117)+MAX(0,J119-J118)+MAX(0,J120-J119)+MAX(0,J121-J120)+MAX(0,J122-J121)),IF(B111=1,(H111/(B111+3)+J122),IF(B111=0,H111/4+J122))))</f>
        <v>7</v>
      </c>
    </row>
    <row r="124" spans="1:10" ht="15.75" customHeight="1">
      <c r="A124" s="160" t="s">
        <v>154</v>
      </c>
      <c r="B124" s="160"/>
      <c r="C124" s="160" t="s">
        <v>192</v>
      </c>
      <c r="D124" s="160"/>
      <c r="E124" s="160"/>
      <c r="F124" s="160"/>
      <c r="G124" s="160"/>
      <c r="H124" s="160"/>
      <c r="I124" s="67" t="str">
        <f ca="1">IF(D137=100%,"All work Completed. Possession granted to the Building.",IF(D136=100%,"All work Completed, Waiting for OC",I125&amp;""&amp;I126&amp;""&amp;J125&amp;""&amp;J124&amp;" "&amp;J126))</f>
        <v>Excavation, Plinth Completed, RCC upto 4 Slab, Brickwork upto 1 Floor Completed</v>
      </c>
      <c r="J124" s="40" t="str">
        <f ca="1">(IF(C130=(D125+F125+H125),"",IF(C130&gt;0,", RCC upto "&amp;C130&amp;" Slab","")))&amp;(IF(C131=H125,"",IF(C131&gt;0,", Brickwork upto "&amp;C131&amp;" Floor","")))&amp;(IF(C132=H125,"",IF(C132&gt;0,", Internal Plaster upto "&amp;C132&amp;" Floor","")))&amp;(IF(C133=H125,"",IF(C133&gt;0,", External Plaster upto "&amp;C133&amp;" Floor","")))&amp;(IF(C134=H125,"",IF(C134&gt;0,", Flooring upto "&amp;C134&amp;" Floor","")))&amp;(IF(C135=H125,"",IF(C135&gt;0,", Painting upto "&amp;C135&amp;" Floor","")))&amp;(IF(C136=H125,"",IF(C136&gt;0,", Finishing upto "&amp;C136&amp;" Floor","")))&amp;(IF(C137=H125,"",IF(C137&gt;0,", Possession upto "&amp;C137&amp;" Floor","")))</f>
        <v>, RCC upto 4 Slab, Brickwork upto 1 Floor</v>
      </c>
    </row>
    <row r="125" spans="1:10">
      <c r="A125" s="66" t="s">
        <v>156</v>
      </c>
      <c r="B125" s="66">
        <f>IF(AND(ISNUMBER(SEARCH("1B",C124))),1,IF(AND(ISNUMBER(SEARCH("2B",C124))),2,IF(AND(ISNUMBER(SEARCH("3B",C124))),3,IF(AND(ISNUMBER(SEARCH("4B",C124))),4,IF(ISNUMBER(SEARCH("5B",C124)),5,0)))))</f>
        <v>0</v>
      </c>
      <c r="C125" s="66" t="s">
        <v>157</v>
      </c>
      <c r="D125" s="66">
        <v>1</v>
      </c>
      <c r="E125" s="66" t="s">
        <v>158</v>
      </c>
      <c r="F125" s="66">
        <v>0</v>
      </c>
      <c r="G125" s="31" t="s">
        <v>159</v>
      </c>
      <c r="H125" s="66">
        <f ca="1">--TRIM(RIGHT(SUBSTITUTE(LEFT(C124,_xlfn.AGGREGATE(16,6,FIND({0,1,2,3,4,5,6,7,8,9},C124,ROW(INDIRECT("1:"&amp;LEN(C124)))),1))," ",REPT(" ",LEN(C124))),LEN(C124)))</f>
        <v>7</v>
      </c>
      <c r="I125" s="68" t="str">
        <f ca="1">IF(D128=100%,"Excavation","")&amp;IF(D129=100%,", Plinth","")&amp;IF(D130=100%,", RCC Slab","")&amp;IF(D131=100%,", Brickwork","")&amp;IF(D132=100%,", Internal Plaster","")&amp;IF(D133=100%,", External Plaster","")&amp;IF(D134=100%,", Flooring","")&amp;IF(D135=100%,", Painting","")&amp;IF(D136=100%,", Building common Amenities","")</f>
        <v>Excavation, Plinth</v>
      </c>
      <c r="J125" s="42" t="str">
        <f ca="1">(IF(C128=0,"Work not yet Started.",IF(D128=25%,"Piling work in process",IF(D128=50%,"Excavation work in process",IF(D128=100%,"","0")))))&amp;(IF(C129=0%,"",IF(C129=J130,", Footing work is process",IF(C129=J131,", Footing work Completed",IF(C129=J132,", 1st Basement Completed",IF(C129=J133,", 1st &amp; 2nd Basement Completed",IF(C129=J134,", 1st to 3rd Basement Completed",IF(C129=J135,", 1st to 4th Basement Completed",IF(C129=J136,", Plinth work is process",IF(C129=J137,"","0"))))))))))</f>
        <v/>
      </c>
    </row>
    <row r="126" spans="1:10">
      <c r="A126" s="161" t="s">
        <v>160</v>
      </c>
      <c r="B126" s="161"/>
      <c r="C126" s="162" t="str">
        <f ca="1">(IF($G$53="NA",I124,"All work Completed. OC Received."))</f>
        <v>Excavation, Plinth Completed, RCC upto 4 Slab, Brickwork upto 1 Floor Completed</v>
      </c>
      <c r="D126" s="162"/>
      <c r="E126" s="162"/>
      <c r="F126" s="162"/>
      <c r="G126" s="162"/>
      <c r="H126" s="162"/>
      <c r="I126" s="68" t="str">
        <f ca="1">IF(I125&lt;&gt;""," Completed","")</f>
        <v xml:space="preserve"> Completed</v>
      </c>
      <c r="J126" s="42" t="str">
        <f ca="1">IF(J124&lt;&gt;"","Completed","")</f>
        <v>Completed</v>
      </c>
    </row>
    <row r="127" spans="1:10" ht="15.75" customHeight="1">
      <c r="A127" s="159" t="s">
        <v>161</v>
      </c>
      <c r="B127" s="159"/>
      <c r="C127" s="60" t="s">
        <v>162</v>
      </c>
      <c r="D127" s="60" t="s">
        <v>163</v>
      </c>
      <c r="E127" s="159" t="s">
        <v>164</v>
      </c>
      <c r="F127" s="159"/>
      <c r="G127" s="159" t="s">
        <v>165</v>
      </c>
      <c r="H127" s="159"/>
      <c r="I127" s="43" t="s">
        <v>166</v>
      </c>
      <c r="J127" s="44">
        <f ca="1">H125*25%</f>
        <v>1.75</v>
      </c>
    </row>
    <row r="128" spans="1:10">
      <c r="A128" s="159" t="s">
        <v>167</v>
      </c>
      <c r="B128" s="159"/>
      <c r="C128" s="60">
        <f ca="1">J129</f>
        <v>7</v>
      </c>
      <c r="D128" s="34">
        <f ca="1">((100/H125)*C128)/100</f>
        <v>1</v>
      </c>
      <c r="E128" s="80">
        <f ca="1">(((C129/H125*10)+(40/(D125+F125+H125)*C130)+(7.5/(H125)*C131)+(7.5/(H125)*C132)+(10/H125*C133)+(10/H125*C134)+(5/H125*C135)+(5/H125*C136)+(5/H125*C137))/100)</f>
        <v>0.31071428571428572</v>
      </c>
      <c r="F128" s="80"/>
      <c r="G128" s="80">
        <f ca="1">((((C128/H125)*20)+((C129/H125)*25)+(30/(H125+F125+D125)*C130)+(5/H125*C131)+(5/H125*C132)+(5/H125*C133)+(5/H125*C134)+(0/H125*C135)+(0/H125*C136)+(5/H125*C137))/100)</f>
        <v>0.60714285714285721</v>
      </c>
      <c r="H128" s="80"/>
      <c r="I128" s="43" t="s">
        <v>168</v>
      </c>
      <c r="J128" s="45">
        <f ca="1">H125*50%</f>
        <v>3.5</v>
      </c>
    </row>
    <row r="129" spans="1:10">
      <c r="A129" s="159" t="s">
        <v>169</v>
      </c>
      <c r="B129" s="159"/>
      <c r="C129" s="35">
        <f ca="1">J137</f>
        <v>7</v>
      </c>
      <c r="D129" s="34">
        <f ca="1">((100/H125)*C129)/100</f>
        <v>1</v>
      </c>
      <c r="E129" s="80"/>
      <c r="F129" s="80"/>
      <c r="G129" s="80"/>
      <c r="H129" s="80"/>
      <c r="I129" s="43" t="s">
        <v>170</v>
      </c>
      <c r="J129" s="45">
        <f ca="1">H125</f>
        <v>7</v>
      </c>
    </row>
    <row r="130" spans="1:10" ht="15.75" customHeight="1">
      <c r="A130" s="159" t="s">
        <v>171</v>
      </c>
      <c r="B130" s="159"/>
      <c r="C130" s="60">
        <v>4</v>
      </c>
      <c r="D130" s="34">
        <f ca="1">((100/(D125+F125+H125))*C130)/100</f>
        <v>0.5</v>
      </c>
      <c r="E130" s="80"/>
      <c r="F130" s="80"/>
      <c r="G130" s="80"/>
      <c r="H130" s="80"/>
      <c r="I130" s="43" t="s">
        <v>172</v>
      </c>
      <c r="J130" s="46">
        <f ca="1">(IF(B125&gt;1,(H125/(B125+2)),H125/4))</f>
        <v>1.75</v>
      </c>
    </row>
    <row r="131" spans="1:10" ht="15.75" customHeight="1">
      <c r="A131" s="159" t="s">
        <v>173</v>
      </c>
      <c r="B131" s="159" t="s">
        <v>174</v>
      </c>
      <c r="C131" s="60">
        <v>1</v>
      </c>
      <c r="D131" s="34">
        <f ca="1">((100/H125)*C131)/100</f>
        <v>0.14285714285714288</v>
      </c>
      <c r="E131" s="80"/>
      <c r="F131" s="80"/>
      <c r="G131" s="80"/>
      <c r="H131" s="80"/>
      <c r="I131" s="43" t="s">
        <v>175</v>
      </c>
      <c r="J131" s="46">
        <f ca="1">(IF(B125&gt;1,(H125/(B125+2)+J130),H125/4+J130))</f>
        <v>3.5</v>
      </c>
    </row>
    <row r="132" spans="1:10" ht="15.75" customHeight="1">
      <c r="A132" s="159" t="s">
        <v>176</v>
      </c>
      <c r="B132" s="159" t="s">
        <v>174</v>
      </c>
      <c r="C132" s="60">
        <v>0</v>
      </c>
      <c r="D132" s="34">
        <f ca="1">((100/H125)*C132)/100</f>
        <v>0</v>
      </c>
      <c r="E132" s="80"/>
      <c r="F132" s="80"/>
      <c r="G132" s="80"/>
      <c r="H132" s="80"/>
      <c r="I132" s="43" t="s">
        <v>177</v>
      </c>
      <c r="J132" s="46">
        <f>(IF(B125&gt;1,(H125/(B125+2)+J131),0))</f>
        <v>0</v>
      </c>
    </row>
    <row r="133" spans="1:10" ht="15" customHeight="1">
      <c r="A133" s="159" t="s">
        <v>178</v>
      </c>
      <c r="B133" s="159" t="s">
        <v>179</v>
      </c>
      <c r="C133" s="60">
        <v>0</v>
      </c>
      <c r="D133" s="34">
        <f ca="1">((100/(H125))*C133)/100</f>
        <v>0</v>
      </c>
      <c r="E133" s="80"/>
      <c r="F133" s="80"/>
      <c r="G133" s="80"/>
      <c r="H133" s="80"/>
      <c r="I133" s="43" t="s">
        <v>180</v>
      </c>
      <c r="J133" s="46">
        <f>(IF(B125&gt;2,(H125/(B125+2)+J132),0))</f>
        <v>0</v>
      </c>
    </row>
    <row r="134" spans="1:10" ht="15.75" customHeight="1">
      <c r="A134" s="159" t="s">
        <v>181</v>
      </c>
      <c r="B134" s="159" t="s">
        <v>181</v>
      </c>
      <c r="C134" s="60">
        <v>0</v>
      </c>
      <c r="D134" s="34">
        <f ca="1">((100/H125)*C134)/100</f>
        <v>0</v>
      </c>
      <c r="E134" s="80"/>
      <c r="F134" s="80"/>
      <c r="G134" s="80"/>
      <c r="H134" s="80"/>
      <c r="I134" s="43" t="s">
        <v>182</v>
      </c>
      <c r="J134" s="47">
        <f>(IF(B125&gt;3,(H125/(B125+2)+J133),0))</f>
        <v>0</v>
      </c>
    </row>
    <row r="135" spans="1:10" ht="15.75" customHeight="1">
      <c r="A135" s="159" t="s">
        <v>183</v>
      </c>
      <c r="B135" s="159"/>
      <c r="C135" s="60">
        <v>0</v>
      </c>
      <c r="D135" s="34">
        <f ca="1">((100/H125)*C135)/100</f>
        <v>0</v>
      </c>
      <c r="E135" s="80"/>
      <c r="F135" s="80"/>
      <c r="G135" s="80"/>
      <c r="H135" s="80"/>
      <c r="I135" s="43" t="s">
        <v>184</v>
      </c>
      <c r="J135" s="46">
        <f>(IF(B125&gt;4,(H125/(B125+2)+J134),0))</f>
        <v>0</v>
      </c>
    </row>
    <row r="136" spans="1:10" ht="15.75" customHeight="1">
      <c r="A136" s="159" t="s">
        <v>185</v>
      </c>
      <c r="B136" s="159" t="s">
        <v>185</v>
      </c>
      <c r="C136" s="60">
        <v>0</v>
      </c>
      <c r="D136" s="34">
        <f ca="1">((100/(H125))*C136)/100</f>
        <v>0</v>
      </c>
      <c r="E136" s="80"/>
      <c r="F136" s="80"/>
      <c r="G136" s="80"/>
      <c r="H136" s="80"/>
      <c r="I136" s="43" t="s">
        <v>186</v>
      </c>
      <c r="J136" s="46">
        <f ca="1">(IF(B125=1,(H125/(B125+3)+J131),IF(B125=0,(H125/4+J131),IF(B125&gt;1,0))))</f>
        <v>5.25</v>
      </c>
    </row>
    <row r="137" spans="1:10">
      <c r="A137" s="159" t="s">
        <v>187</v>
      </c>
      <c r="B137" s="159"/>
      <c r="C137" s="60">
        <v>0</v>
      </c>
      <c r="D137" s="34">
        <f ca="1">((100/(H125))*C137)/100</f>
        <v>0</v>
      </c>
      <c r="E137" s="80"/>
      <c r="F137" s="80"/>
      <c r="G137" s="80"/>
      <c r="H137" s="80"/>
      <c r="I137" s="48" t="s">
        <v>188</v>
      </c>
      <c r="J137" s="49">
        <f ca="1">(IF(B125&gt;1.5,(H125/(B125+2)+J131+MAX(0,J132-J131)+MAX(0,J133-J132)+MAX(0,J134-J133)+MAX(0,J135-J134)+MAX(0,J136-J135)),IF(B125=1,(H125/(B125+3)+J136),IF(B125=0,H125/4+J136))))</f>
        <v>7</v>
      </c>
    </row>
    <row r="138" spans="1:10" ht="15.75" customHeight="1">
      <c r="A138" s="166" t="s">
        <v>154</v>
      </c>
      <c r="B138" s="167"/>
      <c r="C138" s="168" t="s">
        <v>297</v>
      </c>
      <c r="D138" s="169"/>
      <c r="E138" s="169"/>
      <c r="F138" s="169"/>
      <c r="G138" s="169"/>
      <c r="H138" s="170"/>
      <c r="I138" s="39" t="str">
        <f ca="1">IF(D151=100%,"All work Completed. Possession granted to the Building.",IF(D150=100%,"All work Completed, Waiting for OC",I139&amp;""&amp;I140&amp;""&amp;J139&amp;""&amp;J138&amp;" "&amp;J140))</f>
        <v xml:space="preserve">Excavation, Plinth Completed </v>
      </c>
      <c r="J138" s="40" t="str">
        <f ca="1">(IF(C144=(D139+F139+H139),"",IF(C144&gt;0,", RCC upto "&amp;C144&amp;" Slab","")))&amp;(IF(C145=H139,"",IF(C145&gt;0,", Brickwork upto "&amp;C145&amp;" Floor","")))&amp;(IF(C146=H139,"",IF(C146&gt;0,", Internal Plaster upto "&amp;C146&amp;" Floor","")))&amp;(IF(C147=H139,"",IF(C147&gt;0,", External Plaster upto "&amp;C147&amp;" Floor","")))&amp;(IF(C148=H139,"",IF(C148&gt;0,", Flooring upto "&amp;C148&amp;" Floor","")))&amp;(IF(C149=H139,"",IF(C149&gt;0,", Painting upto "&amp;C149&amp;" Floor","")))&amp;(IF(C150=H139,"",IF(C150&gt;0,", Finishing upto "&amp;C150&amp;" Floor","")))&amp;(IF(C151=H139,"",IF(C151&gt;0,", Possession upto "&amp;C151&amp;" Floor","")))</f>
        <v/>
      </c>
    </row>
    <row r="139" spans="1:10">
      <c r="A139" s="28" t="s">
        <v>156</v>
      </c>
      <c r="B139" s="29">
        <f>IF(AND(ISNUMBER(SEARCH("1B",C138))),1,IF(AND(ISNUMBER(SEARCH("2B",C138))),2,IF(AND(ISNUMBER(SEARCH("3B",C138))),3,IF(AND(ISNUMBER(SEARCH("4B",C138))),4,IF(ISNUMBER(SEARCH("5B",C138)),5,0)))))</f>
        <v>0</v>
      </c>
      <c r="C139" s="29" t="s">
        <v>157</v>
      </c>
      <c r="D139" s="29">
        <v>1</v>
      </c>
      <c r="E139" s="29" t="s">
        <v>158</v>
      </c>
      <c r="F139" s="29">
        <v>0</v>
      </c>
      <c r="G139" s="31" t="s">
        <v>159</v>
      </c>
      <c r="H139" s="32">
        <f ca="1">--TRIM(RIGHT(SUBSTITUTE(LEFT(C138,_xlfn.AGGREGATE(16,6,FIND({0,1,2,3,4,5,6,7,8,9},C138,ROW(INDIRECT("1:"&amp;LEN(C138)))),1))," ",REPT(" ",LEN(C138))),LEN(C138)))</f>
        <v>7</v>
      </c>
      <c r="I139" s="41" t="str">
        <f ca="1">IF(D142=100%,"Excavation","")&amp;IF(D143=100%,", Plinth","")&amp;IF(D144=100%,", RCC Slab","")&amp;IF(D145=100%,", Brickwork","")&amp;IF(D146=100%,", Internal Plaster","")&amp;IF(D147=100%,", External Plaster","")&amp;IF(D148=100%,", Flooring","")&amp;IF(D149=100%,", Painting","")&amp;IF(D150=100%,", Building common Amenities","")</f>
        <v>Excavation, Plinth</v>
      </c>
      <c r="J139" s="42" t="str">
        <f ca="1">(IF(C142=0,"Work not yet Started.",IF(D142=25%,"Piling work in process",IF(D142=50%,"Excavation work in process",IF(D142=100%,"","0")))))&amp;(IF(C143=0%,"",IF(C143=J144,", Footing work is process",IF(C143=J145,", Footing work Completed",IF(C143=J146,", 1st Basement Completed",IF(C143=J147,", 1st &amp; 2nd Basement Completed",IF(C143=J148,", 1st to 3rd Basement Completed",IF(C143=J149,", 1st to 4th Basement Completed",IF(C143=J150,", Plinth work is process",IF(C143=J151,"","0"))))))))))</f>
        <v/>
      </c>
    </row>
    <row r="140" spans="1:10">
      <c r="A140" s="171" t="s">
        <v>160</v>
      </c>
      <c r="B140" s="161"/>
      <c r="C140" s="162" t="str">
        <f ca="1">(IF($G$53="NA",I138,"All work Completed. OC Received."))</f>
        <v xml:space="preserve">Excavation, Plinth Completed </v>
      </c>
      <c r="D140" s="162"/>
      <c r="E140" s="162"/>
      <c r="F140" s="162"/>
      <c r="G140" s="162"/>
      <c r="H140" s="172"/>
      <c r="I140" s="41" t="str">
        <f ca="1">IF(I139&lt;&gt;""," Completed","")</f>
        <v xml:space="preserve"> Completed</v>
      </c>
      <c r="J140" s="42" t="str">
        <f ca="1">IF(J138&lt;&gt;"","Completed","")</f>
        <v/>
      </c>
    </row>
    <row r="141" spans="1:10" ht="15.75" customHeight="1">
      <c r="A141" s="163" t="s">
        <v>161</v>
      </c>
      <c r="B141" s="159"/>
      <c r="C141" s="33" t="s">
        <v>162</v>
      </c>
      <c r="D141" s="33" t="s">
        <v>163</v>
      </c>
      <c r="E141" s="159" t="s">
        <v>164</v>
      </c>
      <c r="F141" s="159"/>
      <c r="G141" s="159" t="s">
        <v>165</v>
      </c>
      <c r="H141" s="173"/>
      <c r="I141" s="43" t="s">
        <v>166</v>
      </c>
      <c r="J141" s="44">
        <f ca="1">H139*25%</f>
        <v>1.75</v>
      </c>
    </row>
    <row r="142" spans="1:10">
      <c r="A142" s="163" t="s">
        <v>167</v>
      </c>
      <c r="B142" s="159"/>
      <c r="C142" s="33">
        <f ca="1">J143</f>
        <v>7</v>
      </c>
      <c r="D142" s="34">
        <f ca="1">((100/H139)*C142)/100</f>
        <v>1</v>
      </c>
      <c r="E142" s="82">
        <f ca="1">(((C143/H139*10)+(40/(D139+F139+H139)*C144)+(7.5/(H139)*C145)+(7.5/(H139)*C146)+(10/H139*C147)+(10/H139*C148)+(5/H139*C149)+(5/H139*C150)+(5/H139*C151))/100)</f>
        <v>0.1</v>
      </c>
      <c r="F142" s="83"/>
      <c r="G142" s="82">
        <f ca="1">((((C142/H139)*20)+((C143/H139)*25)+(30/(H139+F139+D139)*C144)+(5/H139*C145)+(5/H139*C146)+(5/H139*C147)+(5/H139*C148)+(0/H139*C149)+(0/H139*C150)+(5/H139*C151))/100)</f>
        <v>0.45</v>
      </c>
      <c r="H142" s="86"/>
      <c r="I142" s="43" t="s">
        <v>168</v>
      </c>
      <c r="J142" s="45">
        <f ca="1">H139*50%</f>
        <v>3.5</v>
      </c>
    </row>
    <row r="143" spans="1:10">
      <c r="A143" s="163" t="s">
        <v>169</v>
      </c>
      <c r="B143" s="159"/>
      <c r="C143" s="35">
        <f ca="1">J151</f>
        <v>7</v>
      </c>
      <c r="D143" s="34">
        <f ca="1">((100/H139)*C143)/100</f>
        <v>1</v>
      </c>
      <c r="E143" s="84"/>
      <c r="F143" s="85"/>
      <c r="G143" s="84"/>
      <c r="H143" s="87"/>
      <c r="I143" s="43" t="s">
        <v>170</v>
      </c>
      <c r="J143" s="45">
        <f ca="1">H139</f>
        <v>7</v>
      </c>
    </row>
    <row r="144" spans="1:10" ht="15.75" customHeight="1">
      <c r="A144" s="163" t="s">
        <v>171</v>
      </c>
      <c r="B144" s="159"/>
      <c r="C144" s="33">
        <v>0</v>
      </c>
      <c r="D144" s="34">
        <f ca="1">((100/(D139+F139+H139))*C144)/100</f>
        <v>0</v>
      </c>
      <c r="E144" s="84"/>
      <c r="F144" s="85"/>
      <c r="G144" s="84"/>
      <c r="H144" s="87"/>
      <c r="I144" s="43" t="s">
        <v>172</v>
      </c>
      <c r="J144" s="46">
        <f ca="1">(IF(B139&gt;1,(H139/(B139+2)),H139/4))</f>
        <v>1.75</v>
      </c>
    </row>
    <row r="145" spans="1:10" ht="15.75" customHeight="1">
      <c r="A145" s="163" t="s">
        <v>173</v>
      </c>
      <c r="B145" s="159" t="s">
        <v>174</v>
      </c>
      <c r="C145" s="33">
        <v>0</v>
      </c>
      <c r="D145" s="34">
        <f ca="1">((100/H139)*C145)/100</f>
        <v>0</v>
      </c>
      <c r="E145" s="84"/>
      <c r="F145" s="85"/>
      <c r="G145" s="84"/>
      <c r="H145" s="87"/>
      <c r="I145" s="43" t="s">
        <v>175</v>
      </c>
      <c r="J145" s="46">
        <f ca="1">(IF(B139&gt;1,(H139/(B139+2)+J144),H139/4+J144))</f>
        <v>3.5</v>
      </c>
    </row>
    <row r="146" spans="1:10" ht="15.75" customHeight="1">
      <c r="A146" s="163" t="s">
        <v>176</v>
      </c>
      <c r="B146" s="159" t="s">
        <v>174</v>
      </c>
      <c r="C146" s="33">
        <v>0</v>
      </c>
      <c r="D146" s="34">
        <f ca="1">((100/H139)*C146)/100</f>
        <v>0</v>
      </c>
      <c r="E146" s="84"/>
      <c r="F146" s="85"/>
      <c r="G146" s="84"/>
      <c r="H146" s="87"/>
      <c r="I146" s="43" t="s">
        <v>177</v>
      </c>
      <c r="J146" s="46">
        <f>(IF(B139&gt;1,(H139/(B139+2)+J145),0))</f>
        <v>0</v>
      </c>
    </row>
    <row r="147" spans="1:10" ht="15" customHeight="1">
      <c r="A147" s="163" t="s">
        <v>178</v>
      </c>
      <c r="B147" s="159" t="s">
        <v>179</v>
      </c>
      <c r="C147" s="33">
        <v>0</v>
      </c>
      <c r="D147" s="34">
        <f ca="1">((100/(H139))*C147)/100</f>
        <v>0</v>
      </c>
      <c r="E147" s="84"/>
      <c r="F147" s="85"/>
      <c r="G147" s="84"/>
      <c r="H147" s="87"/>
      <c r="I147" s="43" t="s">
        <v>180</v>
      </c>
      <c r="J147" s="46">
        <f>(IF(B139&gt;2,(H139/(B139+2)+J146),0))</f>
        <v>0</v>
      </c>
    </row>
    <row r="148" spans="1:10" ht="15.75" customHeight="1">
      <c r="A148" s="163" t="s">
        <v>181</v>
      </c>
      <c r="B148" s="159" t="s">
        <v>181</v>
      </c>
      <c r="C148" s="33">
        <v>0</v>
      </c>
      <c r="D148" s="34">
        <f ca="1">((100/H139)*C148)/100</f>
        <v>0</v>
      </c>
      <c r="E148" s="84"/>
      <c r="F148" s="85"/>
      <c r="G148" s="84"/>
      <c r="H148" s="87"/>
      <c r="I148" s="43" t="s">
        <v>182</v>
      </c>
      <c r="J148" s="47">
        <f>(IF(B139&gt;3,(H139/(B139+2)+J147),0))</f>
        <v>0</v>
      </c>
    </row>
    <row r="149" spans="1:10" ht="15.75" customHeight="1">
      <c r="A149" s="163" t="s">
        <v>183</v>
      </c>
      <c r="B149" s="159"/>
      <c r="C149" s="33">
        <v>0</v>
      </c>
      <c r="D149" s="34">
        <f ca="1">((100/H139)*C149)/100</f>
        <v>0</v>
      </c>
      <c r="E149" s="84"/>
      <c r="F149" s="85"/>
      <c r="G149" s="84"/>
      <c r="H149" s="87"/>
      <c r="I149" s="43" t="s">
        <v>184</v>
      </c>
      <c r="J149" s="46">
        <f>(IF(B139&gt;4,(H139/(B139+2)+J148),0))</f>
        <v>0</v>
      </c>
    </row>
    <row r="150" spans="1:10" ht="15.75" customHeight="1">
      <c r="A150" s="163" t="s">
        <v>185</v>
      </c>
      <c r="B150" s="159" t="s">
        <v>185</v>
      </c>
      <c r="C150" s="33">
        <v>0</v>
      </c>
      <c r="D150" s="34">
        <f ca="1">((100/(H139))*C150)/100</f>
        <v>0</v>
      </c>
      <c r="E150" s="84"/>
      <c r="F150" s="85"/>
      <c r="G150" s="84"/>
      <c r="H150" s="87"/>
      <c r="I150" s="43" t="s">
        <v>186</v>
      </c>
      <c r="J150" s="46">
        <f ca="1">(IF(B139=1,(H139/(B139+3)+J145),IF(B139=0,(H139/4+J145),IF(B139&gt;1,0))))</f>
        <v>5.25</v>
      </c>
    </row>
    <row r="151" spans="1:10" ht="16" thickBot="1">
      <c r="A151" s="164" t="s">
        <v>187</v>
      </c>
      <c r="B151" s="165"/>
      <c r="C151" s="69">
        <v>0</v>
      </c>
      <c r="D151" s="70">
        <f ca="1">((100/(H139))*C151)/100</f>
        <v>0</v>
      </c>
      <c r="E151" s="84"/>
      <c r="F151" s="85"/>
      <c r="G151" s="84"/>
      <c r="H151" s="87"/>
      <c r="I151" s="48" t="s">
        <v>188</v>
      </c>
      <c r="J151" s="49">
        <f ca="1">(IF(B139&gt;1.5,(H139/(B139+2)+J145+MAX(0,J146-J145)+MAX(0,J147-J146)+MAX(0,J148-J147)+MAX(0,J149-J148)+MAX(0,J150-J149)),IF(B139=1,(H139/(B139+3)+J150),IF(B139=0,H139/4+J150))))</f>
        <v>7</v>
      </c>
    </row>
    <row r="152" spans="1:10" ht="15.75" customHeight="1">
      <c r="A152" s="160" t="s">
        <v>154</v>
      </c>
      <c r="B152" s="160"/>
      <c r="C152" s="160" t="s">
        <v>299</v>
      </c>
      <c r="D152" s="160"/>
      <c r="E152" s="160"/>
      <c r="F152" s="160"/>
      <c r="G152" s="160"/>
      <c r="H152" s="160"/>
      <c r="I152" s="67" t="str">
        <f ca="1">IF(D165=100%,"All work Completed. Possession granted to the Building.",IF(D164=100%,"All work Completed, Waiting for OC",I153&amp;""&amp;I154&amp;""&amp;J153&amp;""&amp;J152&amp;" "&amp;J154))</f>
        <v xml:space="preserve">Excavation Completed, Footing work Completed </v>
      </c>
      <c r="J152" s="40" t="str">
        <f ca="1">(IF(C158=(D153+F153+H153),"",IF(C158&gt;0,", RCC upto "&amp;C158&amp;" Slab","")))&amp;(IF(C159=H153,"",IF(C159&gt;0,", Brickwork upto "&amp;C159&amp;" Floor","")))&amp;(IF(C160=H153,"",IF(C160&gt;0,", Internal Plaster upto "&amp;C160&amp;" Floor","")))&amp;(IF(C161=H153,"",IF(C161&gt;0,", External Plaster upto "&amp;C161&amp;" Floor","")))&amp;(IF(C162=H153,"",IF(C162&gt;0,", Flooring upto "&amp;C162&amp;" Floor","")))&amp;(IF(C163=H153,"",IF(C163&gt;0,", Painting upto "&amp;C163&amp;" Floor","")))&amp;(IF(C164=H153,"",IF(C164&gt;0,", Finishing upto "&amp;C164&amp;" Floor","")))&amp;(IF(C165=H153,"",IF(C165&gt;0,", Possession upto "&amp;C165&amp;" Floor","")))</f>
        <v/>
      </c>
    </row>
    <row r="153" spans="1:10">
      <c r="A153" s="66" t="s">
        <v>156</v>
      </c>
      <c r="B153" s="66">
        <f>IF(AND(ISNUMBER(SEARCH("1B",C152))),1,IF(AND(ISNUMBER(SEARCH("2B",C152))),2,IF(AND(ISNUMBER(SEARCH("3B",C152))),3,IF(AND(ISNUMBER(SEARCH("4B",C152))),4,IF(ISNUMBER(SEARCH("5B",C152)),5,0)))))</f>
        <v>0</v>
      </c>
      <c r="C153" s="66" t="s">
        <v>157</v>
      </c>
      <c r="D153" s="66">
        <v>1</v>
      </c>
      <c r="E153" s="66" t="s">
        <v>158</v>
      </c>
      <c r="F153" s="66">
        <v>0</v>
      </c>
      <c r="G153" s="31" t="s">
        <v>159</v>
      </c>
      <c r="H153" s="66">
        <f ca="1">--TRIM(RIGHT(SUBSTITUTE(LEFT(C152,_xlfn.AGGREGATE(16,6,FIND({0,1,2,3,4,5,6,7,8,9},C152,ROW(INDIRECT("1:"&amp;LEN(C152)))),1))," ",REPT(" ",LEN(C152))),LEN(C152)))</f>
        <v>7</v>
      </c>
      <c r="I153" s="68" t="str">
        <f ca="1">IF(D156=100%,"Excavation","")&amp;IF(D157=100%,", Plinth","")&amp;IF(D158=100%,", RCC Slab","")&amp;IF(D159=100%,", Brickwork","")&amp;IF(D160=100%,", Internal Plaster","")&amp;IF(D161=100%,", External Plaster","")&amp;IF(D162=100%,", Flooring","")&amp;IF(D163=100%,", Painting","")&amp;IF(D164=100%,", Building common Amenities","")</f>
        <v>Excavation</v>
      </c>
      <c r="J153" s="42" t="str">
        <f ca="1">(IF(C156=0,"Work not yet Started.",IF(D156=25%,"Piling work in process",IF(D156=50%,"Excavation work in process",IF(D156=100%,"","0")))))&amp;(IF(C157=0%,"",IF(C157=J158,", Footing work is process",IF(C157=J159,", Footing work Completed",IF(C157=J160,", 1st Basement Completed",IF(C157=J161,", 1st &amp; 2nd Basement Completed",IF(C157=J162,", 1st to 3rd Basement Completed",IF(C157=J163,", 1st to 4th Basement Completed",IF(C157=J164,", Plinth work is process",IF(C157=J165,"","0"))))))))))</f>
        <v>, Footing work Completed</v>
      </c>
    </row>
    <row r="154" spans="1:10">
      <c r="A154" s="161" t="s">
        <v>160</v>
      </c>
      <c r="B154" s="161"/>
      <c r="C154" s="162" t="str">
        <f ca="1">(IF($G$53="NA",I152,"All work Completed. OC Received."))</f>
        <v xml:space="preserve">Excavation Completed, Footing work Completed </v>
      </c>
      <c r="D154" s="162"/>
      <c r="E154" s="162"/>
      <c r="F154" s="162"/>
      <c r="G154" s="162"/>
      <c r="H154" s="162"/>
      <c r="I154" s="68" t="str">
        <f ca="1">IF(I153&lt;&gt;""," Completed","")</f>
        <v xml:space="preserve"> Completed</v>
      </c>
      <c r="J154" s="42" t="str">
        <f ca="1">IF(J152&lt;&gt;"","Completed","")</f>
        <v/>
      </c>
    </row>
    <row r="155" spans="1:10" ht="15.75" customHeight="1">
      <c r="A155" s="159" t="s">
        <v>161</v>
      </c>
      <c r="B155" s="159"/>
      <c r="C155" s="65" t="s">
        <v>162</v>
      </c>
      <c r="D155" s="65" t="s">
        <v>163</v>
      </c>
      <c r="E155" s="159" t="s">
        <v>164</v>
      </c>
      <c r="F155" s="159"/>
      <c r="G155" s="159" t="s">
        <v>165</v>
      </c>
      <c r="H155" s="159"/>
      <c r="I155" s="43" t="s">
        <v>166</v>
      </c>
      <c r="J155" s="44">
        <f ca="1">H153*25%</f>
        <v>1.75</v>
      </c>
    </row>
    <row r="156" spans="1:10">
      <c r="A156" s="159" t="s">
        <v>167</v>
      </c>
      <c r="B156" s="159"/>
      <c r="C156" s="65">
        <f ca="1">J157</f>
        <v>7</v>
      </c>
      <c r="D156" s="34">
        <f ca="1">((100/H153)*C156)/100</f>
        <v>1</v>
      </c>
      <c r="E156" s="80">
        <f ca="1">(((C157/H153*10)+(40/(D153+F153+H153)*C158)+(7.5/(H153)*C159)+(7.5/(H153)*C160)+(10/H153*C161)+(10/H153*C162)+(5/H153*C163)+(5/H153*C164)+(5/H153*C165))/100)</f>
        <v>0.05</v>
      </c>
      <c r="F156" s="80"/>
      <c r="G156" s="80">
        <f ca="1">((((C156/H153)*20)+((C157/H153)*25)+(30/(H153+F153+D153)*C158)+(5/H153*C159)+(5/H153*C160)+(5/H153*C161)+(5/H153*C162)+(0/H153*C163)+(0/H153*C164)+(5/H153*C165))/100)</f>
        <v>0.32500000000000001</v>
      </c>
      <c r="H156" s="80"/>
      <c r="I156" s="43" t="s">
        <v>168</v>
      </c>
      <c r="J156" s="45">
        <f ca="1">H153*50%</f>
        <v>3.5</v>
      </c>
    </row>
    <row r="157" spans="1:10">
      <c r="A157" s="159" t="s">
        <v>169</v>
      </c>
      <c r="B157" s="159"/>
      <c r="C157" s="35">
        <f ca="1">J159</f>
        <v>3.5</v>
      </c>
      <c r="D157" s="34">
        <f ca="1">((100/H153)*C157)/100</f>
        <v>0.5</v>
      </c>
      <c r="E157" s="80"/>
      <c r="F157" s="80"/>
      <c r="G157" s="80"/>
      <c r="H157" s="80"/>
      <c r="I157" s="43" t="s">
        <v>170</v>
      </c>
      <c r="J157" s="45">
        <f ca="1">H153</f>
        <v>7</v>
      </c>
    </row>
    <row r="158" spans="1:10" ht="15.75" customHeight="1">
      <c r="A158" s="159" t="s">
        <v>171</v>
      </c>
      <c r="B158" s="159"/>
      <c r="C158" s="65">
        <v>0</v>
      </c>
      <c r="D158" s="34">
        <f ca="1">((100/(D153+F153+H153))*C158)/100</f>
        <v>0</v>
      </c>
      <c r="E158" s="80"/>
      <c r="F158" s="80"/>
      <c r="G158" s="80"/>
      <c r="H158" s="80"/>
      <c r="I158" s="43" t="s">
        <v>172</v>
      </c>
      <c r="J158" s="46">
        <f ca="1">(IF(B153&gt;1,(H153/(B153+2)),H153/4))</f>
        <v>1.75</v>
      </c>
    </row>
    <row r="159" spans="1:10" ht="15.75" customHeight="1">
      <c r="A159" s="159" t="s">
        <v>173</v>
      </c>
      <c r="B159" s="159" t="s">
        <v>174</v>
      </c>
      <c r="C159" s="65">
        <v>0</v>
      </c>
      <c r="D159" s="34">
        <f ca="1">((100/H153)*C159)/100</f>
        <v>0</v>
      </c>
      <c r="E159" s="80"/>
      <c r="F159" s="80"/>
      <c r="G159" s="80"/>
      <c r="H159" s="80"/>
      <c r="I159" s="43" t="s">
        <v>175</v>
      </c>
      <c r="J159" s="46">
        <f ca="1">(IF(B153&gt;1,(H153/(B153+2)+J158),H153/4+J158))</f>
        <v>3.5</v>
      </c>
    </row>
    <row r="160" spans="1:10" ht="15.75" customHeight="1">
      <c r="A160" s="159" t="s">
        <v>176</v>
      </c>
      <c r="B160" s="159" t="s">
        <v>174</v>
      </c>
      <c r="C160" s="65">
        <v>0</v>
      </c>
      <c r="D160" s="34">
        <f ca="1">((100/H153)*C160)/100</f>
        <v>0</v>
      </c>
      <c r="E160" s="80"/>
      <c r="F160" s="80"/>
      <c r="G160" s="80"/>
      <c r="H160" s="80"/>
      <c r="I160" s="43" t="s">
        <v>177</v>
      </c>
      <c r="J160" s="46">
        <f>(IF(B153&gt;1,(H153/(B153+2)+J159),0))</f>
        <v>0</v>
      </c>
    </row>
    <row r="161" spans="1:10" ht="15" customHeight="1">
      <c r="A161" s="159" t="s">
        <v>178</v>
      </c>
      <c r="B161" s="159" t="s">
        <v>179</v>
      </c>
      <c r="C161" s="65">
        <v>0</v>
      </c>
      <c r="D161" s="34">
        <f ca="1">((100/(H153))*C161)/100</f>
        <v>0</v>
      </c>
      <c r="E161" s="80"/>
      <c r="F161" s="80"/>
      <c r="G161" s="80"/>
      <c r="H161" s="80"/>
      <c r="I161" s="43" t="s">
        <v>180</v>
      </c>
      <c r="J161" s="46">
        <f>(IF(B153&gt;2,(H153/(B153+2)+J160),0))</f>
        <v>0</v>
      </c>
    </row>
    <row r="162" spans="1:10" ht="15.75" customHeight="1">
      <c r="A162" s="159" t="s">
        <v>181</v>
      </c>
      <c r="B162" s="159" t="s">
        <v>181</v>
      </c>
      <c r="C162" s="65">
        <v>0</v>
      </c>
      <c r="D162" s="34">
        <f ca="1">((100/H153)*C162)/100</f>
        <v>0</v>
      </c>
      <c r="E162" s="80"/>
      <c r="F162" s="80"/>
      <c r="G162" s="80"/>
      <c r="H162" s="80"/>
      <c r="I162" s="43" t="s">
        <v>182</v>
      </c>
      <c r="J162" s="47">
        <f>(IF(B153&gt;3,(H153/(B153+2)+J161),0))</f>
        <v>0</v>
      </c>
    </row>
    <row r="163" spans="1:10" ht="15.75" customHeight="1">
      <c r="A163" s="159" t="s">
        <v>183</v>
      </c>
      <c r="B163" s="159"/>
      <c r="C163" s="65">
        <v>0</v>
      </c>
      <c r="D163" s="34">
        <f ca="1">((100/H153)*C163)/100</f>
        <v>0</v>
      </c>
      <c r="E163" s="80"/>
      <c r="F163" s="80"/>
      <c r="G163" s="80"/>
      <c r="H163" s="80"/>
      <c r="I163" s="43" t="s">
        <v>184</v>
      </c>
      <c r="J163" s="46">
        <f>(IF(B153&gt;4,(H153/(B153+2)+J162),0))</f>
        <v>0</v>
      </c>
    </row>
    <row r="164" spans="1:10" ht="15.75" customHeight="1">
      <c r="A164" s="159" t="s">
        <v>185</v>
      </c>
      <c r="B164" s="159" t="s">
        <v>185</v>
      </c>
      <c r="C164" s="65">
        <v>0</v>
      </c>
      <c r="D164" s="34">
        <f ca="1">((100/(H153))*C164)/100</f>
        <v>0</v>
      </c>
      <c r="E164" s="80"/>
      <c r="F164" s="80"/>
      <c r="G164" s="80"/>
      <c r="H164" s="80"/>
      <c r="I164" s="43" t="s">
        <v>186</v>
      </c>
      <c r="J164" s="46">
        <f ca="1">(IF(B153=1,(H153/(B153+3)+J159),IF(B153=0,(H153/4+J159),IF(B153&gt;1,0))))</f>
        <v>5.25</v>
      </c>
    </row>
    <row r="165" spans="1:10" ht="16" thickBot="1">
      <c r="A165" s="159" t="s">
        <v>187</v>
      </c>
      <c r="B165" s="159"/>
      <c r="C165" s="65">
        <v>0</v>
      </c>
      <c r="D165" s="34">
        <f ca="1">((100/(H153))*C165)/100</f>
        <v>0</v>
      </c>
      <c r="E165" s="80"/>
      <c r="F165" s="80"/>
      <c r="G165" s="80"/>
      <c r="H165" s="80"/>
      <c r="I165" s="48" t="s">
        <v>188</v>
      </c>
      <c r="J165" s="49">
        <f ca="1">(IF(B153&gt;1.5,(H153/(B153+2)+J159+MAX(0,J160-J159)+MAX(0,J161-J160)+MAX(0,J162-J161)+MAX(0,J163-J162)+MAX(0,J164-J163)),IF(B153=1,(H153/(B153+3)+J164),IF(B153=0,H153/4+J164))))</f>
        <v>7</v>
      </c>
    </row>
    <row r="166" spans="1:10" ht="15.75" customHeight="1">
      <c r="A166" s="160" t="s">
        <v>154</v>
      </c>
      <c r="B166" s="160"/>
      <c r="C166" s="160" t="s">
        <v>193</v>
      </c>
      <c r="D166" s="160"/>
      <c r="E166" s="160"/>
      <c r="F166" s="160"/>
      <c r="G166" s="160"/>
      <c r="H166" s="160"/>
      <c r="I166" s="67" t="str">
        <f ca="1">IF(D179=100%,"All work Completed. Possession granted to the Building.",IF(D178=100%,"All work Completed, Waiting for OC",I167&amp;""&amp;I168&amp;""&amp;J167&amp;""&amp;J166&amp;" "&amp;J168))</f>
        <v xml:space="preserve">Work not yet Started. </v>
      </c>
      <c r="J166" s="40" t="str">
        <f ca="1">(IF(C172=(D167+F167+H167),"",IF(C172&gt;0,", RCC upto "&amp;C172&amp;" Slab","")))&amp;(IF(C173=H167,"",IF(C173&gt;0,", Brickwork upto "&amp;C173&amp;" Floor","")))&amp;(IF(C174=H167,"",IF(C174&gt;0,", Internal Plaster upto "&amp;C174&amp;" Floor","")))&amp;(IF(C175=H167,"",IF(C175&gt;0,", External Plaster upto "&amp;C175&amp;" Floor","")))&amp;(IF(C176=H167,"",IF(C176&gt;0,", Flooring upto "&amp;C176&amp;" Floor","")))&amp;(IF(C177=H167,"",IF(C177&gt;0,", Painting upto "&amp;C177&amp;" Floor","")))&amp;(IF(C178=H167,"",IF(C178&gt;0,", Finishing upto "&amp;C178&amp;" Floor","")))&amp;(IF(C179=H167,"",IF(C179&gt;0,", Possession upto "&amp;C179&amp;" Floor","")))</f>
        <v/>
      </c>
    </row>
    <row r="167" spans="1:10">
      <c r="A167" s="66" t="s">
        <v>156</v>
      </c>
      <c r="B167" s="66">
        <f>IF(AND(ISNUMBER(SEARCH("1B",C166))),1,IF(AND(ISNUMBER(SEARCH("2B",C166))),2,IF(AND(ISNUMBER(SEARCH("3B",C166))),3,IF(AND(ISNUMBER(SEARCH("4B",C166))),4,IF(ISNUMBER(SEARCH("5B",C166)),5,0)))))</f>
        <v>0</v>
      </c>
      <c r="C167" s="66" t="s">
        <v>157</v>
      </c>
      <c r="D167" s="66">
        <v>1</v>
      </c>
      <c r="E167" s="66" t="s">
        <v>158</v>
      </c>
      <c r="F167" s="66">
        <v>0</v>
      </c>
      <c r="G167" s="31" t="s">
        <v>159</v>
      </c>
      <c r="H167" s="66">
        <f ca="1">--TRIM(RIGHT(SUBSTITUTE(LEFT(C166,_xlfn.AGGREGATE(16,6,FIND({0,1,2,3,4,5,6,7,8,9},C166,ROW(INDIRECT("1:"&amp;LEN(C166)))),1))," ",REPT(" ",LEN(C166))),LEN(C166)))</f>
        <v>7</v>
      </c>
      <c r="I167" s="68" t="str">
        <f ca="1">IF(D170=100%,"Excavation","")&amp;IF(D171=100%,", Plinth","")&amp;IF(D172=100%,", RCC Slab","")&amp;IF(D173=100%,", Brickwork","")&amp;IF(D174=100%,", Internal Plaster","")&amp;IF(D175=100%,", External Plaster","")&amp;IF(D176=100%,", Flooring","")&amp;IF(D177=100%,", Painting","")&amp;IF(D178=100%,", Building common Amenities","")</f>
        <v/>
      </c>
      <c r="J167" s="42" t="str">
        <f>(IF(C170=0,"Work not yet Started.",IF(D170=25%,"Piling work in process",IF(D170=50%,"Excavation work in process",IF(D170=100%,"","0")))))&amp;(IF(C171=0%,"",IF(C171=J172,", Footing work is process",IF(C171=J173,", Footing work Completed",IF(C171=J174,", 1st Basement Completed",IF(C171=J175,", 1st &amp; 2nd Basement Completed",IF(C171=J176,", 1st to 3rd Basement Completed",IF(C171=J177,", 1st to 4th Basement Completed",IF(C171=J178,", Plinth work is process",IF(C171=J179,"","0"))))))))))</f>
        <v>Work not yet Started.</v>
      </c>
    </row>
    <row r="168" spans="1:10">
      <c r="A168" s="161" t="s">
        <v>160</v>
      </c>
      <c r="B168" s="161"/>
      <c r="C168" s="162" t="str">
        <f ca="1">(IF($G$53="NA",I166,"All work Completed. OC Received."))</f>
        <v xml:space="preserve">Work not yet Started. </v>
      </c>
      <c r="D168" s="162"/>
      <c r="E168" s="162"/>
      <c r="F168" s="162"/>
      <c r="G168" s="162"/>
      <c r="H168" s="162"/>
      <c r="I168" s="68" t="str">
        <f ca="1">IF(I167&lt;&gt;""," Completed","")</f>
        <v/>
      </c>
      <c r="J168" s="42" t="str">
        <f ca="1">IF(J166&lt;&gt;"","Completed","")</f>
        <v/>
      </c>
    </row>
    <row r="169" spans="1:10" ht="15.75" customHeight="1">
      <c r="A169" s="159" t="s">
        <v>161</v>
      </c>
      <c r="B169" s="159"/>
      <c r="C169" s="65" t="s">
        <v>162</v>
      </c>
      <c r="D169" s="65" t="s">
        <v>163</v>
      </c>
      <c r="E169" s="159" t="s">
        <v>164</v>
      </c>
      <c r="F169" s="159"/>
      <c r="G169" s="159" t="s">
        <v>165</v>
      </c>
      <c r="H169" s="159"/>
      <c r="I169" s="43" t="s">
        <v>166</v>
      </c>
      <c r="J169" s="44">
        <f ca="1">H167*25%</f>
        <v>1.75</v>
      </c>
    </row>
    <row r="170" spans="1:10">
      <c r="A170" s="159" t="s">
        <v>167</v>
      </c>
      <c r="B170" s="159"/>
      <c r="C170" s="65">
        <v>0</v>
      </c>
      <c r="D170" s="34">
        <f ca="1">((100/H167)*C170)/100</f>
        <v>0</v>
      </c>
      <c r="E170" s="80">
        <f ca="1">(((C171/H167*10)+(40/(D167+F167+H167)*C172)+(7.5/(H167)*C173)+(7.5/(H167)*C174)+(10/H167*C175)+(10/H167*C176)+(5/H167*C177)+(5/H167*C178)+(5/H167*C179))/100)</f>
        <v>0</v>
      </c>
      <c r="F170" s="80"/>
      <c r="G170" s="80">
        <f ca="1">((((C170/H167)*20)+((C171/H167)*25)+(30/(H167+F167+D167)*C172)+(5/H167*C173)+(5/H167*C174)+(5/H167*C175)+(5/H167*C176)+(0/H167*C177)+(0/H167*C178)+(5/H167*C179))/100)</f>
        <v>0</v>
      </c>
      <c r="H170" s="80"/>
      <c r="I170" s="43" t="s">
        <v>168</v>
      </c>
      <c r="J170" s="45">
        <f ca="1">H167*50%</f>
        <v>3.5</v>
      </c>
    </row>
    <row r="171" spans="1:10">
      <c r="A171" s="159" t="s">
        <v>169</v>
      </c>
      <c r="B171" s="159"/>
      <c r="C171" s="65">
        <v>0</v>
      </c>
      <c r="D171" s="34">
        <f ca="1">((100/H167)*C171)/100</f>
        <v>0</v>
      </c>
      <c r="E171" s="80"/>
      <c r="F171" s="80"/>
      <c r="G171" s="80"/>
      <c r="H171" s="80"/>
      <c r="I171" s="43" t="s">
        <v>170</v>
      </c>
      <c r="J171" s="45">
        <f ca="1">H167</f>
        <v>7</v>
      </c>
    </row>
    <row r="172" spans="1:10" ht="15.75" customHeight="1">
      <c r="A172" s="159" t="s">
        <v>171</v>
      </c>
      <c r="B172" s="159"/>
      <c r="C172" s="65">
        <v>0</v>
      </c>
      <c r="D172" s="34">
        <f ca="1">((100/(D167+F167+H167))*C172)/100</f>
        <v>0</v>
      </c>
      <c r="E172" s="80"/>
      <c r="F172" s="80"/>
      <c r="G172" s="80"/>
      <c r="H172" s="80"/>
      <c r="I172" s="43" t="s">
        <v>172</v>
      </c>
      <c r="J172" s="46">
        <f ca="1">(IF(B167&gt;1,(H167/(B167+2)),H167/4))</f>
        <v>1.75</v>
      </c>
    </row>
    <row r="173" spans="1:10" ht="15.75" customHeight="1">
      <c r="A173" s="159" t="s">
        <v>173</v>
      </c>
      <c r="B173" s="159" t="s">
        <v>174</v>
      </c>
      <c r="C173" s="65">
        <v>0</v>
      </c>
      <c r="D173" s="34">
        <f ca="1">((100/H167)*C173)/100</f>
        <v>0</v>
      </c>
      <c r="E173" s="80"/>
      <c r="F173" s="80"/>
      <c r="G173" s="80"/>
      <c r="H173" s="80"/>
      <c r="I173" s="43" t="s">
        <v>175</v>
      </c>
      <c r="J173" s="46">
        <f ca="1">(IF(B167&gt;1,(H167/(B167+2)+J172),H167/4+J172))</f>
        <v>3.5</v>
      </c>
    </row>
    <row r="174" spans="1:10" ht="15.75" customHeight="1">
      <c r="A174" s="159" t="s">
        <v>176</v>
      </c>
      <c r="B174" s="159" t="s">
        <v>174</v>
      </c>
      <c r="C174" s="65">
        <v>0</v>
      </c>
      <c r="D174" s="34">
        <f ca="1">((100/H167)*C174)/100</f>
        <v>0</v>
      </c>
      <c r="E174" s="80"/>
      <c r="F174" s="80"/>
      <c r="G174" s="80"/>
      <c r="H174" s="80"/>
      <c r="I174" s="43" t="s">
        <v>177</v>
      </c>
      <c r="J174" s="46">
        <f>(IF(B167&gt;1,(H167/(B167+2)+J173),0))</f>
        <v>0</v>
      </c>
    </row>
    <row r="175" spans="1:10" ht="15" customHeight="1">
      <c r="A175" s="159" t="s">
        <v>178</v>
      </c>
      <c r="B175" s="159" t="s">
        <v>179</v>
      </c>
      <c r="C175" s="65">
        <v>0</v>
      </c>
      <c r="D175" s="34">
        <f ca="1">((100/(H167))*C175)/100</f>
        <v>0</v>
      </c>
      <c r="E175" s="80"/>
      <c r="F175" s="80"/>
      <c r="G175" s="80"/>
      <c r="H175" s="80"/>
      <c r="I175" s="43" t="s">
        <v>180</v>
      </c>
      <c r="J175" s="46">
        <f>(IF(B167&gt;2,(H167/(B167+2)+J174),0))</f>
        <v>0</v>
      </c>
    </row>
    <row r="176" spans="1:10" ht="15.75" customHeight="1">
      <c r="A176" s="159" t="s">
        <v>181</v>
      </c>
      <c r="B176" s="159" t="s">
        <v>181</v>
      </c>
      <c r="C176" s="65">
        <v>0</v>
      </c>
      <c r="D176" s="34">
        <f ca="1">((100/H167)*C176)/100</f>
        <v>0</v>
      </c>
      <c r="E176" s="80"/>
      <c r="F176" s="80"/>
      <c r="G176" s="80"/>
      <c r="H176" s="80"/>
      <c r="I176" s="43" t="s">
        <v>182</v>
      </c>
      <c r="J176" s="47">
        <f>(IF(B167&gt;3,(H167/(B167+2)+J175),0))</f>
        <v>0</v>
      </c>
    </row>
    <row r="177" spans="1:10" ht="15.75" customHeight="1">
      <c r="A177" s="159" t="s">
        <v>183</v>
      </c>
      <c r="B177" s="159"/>
      <c r="C177" s="65">
        <v>0</v>
      </c>
      <c r="D177" s="34">
        <f ca="1">((100/H167)*C177)/100</f>
        <v>0</v>
      </c>
      <c r="E177" s="80"/>
      <c r="F177" s="80"/>
      <c r="G177" s="80"/>
      <c r="H177" s="80"/>
      <c r="I177" s="43" t="s">
        <v>184</v>
      </c>
      <c r="J177" s="46">
        <f>(IF(B167&gt;4,(H167/(B167+2)+J176),0))</f>
        <v>0</v>
      </c>
    </row>
    <row r="178" spans="1:10" ht="15.75" customHeight="1">
      <c r="A178" s="159" t="s">
        <v>185</v>
      </c>
      <c r="B178" s="159" t="s">
        <v>185</v>
      </c>
      <c r="C178" s="65">
        <v>0</v>
      </c>
      <c r="D178" s="34">
        <f ca="1">((100/(H167))*C178)/100</f>
        <v>0</v>
      </c>
      <c r="E178" s="80"/>
      <c r="F178" s="80"/>
      <c r="G178" s="80"/>
      <c r="H178" s="80"/>
      <c r="I178" s="43" t="s">
        <v>186</v>
      </c>
      <c r="J178" s="46">
        <f ca="1">(IF(B167=1,(H167/(B167+3)+J173),IF(B167=0,(H167/4+J173),IF(B167&gt;1,0))))</f>
        <v>5.25</v>
      </c>
    </row>
    <row r="179" spans="1:10" ht="16" thickBot="1">
      <c r="A179" s="159" t="s">
        <v>187</v>
      </c>
      <c r="B179" s="159"/>
      <c r="C179" s="65">
        <v>0</v>
      </c>
      <c r="D179" s="34">
        <f ca="1">((100/(H167))*C179)/100</f>
        <v>0</v>
      </c>
      <c r="E179" s="80"/>
      <c r="F179" s="80"/>
      <c r="G179" s="80"/>
      <c r="H179" s="80"/>
      <c r="I179" s="48" t="s">
        <v>188</v>
      </c>
      <c r="J179" s="49">
        <f ca="1">(IF(B167&gt;1.5,(H167/(B167+2)+J173+MAX(0,J174-J173)+MAX(0,J175-J174)+MAX(0,J176-J175)+MAX(0,J177-J176)+MAX(0,J178-J177)),IF(B167=1,(H167/(B167+3)+J178),IF(B167=0,H167/4+J178))))</f>
        <v>7</v>
      </c>
    </row>
    <row r="180" spans="1:10">
      <c r="A180" s="158" t="s">
        <v>194</v>
      </c>
      <c r="B180" s="158"/>
      <c r="C180" s="158"/>
      <c r="D180" s="158"/>
      <c r="E180" s="158"/>
      <c r="F180" s="134" t="s">
        <v>195</v>
      </c>
      <c r="G180" s="134"/>
      <c r="H180" s="134"/>
    </row>
    <row r="181" spans="1:10">
      <c r="A181" s="91" t="s">
        <v>196</v>
      </c>
      <c r="B181" s="91"/>
      <c r="C181" s="91"/>
      <c r="D181" s="91"/>
      <c r="E181" s="91"/>
      <c r="F181" s="156">
        <v>6500</v>
      </c>
      <c r="G181" s="156"/>
      <c r="H181" s="156"/>
    </row>
    <row r="182" spans="1:10">
      <c r="A182" s="91" t="s">
        <v>197</v>
      </c>
      <c r="B182" s="91"/>
      <c r="C182" s="91"/>
      <c r="D182" s="91"/>
      <c r="E182" s="91"/>
      <c r="F182" s="156">
        <v>12000</v>
      </c>
      <c r="G182" s="156"/>
      <c r="H182" s="156"/>
    </row>
    <row r="183" spans="1:10" hidden="1">
      <c r="A183" s="91" t="s">
        <v>198</v>
      </c>
      <c r="B183" s="91"/>
      <c r="C183" s="91"/>
      <c r="D183" s="91"/>
      <c r="E183" s="91"/>
      <c r="F183" s="156"/>
      <c r="G183" s="156"/>
      <c r="H183" s="156"/>
    </row>
    <row r="184" spans="1:10" s="17" customFormat="1" hidden="1">
      <c r="A184" s="91" t="s">
        <v>199</v>
      </c>
      <c r="B184" s="91"/>
      <c r="C184" s="91"/>
      <c r="D184" s="91"/>
      <c r="E184" s="91"/>
      <c r="F184" s="156"/>
      <c r="G184" s="156"/>
      <c r="H184" s="156"/>
    </row>
    <row r="185" spans="1:10" s="17" customFormat="1" hidden="1">
      <c r="A185" s="91" t="s">
        <v>200</v>
      </c>
      <c r="B185" s="91"/>
      <c r="C185" s="91"/>
      <c r="D185" s="91"/>
      <c r="E185" s="91"/>
      <c r="F185" s="156"/>
      <c r="G185" s="156"/>
      <c r="H185" s="156"/>
    </row>
    <row r="186" spans="1:10" s="17" customFormat="1" hidden="1">
      <c r="A186" s="91" t="s">
        <v>201</v>
      </c>
      <c r="B186" s="91"/>
      <c r="C186" s="91"/>
      <c r="D186" s="91"/>
      <c r="E186" s="91"/>
      <c r="F186" s="156"/>
      <c r="G186" s="156"/>
      <c r="H186" s="156"/>
    </row>
    <row r="187" spans="1:10" s="17" customFormat="1" hidden="1">
      <c r="A187" s="91" t="s">
        <v>202</v>
      </c>
      <c r="B187" s="91"/>
      <c r="C187" s="91"/>
      <c r="D187" s="91"/>
      <c r="E187" s="91"/>
      <c r="F187" s="156"/>
      <c r="G187" s="156"/>
      <c r="H187" s="156"/>
    </row>
    <row r="188" spans="1:10" s="17" customFormat="1" hidden="1">
      <c r="A188" s="91" t="s">
        <v>203</v>
      </c>
      <c r="B188" s="91"/>
      <c r="C188" s="91"/>
      <c r="D188" s="91"/>
      <c r="E188" s="91"/>
      <c r="F188" s="156"/>
      <c r="G188" s="156"/>
      <c r="H188" s="156"/>
    </row>
    <row r="189" spans="1:10" s="17" customFormat="1" hidden="1">
      <c r="A189" s="91" t="s">
        <v>204</v>
      </c>
      <c r="B189" s="91"/>
      <c r="C189" s="91"/>
      <c r="D189" s="91"/>
      <c r="E189" s="91"/>
      <c r="F189" s="156"/>
      <c r="G189" s="156"/>
      <c r="H189" s="156"/>
    </row>
    <row r="190" spans="1:10" s="17" customFormat="1" hidden="1">
      <c r="A190" s="91" t="s">
        <v>205</v>
      </c>
      <c r="B190" s="91"/>
      <c r="C190" s="91"/>
      <c r="D190" s="91"/>
      <c r="E190" s="91"/>
      <c r="F190" s="156"/>
      <c r="G190" s="156"/>
      <c r="H190" s="156"/>
    </row>
    <row r="191" spans="1:10" s="17" customFormat="1" hidden="1">
      <c r="A191" s="91" t="s">
        <v>206</v>
      </c>
      <c r="B191" s="91"/>
      <c r="C191" s="91"/>
      <c r="D191" s="91"/>
      <c r="E191" s="91"/>
      <c r="F191" s="156"/>
      <c r="G191" s="156"/>
      <c r="H191" s="156"/>
    </row>
    <row r="192" spans="1:10">
      <c r="A192" s="91" t="s">
        <v>207</v>
      </c>
      <c r="B192" s="91"/>
      <c r="C192" s="91"/>
      <c r="D192" s="91"/>
      <c r="E192" s="91"/>
      <c r="F192" s="157">
        <v>300000</v>
      </c>
      <c r="G192" s="157"/>
      <c r="H192" s="157"/>
    </row>
    <row r="193" spans="1:8" s="18" customFormat="1">
      <c r="A193" s="158" t="s">
        <v>208</v>
      </c>
      <c r="B193" s="158"/>
      <c r="C193" s="158"/>
      <c r="D193" s="158"/>
      <c r="E193" s="158"/>
      <c r="F193" s="156">
        <f>F181*0.8</f>
        <v>5200</v>
      </c>
      <c r="G193" s="156"/>
      <c r="H193" s="156"/>
    </row>
    <row r="194" spans="1:8" s="19" customFormat="1" ht="15.75" customHeight="1">
      <c r="A194" s="154" t="s">
        <v>209</v>
      </c>
      <c r="B194" s="154"/>
      <c r="C194" s="154"/>
      <c r="D194" s="154"/>
      <c r="E194" s="154"/>
      <c r="F194" s="154"/>
      <c r="G194" s="154"/>
      <c r="H194" s="154"/>
    </row>
    <row r="195" spans="1:8" s="19" customFormat="1" ht="15.75" customHeight="1">
      <c r="A195" s="151" t="s">
        <v>210</v>
      </c>
      <c r="B195" s="151"/>
      <c r="C195" s="152" t="s">
        <v>211</v>
      </c>
      <c r="D195" s="152"/>
      <c r="E195" s="153" t="s">
        <v>212</v>
      </c>
      <c r="F195" s="153"/>
      <c r="G195" s="151" t="s">
        <v>213</v>
      </c>
      <c r="H195" s="151"/>
    </row>
    <row r="196" spans="1:8" s="19" customFormat="1">
      <c r="A196" s="146" t="s">
        <v>214</v>
      </c>
      <c r="B196" s="146"/>
      <c r="C196" s="147">
        <f>COUNT(D219:D231)</f>
        <v>13</v>
      </c>
      <c r="D196" s="148"/>
      <c r="E196" s="147">
        <f>SUM(D219:D231)</f>
        <v>1874.7658800000002</v>
      </c>
      <c r="F196" s="148"/>
      <c r="G196" s="147">
        <f>SUM(F219:F231)</f>
        <v>2812.1488199999994</v>
      </c>
      <c r="H196" s="148"/>
    </row>
    <row r="197" spans="1:8" s="19" customFormat="1">
      <c r="A197" s="146" t="s">
        <v>215</v>
      </c>
      <c r="B197" s="146"/>
      <c r="C197" s="147">
        <f>COUNT(D234:D246)</f>
        <v>13</v>
      </c>
      <c r="D197" s="148"/>
      <c r="E197" s="149">
        <f>SUM(D234:D246)</f>
        <v>1855.9288799999999</v>
      </c>
      <c r="F197" s="150"/>
      <c r="G197" s="149">
        <f>SUM(F234:F246)</f>
        <v>2783.8933199999997</v>
      </c>
      <c r="H197" s="150"/>
    </row>
    <row r="198" spans="1:8" s="19" customFormat="1">
      <c r="A198" s="146" t="s">
        <v>216</v>
      </c>
      <c r="B198" s="146"/>
      <c r="C198" s="147">
        <f>COUNT(D249:D264)</f>
        <v>16</v>
      </c>
      <c r="D198" s="148"/>
      <c r="E198" s="149">
        <f>SUM(D249:D264)</f>
        <v>2233.2070800000001</v>
      </c>
      <c r="F198" s="150"/>
      <c r="G198" s="149">
        <f>SUM(F249:F264)</f>
        <v>3349.8106199999993</v>
      </c>
      <c r="H198" s="150"/>
    </row>
    <row r="199" spans="1:8" s="19" customFormat="1">
      <c r="A199" s="146" t="s">
        <v>217</v>
      </c>
      <c r="B199" s="146"/>
      <c r="C199" s="147">
        <f>COUNT(D267:D284)</f>
        <v>18</v>
      </c>
      <c r="D199" s="148"/>
      <c r="E199" s="149">
        <f>SUM(D267:D284)</f>
        <v>2689.0624800000005</v>
      </c>
      <c r="F199" s="150"/>
      <c r="G199" s="149">
        <f>SUM(F267:F284)</f>
        <v>4033.5937199999994</v>
      </c>
      <c r="H199" s="150"/>
    </row>
    <row r="200" spans="1:8" s="19" customFormat="1">
      <c r="A200" s="154" t="s">
        <v>218</v>
      </c>
      <c r="B200" s="154"/>
      <c r="C200" s="155">
        <f>SUM(C196:D199)</f>
        <v>60</v>
      </c>
      <c r="D200" s="152"/>
      <c r="E200" s="155">
        <f t="shared" ref="E200" si="0">SUM(E196:F199)</f>
        <v>8652.964320000001</v>
      </c>
      <c r="F200" s="152"/>
      <c r="G200" s="155">
        <f t="shared" ref="G200" si="1">SUM(G196:H199)</f>
        <v>12979.446479999997</v>
      </c>
      <c r="H200" s="152"/>
    </row>
    <row r="201" spans="1:8" s="19" customFormat="1">
      <c r="A201" s="154" t="s">
        <v>219</v>
      </c>
      <c r="B201" s="154"/>
      <c r="C201" s="154"/>
      <c r="D201" s="154"/>
      <c r="E201" s="154"/>
      <c r="F201" s="154"/>
      <c r="G201" s="154"/>
      <c r="H201" s="154"/>
    </row>
    <row r="202" spans="1:8" s="19" customFormat="1" ht="15.75" customHeight="1">
      <c r="A202" s="151" t="s">
        <v>210</v>
      </c>
      <c r="B202" s="151"/>
      <c r="C202" s="152" t="s">
        <v>211</v>
      </c>
      <c r="D202" s="152"/>
      <c r="E202" s="153" t="s">
        <v>212</v>
      </c>
      <c r="F202" s="153"/>
      <c r="G202" s="151" t="s">
        <v>213</v>
      </c>
      <c r="H202" s="151"/>
    </row>
    <row r="203" spans="1:8" s="19" customFormat="1">
      <c r="A203" s="146" t="s">
        <v>214</v>
      </c>
      <c r="B203" s="146"/>
      <c r="C203" s="147">
        <f>COUNT(D290:D292)+COUNT(D294:D299)+COUNT(D301:D306)*6</f>
        <v>45</v>
      </c>
      <c r="D203" s="147"/>
      <c r="E203" s="149">
        <f>SUM(D290:D292)+SUM(D294:D299)+SUM(D301:D306)*6</f>
        <v>24214.760060399996</v>
      </c>
      <c r="F203" s="149"/>
      <c r="G203" s="149">
        <f>SUM(F290:F292)+SUM(F294:F299)+SUM(F301:F306)*6</f>
        <v>35324.529287579993</v>
      </c>
      <c r="H203" s="149"/>
    </row>
    <row r="204" spans="1:8" s="19" customFormat="1">
      <c r="A204" s="146" t="s">
        <v>215</v>
      </c>
      <c r="B204" s="146"/>
      <c r="C204" s="147">
        <f>COUNT(D309:D312)+COUNT(D314:D321)+COUNT(D323:D330)*6</f>
        <v>60</v>
      </c>
      <c r="D204" s="148"/>
      <c r="E204" s="149">
        <f>SUM(D309:D312)+SUM(D314:D321)+SUM(D323:D330)*6</f>
        <v>25354.815127199996</v>
      </c>
      <c r="F204" s="149"/>
      <c r="G204" s="149">
        <f>SUM(F309:F312)+SUM(F314:F321)+SUM(F323:F330)*6</f>
        <v>36984.067534439986</v>
      </c>
      <c r="H204" s="149"/>
    </row>
    <row r="205" spans="1:8" s="19" customFormat="1">
      <c r="A205" s="146" t="s">
        <v>216</v>
      </c>
      <c r="B205" s="146"/>
      <c r="C205" s="147">
        <f>COUNT(D333:D334)+COUNT(D336:D341)+COUNT(D343:D348)*6</f>
        <v>44</v>
      </c>
      <c r="D205" s="147"/>
      <c r="E205" s="149">
        <f>SUM(D333:D334)+SUM(D336:D341)+SUM(D343:D348)*6</f>
        <v>23754.060860399997</v>
      </c>
      <c r="F205" s="149"/>
      <c r="G205" s="149">
        <f>SUM(F333:F334)+SUM(F336:F341)+SUM(F343:F348)*6</f>
        <v>34656.515447579994</v>
      </c>
      <c r="H205" s="149"/>
    </row>
    <row r="206" spans="1:8" s="19" customFormat="1">
      <c r="A206" s="146" t="s">
        <v>217</v>
      </c>
      <c r="B206" s="146"/>
      <c r="C206" s="147">
        <f>COUNT(D351:D358)+COUNT(D360:D367)*6</f>
        <v>56</v>
      </c>
      <c r="D206" s="147"/>
      <c r="E206" s="149">
        <f>SUM(D351:D358)+SUM(D360:D367)*6</f>
        <v>24093.274327199997</v>
      </c>
      <c r="F206" s="149"/>
      <c r="G206" s="149">
        <f>SUM(F351:F358)+SUM(F360:F367)*6</f>
        <v>35338.897774439989</v>
      </c>
      <c r="H206" s="149"/>
    </row>
    <row r="207" spans="1:8" s="19" customFormat="1">
      <c r="A207" s="146" t="s">
        <v>220</v>
      </c>
      <c r="B207" s="146"/>
      <c r="C207" s="147">
        <f>COUNT(D371:D378)*7</f>
        <v>56</v>
      </c>
      <c r="D207" s="148"/>
      <c r="E207" s="149">
        <f>SUM(D371:D378)</f>
        <v>3470.7861395999994</v>
      </c>
      <c r="F207" s="150"/>
      <c r="G207" s="149">
        <f>SUM(F371:F378)</f>
        <v>5032.6399024199982</v>
      </c>
      <c r="H207" s="150"/>
    </row>
    <row r="208" spans="1:8" s="19" customFormat="1">
      <c r="A208" s="146" t="s">
        <v>221</v>
      </c>
      <c r="B208" s="146"/>
      <c r="C208" s="147">
        <f>COUNT(D382:D389)*7</f>
        <v>56</v>
      </c>
      <c r="D208" s="148"/>
      <c r="E208" s="149">
        <f>SUM(D382:D389)</f>
        <v>3470.7861395999994</v>
      </c>
      <c r="F208" s="150"/>
      <c r="G208" s="149">
        <f>SUM(F382:F389)</f>
        <v>5032.6399024199982</v>
      </c>
      <c r="H208" s="150"/>
    </row>
    <row r="209" spans="1:14" s="19" customFormat="1">
      <c r="A209" s="146" t="s">
        <v>222</v>
      </c>
      <c r="B209" s="146"/>
      <c r="C209" s="147">
        <f>COUNT(D393:D400)*7</f>
        <v>56</v>
      </c>
      <c r="D209" s="148"/>
      <c r="E209" s="149">
        <f>SUM(D393:D400)</f>
        <v>3470.7861395999994</v>
      </c>
      <c r="F209" s="150"/>
      <c r="G209" s="149">
        <f>SUM(F393:F400)</f>
        <v>5032.6399024199982</v>
      </c>
      <c r="H209" s="150"/>
    </row>
    <row r="210" spans="1:14" s="19" customFormat="1">
      <c r="A210" s="146" t="s">
        <v>223</v>
      </c>
      <c r="B210" s="146"/>
      <c r="C210" s="147">
        <f>COUNT(D404:D411)*7</f>
        <v>56</v>
      </c>
      <c r="D210" s="148"/>
      <c r="E210" s="149">
        <f>SUM(D404:D411)</f>
        <v>3470.7861395999994</v>
      </c>
      <c r="F210" s="150"/>
      <c r="G210" s="149">
        <f>SUM(F404:F411)</f>
        <v>5032.6399024199982</v>
      </c>
      <c r="H210" s="150"/>
    </row>
    <row r="211" spans="1:14" s="19" customFormat="1" ht="16" thickBot="1">
      <c r="A211" s="135" t="s">
        <v>218</v>
      </c>
      <c r="B211" s="135"/>
      <c r="C211" s="136">
        <f>SUM(C203:D210)</f>
        <v>429</v>
      </c>
      <c r="D211" s="137"/>
      <c r="E211" s="138">
        <f>SUM(E203:F210)</f>
        <v>111300.05493359995</v>
      </c>
      <c r="F211" s="139"/>
      <c r="G211" s="138">
        <f>SUM(G203:H210)</f>
        <v>162434.56965371995</v>
      </c>
      <c r="H211" s="139"/>
    </row>
    <row r="212" spans="1:14" s="19" customFormat="1">
      <c r="A212" s="140" t="s">
        <v>224</v>
      </c>
      <c r="B212" s="141"/>
      <c r="C212" s="142">
        <f>C200+C211</f>
        <v>489</v>
      </c>
      <c r="D212" s="142"/>
      <c r="E212" s="143">
        <f>E200+E211</f>
        <v>119953.01925359995</v>
      </c>
      <c r="F212" s="143"/>
      <c r="G212" s="144">
        <f>G200+G211</f>
        <v>175414.01613371994</v>
      </c>
      <c r="H212" s="145"/>
    </row>
    <row r="213" spans="1:14" s="18" customFormat="1">
      <c r="A213" s="134" t="s">
        <v>225</v>
      </c>
      <c r="B213" s="134"/>
      <c r="C213" s="134"/>
      <c r="D213" s="134"/>
      <c r="E213" s="134"/>
      <c r="F213" s="134"/>
      <c r="G213" s="134"/>
      <c r="H213" s="134"/>
    </row>
    <row r="214" spans="1:14">
      <c r="A214" s="134" t="s">
        <v>226</v>
      </c>
      <c r="B214" s="134"/>
      <c r="C214" s="134"/>
      <c r="D214" s="134"/>
      <c r="E214" s="134"/>
      <c r="F214" s="134"/>
      <c r="G214" s="134"/>
      <c r="H214" s="134"/>
    </row>
    <row r="215" spans="1:14" ht="47.25" customHeight="1">
      <c r="A215" s="81" t="s">
        <v>227</v>
      </c>
      <c r="B215" s="81" t="s">
        <v>228</v>
      </c>
      <c r="C215" s="81" t="s">
        <v>229</v>
      </c>
      <c r="D215" s="81" t="s">
        <v>230</v>
      </c>
      <c r="E215" s="98" t="s">
        <v>231</v>
      </c>
      <c r="F215" s="71" t="s">
        <v>232</v>
      </c>
      <c r="G215" s="81" t="s">
        <v>233</v>
      </c>
      <c r="H215" s="81"/>
    </row>
    <row r="216" spans="1:14" s="20" customFormat="1">
      <c r="A216" s="81"/>
      <c r="B216" s="81"/>
      <c r="C216" s="81"/>
      <c r="D216" s="81"/>
      <c r="E216" s="98"/>
      <c r="F216" s="72">
        <v>0.5</v>
      </c>
      <c r="G216" s="81"/>
      <c r="H216" s="81"/>
    </row>
    <row r="217" spans="1:14" s="20" customFormat="1">
      <c r="A217" s="129" t="s">
        <v>214</v>
      </c>
      <c r="B217" s="129"/>
      <c r="C217" s="129"/>
      <c r="D217" s="129"/>
      <c r="E217" s="129"/>
      <c r="F217" s="129"/>
      <c r="G217" s="129"/>
      <c r="H217" s="129"/>
      <c r="J217" s="55"/>
    </row>
    <row r="218" spans="1:14" s="20" customFormat="1">
      <c r="A218" s="125" t="s">
        <v>234</v>
      </c>
      <c r="B218" s="126"/>
      <c r="C218" s="126"/>
      <c r="D218" s="126"/>
      <c r="E218" s="126"/>
      <c r="F218" s="126"/>
      <c r="G218" s="126"/>
      <c r="H218" s="127"/>
      <c r="J218" s="55"/>
    </row>
    <row r="219" spans="1:14" s="20" customFormat="1" ht="15.75" customHeight="1">
      <c r="A219" s="107">
        <v>1</v>
      </c>
      <c r="B219" s="107"/>
      <c r="C219" s="61" t="s">
        <v>235</v>
      </c>
      <c r="D219" s="54">
        <f>(15.48)*(10.764)</f>
        <v>166.62672000000001</v>
      </c>
      <c r="E219" s="61">
        <v>0</v>
      </c>
      <c r="F219" s="61">
        <f>(D219+E219)*(($F$216)+1)</f>
        <v>249.94008000000002</v>
      </c>
      <c r="G219" s="107" t="str">
        <f>A218</f>
        <v>Ground Floor For Commercial &amp; Residential</v>
      </c>
      <c r="H219" s="107"/>
      <c r="I219" s="55"/>
      <c r="L219" s="128"/>
      <c r="M219" s="128"/>
      <c r="N219" s="55"/>
    </row>
    <row r="220" spans="1:14" s="20" customFormat="1">
      <c r="A220" s="107">
        <f t="shared" ref="A220:A231" si="2">A219+1</f>
        <v>2</v>
      </c>
      <c r="B220" s="107"/>
      <c r="C220" s="61" t="s">
        <v>235</v>
      </c>
      <c r="D220" s="54">
        <f>(10.81)*(10.764)</f>
        <v>116.35884</v>
      </c>
      <c r="E220" s="61">
        <v>0</v>
      </c>
      <c r="F220" s="61">
        <f t="shared" ref="F220:F223" si="3">(D220+E220)*(($F$216)+1)</f>
        <v>174.53826000000001</v>
      </c>
      <c r="G220" s="107"/>
      <c r="H220" s="107"/>
      <c r="I220" s="55"/>
      <c r="L220" s="128"/>
      <c r="M220" s="128"/>
      <c r="N220" s="55"/>
    </row>
    <row r="221" spans="1:14" s="20" customFormat="1">
      <c r="A221" s="107">
        <f t="shared" si="2"/>
        <v>3</v>
      </c>
      <c r="B221" s="107"/>
      <c r="C221" s="61" t="s">
        <v>235</v>
      </c>
      <c r="D221" s="54">
        <f>(15.48)*(10.764)</f>
        <v>166.62672000000001</v>
      </c>
      <c r="E221" s="61">
        <v>0</v>
      </c>
      <c r="F221" s="61">
        <f t="shared" si="3"/>
        <v>249.94008000000002</v>
      </c>
      <c r="G221" s="107"/>
      <c r="H221" s="107"/>
      <c r="I221" s="55"/>
      <c r="L221" s="128"/>
      <c r="M221" s="128"/>
      <c r="N221" s="55"/>
    </row>
    <row r="222" spans="1:14" s="20" customFormat="1">
      <c r="A222" s="107">
        <f t="shared" si="2"/>
        <v>4</v>
      </c>
      <c r="B222" s="107"/>
      <c r="C222" s="61" t="s">
        <v>235</v>
      </c>
      <c r="D222" s="54">
        <f>(15.48)*(10.764)</f>
        <v>166.62672000000001</v>
      </c>
      <c r="E222" s="61">
        <v>0</v>
      </c>
      <c r="F222" s="61">
        <f t="shared" si="3"/>
        <v>249.94008000000002</v>
      </c>
      <c r="G222" s="107"/>
      <c r="H222" s="107"/>
      <c r="I222" s="55"/>
      <c r="L222" s="128"/>
      <c r="M222" s="128"/>
      <c r="N222" s="55"/>
    </row>
    <row r="223" spans="1:14" s="20" customFormat="1">
      <c r="A223" s="107">
        <f t="shared" si="2"/>
        <v>5</v>
      </c>
      <c r="B223" s="107"/>
      <c r="C223" s="61" t="s">
        <v>235</v>
      </c>
      <c r="D223" s="54">
        <f>(13.36)*(10.764)</f>
        <v>143.80703999999997</v>
      </c>
      <c r="E223" s="61">
        <v>0</v>
      </c>
      <c r="F223" s="61">
        <f t="shared" si="3"/>
        <v>215.71055999999996</v>
      </c>
      <c r="G223" s="107"/>
      <c r="H223" s="107"/>
      <c r="I223" s="55"/>
      <c r="L223" s="128"/>
      <c r="M223" s="128"/>
      <c r="N223" s="55"/>
    </row>
    <row r="224" spans="1:14" s="20" customFormat="1">
      <c r="A224" s="107">
        <f t="shared" si="2"/>
        <v>6</v>
      </c>
      <c r="B224" s="107"/>
      <c r="C224" s="61" t="s">
        <v>235</v>
      </c>
      <c r="D224" s="54">
        <f>(12.95)*(10.764)</f>
        <v>139.39379999999997</v>
      </c>
      <c r="E224" s="61">
        <v>0</v>
      </c>
      <c r="F224" s="61">
        <f t="shared" ref="F224:F228" si="4">(D224+E224)*(($F$216)+1)</f>
        <v>209.09069999999997</v>
      </c>
      <c r="G224" s="107"/>
      <c r="H224" s="107"/>
      <c r="I224" s="55"/>
      <c r="L224" s="128"/>
      <c r="M224" s="128"/>
      <c r="N224" s="55"/>
    </row>
    <row r="225" spans="1:14" s="20" customFormat="1">
      <c r="A225" s="107">
        <f t="shared" si="2"/>
        <v>7</v>
      </c>
      <c r="B225" s="107"/>
      <c r="C225" s="61" t="s">
        <v>235</v>
      </c>
      <c r="D225" s="54">
        <f>(15.48)*(10.764)</f>
        <v>166.62672000000001</v>
      </c>
      <c r="E225" s="61">
        <v>0</v>
      </c>
      <c r="F225" s="61">
        <f t="shared" si="4"/>
        <v>249.94008000000002</v>
      </c>
      <c r="G225" s="107"/>
      <c r="H225" s="107"/>
      <c r="I225" s="55">
        <f>2.75*5.63</f>
        <v>15.4825</v>
      </c>
      <c r="L225" s="128"/>
      <c r="M225" s="128"/>
      <c r="N225" s="55"/>
    </row>
    <row r="226" spans="1:14" s="20" customFormat="1">
      <c r="A226" s="107">
        <f t="shared" si="2"/>
        <v>8</v>
      </c>
      <c r="B226" s="107"/>
      <c r="C226" s="61" t="s">
        <v>235</v>
      </c>
      <c r="D226" s="54">
        <f>(10.28)*(10.764)</f>
        <v>110.65391999999999</v>
      </c>
      <c r="E226" s="61">
        <v>0</v>
      </c>
      <c r="F226" s="61">
        <f t="shared" si="4"/>
        <v>165.98087999999998</v>
      </c>
      <c r="G226" s="107"/>
      <c r="H226" s="107"/>
      <c r="I226" s="55">
        <f>1.92*4.87+1.22*0.76</f>
        <v>10.2776</v>
      </c>
      <c r="L226" s="128"/>
      <c r="M226" s="128"/>
      <c r="N226" s="55"/>
    </row>
    <row r="227" spans="1:14" s="20" customFormat="1">
      <c r="A227" s="107">
        <f t="shared" si="2"/>
        <v>9</v>
      </c>
      <c r="B227" s="107"/>
      <c r="C227" s="61" t="s">
        <v>235</v>
      </c>
      <c r="D227" s="54">
        <f>(12)*(10.764)</f>
        <v>129.16800000000001</v>
      </c>
      <c r="E227" s="61">
        <v>0</v>
      </c>
      <c r="F227" s="61">
        <f t="shared" si="4"/>
        <v>193.75200000000001</v>
      </c>
      <c r="G227" s="107"/>
      <c r="H227" s="107"/>
      <c r="I227" s="55"/>
      <c r="L227" s="128"/>
      <c r="M227" s="128"/>
      <c r="N227" s="55"/>
    </row>
    <row r="228" spans="1:14" s="20" customFormat="1">
      <c r="A228" s="107">
        <f t="shared" si="2"/>
        <v>10</v>
      </c>
      <c r="B228" s="107"/>
      <c r="C228" s="61" t="s">
        <v>235</v>
      </c>
      <c r="D228" s="54">
        <f>(11.08)*(10.764)</f>
        <v>119.26512</v>
      </c>
      <c r="E228" s="61">
        <v>0</v>
      </c>
      <c r="F228" s="61">
        <f t="shared" si="4"/>
        <v>178.89767999999998</v>
      </c>
      <c r="G228" s="107"/>
      <c r="H228" s="107"/>
      <c r="I228" s="55"/>
      <c r="L228" s="128"/>
      <c r="M228" s="128"/>
      <c r="N228" s="55"/>
    </row>
    <row r="229" spans="1:14" s="20" customFormat="1">
      <c r="A229" s="107">
        <f t="shared" si="2"/>
        <v>11</v>
      </c>
      <c r="B229" s="107"/>
      <c r="C229" s="61" t="s">
        <v>235</v>
      </c>
      <c r="D229" s="54">
        <f>(15.48)*(10.764)</f>
        <v>166.62672000000001</v>
      </c>
      <c r="E229" s="61">
        <v>0</v>
      </c>
      <c r="F229" s="61">
        <f t="shared" ref="F229:F231" si="5">(D229+E229)*(($F$216)+1)</f>
        <v>249.94008000000002</v>
      </c>
      <c r="G229" s="107"/>
      <c r="H229" s="107"/>
      <c r="I229" s="55"/>
      <c r="L229" s="128"/>
      <c r="M229" s="128"/>
      <c r="N229" s="55"/>
    </row>
    <row r="230" spans="1:14" s="20" customFormat="1">
      <c r="A230" s="107">
        <f t="shared" si="2"/>
        <v>12</v>
      </c>
      <c r="B230" s="107"/>
      <c r="C230" s="61" t="s">
        <v>235</v>
      </c>
      <c r="D230" s="54">
        <f>(10.81)*(10.764)</f>
        <v>116.35884</v>
      </c>
      <c r="E230" s="61">
        <v>0</v>
      </c>
      <c r="F230" s="61">
        <f t="shared" si="5"/>
        <v>174.53826000000001</v>
      </c>
      <c r="G230" s="107"/>
      <c r="H230" s="107"/>
      <c r="I230" s="55"/>
      <c r="L230" s="128"/>
      <c r="M230" s="128"/>
      <c r="N230" s="55"/>
    </row>
    <row r="231" spans="1:14" s="20" customFormat="1">
      <c r="A231" s="107">
        <f t="shared" si="2"/>
        <v>13</v>
      </c>
      <c r="B231" s="107"/>
      <c r="C231" s="61" t="s">
        <v>235</v>
      </c>
      <c r="D231" s="54">
        <f>(15.48)*(10.764)</f>
        <v>166.62672000000001</v>
      </c>
      <c r="E231" s="61">
        <v>0</v>
      </c>
      <c r="F231" s="61">
        <f t="shared" si="5"/>
        <v>249.94008000000002</v>
      </c>
      <c r="G231" s="107"/>
      <c r="H231" s="107"/>
      <c r="I231" s="55"/>
      <c r="L231" s="128"/>
      <c r="M231" s="128"/>
      <c r="N231" s="55"/>
    </row>
    <row r="232" spans="1:14" s="20" customFormat="1">
      <c r="A232" s="129" t="s">
        <v>215</v>
      </c>
      <c r="B232" s="129"/>
      <c r="C232" s="129"/>
      <c r="D232" s="129"/>
      <c r="E232" s="129"/>
      <c r="F232" s="129"/>
      <c r="G232" s="129"/>
      <c r="H232" s="129"/>
      <c r="J232" s="55"/>
    </row>
    <row r="233" spans="1:14" s="20" customFormat="1">
      <c r="A233" s="129" t="s">
        <v>234</v>
      </c>
      <c r="B233" s="129"/>
      <c r="C233" s="129"/>
      <c r="D233" s="129"/>
      <c r="E233" s="129"/>
      <c r="F233" s="129"/>
      <c r="G233" s="129"/>
      <c r="H233" s="129"/>
      <c r="J233" s="55"/>
    </row>
    <row r="234" spans="1:14" s="20" customFormat="1" ht="15.75" customHeight="1">
      <c r="A234" s="112">
        <v>1</v>
      </c>
      <c r="B234" s="113"/>
      <c r="C234" s="53" t="s">
        <v>235</v>
      </c>
      <c r="D234" s="54">
        <f>(15.48)*(10.764)</f>
        <v>166.62672000000001</v>
      </c>
      <c r="E234" s="53">
        <v>0</v>
      </c>
      <c r="F234" s="53">
        <f>(D234+E234)*(($F$216)+1)</f>
        <v>249.94008000000002</v>
      </c>
      <c r="G234" s="101" t="str">
        <f>A233</f>
        <v>Ground Floor For Commercial &amp; Residential</v>
      </c>
      <c r="H234" s="102"/>
      <c r="I234" s="55"/>
      <c r="L234" s="128"/>
      <c r="M234" s="128"/>
      <c r="N234" s="55"/>
    </row>
    <row r="235" spans="1:14" s="20" customFormat="1">
      <c r="A235" s="112">
        <f t="shared" ref="A235:A246" si="6">A234+1</f>
        <v>2</v>
      </c>
      <c r="B235" s="113"/>
      <c r="C235" s="53" t="s">
        <v>235</v>
      </c>
      <c r="D235" s="54">
        <f>(10.81)*(10.764)</f>
        <v>116.35884</v>
      </c>
      <c r="E235" s="53">
        <v>0</v>
      </c>
      <c r="F235" s="53">
        <f t="shared" ref="F235:F238" si="7">(D235+E235)*(($F$216)+1)</f>
        <v>174.53826000000001</v>
      </c>
      <c r="G235" s="103"/>
      <c r="H235" s="104"/>
      <c r="I235" s="55"/>
      <c r="L235" s="128"/>
      <c r="M235" s="128"/>
      <c r="N235" s="55"/>
    </row>
    <row r="236" spans="1:14" s="20" customFormat="1">
      <c r="A236" s="112">
        <f t="shared" si="6"/>
        <v>3</v>
      </c>
      <c r="B236" s="113"/>
      <c r="C236" s="53" t="s">
        <v>235</v>
      </c>
      <c r="D236" s="54">
        <f>(15.48)*(10.764)</f>
        <v>166.62672000000001</v>
      </c>
      <c r="E236" s="53">
        <v>0</v>
      </c>
      <c r="F236" s="53">
        <f t="shared" si="7"/>
        <v>249.94008000000002</v>
      </c>
      <c r="G236" s="103"/>
      <c r="H236" s="104"/>
      <c r="I236" s="55"/>
      <c r="L236" s="128"/>
      <c r="M236" s="128"/>
      <c r="N236" s="55"/>
    </row>
    <row r="237" spans="1:14" s="20" customFormat="1">
      <c r="A237" s="112">
        <f t="shared" si="6"/>
        <v>4</v>
      </c>
      <c r="B237" s="113"/>
      <c r="C237" s="53" t="s">
        <v>235</v>
      </c>
      <c r="D237" s="54">
        <f>(13.36)*(10.764)</f>
        <v>143.80703999999997</v>
      </c>
      <c r="E237" s="53">
        <v>0</v>
      </c>
      <c r="F237" s="53">
        <f t="shared" si="7"/>
        <v>215.71055999999996</v>
      </c>
      <c r="G237" s="103"/>
      <c r="H237" s="104"/>
      <c r="I237" s="55"/>
      <c r="L237" s="128"/>
      <c r="M237" s="128"/>
      <c r="N237" s="55"/>
    </row>
    <row r="238" spans="1:14" s="20" customFormat="1">
      <c r="A238" s="112">
        <f t="shared" si="6"/>
        <v>5</v>
      </c>
      <c r="B238" s="113"/>
      <c r="C238" s="53" t="s">
        <v>235</v>
      </c>
      <c r="D238" s="54">
        <f>(15.48)*(10.764)</f>
        <v>166.62672000000001</v>
      </c>
      <c r="E238" s="53">
        <v>0</v>
      </c>
      <c r="F238" s="53">
        <f t="shared" si="7"/>
        <v>249.94008000000002</v>
      </c>
      <c r="G238" s="103"/>
      <c r="H238" s="104"/>
      <c r="I238" s="55"/>
      <c r="L238" s="128"/>
      <c r="M238" s="128"/>
      <c r="N238" s="55"/>
    </row>
    <row r="239" spans="1:14" s="20" customFormat="1">
      <c r="A239" s="112">
        <f t="shared" si="6"/>
        <v>6</v>
      </c>
      <c r="B239" s="113"/>
      <c r="C239" s="53" t="s">
        <v>235</v>
      </c>
      <c r="D239" s="54">
        <f>(10.28)*(10.764)</f>
        <v>110.65391999999999</v>
      </c>
      <c r="E239" s="53">
        <v>0</v>
      </c>
      <c r="F239" s="53">
        <f t="shared" ref="F239:F243" si="8">(D239+E239)*(($F$216)+1)</f>
        <v>165.98087999999998</v>
      </c>
      <c r="G239" s="103"/>
      <c r="H239" s="104"/>
      <c r="I239" s="55"/>
      <c r="L239" s="128"/>
      <c r="M239" s="128"/>
      <c r="N239" s="55"/>
    </row>
    <row r="240" spans="1:14" s="20" customFormat="1">
      <c r="A240" s="112">
        <f t="shared" si="6"/>
        <v>7</v>
      </c>
      <c r="B240" s="113"/>
      <c r="C240" s="53" t="s">
        <v>235</v>
      </c>
      <c r="D240" s="54">
        <f>(12)*(10.764)</f>
        <v>129.16800000000001</v>
      </c>
      <c r="E240" s="53">
        <v>0</v>
      </c>
      <c r="F240" s="53">
        <f t="shared" si="8"/>
        <v>193.75200000000001</v>
      </c>
      <c r="G240" s="103"/>
      <c r="H240" s="104"/>
      <c r="I240" s="55"/>
      <c r="L240" s="128"/>
      <c r="M240" s="128"/>
      <c r="N240" s="55"/>
    </row>
    <row r="241" spans="1:14" s="20" customFormat="1">
      <c r="A241" s="112">
        <f t="shared" si="6"/>
        <v>8</v>
      </c>
      <c r="B241" s="113"/>
      <c r="C241" s="53" t="s">
        <v>235</v>
      </c>
      <c r="D241" s="54">
        <f>(12)*(10.764)</f>
        <v>129.16800000000001</v>
      </c>
      <c r="E241" s="53">
        <v>0</v>
      </c>
      <c r="F241" s="53">
        <f t="shared" si="8"/>
        <v>193.75200000000001</v>
      </c>
      <c r="G241" s="103"/>
      <c r="H241" s="104"/>
      <c r="I241" s="55"/>
      <c r="L241" s="128"/>
      <c r="M241" s="128"/>
      <c r="N241" s="55"/>
    </row>
    <row r="242" spans="1:14" s="20" customFormat="1">
      <c r="A242" s="112">
        <f t="shared" si="6"/>
        <v>9</v>
      </c>
      <c r="B242" s="113"/>
      <c r="C242" s="53" t="s">
        <v>235</v>
      </c>
      <c r="D242" s="54">
        <f>(10.28)*(10.764)</f>
        <v>110.65391999999999</v>
      </c>
      <c r="E242" s="53">
        <v>0</v>
      </c>
      <c r="F242" s="53">
        <f t="shared" si="8"/>
        <v>165.98087999999998</v>
      </c>
      <c r="G242" s="103"/>
      <c r="H242" s="104"/>
      <c r="I242" s="55"/>
      <c r="L242" s="128"/>
      <c r="M242" s="128"/>
      <c r="N242" s="55"/>
    </row>
    <row r="243" spans="1:14" s="20" customFormat="1">
      <c r="A243" s="112">
        <f t="shared" si="6"/>
        <v>10</v>
      </c>
      <c r="B243" s="113"/>
      <c r="C243" s="53" t="s">
        <v>235</v>
      </c>
      <c r="D243" s="54">
        <f>(15.48)*(10.764)</f>
        <v>166.62672000000001</v>
      </c>
      <c r="E243" s="53">
        <v>0</v>
      </c>
      <c r="F243" s="53">
        <f t="shared" si="8"/>
        <v>249.94008000000002</v>
      </c>
      <c r="G243" s="103"/>
      <c r="H243" s="104"/>
      <c r="I243" s="55"/>
      <c r="L243" s="128"/>
      <c r="M243" s="128"/>
      <c r="N243" s="55"/>
    </row>
    <row r="244" spans="1:14" s="20" customFormat="1">
      <c r="A244" s="112">
        <f t="shared" si="6"/>
        <v>11</v>
      </c>
      <c r="B244" s="113"/>
      <c r="C244" s="53" t="s">
        <v>235</v>
      </c>
      <c r="D244" s="54">
        <f>(15.48)*(10.764)</f>
        <v>166.62672000000001</v>
      </c>
      <c r="E244" s="53">
        <v>0</v>
      </c>
      <c r="F244" s="53">
        <f t="shared" ref="F244:F246" si="9">(D244+E244)*(($F$216)+1)</f>
        <v>249.94008000000002</v>
      </c>
      <c r="G244" s="103"/>
      <c r="H244" s="104"/>
      <c r="I244" s="55"/>
      <c r="L244" s="128"/>
      <c r="M244" s="128"/>
      <c r="N244" s="55"/>
    </row>
    <row r="245" spans="1:14" s="20" customFormat="1">
      <c r="A245" s="112">
        <f t="shared" si="6"/>
        <v>12</v>
      </c>
      <c r="B245" s="113"/>
      <c r="C245" s="53" t="s">
        <v>235</v>
      </c>
      <c r="D245" s="54">
        <f>(10.81)*(10.764)</f>
        <v>116.35884</v>
      </c>
      <c r="E245" s="53">
        <v>0</v>
      </c>
      <c r="F245" s="53">
        <f t="shared" si="9"/>
        <v>174.53826000000001</v>
      </c>
      <c r="G245" s="103"/>
      <c r="H245" s="104"/>
      <c r="I245" s="55">
        <f>1.92*5.63</f>
        <v>10.8096</v>
      </c>
      <c r="L245" s="128"/>
      <c r="M245" s="128"/>
      <c r="N245" s="55"/>
    </row>
    <row r="246" spans="1:14" s="20" customFormat="1">
      <c r="A246" s="112">
        <f t="shared" si="6"/>
        <v>13</v>
      </c>
      <c r="B246" s="113"/>
      <c r="C246" s="53" t="s">
        <v>235</v>
      </c>
      <c r="D246" s="54">
        <f>(15.48)*(10.764)</f>
        <v>166.62672000000001</v>
      </c>
      <c r="E246" s="53">
        <v>0</v>
      </c>
      <c r="F246" s="53">
        <f t="shared" si="9"/>
        <v>249.94008000000002</v>
      </c>
      <c r="G246" s="105"/>
      <c r="H246" s="106"/>
      <c r="I246" s="55"/>
      <c r="L246" s="128"/>
      <c r="M246" s="128"/>
      <c r="N246" s="55"/>
    </row>
    <row r="247" spans="1:14" s="20" customFormat="1">
      <c r="A247" s="129" t="s">
        <v>216</v>
      </c>
      <c r="B247" s="129"/>
      <c r="C247" s="129"/>
      <c r="D247" s="129"/>
      <c r="E247" s="129"/>
      <c r="F247" s="129"/>
      <c r="G247" s="129"/>
      <c r="H247" s="129"/>
      <c r="J247" s="55"/>
    </row>
    <row r="248" spans="1:14" s="20" customFormat="1">
      <c r="A248" s="129" t="s">
        <v>236</v>
      </c>
      <c r="B248" s="129"/>
      <c r="C248" s="129"/>
      <c r="D248" s="129"/>
      <c r="E248" s="129"/>
      <c r="F248" s="129"/>
      <c r="G248" s="129"/>
      <c r="H248" s="129"/>
      <c r="J248" s="55"/>
    </row>
    <row r="249" spans="1:14" s="20" customFormat="1" ht="15.75" customHeight="1">
      <c r="A249" s="107">
        <v>1</v>
      </c>
      <c r="B249" s="107"/>
      <c r="C249" s="63" t="s">
        <v>235</v>
      </c>
      <c r="D249" s="54">
        <f>(15.48)*(10.764)</f>
        <v>166.62672000000001</v>
      </c>
      <c r="E249" s="63">
        <v>0</v>
      </c>
      <c r="F249" s="63">
        <f>(D249+E249)*(($F$216)+1)</f>
        <v>249.94008000000002</v>
      </c>
      <c r="G249" s="107" t="str">
        <f>A248</f>
        <v>Ground Floor For Commercial, Drivers Room &amp; Residential</v>
      </c>
      <c r="H249" s="107"/>
      <c r="I249" s="55"/>
      <c r="L249" s="128"/>
      <c r="M249" s="128"/>
      <c r="N249" s="55"/>
    </row>
    <row r="250" spans="1:14" s="20" customFormat="1">
      <c r="A250" s="107">
        <f t="shared" ref="A250:A264" si="10">A249+1</f>
        <v>2</v>
      </c>
      <c r="B250" s="107"/>
      <c r="C250" s="63" t="s">
        <v>235</v>
      </c>
      <c r="D250" s="54">
        <f>(10.81)*(10.764)</f>
        <v>116.35884</v>
      </c>
      <c r="E250" s="63">
        <v>0</v>
      </c>
      <c r="F250" s="63">
        <f t="shared" ref="F250:F253" si="11">(D250+E250)*(($F$216)+1)</f>
        <v>174.53826000000001</v>
      </c>
      <c r="G250" s="107"/>
      <c r="H250" s="107"/>
      <c r="I250" s="55"/>
      <c r="L250" s="128"/>
      <c r="M250" s="128"/>
      <c r="N250" s="55"/>
    </row>
    <row r="251" spans="1:14" s="20" customFormat="1">
      <c r="A251" s="107">
        <f t="shared" si="10"/>
        <v>3</v>
      </c>
      <c r="B251" s="107"/>
      <c r="C251" s="63" t="s">
        <v>235</v>
      </c>
      <c r="D251" s="54">
        <f>(15.48)*(10.764)</f>
        <v>166.62672000000001</v>
      </c>
      <c r="E251" s="63">
        <v>0</v>
      </c>
      <c r="F251" s="63">
        <f t="shared" si="11"/>
        <v>249.94008000000002</v>
      </c>
      <c r="G251" s="107"/>
      <c r="H251" s="107"/>
      <c r="I251" s="55"/>
      <c r="L251" s="128"/>
      <c r="M251" s="128"/>
      <c r="N251" s="55"/>
    </row>
    <row r="252" spans="1:14" s="20" customFormat="1">
      <c r="A252" s="107">
        <f t="shared" si="10"/>
        <v>4</v>
      </c>
      <c r="B252" s="107"/>
      <c r="C252" s="63" t="s">
        <v>235</v>
      </c>
      <c r="D252" s="54">
        <f>(15.48)*(10.764)</f>
        <v>166.62672000000001</v>
      </c>
      <c r="E252" s="63">
        <v>0</v>
      </c>
      <c r="F252" s="63">
        <f t="shared" si="11"/>
        <v>249.94008000000002</v>
      </c>
      <c r="G252" s="107"/>
      <c r="H252" s="107"/>
      <c r="I252" s="55"/>
      <c r="L252" s="128"/>
      <c r="M252" s="128"/>
      <c r="N252" s="55"/>
    </row>
    <row r="253" spans="1:14" s="20" customFormat="1">
      <c r="A253" s="107">
        <f t="shared" si="10"/>
        <v>5</v>
      </c>
      <c r="B253" s="107"/>
      <c r="C253" s="63" t="s">
        <v>235</v>
      </c>
      <c r="D253" s="54">
        <f>(13.36)*(10.764)</f>
        <v>143.80703999999997</v>
      </c>
      <c r="E253" s="63">
        <v>0</v>
      </c>
      <c r="F253" s="63">
        <f t="shared" si="11"/>
        <v>215.71055999999996</v>
      </c>
      <c r="G253" s="107"/>
      <c r="H253" s="107"/>
      <c r="I253" s="55"/>
      <c r="L253" s="128"/>
      <c r="M253" s="128"/>
      <c r="N253" s="55"/>
    </row>
    <row r="254" spans="1:14" s="20" customFormat="1">
      <c r="A254" s="107">
        <f t="shared" si="10"/>
        <v>6</v>
      </c>
      <c r="B254" s="107"/>
      <c r="C254" s="63" t="s">
        <v>235</v>
      </c>
      <c r="D254" s="54">
        <f>(12.95)*(10.764)</f>
        <v>139.39379999999997</v>
      </c>
      <c r="E254" s="63">
        <v>0</v>
      </c>
      <c r="F254" s="63">
        <f t="shared" ref="F254:F258" si="12">(D254+E254)*(($F$216)+1)</f>
        <v>209.09069999999997</v>
      </c>
      <c r="G254" s="107"/>
      <c r="H254" s="107"/>
      <c r="I254" s="55"/>
      <c r="L254" s="128"/>
      <c r="M254" s="128"/>
      <c r="N254" s="55"/>
    </row>
    <row r="255" spans="1:14" s="20" customFormat="1">
      <c r="A255" s="107">
        <f t="shared" si="10"/>
        <v>7</v>
      </c>
      <c r="B255" s="107"/>
      <c r="C255" s="63" t="s">
        <v>235</v>
      </c>
      <c r="D255" s="54">
        <f>(15.48)*(10.764)</f>
        <v>166.62672000000001</v>
      </c>
      <c r="E255" s="63">
        <v>0</v>
      </c>
      <c r="F255" s="63">
        <f t="shared" si="12"/>
        <v>249.94008000000002</v>
      </c>
      <c r="G255" s="107"/>
      <c r="H255" s="107"/>
      <c r="I255" s="55"/>
      <c r="L255" s="128"/>
      <c r="M255" s="128"/>
      <c r="N255" s="55"/>
    </row>
    <row r="256" spans="1:14" s="20" customFormat="1">
      <c r="A256" s="107">
        <f t="shared" si="10"/>
        <v>8</v>
      </c>
      <c r="B256" s="107"/>
      <c r="C256" s="63" t="s">
        <v>235</v>
      </c>
      <c r="D256" s="54">
        <f>(10.28)*(10.764)</f>
        <v>110.65391999999999</v>
      </c>
      <c r="E256" s="63">
        <v>0</v>
      </c>
      <c r="F256" s="63">
        <f t="shared" si="12"/>
        <v>165.98087999999998</v>
      </c>
      <c r="G256" s="107"/>
      <c r="H256" s="107"/>
      <c r="I256" s="55"/>
      <c r="L256" s="128"/>
      <c r="M256" s="128"/>
      <c r="N256" s="55"/>
    </row>
    <row r="257" spans="1:14" s="20" customFormat="1">
      <c r="A257" s="107">
        <f t="shared" si="10"/>
        <v>9</v>
      </c>
      <c r="B257" s="107"/>
      <c r="C257" s="63" t="s">
        <v>235</v>
      </c>
      <c r="D257" s="54">
        <f>(12)*(10.764)</f>
        <v>129.16800000000001</v>
      </c>
      <c r="E257" s="63">
        <v>0</v>
      </c>
      <c r="F257" s="63">
        <f t="shared" si="12"/>
        <v>193.75200000000001</v>
      </c>
      <c r="G257" s="107"/>
      <c r="H257" s="107"/>
      <c r="I257" s="55"/>
      <c r="L257" s="128"/>
      <c r="M257" s="128"/>
      <c r="N257" s="55"/>
    </row>
    <row r="258" spans="1:14" s="20" customFormat="1">
      <c r="A258" s="107">
        <f t="shared" si="10"/>
        <v>10</v>
      </c>
      <c r="B258" s="107"/>
      <c r="C258" s="63" t="s">
        <v>235</v>
      </c>
      <c r="D258" s="54">
        <f>(11.08)*(10.764)</f>
        <v>119.26512</v>
      </c>
      <c r="E258" s="63">
        <v>0</v>
      </c>
      <c r="F258" s="63">
        <f t="shared" si="12"/>
        <v>178.89767999999998</v>
      </c>
      <c r="G258" s="107"/>
      <c r="H258" s="107"/>
      <c r="I258" s="55"/>
      <c r="L258" s="128"/>
      <c r="M258" s="128"/>
      <c r="N258" s="55"/>
    </row>
    <row r="259" spans="1:14" s="20" customFormat="1">
      <c r="A259" s="107">
        <f t="shared" si="10"/>
        <v>11</v>
      </c>
      <c r="B259" s="107"/>
      <c r="C259" s="63" t="s">
        <v>235</v>
      </c>
      <c r="D259" s="54">
        <f>(15.48)*(10.764)</f>
        <v>166.62672000000001</v>
      </c>
      <c r="E259" s="63">
        <v>0</v>
      </c>
      <c r="F259" s="63">
        <f t="shared" ref="F259:F261" si="13">(D259+E259)*(($F$216)+1)</f>
        <v>249.94008000000002</v>
      </c>
      <c r="G259" s="107"/>
      <c r="H259" s="107"/>
      <c r="I259" s="55"/>
      <c r="L259" s="128"/>
      <c r="M259" s="128"/>
      <c r="N259" s="55"/>
    </row>
    <row r="260" spans="1:14" s="20" customFormat="1">
      <c r="A260" s="107">
        <f t="shared" si="10"/>
        <v>12</v>
      </c>
      <c r="B260" s="107"/>
      <c r="C260" s="63" t="s">
        <v>235</v>
      </c>
      <c r="D260" s="54">
        <f>(10.81)*(10.764)</f>
        <v>116.35884</v>
      </c>
      <c r="E260" s="63">
        <v>0</v>
      </c>
      <c r="F260" s="63">
        <f t="shared" si="13"/>
        <v>174.53826000000001</v>
      </c>
      <c r="G260" s="107"/>
      <c r="H260" s="107"/>
      <c r="I260" s="55"/>
      <c r="L260" s="128"/>
      <c r="M260" s="128"/>
      <c r="N260" s="55"/>
    </row>
    <row r="261" spans="1:14" s="20" customFormat="1">
      <c r="A261" s="107">
        <f t="shared" si="10"/>
        <v>13</v>
      </c>
      <c r="B261" s="107"/>
      <c r="C261" s="63" t="s">
        <v>235</v>
      </c>
      <c r="D261" s="54">
        <f>(15.48)*(10.764)</f>
        <v>166.62672000000001</v>
      </c>
      <c r="E261" s="63">
        <v>0</v>
      </c>
      <c r="F261" s="63">
        <f t="shared" si="13"/>
        <v>249.94008000000002</v>
      </c>
      <c r="G261" s="107"/>
      <c r="H261" s="107"/>
      <c r="I261" s="55"/>
      <c r="L261" s="128"/>
      <c r="M261" s="128"/>
      <c r="N261" s="55"/>
    </row>
    <row r="262" spans="1:14" s="20" customFormat="1">
      <c r="A262" s="107">
        <f t="shared" si="10"/>
        <v>14</v>
      </c>
      <c r="B262" s="107"/>
      <c r="C262" s="63" t="s">
        <v>235</v>
      </c>
      <c r="D262" s="54">
        <f>(10.59)*(10.764)</f>
        <v>113.99075999999999</v>
      </c>
      <c r="E262" s="63">
        <v>0</v>
      </c>
      <c r="F262" s="63">
        <f t="shared" ref="F262:F264" si="14">(D262+E262)*(($F$216)+1)</f>
        <v>170.98613999999998</v>
      </c>
      <c r="G262" s="107"/>
      <c r="H262" s="107"/>
      <c r="I262" s="55"/>
      <c r="L262" s="128"/>
      <c r="M262" s="128"/>
      <c r="N262" s="55"/>
    </row>
    <row r="263" spans="1:14" s="20" customFormat="1">
      <c r="A263" s="107">
        <f t="shared" si="10"/>
        <v>15</v>
      </c>
      <c r="B263" s="107"/>
      <c r="C263" s="63" t="s">
        <v>235</v>
      </c>
      <c r="D263" s="54">
        <f>(11.28)*(10.764)</f>
        <v>121.41791999999998</v>
      </c>
      <c r="E263" s="63">
        <v>0</v>
      </c>
      <c r="F263" s="63">
        <f t="shared" si="14"/>
        <v>182.12687999999997</v>
      </c>
      <c r="G263" s="107"/>
      <c r="H263" s="107"/>
      <c r="I263" s="55"/>
      <c r="L263" s="128"/>
      <c r="M263" s="128"/>
      <c r="N263" s="55"/>
    </row>
    <row r="264" spans="1:14" s="20" customFormat="1">
      <c r="A264" s="107">
        <f t="shared" si="10"/>
        <v>16</v>
      </c>
      <c r="B264" s="107"/>
      <c r="C264" s="63" t="s">
        <v>235</v>
      </c>
      <c r="D264" s="54">
        <f>(11.43)*(10.764)</f>
        <v>123.03251999999999</v>
      </c>
      <c r="E264" s="63">
        <v>0</v>
      </c>
      <c r="F264" s="63">
        <f t="shared" si="14"/>
        <v>184.54877999999999</v>
      </c>
      <c r="G264" s="107"/>
      <c r="H264" s="107"/>
      <c r="I264" s="55"/>
      <c r="L264" s="128"/>
      <c r="M264" s="128"/>
      <c r="N264" s="55"/>
    </row>
    <row r="265" spans="1:14" s="20" customFormat="1">
      <c r="A265" s="129" t="s">
        <v>217</v>
      </c>
      <c r="B265" s="129"/>
      <c r="C265" s="129"/>
      <c r="D265" s="129"/>
      <c r="E265" s="129"/>
      <c r="F265" s="129"/>
      <c r="G265" s="129"/>
      <c r="H265" s="129"/>
      <c r="J265" s="55"/>
    </row>
    <row r="266" spans="1:14" s="20" customFormat="1">
      <c r="A266" s="129" t="s">
        <v>237</v>
      </c>
      <c r="B266" s="129"/>
      <c r="C266" s="129"/>
      <c r="D266" s="129"/>
      <c r="E266" s="129"/>
      <c r="F266" s="129"/>
      <c r="G266" s="129"/>
      <c r="H266" s="129"/>
      <c r="J266" s="55"/>
    </row>
    <row r="267" spans="1:14" s="20" customFormat="1" ht="15.75" customHeight="1">
      <c r="A267" s="107">
        <v>1</v>
      </c>
      <c r="B267" s="107"/>
      <c r="C267" s="61" t="s">
        <v>235</v>
      </c>
      <c r="D267" s="54">
        <f t="shared" ref="D267:D272" si="15">(15.48)*(10.764)</f>
        <v>166.62672000000001</v>
      </c>
      <c r="E267" s="61">
        <v>0</v>
      </c>
      <c r="F267" s="61">
        <f>(D267+E267)*(($F$216)+1)</f>
        <v>249.94008000000002</v>
      </c>
      <c r="G267" s="107" t="str">
        <f>A266</f>
        <v>Ground Floor For Commercial, Society Office &amp; Parking</v>
      </c>
      <c r="H267" s="107"/>
      <c r="I267" s="55"/>
      <c r="L267" s="128"/>
      <c r="M267" s="128"/>
      <c r="N267" s="55"/>
    </row>
    <row r="268" spans="1:14" s="20" customFormat="1">
      <c r="A268" s="107">
        <f t="shared" ref="A268:A284" si="16">A267+1</f>
        <v>2</v>
      </c>
      <c r="B268" s="107"/>
      <c r="C268" s="61" t="s">
        <v>235</v>
      </c>
      <c r="D268" s="54">
        <f t="shared" si="15"/>
        <v>166.62672000000001</v>
      </c>
      <c r="E268" s="61">
        <v>0</v>
      </c>
      <c r="F268" s="61">
        <f t="shared" ref="F268:F271" si="17">(D268+E268)*(($F$216)+1)</f>
        <v>249.94008000000002</v>
      </c>
      <c r="G268" s="107"/>
      <c r="H268" s="107"/>
      <c r="I268" s="55"/>
      <c r="L268" s="128"/>
      <c r="M268" s="128"/>
      <c r="N268" s="55"/>
    </row>
    <row r="269" spans="1:14" s="20" customFormat="1">
      <c r="A269" s="107">
        <f t="shared" si="16"/>
        <v>3</v>
      </c>
      <c r="B269" s="107"/>
      <c r="C269" s="61" t="s">
        <v>235</v>
      </c>
      <c r="D269" s="54">
        <f t="shared" si="15"/>
        <v>166.62672000000001</v>
      </c>
      <c r="E269" s="61">
        <v>0</v>
      </c>
      <c r="F269" s="61">
        <f t="shared" si="17"/>
        <v>249.94008000000002</v>
      </c>
      <c r="G269" s="107"/>
      <c r="H269" s="107"/>
      <c r="I269" s="55"/>
      <c r="L269" s="128"/>
      <c r="M269" s="128"/>
      <c r="N269" s="55"/>
    </row>
    <row r="270" spans="1:14" s="20" customFormat="1">
      <c r="A270" s="107">
        <f t="shared" si="16"/>
        <v>4</v>
      </c>
      <c r="B270" s="107"/>
      <c r="C270" s="61" t="s">
        <v>235</v>
      </c>
      <c r="D270" s="54">
        <f t="shared" si="15"/>
        <v>166.62672000000001</v>
      </c>
      <c r="E270" s="61">
        <v>0</v>
      </c>
      <c r="F270" s="61">
        <f t="shared" si="17"/>
        <v>249.94008000000002</v>
      </c>
      <c r="G270" s="107"/>
      <c r="H270" s="107"/>
      <c r="I270" s="55"/>
      <c r="L270" s="128"/>
      <c r="M270" s="128"/>
      <c r="N270" s="55"/>
    </row>
    <row r="271" spans="1:14" s="20" customFormat="1">
      <c r="A271" s="107">
        <f t="shared" si="16"/>
        <v>5</v>
      </c>
      <c r="B271" s="107"/>
      <c r="C271" s="61" t="s">
        <v>235</v>
      </c>
      <c r="D271" s="54">
        <f t="shared" si="15"/>
        <v>166.62672000000001</v>
      </c>
      <c r="E271" s="61">
        <v>0</v>
      </c>
      <c r="F271" s="61">
        <f t="shared" si="17"/>
        <v>249.94008000000002</v>
      </c>
      <c r="G271" s="107"/>
      <c r="H271" s="107"/>
      <c r="I271" s="55"/>
      <c r="L271" s="128"/>
      <c r="M271" s="128"/>
      <c r="N271" s="55"/>
    </row>
    <row r="272" spans="1:14" s="20" customFormat="1">
      <c r="A272" s="107">
        <f t="shared" si="16"/>
        <v>6</v>
      </c>
      <c r="B272" s="107"/>
      <c r="C272" s="61" t="s">
        <v>235</v>
      </c>
      <c r="D272" s="54">
        <f t="shared" si="15"/>
        <v>166.62672000000001</v>
      </c>
      <c r="E272" s="61">
        <v>0</v>
      </c>
      <c r="F272" s="61">
        <f t="shared" ref="F272:F278" si="18">(D272+E272)*(($F$216)+1)</f>
        <v>249.94008000000002</v>
      </c>
      <c r="G272" s="107"/>
      <c r="H272" s="107"/>
      <c r="I272" s="55"/>
      <c r="L272" s="128"/>
      <c r="M272" s="128"/>
      <c r="N272" s="55"/>
    </row>
    <row r="273" spans="1:14" s="20" customFormat="1">
      <c r="A273" s="107">
        <f t="shared" si="16"/>
        <v>7</v>
      </c>
      <c r="B273" s="107"/>
      <c r="C273" s="61" t="s">
        <v>235</v>
      </c>
      <c r="D273" s="54">
        <f>(10.81)*(10.764)</f>
        <v>116.35884</v>
      </c>
      <c r="E273" s="61">
        <v>0</v>
      </c>
      <c r="F273" s="61">
        <f t="shared" si="18"/>
        <v>174.53826000000001</v>
      </c>
      <c r="G273" s="107"/>
      <c r="H273" s="107"/>
      <c r="I273" s="55"/>
      <c r="L273" s="128"/>
      <c r="M273" s="128"/>
      <c r="N273" s="55"/>
    </row>
    <row r="274" spans="1:14" s="20" customFormat="1">
      <c r="A274" s="107">
        <f t="shared" si="16"/>
        <v>8</v>
      </c>
      <c r="B274" s="107"/>
      <c r="C274" s="61" t="s">
        <v>235</v>
      </c>
      <c r="D274" s="54">
        <f>(15.48)*(10.764)</f>
        <v>166.62672000000001</v>
      </c>
      <c r="E274" s="61">
        <v>0</v>
      </c>
      <c r="F274" s="61">
        <f t="shared" si="18"/>
        <v>249.94008000000002</v>
      </c>
      <c r="G274" s="107"/>
      <c r="H274" s="107"/>
      <c r="I274" s="55"/>
      <c r="L274" s="128"/>
      <c r="M274" s="128"/>
      <c r="N274" s="55"/>
    </row>
    <row r="275" spans="1:14" s="20" customFormat="1">
      <c r="A275" s="107">
        <f t="shared" si="16"/>
        <v>9</v>
      </c>
      <c r="B275" s="107"/>
      <c r="C275" s="61" t="s">
        <v>235</v>
      </c>
      <c r="D275" s="54">
        <f>(13.36)*(10.764)</f>
        <v>143.80703999999997</v>
      </c>
      <c r="E275" s="61">
        <v>0</v>
      </c>
      <c r="F275" s="61">
        <f t="shared" si="18"/>
        <v>215.71055999999996</v>
      </c>
      <c r="G275" s="107"/>
      <c r="H275" s="107"/>
      <c r="I275" s="55">
        <f>3.05*3.68+1.09*1.95</f>
        <v>13.349500000000001</v>
      </c>
      <c r="L275" s="128"/>
      <c r="M275" s="128"/>
      <c r="N275" s="55"/>
    </row>
    <row r="276" spans="1:14" s="20" customFormat="1">
      <c r="A276" s="107">
        <f t="shared" si="16"/>
        <v>10</v>
      </c>
      <c r="B276" s="107"/>
      <c r="C276" s="61" t="s">
        <v>235</v>
      </c>
      <c r="D276" s="54">
        <f>(15.48)*(10.764)</f>
        <v>166.62672000000001</v>
      </c>
      <c r="E276" s="61">
        <v>0</v>
      </c>
      <c r="F276" s="61">
        <f t="shared" si="18"/>
        <v>249.94008000000002</v>
      </c>
      <c r="G276" s="107"/>
      <c r="H276" s="107"/>
      <c r="I276" s="55"/>
      <c r="L276" s="128"/>
      <c r="M276" s="128"/>
      <c r="N276" s="55"/>
    </row>
    <row r="277" spans="1:14" s="20" customFormat="1">
      <c r="A277" s="107">
        <f t="shared" si="16"/>
        <v>11</v>
      </c>
      <c r="B277" s="107"/>
      <c r="C277" s="61" t="s">
        <v>235</v>
      </c>
      <c r="D277" s="54">
        <f>(10.28)*(10.764)</f>
        <v>110.65391999999999</v>
      </c>
      <c r="E277" s="61">
        <v>0</v>
      </c>
      <c r="F277" s="61">
        <f t="shared" si="18"/>
        <v>165.98087999999998</v>
      </c>
      <c r="G277" s="107"/>
      <c r="H277" s="107"/>
      <c r="I277" s="55"/>
      <c r="L277" s="128"/>
      <c r="M277" s="128"/>
      <c r="N277" s="55"/>
    </row>
    <row r="278" spans="1:14" s="20" customFormat="1">
      <c r="A278" s="107">
        <f t="shared" si="16"/>
        <v>12</v>
      </c>
      <c r="B278" s="107"/>
      <c r="C278" s="61" t="s">
        <v>235</v>
      </c>
      <c r="D278" s="54">
        <f>(12)*(10.764)</f>
        <v>129.16800000000001</v>
      </c>
      <c r="E278" s="61">
        <v>0</v>
      </c>
      <c r="F278" s="61">
        <f t="shared" si="18"/>
        <v>193.75200000000001</v>
      </c>
      <c r="G278" s="107"/>
      <c r="H278" s="107"/>
      <c r="I278" s="55"/>
      <c r="L278" s="128"/>
      <c r="M278" s="128"/>
      <c r="N278" s="55"/>
    </row>
    <row r="279" spans="1:14" s="20" customFormat="1">
      <c r="A279" s="107">
        <f t="shared" si="16"/>
        <v>13</v>
      </c>
      <c r="B279" s="107"/>
      <c r="C279" s="61" t="s">
        <v>235</v>
      </c>
      <c r="D279" s="54">
        <f>(12)*(10.764)</f>
        <v>129.16800000000001</v>
      </c>
      <c r="E279" s="61">
        <v>0</v>
      </c>
      <c r="F279" s="61">
        <f t="shared" ref="F279:F282" si="19">(D279+E279)*(($F$216)+1)</f>
        <v>193.75200000000001</v>
      </c>
      <c r="G279" s="107"/>
      <c r="H279" s="107"/>
      <c r="I279" s="55"/>
      <c r="L279" s="128"/>
      <c r="M279" s="128"/>
      <c r="N279" s="55"/>
    </row>
    <row r="280" spans="1:14" s="20" customFormat="1">
      <c r="A280" s="107">
        <f t="shared" si="16"/>
        <v>14</v>
      </c>
      <c r="B280" s="107"/>
      <c r="C280" s="61" t="s">
        <v>235</v>
      </c>
      <c r="D280" s="54">
        <f>(10.28)*(10.764)</f>
        <v>110.65391999999999</v>
      </c>
      <c r="E280" s="61">
        <v>0</v>
      </c>
      <c r="F280" s="61">
        <f t="shared" si="19"/>
        <v>165.98087999999998</v>
      </c>
      <c r="G280" s="107"/>
      <c r="H280" s="107"/>
      <c r="I280" s="55">
        <f>1.92*4.87+1.1*1.22</f>
        <v>10.692400000000001</v>
      </c>
      <c r="L280" s="128"/>
      <c r="M280" s="128"/>
      <c r="N280" s="55"/>
    </row>
    <row r="281" spans="1:14" s="20" customFormat="1">
      <c r="A281" s="107">
        <f t="shared" si="16"/>
        <v>15</v>
      </c>
      <c r="B281" s="107"/>
      <c r="C281" s="61" t="s">
        <v>235</v>
      </c>
      <c r="D281" s="54">
        <f>(15.48)*(10.764)</f>
        <v>166.62672000000001</v>
      </c>
      <c r="E281" s="61">
        <v>0</v>
      </c>
      <c r="F281" s="61">
        <f t="shared" si="19"/>
        <v>249.94008000000002</v>
      </c>
      <c r="G281" s="107"/>
      <c r="H281" s="107"/>
      <c r="I281" s="55"/>
      <c r="L281" s="128"/>
      <c r="M281" s="128"/>
      <c r="N281" s="55"/>
    </row>
    <row r="282" spans="1:14" s="20" customFormat="1">
      <c r="A282" s="107">
        <f t="shared" si="16"/>
        <v>16</v>
      </c>
      <c r="B282" s="107"/>
      <c r="C282" s="61" t="s">
        <v>235</v>
      </c>
      <c r="D282" s="54">
        <f>(15.48)*(10.764)</f>
        <v>166.62672000000001</v>
      </c>
      <c r="E282" s="61">
        <v>0</v>
      </c>
      <c r="F282" s="61">
        <f t="shared" si="19"/>
        <v>249.94008000000002</v>
      </c>
      <c r="G282" s="107"/>
      <c r="H282" s="107"/>
      <c r="I282" s="55"/>
      <c r="L282" s="128"/>
      <c r="M282" s="128"/>
      <c r="N282" s="55"/>
    </row>
    <row r="283" spans="1:14" s="20" customFormat="1">
      <c r="A283" s="107">
        <f t="shared" si="16"/>
        <v>17</v>
      </c>
      <c r="B283" s="107"/>
      <c r="C283" s="61" t="s">
        <v>235</v>
      </c>
      <c r="D283" s="54">
        <f>(10.81)*(10.764)</f>
        <v>116.35884</v>
      </c>
      <c r="E283" s="61">
        <v>0</v>
      </c>
      <c r="F283" s="61">
        <f t="shared" ref="F283:F284" si="20">(D283+E283)*(($F$216)+1)</f>
        <v>174.53826000000001</v>
      </c>
      <c r="G283" s="107"/>
      <c r="H283" s="107"/>
      <c r="I283" s="55"/>
      <c r="L283" s="128"/>
      <c r="M283" s="128"/>
      <c r="N283" s="55"/>
    </row>
    <row r="284" spans="1:14" s="20" customFormat="1">
      <c r="A284" s="107">
        <f t="shared" si="16"/>
        <v>18</v>
      </c>
      <c r="B284" s="107"/>
      <c r="C284" s="61" t="s">
        <v>235</v>
      </c>
      <c r="D284" s="54">
        <f>(15.48)*(10.764)</f>
        <v>166.62672000000001</v>
      </c>
      <c r="E284" s="61">
        <v>0</v>
      </c>
      <c r="F284" s="61">
        <f t="shared" si="20"/>
        <v>249.94008000000002</v>
      </c>
      <c r="G284" s="107"/>
      <c r="H284" s="107"/>
      <c r="I284" s="55"/>
      <c r="L284" s="128"/>
      <c r="M284" s="128"/>
      <c r="N284" s="55"/>
    </row>
    <row r="285" spans="1:14" s="20" customFormat="1">
      <c r="A285" s="112"/>
      <c r="B285" s="131"/>
      <c r="C285" s="131"/>
      <c r="D285" s="131"/>
      <c r="E285" s="131"/>
      <c r="F285" s="131"/>
      <c r="G285" s="131"/>
      <c r="H285" s="113"/>
      <c r="I285" s="55"/>
      <c r="N285" s="55"/>
    </row>
    <row r="286" spans="1:14" ht="47.25" customHeight="1">
      <c r="A286" s="94" t="s">
        <v>239</v>
      </c>
      <c r="B286" s="96" t="s">
        <v>240</v>
      </c>
      <c r="C286" s="96" t="s">
        <v>229</v>
      </c>
      <c r="D286" s="96" t="s">
        <v>230</v>
      </c>
      <c r="E286" s="99" t="s">
        <v>241</v>
      </c>
      <c r="F286" s="51" t="s">
        <v>232</v>
      </c>
      <c r="G286" s="94" t="s">
        <v>233</v>
      </c>
      <c r="H286" s="132"/>
      <c r="I286" s="55"/>
    </row>
    <row r="287" spans="1:14" s="20" customFormat="1">
      <c r="A287" s="95"/>
      <c r="B287" s="97"/>
      <c r="C287" s="97"/>
      <c r="D287" s="97"/>
      <c r="E287" s="100"/>
      <c r="F287" s="52">
        <v>0.45</v>
      </c>
      <c r="G287" s="95"/>
      <c r="H287" s="133"/>
      <c r="I287" s="55"/>
      <c r="L287" s="54">
        <f>10.764</f>
        <v>10.763999999999999</v>
      </c>
    </row>
    <row r="288" spans="1:14" s="20" customFormat="1">
      <c r="A288" s="125" t="s">
        <v>214</v>
      </c>
      <c r="B288" s="126"/>
      <c r="C288" s="126"/>
      <c r="D288" s="126"/>
      <c r="E288" s="126"/>
      <c r="F288" s="126"/>
      <c r="G288" s="126"/>
      <c r="H288" s="127"/>
      <c r="J288" s="55"/>
    </row>
    <row r="289" spans="1:14" s="20" customFormat="1">
      <c r="A289" s="125" t="s">
        <v>242</v>
      </c>
      <c r="B289" s="126"/>
      <c r="C289" s="126"/>
      <c r="D289" s="126"/>
      <c r="E289" s="126"/>
      <c r="F289" s="126"/>
      <c r="G289" s="126"/>
      <c r="H289" s="127"/>
      <c r="J289" s="55"/>
    </row>
    <row r="290" spans="1:14" s="20" customFormat="1" ht="15.75" customHeight="1">
      <c r="A290" s="112">
        <v>1</v>
      </c>
      <c r="B290" s="113"/>
      <c r="C290" s="53" t="s">
        <v>243</v>
      </c>
      <c r="D290" s="54">
        <f>(42.8)*(10.764)</f>
        <v>460.69919999999996</v>
      </c>
      <c r="E290" s="53">
        <v>0</v>
      </c>
      <c r="F290" s="53">
        <f>D290*(($F$287)+1)+(IF(E290&lt;101,E290,IF(E290&lt;201,E290/2,IF(E290&lt;=301,E290/3,E290/4))))</f>
        <v>668.01383999999996</v>
      </c>
      <c r="G290" s="101" t="str">
        <f>A289</f>
        <v xml:space="preserve">Ground Floor For Residential &amp; Commercial </v>
      </c>
      <c r="H290" s="102"/>
      <c r="I290" s="55"/>
      <c r="L290" s="128"/>
      <c r="M290" s="128"/>
      <c r="N290" s="55"/>
    </row>
    <row r="291" spans="1:14" s="20" customFormat="1">
      <c r="A291" s="112">
        <f t="shared" ref="A291:A292" si="21">A290+1</f>
        <v>2</v>
      </c>
      <c r="B291" s="113"/>
      <c r="C291" s="53" t="s">
        <v>244</v>
      </c>
      <c r="D291" s="54">
        <f>(33.08)*(10.764)</f>
        <v>356.07311999999996</v>
      </c>
      <c r="E291" s="53">
        <v>0</v>
      </c>
      <c r="F291" s="53">
        <f>D291*(($F$287)+1)+(IF(E291&lt;101,E291,IF(E291&lt;201,E291/2,IF(E291&lt;=301,E291/3,E291/4))))</f>
        <v>516.30602399999998</v>
      </c>
      <c r="G291" s="103"/>
      <c r="H291" s="104"/>
      <c r="I291" s="55"/>
      <c r="L291" s="128"/>
      <c r="M291" s="128"/>
      <c r="N291" s="55"/>
    </row>
    <row r="292" spans="1:14" s="20" customFormat="1">
      <c r="A292" s="112">
        <f t="shared" si="21"/>
        <v>3</v>
      </c>
      <c r="B292" s="113"/>
      <c r="C292" s="53" t="s">
        <v>243</v>
      </c>
      <c r="D292" s="54">
        <f>(42.8)*(10.764)</f>
        <v>460.69919999999996</v>
      </c>
      <c r="E292" s="53">
        <v>0</v>
      </c>
      <c r="F292" s="53">
        <f>D292*(($F$287)+1)+(IF(E292&lt;101,E292,IF(E292&lt;201,E292/2,IF(E292&lt;=301,E292/3,E292/4))))</f>
        <v>668.01383999999996</v>
      </c>
      <c r="G292" s="105"/>
      <c r="H292" s="106"/>
      <c r="I292" s="55">
        <f>(2.75*4.27+1.92*2.3+2.75*2.75+1.5*0.53+2.75*3.35+1.22*1.98+1.8*1.22+0.9*3)</f>
        <v>41.040100000000002</v>
      </c>
      <c r="L292" s="128"/>
      <c r="M292" s="128"/>
      <c r="N292" s="55"/>
    </row>
    <row r="293" spans="1:14" s="20" customFormat="1">
      <c r="A293" s="129" t="s">
        <v>245</v>
      </c>
      <c r="B293" s="129"/>
      <c r="C293" s="129"/>
      <c r="D293" s="129"/>
      <c r="E293" s="129"/>
      <c r="F293" s="129"/>
      <c r="G293" s="129"/>
      <c r="H293" s="129"/>
      <c r="I293" s="55"/>
      <c r="L293" s="128"/>
      <c r="M293" s="128"/>
    </row>
    <row r="294" spans="1:14" s="20" customFormat="1" ht="15.75" customHeight="1">
      <c r="A294" s="107">
        <f>LEFT(A293,SUM(LEN(A293)-LEN(SUBSTITUTE(A293,{"0","1","2","3","4","5","6","7","8","9"},""))))*100+1</f>
        <v>101</v>
      </c>
      <c r="B294" s="107"/>
      <c r="C294" s="63" t="s">
        <v>243</v>
      </c>
      <c r="D294" s="54">
        <f>(43.09+(0.99*1.92)+0.75*(2.75*3))*(10.764)</f>
        <v>550.88322119999998</v>
      </c>
      <c r="E294" s="63">
        <v>0</v>
      </c>
      <c r="F294" s="63">
        <f t="shared" ref="F294:F299" si="22">D294*(($F$287)+1)+(IF(E294&lt;101,E294,IF(E294&lt;201,E294/2,IF(E294&lt;=301,E294/3,E294/4))))</f>
        <v>798.78067073999989</v>
      </c>
      <c r="G294" s="107" t="str">
        <f>A293</f>
        <v>1st Floor For Residential</v>
      </c>
      <c r="H294" s="107"/>
      <c r="I294" s="55"/>
      <c r="N294" s="55"/>
    </row>
    <row r="295" spans="1:14" s="20" customFormat="1">
      <c r="A295" s="107">
        <f>A294+1</f>
        <v>102</v>
      </c>
      <c r="B295" s="107"/>
      <c r="C295" s="63" t="s">
        <v>243</v>
      </c>
      <c r="D295" s="54">
        <f t="shared" ref="D295:D297" si="23">(43.09+(0.99*1.92))*(10.764)</f>
        <v>484.28097119999995</v>
      </c>
      <c r="E295" s="54">
        <f>(2.8*0.5+6*1+0.7*4.1+2*3.5+1.1*4.7)*(10.764)</f>
        <v>241.54416000000001</v>
      </c>
      <c r="F295" s="63">
        <f t="shared" si="22"/>
        <v>782.72212823999996</v>
      </c>
      <c r="G295" s="107"/>
      <c r="H295" s="107"/>
      <c r="I295" s="55"/>
      <c r="N295" s="55"/>
    </row>
    <row r="296" spans="1:14" s="20" customFormat="1">
      <c r="A296" s="107">
        <f>A295+1</f>
        <v>103</v>
      </c>
      <c r="B296" s="107"/>
      <c r="C296" s="63" t="s">
        <v>243</v>
      </c>
      <c r="D296" s="54">
        <f t="shared" si="23"/>
        <v>484.28097119999995</v>
      </c>
      <c r="E296" s="54">
        <f>(5.9*1+2.8*0.4)*(10.764)</f>
        <v>75.563280000000006</v>
      </c>
      <c r="F296" s="63">
        <f t="shared" si="22"/>
        <v>777.77068823999991</v>
      </c>
      <c r="G296" s="107"/>
      <c r="H296" s="107"/>
      <c r="I296" s="55"/>
      <c r="N296" s="55"/>
    </row>
    <row r="297" spans="1:14" s="20" customFormat="1">
      <c r="A297" s="107">
        <f>A296+1</f>
        <v>104</v>
      </c>
      <c r="B297" s="107"/>
      <c r="C297" s="63" t="s">
        <v>243</v>
      </c>
      <c r="D297" s="54">
        <f t="shared" si="23"/>
        <v>484.28097119999995</v>
      </c>
      <c r="E297" s="54">
        <f>(3.1*0.4+2.8*1+2.8*0.45)*(10.764)</f>
        <v>57.049199999999992</v>
      </c>
      <c r="F297" s="63">
        <f t="shared" si="22"/>
        <v>759.25660823999999</v>
      </c>
      <c r="G297" s="107"/>
      <c r="H297" s="107"/>
      <c r="I297" s="55"/>
      <c r="N297" s="55"/>
    </row>
    <row r="298" spans="1:14" s="20" customFormat="1">
      <c r="A298" s="107">
        <f>A297+1</f>
        <v>105</v>
      </c>
      <c r="B298" s="107"/>
      <c r="C298" s="63" t="s">
        <v>243</v>
      </c>
      <c r="D298" s="54">
        <f t="shared" ref="D298:D299" si="24">(43.09+(0.99*1.92)+0.75*(2.75*3))*(10.764)</f>
        <v>550.88322119999998</v>
      </c>
      <c r="E298" s="63">
        <v>0</v>
      </c>
      <c r="F298" s="63">
        <f t="shared" si="22"/>
        <v>798.78067073999989</v>
      </c>
      <c r="G298" s="107"/>
      <c r="H298" s="107"/>
      <c r="I298" s="55"/>
      <c r="N298" s="55"/>
    </row>
    <row r="299" spans="1:14" s="20" customFormat="1">
      <c r="A299" s="107">
        <f>A298+1</f>
        <v>106</v>
      </c>
      <c r="B299" s="107"/>
      <c r="C299" s="63" t="s">
        <v>243</v>
      </c>
      <c r="D299" s="54">
        <f t="shared" si="24"/>
        <v>550.88322119999998</v>
      </c>
      <c r="E299" s="63">
        <v>0</v>
      </c>
      <c r="F299" s="63">
        <f t="shared" si="22"/>
        <v>798.78067073999989</v>
      </c>
      <c r="G299" s="107"/>
      <c r="H299" s="107"/>
      <c r="I299" s="55"/>
      <c r="N299" s="55"/>
    </row>
    <row r="300" spans="1:14" s="20" customFormat="1">
      <c r="A300" s="129" t="s">
        <v>246</v>
      </c>
      <c r="B300" s="129"/>
      <c r="C300" s="129"/>
      <c r="D300" s="129"/>
      <c r="E300" s="129"/>
      <c r="F300" s="129"/>
      <c r="G300" s="129"/>
      <c r="H300" s="129"/>
      <c r="I300" s="55"/>
    </row>
    <row r="301" spans="1:14" s="20" customFormat="1" ht="15.75" customHeight="1">
      <c r="A301" s="107" t="str">
        <f ca="1">(SUMPRODUCT(MID(0&amp;(LEFT(A300,SUM(LEN(A300)-LEN(SUBSTITUTE(A300,{"0","1","2"},""))))),LARGE(INDEX(ISNUMBER(--MID((LEFT(A300,SUM(LEN(A300)-LEN(SUBSTITUTE(A300,{"0","1","2"},""))))),ROW(INDIRECT("1:"&amp;LEN((LEFT(A300,SUM(LEN(A300)-LEN(SUBSTITUTE(A300,{"0","1","2"},"")))))))),1))*ROW(INDIRECT("1:"&amp;LEN((LEFT(A300,SUM(LEN(A300)-LEN(SUBSTITUTE(A300,{"0","1","2"},"")))))))),0),ROW(INDIRECT("1:"&amp;LEN((LEFT(A300,SUM(LEN(A300)-LEN(SUBSTITUTE(A300,{"0","1","2"},"")))))))))+1,1)*10^ROW(INDIRECT("1:"&amp;LEN((LEFT(A300,SUM(LEN(A300)-LEN(SUBSTITUTE(A300,{"0","1","2"},""))))))))/10))*100+1&amp;""&amp;" to "&amp;""&amp;(SUMPRODUCT(MID(0&amp;(--TRIM(RIGHT(SUBSTITUTE(LEFT(A300,_xlfn.AGGREGATE(16,6,FIND({0,1,2,3,4,5,6,7,8,9},A300,ROW(INDIRECT("1:"&amp;LEN(A300)))),1))," ",REPT(" ",LEN(A300))),LEN(A300)))),LARGE(INDEX(ISNUMBER(--MID((--TRIM(RIGHT(SUBSTITUTE(LEFT(A300,_xlfn.AGGREGATE(16,6,FIND({0,1,2,3,4,5,6,7,8,9},A300,ROW(INDIRECT("1:"&amp;LEN(A300)))),1))," ",REPT(" ",LEN(A300))),LEN(A300)))),ROW(INDIRECT("1:"&amp;LEN((--TRIM(RIGHT(SUBSTITUTE(LEFT(A300,_xlfn.AGGREGATE(16,6,FIND({0,1,2,3,4,5,6,7,8,9},A300,ROW(INDIRECT("1:"&amp;LEN(A300)))),1))," ",REPT(" ",LEN(A300))),LEN(A300))))))),1))*ROW(INDIRECT("1:"&amp;LEN((--TRIM(RIGHT(SUBSTITUTE(LEFT(A300,_xlfn.AGGREGATE(16,6,FIND({0,1,2,3,4,5,6,7,8,9},A300,ROW(INDIRECT("1:"&amp;LEN(A300)))),1))," ",REPT(" ",LEN(A300))),LEN(A300))))))),0),ROW(INDIRECT("1:"&amp;LEN((--TRIM(RIGHT(SUBSTITUTE(LEFT(A300,_xlfn.AGGREGATE(16,6,FIND({0,1,2,3,4,5,6,7,8,9},A300,ROW(INDIRECT("1:"&amp;LEN(A300)))),1))," ",REPT(" ",LEN(A300))),LEN(A300))))))))+1,1)*10^ROW(INDIRECT("1:"&amp;LEN((--TRIM(RIGHT(SUBSTITUTE(LEFT(A300,_xlfn.AGGREGATE(16,6,FIND({0,1,2,3,4,5,6,7,8,9},A300,ROW(INDIRECT("1:"&amp;LEN(A300)))),1))," ",REPT(" ",LEN(A300))),LEN(A300)))))))/10))*100+1</f>
        <v>201 to 701</v>
      </c>
      <c r="B301" s="107"/>
      <c r="C301" s="63" t="s">
        <v>243</v>
      </c>
      <c r="D301" s="54">
        <f t="shared" ref="D301:D306" si="25">(43.09+(0.99*1.92)+0.75*(2.75*3))*(10.764)</f>
        <v>550.88322119999998</v>
      </c>
      <c r="E301" s="63">
        <v>0</v>
      </c>
      <c r="F301" s="63">
        <f t="shared" ref="F301:F306" si="26">D301*(($F$287)+1)+(IF(E301&lt;101,E301,IF(E301&lt;201,E301/2,IF(E301&lt;=301,E301/3,E301/4))))</f>
        <v>798.78067073999989</v>
      </c>
      <c r="G301" s="107" t="str">
        <f>A300</f>
        <v>2nd to 7th Floor</v>
      </c>
      <c r="H301" s="107"/>
      <c r="I301" s="55"/>
    </row>
    <row r="302" spans="1:14" s="20" customFormat="1">
      <c r="A302" s="107" t="str">
        <f ca="1">(SUMPRODUCT(MID(0&amp;(LEFT(A301,SUM(LEN(A301)-LEN(SUBSTITUTE(A301,{"0","1","2"},""))))),LARGE(INDEX(ISNUMBER(--MID((LEFT(A301,SUM(LEN(A301)-LEN(SUBSTITUTE(A301,{"0","1","2"},""))))),ROW(INDIRECT("1:"&amp;LEN((LEFT(A301,SUM(LEN(A301)-LEN(SUBSTITUTE(A301,{"0","1","2"},"")))))))),1))*ROW(INDIRECT("1:"&amp;LEN((LEFT(A301,SUM(LEN(A301)-LEN(SUBSTITUTE(A301,{"0","1","2"},"")))))))),0),ROW(INDIRECT("1:"&amp;LEN((LEFT(A301,SUM(LEN(A301)-LEN(SUBSTITUTE(A301,{"0","1","2"},"")))))))))+1,1)*10^ROW(INDIRECT("1:"&amp;LEN((LEFT(A301,SUM(LEN(A301)-LEN(SUBSTITUTE(A301,{"0","1","2"},""))))))))/10))*1+1&amp;""&amp;" to "&amp;""&amp;(SUMPRODUCT(MID(0&amp;(--TRIM(RIGHT(SUBSTITUTE(LEFT(A301,_xlfn.AGGREGATE(16,6,FIND({0,1,2,3,4,5,6,7,8,9},A301,ROW(INDIRECT("1:"&amp;LEN(A301)))),1))," ",REPT(" ",LEN(A301))),LEN(A301)))),LARGE(INDEX(ISNUMBER(--MID((--TRIM(RIGHT(SUBSTITUTE(LEFT(A301,_xlfn.AGGREGATE(16,6,FIND({0,1,2,3,4,5,6,7,8,9},A301,ROW(INDIRECT("1:"&amp;LEN(A301)))),1))," ",REPT(" ",LEN(A301))),LEN(A301)))),ROW(INDIRECT("1:"&amp;LEN((--TRIM(RIGHT(SUBSTITUTE(LEFT(A301,_xlfn.AGGREGATE(16,6,FIND({0,1,2,3,4,5,6,7,8,9},A301,ROW(INDIRECT("1:"&amp;LEN(A301)))),1))," ",REPT(" ",LEN(A301))),LEN(A301))))))),1))*ROW(INDIRECT("1:"&amp;LEN((--TRIM(RIGHT(SUBSTITUTE(LEFT(A301,_xlfn.AGGREGATE(16,6,FIND({0,1,2,3,4,5,6,7,8,9},A301,ROW(INDIRECT("1:"&amp;LEN(A301)))),1))," ",REPT(" ",LEN(A301))),LEN(A301))))))),0),ROW(INDIRECT("1:"&amp;LEN((--TRIM(RIGHT(SUBSTITUTE(LEFT(A301,_xlfn.AGGREGATE(16,6,FIND({0,1,2,3,4,5,6,7,8,9},A301,ROW(INDIRECT("1:"&amp;LEN(A301)))),1))," ",REPT(" ",LEN(A301))),LEN(A301))))))))+1,1)*10^ROW(INDIRECT("1:"&amp;LEN((--TRIM(RIGHT(SUBSTITUTE(LEFT(A301,_xlfn.AGGREGATE(16,6,FIND({0,1,2,3,4,5,6,7,8,9},A301,ROW(INDIRECT("1:"&amp;LEN(A301)))),1))," ",REPT(" ",LEN(A301))),LEN(A301)))))))/10))*1+1</f>
        <v>202 to 702</v>
      </c>
      <c r="B302" s="107"/>
      <c r="C302" s="63" t="s">
        <v>243</v>
      </c>
      <c r="D302" s="54">
        <f t="shared" si="25"/>
        <v>550.88322119999998</v>
      </c>
      <c r="E302" s="63">
        <v>0</v>
      </c>
      <c r="F302" s="63">
        <f t="shared" si="26"/>
        <v>798.78067073999989</v>
      </c>
      <c r="G302" s="107"/>
      <c r="H302" s="107"/>
      <c r="I302" s="55"/>
    </row>
    <row r="303" spans="1:14" s="20" customFormat="1">
      <c r="A303" s="107" t="str">
        <f ca="1">(SUMPRODUCT(MID(0&amp;(LEFT(A302,SUM(LEN(A302)-LEN(SUBSTITUTE(A302,{"0","1","2"},""))))),LARGE(INDEX(ISNUMBER(--MID((LEFT(A302,SUM(LEN(A302)-LEN(SUBSTITUTE(A302,{"0","1","2"},""))))),ROW(INDIRECT("1:"&amp;LEN((LEFT(A302,SUM(LEN(A302)-LEN(SUBSTITUTE(A302,{"0","1","2"},"")))))))),1))*ROW(INDIRECT("1:"&amp;LEN((LEFT(A302,SUM(LEN(A302)-LEN(SUBSTITUTE(A302,{"0","1","2"},"")))))))),0),ROW(INDIRECT("1:"&amp;LEN((LEFT(A302,SUM(LEN(A302)-LEN(SUBSTITUTE(A302,{"0","1","2"},"")))))))))+1,1)*10^ROW(INDIRECT("1:"&amp;LEN((LEFT(A302,SUM(LEN(A302)-LEN(SUBSTITUTE(A302,{"0","1","2"},""))))))))/10))*1+1&amp;""&amp;" to "&amp;""&amp;(SUMPRODUCT(MID(0&amp;(--TRIM(RIGHT(SUBSTITUTE(LEFT(A302,_xlfn.AGGREGATE(16,6,FIND({0,1,2,3,4,5,6,7,8,9},A302,ROW(INDIRECT("1:"&amp;LEN(A302)))),1))," ",REPT(" ",LEN(A302))),LEN(A302)))),LARGE(INDEX(ISNUMBER(--MID((--TRIM(RIGHT(SUBSTITUTE(LEFT(A302,_xlfn.AGGREGATE(16,6,FIND({0,1,2,3,4,5,6,7,8,9},A302,ROW(INDIRECT("1:"&amp;LEN(A302)))),1))," ",REPT(" ",LEN(A302))),LEN(A302)))),ROW(INDIRECT("1:"&amp;LEN((--TRIM(RIGHT(SUBSTITUTE(LEFT(A302,_xlfn.AGGREGATE(16,6,FIND({0,1,2,3,4,5,6,7,8,9},A302,ROW(INDIRECT("1:"&amp;LEN(A302)))),1))," ",REPT(" ",LEN(A302))),LEN(A302))))))),1))*ROW(INDIRECT("1:"&amp;LEN((--TRIM(RIGHT(SUBSTITUTE(LEFT(A302,_xlfn.AGGREGATE(16,6,FIND({0,1,2,3,4,5,6,7,8,9},A302,ROW(INDIRECT("1:"&amp;LEN(A302)))),1))," ",REPT(" ",LEN(A302))),LEN(A302))))))),0),ROW(INDIRECT("1:"&amp;LEN((--TRIM(RIGHT(SUBSTITUTE(LEFT(A302,_xlfn.AGGREGATE(16,6,FIND({0,1,2,3,4,5,6,7,8,9},A302,ROW(INDIRECT("1:"&amp;LEN(A302)))),1))," ",REPT(" ",LEN(A302))),LEN(A302))))))))+1,1)*10^ROW(INDIRECT("1:"&amp;LEN((--TRIM(RIGHT(SUBSTITUTE(LEFT(A302,_xlfn.AGGREGATE(16,6,FIND({0,1,2,3,4,5,6,7,8,9},A302,ROW(INDIRECT("1:"&amp;LEN(A302)))),1))," ",REPT(" ",LEN(A302))),LEN(A302)))))))/10))*1+1</f>
        <v>203 to 703</v>
      </c>
      <c r="B303" s="107"/>
      <c r="C303" s="63" t="s">
        <v>243</v>
      </c>
      <c r="D303" s="54">
        <f t="shared" si="25"/>
        <v>550.88322119999998</v>
      </c>
      <c r="E303" s="63">
        <v>0</v>
      </c>
      <c r="F303" s="63">
        <f t="shared" si="26"/>
        <v>798.78067073999989</v>
      </c>
      <c r="G303" s="107"/>
      <c r="H303" s="107"/>
      <c r="I303" s="55"/>
    </row>
    <row r="304" spans="1:14" s="20" customFormat="1">
      <c r="A304" s="107" t="str">
        <f ca="1">(SUMPRODUCT(MID(0&amp;(LEFT(A303,SUM(LEN(A303)-LEN(SUBSTITUTE(A303,{"0","1","2"},""))))),LARGE(INDEX(ISNUMBER(--MID((LEFT(A303,SUM(LEN(A303)-LEN(SUBSTITUTE(A303,{"0","1","2"},""))))),ROW(INDIRECT("1:"&amp;LEN((LEFT(A303,SUM(LEN(A303)-LEN(SUBSTITUTE(A303,{"0","1","2"},"")))))))),1))*ROW(INDIRECT("1:"&amp;LEN((LEFT(A303,SUM(LEN(A303)-LEN(SUBSTITUTE(A303,{"0","1","2"},"")))))))),0),ROW(INDIRECT("1:"&amp;LEN((LEFT(A303,SUM(LEN(A303)-LEN(SUBSTITUTE(A303,{"0","1","2"},"")))))))))+1,1)*10^ROW(INDIRECT("1:"&amp;LEN((LEFT(A303,SUM(LEN(A303)-LEN(SUBSTITUTE(A303,{"0","1","2"},""))))))))/10))*1+1&amp;""&amp;" to "&amp;""&amp;(SUMPRODUCT(MID(0&amp;(--TRIM(RIGHT(SUBSTITUTE(LEFT(A303,_xlfn.AGGREGATE(16,6,FIND({0,1,2,3,4,5,6,7,8,9},A303,ROW(INDIRECT("1:"&amp;LEN(A303)))),1))," ",REPT(" ",LEN(A303))),LEN(A303)))),LARGE(INDEX(ISNUMBER(--MID((--TRIM(RIGHT(SUBSTITUTE(LEFT(A303,_xlfn.AGGREGATE(16,6,FIND({0,1,2,3,4,5,6,7,8,9},A303,ROW(INDIRECT("1:"&amp;LEN(A303)))),1))," ",REPT(" ",LEN(A303))),LEN(A303)))),ROW(INDIRECT("1:"&amp;LEN((--TRIM(RIGHT(SUBSTITUTE(LEFT(A303,_xlfn.AGGREGATE(16,6,FIND({0,1,2,3,4,5,6,7,8,9},A303,ROW(INDIRECT("1:"&amp;LEN(A303)))),1))," ",REPT(" ",LEN(A303))),LEN(A303))))))),1))*ROW(INDIRECT("1:"&amp;LEN((--TRIM(RIGHT(SUBSTITUTE(LEFT(A303,_xlfn.AGGREGATE(16,6,FIND({0,1,2,3,4,5,6,7,8,9},A303,ROW(INDIRECT("1:"&amp;LEN(A303)))),1))," ",REPT(" ",LEN(A303))),LEN(A303))))))),0),ROW(INDIRECT("1:"&amp;LEN((--TRIM(RIGHT(SUBSTITUTE(LEFT(A303,_xlfn.AGGREGATE(16,6,FIND({0,1,2,3,4,5,6,7,8,9},A303,ROW(INDIRECT("1:"&amp;LEN(A303)))),1))," ",REPT(" ",LEN(A303))),LEN(A303))))))))+1,1)*10^ROW(INDIRECT("1:"&amp;LEN((--TRIM(RIGHT(SUBSTITUTE(LEFT(A303,_xlfn.AGGREGATE(16,6,FIND({0,1,2,3,4,5,6,7,8,9},A303,ROW(INDIRECT("1:"&amp;LEN(A303)))),1))," ",REPT(" ",LEN(A303))),LEN(A303)))))))/10))*1+1</f>
        <v>204 to 704</v>
      </c>
      <c r="B304" s="107"/>
      <c r="C304" s="63" t="s">
        <v>243</v>
      </c>
      <c r="D304" s="54">
        <f t="shared" si="25"/>
        <v>550.88322119999998</v>
      </c>
      <c r="E304" s="63">
        <v>0</v>
      </c>
      <c r="F304" s="63">
        <f t="shared" si="26"/>
        <v>798.78067073999989</v>
      </c>
      <c r="G304" s="107"/>
      <c r="H304" s="107"/>
      <c r="I304" s="55"/>
    </row>
    <row r="305" spans="1:14" s="20" customFormat="1">
      <c r="A305" s="107" t="str">
        <f ca="1">(SUMPRODUCT(MID(0&amp;(LEFT(A304,SUM(LEN(A304)-LEN(SUBSTITUTE(A304,{"0","1","2"},""))))),LARGE(INDEX(ISNUMBER(--MID((LEFT(A304,SUM(LEN(A304)-LEN(SUBSTITUTE(A304,{"0","1","2"},""))))),ROW(INDIRECT("1:"&amp;LEN((LEFT(A304,SUM(LEN(A304)-LEN(SUBSTITUTE(A304,{"0","1","2"},"")))))))),1))*ROW(INDIRECT("1:"&amp;LEN((LEFT(A304,SUM(LEN(A304)-LEN(SUBSTITUTE(A304,{"0","1","2"},"")))))))),0),ROW(INDIRECT("1:"&amp;LEN((LEFT(A304,SUM(LEN(A304)-LEN(SUBSTITUTE(A304,{"0","1","2"},"")))))))))+1,1)*10^ROW(INDIRECT("1:"&amp;LEN((LEFT(A304,SUM(LEN(A304)-LEN(SUBSTITUTE(A304,{"0","1","2"},""))))))))/10))*1+1&amp;""&amp;" to "&amp;""&amp;(SUMPRODUCT(MID(0&amp;(--TRIM(RIGHT(SUBSTITUTE(LEFT(A304,_xlfn.AGGREGATE(16,6,FIND({0,1,2,3,4,5,6,7,8,9},A304,ROW(INDIRECT("1:"&amp;LEN(A304)))),1))," ",REPT(" ",LEN(A304))),LEN(A304)))),LARGE(INDEX(ISNUMBER(--MID((--TRIM(RIGHT(SUBSTITUTE(LEFT(A304,_xlfn.AGGREGATE(16,6,FIND({0,1,2,3,4,5,6,7,8,9},A304,ROW(INDIRECT("1:"&amp;LEN(A304)))),1))," ",REPT(" ",LEN(A304))),LEN(A304)))),ROW(INDIRECT("1:"&amp;LEN((--TRIM(RIGHT(SUBSTITUTE(LEFT(A304,_xlfn.AGGREGATE(16,6,FIND({0,1,2,3,4,5,6,7,8,9},A304,ROW(INDIRECT("1:"&amp;LEN(A304)))),1))," ",REPT(" ",LEN(A304))),LEN(A304))))))),1))*ROW(INDIRECT("1:"&amp;LEN((--TRIM(RIGHT(SUBSTITUTE(LEFT(A304,_xlfn.AGGREGATE(16,6,FIND({0,1,2,3,4,5,6,7,8,9},A304,ROW(INDIRECT("1:"&amp;LEN(A304)))),1))," ",REPT(" ",LEN(A304))),LEN(A304))))))),0),ROW(INDIRECT("1:"&amp;LEN((--TRIM(RIGHT(SUBSTITUTE(LEFT(A304,_xlfn.AGGREGATE(16,6,FIND({0,1,2,3,4,5,6,7,8,9},A304,ROW(INDIRECT("1:"&amp;LEN(A304)))),1))," ",REPT(" ",LEN(A304))),LEN(A304))))))))+1,1)*10^ROW(INDIRECT("1:"&amp;LEN((--TRIM(RIGHT(SUBSTITUTE(LEFT(A304,_xlfn.AGGREGATE(16,6,FIND({0,1,2,3,4,5,6,7,8,9},A304,ROW(INDIRECT("1:"&amp;LEN(A304)))),1))," ",REPT(" ",LEN(A304))),LEN(A304)))))))/10))*1+1</f>
        <v>205 to 705</v>
      </c>
      <c r="B305" s="107"/>
      <c r="C305" s="63" t="s">
        <v>243</v>
      </c>
      <c r="D305" s="54">
        <f t="shared" si="25"/>
        <v>550.88322119999998</v>
      </c>
      <c r="E305" s="63">
        <v>0</v>
      </c>
      <c r="F305" s="63">
        <f t="shared" si="26"/>
        <v>798.78067073999989</v>
      </c>
      <c r="G305" s="107"/>
      <c r="H305" s="107"/>
      <c r="I305" s="55"/>
    </row>
    <row r="306" spans="1:14" s="20" customFormat="1">
      <c r="A306" s="107" t="str">
        <f ca="1">(SUMPRODUCT(MID(0&amp;(LEFT(A305,SUM(LEN(A305)-LEN(SUBSTITUTE(A305,{"0","1","2"},""))))),LARGE(INDEX(ISNUMBER(--MID((LEFT(A305,SUM(LEN(A305)-LEN(SUBSTITUTE(A305,{"0","1","2"},""))))),ROW(INDIRECT("1:"&amp;LEN((LEFT(A305,SUM(LEN(A305)-LEN(SUBSTITUTE(A305,{"0","1","2"},"")))))))),1))*ROW(INDIRECT("1:"&amp;LEN((LEFT(A305,SUM(LEN(A305)-LEN(SUBSTITUTE(A305,{"0","1","2"},"")))))))),0),ROW(INDIRECT("1:"&amp;LEN((LEFT(A305,SUM(LEN(A305)-LEN(SUBSTITUTE(A305,{"0","1","2"},"")))))))))+1,1)*10^ROW(INDIRECT("1:"&amp;LEN((LEFT(A305,SUM(LEN(A305)-LEN(SUBSTITUTE(A305,{"0","1","2"},""))))))))/10))*1+1&amp;""&amp;" to "&amp;""&amp;(SUMPRODUCT(MID(0&amp;(--TRIM(RIGHT(SUBSTITUTE(LEFT(A305,_xlfn.AGGREGATE(16,6,FIND({0,1,2,3,4,5,6,7,8,9},A305,ROW(INDIRECT("1:"&amp;LEN(A305)))),1))," ",REPT(" ",LEN(A305))),LEN(A305)))),LARGE(INDEX(ISNUMBER(--MID((--TRIM(RIGHT(SUBSTITUTE(LEFT(A305,_xlfn.AGGREGATE(16,6,FIND({0,1,2,3,4,5,6,7,8,9},A305,ROW(INDIRECT("1:"&amp;LEN(A305)))),1))," ",REPT(" ",LEN(A305))),LEN(A305)))),ROW(INDIRECT("1:"&amp;LEN((--TRIM(RIGHT(SUBSTITUTE(LEFT(A305,_xlfn.AGGREGATE(16,6,FIND({0,1,2,3,4,5,6,7,8,9},A305,ROW(INDIRECT("1:"&amp;LEN(A305)))),1))," ",REPT(" ",LEN(A305))),LEN(A305))))))),1))*ROW(INDIRECT("1:"&amp;LEN((--TRIM(RIGHT(SUBSTITUTE(LEFT(A305,_xlfn.AGGREGATE(16,6,FIND({0,1,2,3,4,5,6,7,8,9},A305,ROW(INDIRECT("1:"&amp;LEN(A305)))),1))," ",REPT(" ",LEN(A305))),LEN(A305))))))),0),ROW(INDIRECT("1:"&amp;LEN((--TRIM(RIGHT(SUBSTITUTE(LEFT(A305,_xlfn.AGGREGATE(16,6,FIND({0,1,2,3,4,5,6,7,8,9},A305,ROW(INDIRECT("1:"&amp;LEN(A305)))),1))," ",REPT(" ",LEN(A305))),LEN(A305))))))))+1,1)*10^ROW(INDIRECT("1:"&amp;LEN((--TRIM(RIGHT(SUBSTITUTE(LEFT(A305,_xlfn.AGGREGATE(16,6,FIND({0,1,2,3,4,5,6,7,8,9},A305,ROW(INDIRECT("1:"&amp;LEN(A305)))),1))," ",REPT(" ",LEN(A305))),LEN(A305)))))))/10))*1+1</f>
        <v>206 to 706</v>
      </c>
      <c r="B306" s="107"/>
      <c r="C306" s="63" t="s">
        <v>243</v>
      </c>
      <c r="D306" s="54">
        <f t="shared" si="25"/>
        <v>550.88322119999998</v>
      </c>
      <c r="E306" s="63">
        <v>0</v>
      </c>
      <c r="F306" s="63">
        <f t="shared" si="26"/>
        <v>798.78067073999989</v>
      </c>
      <c r="G306" s="107"/>
      <c r="H306" s="107"/>
      <c r="I306" s="55"/>
    </row>
    <row r="307" spans="1:14" s="20" customFormat="1">
      <c r="A307" s="125" t="s">
        <v>215</v>
      </c>
      <c r="B307" s="126"/>
      <c r="C307" s="126"/>
      <c r="D307" s="126"/>
      <c r="E307" s="126"/>
      <c r="F307" s="126"/>
      <c r="G307" s="126"/>
      <c r="H307" s="127"/>
      <c r="J307" s="55"/>
    </row>
    <row r="308" spans="1:14" s="20" customFormat="1">
      <c r="A308" s="125" t="s">
        <v>242</v>
      </c>
      <c r="B308" s="126"/>
      <c r="C308" s="126"/>
      <c r="D308" s="126"/>
      <c r="E308" s="126"/>
      <c r="F308" s="126"/>
      <c r="G308" s="126"/>
      <c r="H308" s="127"/>
      <c r="J308" s="55"/>
    </row>
    <row r="309" spans="1:14" s="20" customFormat="1" ht="15.75" customHeight="1">
      <c r="A309" s="112">
        <v>1</v>
      </c>
      <c r="B309" s="113"/>
      <c r="C309" s="53" t="s">
        <v>244</v>
      </c>
      <c r="D309" s="54">
        <f>(32.18)*(10.764)</f>
        <v>346.38551999999999</v>
      </c>
      <c r="E309" s="53">
        <v>0</v>
      </c>
      <c r="F309" s="53">
        <f>D309*(($F$287)+1)+(IF(E309&lt;101,E309,IF(E309&lt;201,E309/2,IF(E309&lt;=301,E309/3,E309/4))))</f>
        <v>502.25900399999995</v>
      </c>
      <c r="G309" s="101" t="str">
        <f>A308</f>
        <v xml:space="preserve">Ground Floor For Residential &amp; Commercial </v>
      </c>
      <c r="H309" s="102"/>
      <c r="I309" s="55">
        <f>(2.75*3.96+1.92*2.3+2.75*2.75+1.5*0.53+1.8*1.22+1.22*1.98+0.9*2.3)</f>
        <v>30.345100000000006</v>
      </c>
      <c r="L309" s="128"/>
      <c r="M309" s="128"/>
      <c r="N309" s="55"/>
    </row>
    <row r="310" spans="1:14" s="20" customFormat="1">
      <c r="A310" s="112">
        <f t="shared" ref="A310:A312" si="27">A309+1</f>
        <v>2</v>
      </c>
      <c r="B310" s="113"/>
      <c r="C310" s="53" t="s">
        <v>247</v>
      </c>
      <c r="D310" s="54">
        <f>(20.66)*(10.764)</f>
        <v>222.38423999999998</v>
      </c>
      <c r="E310" s="53">
        <v>0</v>
      </c>
      <c r="F310" s="53">
        <f>D310*(($F$287)+1)+(IF(E310&lt;101,E310,IF(E310&lt;201,E310/2,IF(E310&lt;=301,E310/3,E310/4))))</f>
        <v>322.45714799999996</v>
      </c>
      <c r="G310" s="103"/>
      <c r="H310" s="104"/>
      <c r="I310" s="55"/>
      <c r="L310" s="128"/>
      <c r="M310" s="128"/>
      <c r="N310" s="55"/>
    </row>
    <row r="311" spans="1:14" s="20" customFormat="1">
      <c r="A311" s="112">
        <f t="shared" si="27"/>
        <v>3</v>
      </c>
      <c r="B311" s="113"/>
      <c r="C311" s="53" t="s">
        <v>244</v>
      </c>
      <c r="D311" s="54">
        <f>(32.18)*(10.764)</f>
        <v>346.38551999999999</v>
      </c>
      <c r="E311" s="53">
        <v>0</v>
      </c>
      <c r="F311" s="53">
        <f>D311*(($F$287)+1)+(IF(E311&lt;101,E311,IF(E311&lt;201,E311/2,IF(E311&lt;=301,E311/3,E311/4))))</f>
        <v>502.25900399999995</v>
      </c>
      <c r="G311" s="103"/>
      <c r="H311" s="104"/>
      <c r="I311" s="55"/>
      <c r="L311" s="128"/>
      <c r="M311" s="128"/>
      <c r="N311" s="55"/>
    </row>
    <row r="312" spans="1:14" s="20" customFormat="1">
      <c r="A312" s="112">
        <f t="shared" si="27"/>
        <v>4</v>
      </c>
      <c r="B312" s="113"/>
      <c r="C312" s="53" t="s">
        <v>244</v>
      </c>
      <c r="D312" s="54">
        <f>(32.18)*(10.764)</f>
        <v>346.38551999999999</v>
      </c>
      <c r="E312" s="53">
        <v>0</v>
      </c>
      <c r="F312" s="53">
        <f>D312*(($F$287)+1)+(IF(E312&lt;101,E312,IF(E312&lt;201,E312/2,IF(E312&lt;=301,E312/3,E312/4))))</f>
        <v>502.25900399999995</v>
      </c>
      <c r="G312" s="105"/>
      <c r="H312" s="106"/>
      <c r="I312" s="55"/>
      <c r="L312" s="128"/>
      <c r="M312" s="128"/>
      <c r="N312" s="55"/>
    </row>
    <row r="313" spans="1:14" s="20" customFormat="1">
      <c r="A313" s="129" t="s">
        <v>245</v>
      </c>
      <c r="B313" s="129"/>
      <c r="C313" s="129"/>
      <c r="D313" s="129"/>
      <c r="E313" s="129"/>
      <c r="F313" s="129"/>
      <c r="G313" s="129"/>
      <c r="H313" s="129"/>
      <c r="I313" s="55"/>
      <c r="J313" s="20" t="s">
        <v>248</v>
      </c>
      <c r="L313" s="128"/>
      <c r="M313" s="128"/>
    </row>
    <row r="314" spans="1:14" s="20" customFormat="1" ht="15.75" customHeight="1">
      <c r="A314" s="107">
        <f>LEFT(A313,SUM(LEN(A313)-LEN(SUBSTITUTE(A313,{"0","1","2","3","4","5","6","7","8","9"},""))))*100+1</f>
        <v>101</v>
      </c>
      <c r="B314" s="107"/>
      <c r="C314" s="61" t="s">
        <v>244</v>
      </c>
      <c r="D314" s="54">
        <f>(29.61+2.75*1+0.99*1.92+0.75*(2.75*2))*(10.764)</f>
        <v>413.18475119999994</v>
      </c>
      <c r="E314" s="54">
        <f>0*(10.764)</f>
        <v>0</v>
      </c>
      <c r="F314" s="61">
        <f t="shared" ref="F314:F315" si="28">D314*(($F$287)+1)+(IF(E314&lt;101,E314,IF(E314&lt;201,E314/2,IF(E314&lt;=301,E314/3,E314/4))))</f>
        <v>599.11788923999984</v>
      </c>
      <c r="G314" s="107" t="str">
        <f>A313</f>
        <v>1st Floor For Residential</v>
      </c>
      <c r="H314" s="107"/>
      <c r="I314" s="55"/>
      <c r="N314" s="55"/>
    </row>
    <row r="315" spans="1:14" s="20" customFormat="1">
      <c r="A315" s="107">
        <f t="shared" ref="A315:A321" si="29">A314+1</f>
        <v>102</v>
      </c>
      <c r="B315" s="107"/>
      <c r="C315" s="61" t="s">
        <v>243</v>
      </c>
      <c r="D315" s="54">
        <f>(42.68+2.75*1+0.99*1.92)*(10.764)</f>
        <v>509.46873119999992</v>
      </c>
      <c r="E315" s="54">
        <f>(2.8*0.5+2.75*1.4)*(10.764)</f>
        <v>56.510999999999996</v>
      </c>
      <c r="F315" s="61">
        <f t="shared" si="28"/>
        <v>795.24066023999978</v>
      </c>
      <c r="G315" s="107"/>
      <c r="H315" s="107"/>
      <c r="I315" s="55">
        <f>(2.75*2.96+1.25*1.8+1.92*2.3+2.75*2.75+1.5*0.53+3.05*3.35+1.8*1.22+1.22*1.98+0.9*2.3)</f>
        <v>40.062599999999996</v>
      </c>
      <c r="N315" s="55"/>
    </row>
    <row r="316" spans="1:14" s="20" customFormat="1">
      <c r="A316" s="107">
        <f t="shared" si="29"/>
        <v>103</v>
      </c>
      <c r="B316" s="107"/>
      <c r="C316" s="61" t="s">
        <v>244</v>
      </c>
      <c r="D316" s="54">
        <f t="shared" ref="D316:D318" si="30">(29.61+2.75*1+0.99*1.92)*(10.764)</f>
        <v>368.78325119999994</v>
      </c>
      <c r="E316" s="54">
        <f>(2.75*1.4+2.75*0.4)*(10.764)</f>
        <v>53.28179999999999</v>
      </c>
      <c r="F316" s="61">
        <f t="shared" ref="F316:F321" si="31">D316*(($F$287)+1)+(IF(E316&lt;101,E316,IF(E316&lt;201,E316/2,IF(E316&lt;=301,E316/3,E316/4))))</f>
        <v>588.01751423999985</v>
      </c>
      <c r="G316" s="107"/>
      <c r="H316" s="107"/>
      <c r="I316" s="55">
        <f>(2.75*2.96+1.92*2.3+2.75*2.75+1.5*0.53+1.8*1.22+1.22*1.98+0.9*2.3)</f>
        <v>27.595100000000006</v>
      </c>
      <c r="N316" s="55"/>
    </row>
    <row r="317" spans="1:14" s="20" customFormat="1">
      <c r="A317" s="107">
        <f t="shared" si="29"/>
        <v>104</v>
      </c>
      <c r="B317" s="107"/>
      <c r="C317" s="61" t="s">
        <v>244</v>
      </c>
      <c r="D317" s="54">
        <f t="shared" si="30"/>
        <v>368.78325119999994</v>
      </c>
      <c r="E317" s="54">
        <f>(2.75*1.4+2.75*0.4)*(10.764)</f>
        <v>53.28179999999999</v>
      </c>
      <c r="F317" s="61">
        <f t="shared" si="31"/>
        <v>588.01751423999985</v>
      </c>
      <c r="G317" s="107"/>
      <c r="H317" s="107"/>
      <c r="I317" s="55"/>
      <c r="N317" s="55"/>
    </row>
    <row r="318" spans="1:14" s="20" customFormat="1">
      <c r="A318" s="107">
        <f t="shared" si="29"/>
        <v>105</v>
      </c>
      <c r="B318" s="107"/>
      <c r="C318" s="61" t="s">
        <v>244</v>
      </c>
      <c r="D318" s="54">
        <f t="shared" si="30"/>
        <v>368.78325119999994</v>
      </c>
      <c r="E318" s="54">
        <f>(2.8*0.5+2.75*1.4)*(10.764)</f>
        <v>56.510999999999996</v>
      </c>
      <c r="F318" s="61">
        <f t="shared" si="31"/>
        <v>591.24671423999985</v>
      </c>
      <c r="G318" s="107"/>
      <c r="H318" s="107"/>
      <c r="I318" s="55"/>
      <c r="N318" s="55"/>
    </row>
    <row r="319" spans="1:14" s="20" customFormat="1">
      <c r="A319" s="107">
        <f t="shared" si="29"/>
        <v>106</v>
      </c>
      <c r="B319" s="107"/>
      <c r="C319" s="61" t="s">
        <v>244</v>
      </c>
      <c r="D319" s="54">
        <f t="shared" ref="D319:D330" si="32">(29.61+2.75*1+0.99*1.92+0.75*(2.75*2))*(10.764)</f>
        <v>413.18475119999994</v>
      </c>
      <c r="E319" s="54">
        <f>0*(10.764)</f>
        <v>0</v>
      </c>
      <c r="F319" s="61">
        <f t="shared" si="31"/>
        <v>599.11788923999984</v>
      </c>
      <c r="G319" s="107"/>
      <c r="H319" s="107"/>
      <c r="I319" s="55"/>
      <c r="N319" s="55"/>
    </row>
    <row r="320" spans="1:14" s="20" customFormat="1">
      <c r="A320" s="107">
        <f t="shared" si="29"/>
        <v>107</v>
      </c>
      <c r="B320" s="107"/>
      <c r="C320" s="61" t="s">
        <v>244</v>
      </c>
      <c r="D320" s="54">
        <f t="shared" si="32"/>
        <v>413.18475119999994</v>
      </c>
      <c r="E320" s="54">
        <f>0*(10.764)</f>
        <v>0</v>
      </c>
      <c r="F320" s="61">
        <f t="shared" si="31"/>
        <v>599.11788923999984</v>
      </c>
      <c r="G320" s="107"/>
      <c r="H320" s="107"/>
      <c r="I320" s="55"/>
      <c r="N320" s="55"/>
    </row>
    <row r="321" spans="1:14" s="20" customFormat="1">
      <c r="A321" s="107">
        <f t="shared" si="29"/>
        <v>108</v>
      </c>
      <c r="B321" s="107"/>
      <c r="C321" s="61" t="s">
        <v>244</v>
      </c>
      <c r="D321" s="54">
        <f t="shared" si="32"/>
        <v>413.18475119999994</v>
      </c>
      <c r="E321" s="54">
        <f>0*(10.764)</f>
        <v>0</v>
      </c>
      <c r="F321" s="61">
        <f t="shared" si="31"/>
        <v>599.11788923999984</v>
      </c>
      <c r="G321" s="107"/>
      <c r="H321" s="107"/>
      <c r="I321" s="55"/>
      <c r="N321" s="55"/>
    </row>
    <row r="322" spans="1:14" s="20" customFormat="1">
      <c r="A322" s="125" t="s">
        <v>246</v>
      </c>
      <c r="B322" s="126"/>
      <c r="C322" s="126"/>
      <c r="D322" s="126"/>
      <c r="E322" s="126"/>
      <c r="F322" s="126"/>
      <c r="G322" s="126"/>
      <c r="H322" s="127"/>
      <c r="I322" s="55"/>
    </row>
    <row r="323" spans="1:14" s="20" customFormat="1" ht="15.75" customHeight="1">
      <c r="A323" s="112" t="str">
        <f ca="1">(SUMPRODUCT(MID(0&amp;(LEFT(A322,SUM(LEN(A322)-LEN(SUBSTITUTE(A322,{"0","1","2"},""))))),LARGE(INDEX(ISNUMBER(--MID((LEFT(A322,SUM(LEN(A322)-LEN(SUBSTITUTE(A322,{"0","1","2"},""))))),ROW(INDIRECT("1:"&amp;LEN((LEFT(A322,SUM(LEN(A322)-LEN(SUBSTITUTE(A322,{"0","1","2"},"")))))))),1))*ROW(INDIRECT("1:"&amp;LEN((LEFT(A322,SUM(LEN(A322)-LEN(SUBSTITUTE(A322,{"0","1","2"},"")))))))),0),ROW(INDIRECT("1:"&amp;LEN((LEFT(A322,SUM(LEN(A322)-LEN(SUBSTITUTE(A322,{"0","1","2"},"")))))))))+1,1)*10^ROW(INDIRECT("1:"&amp;LEN((LEFT(A322,SUM(LEN(A322)-LEN(SUBSTITUTE(A322,{"0","1","2"},""))))))))/10))*100+1&amp;""&amp;" to "&amp;""&amp;(SUMPRODUCT(MID(0&amp;(--TRIM(RIGHT(SUBSTITUTE(LEFT(A322,_xlfn.AGGREGATE(16,6,FIND({0,1,2,3,4,5,6,7,8,9},A322,ROW(INDIRECT("1:"&amp;LEN(A322)))),1))," ",REPT(" ",LEN(A322))),LEN(A322)))),LARGE(INDEX(ISNUMBER(--MID((--TRIM(RIGHT(SUBSTITUTE(LEFT(A322,_xlfn.AGGREGATE(16,6,FIND({0,1,2,3,4,5,6,7,8,9},A322,ROW(INDIRECT("1:"&amp;LEN(A322)))),1))," ",REPT(" ",LEN(A322))),LEN(A322)))),ROW(INDIRECT("1:"&amp;LEN((--TRIM(RIGHT(SUBSTITUTE(LEFT(A322,_xlfn.AGGREGATE(16,6,FIND({0,1,2,3,4,5,6,7,8,9},A322,ROW(INDIRECT("1:"&amp;LEN(A322)))),1))," ",REPT(" ",LEN(A322))),LEN(A322))))))),1))*ROW(INDIRECT("1:"&amp;LEN((--TRIM(RIGHT(SUBSTITUTE(LEFT(A322,_xlfn.AGGREGATE(16,6,FIND({0,1,2,3,4,5,6,7,8,9},A322,ROW(INDIRECT("1:"&amp;LEN(A322)))),1))," ",REPT(" ",LEN(A322))),LEN(A322))))))),0),ROW(INDIRECT("1:"&amp;LEN((--TRIM(RIGHT(SUBSTITUTE(LEFT(A322,_xlfn.AGGREGATE(16,6,FIND({0,1,2,3,4,5,6,7,8,9},A322,ROW(INDIRECT("1:"&amp;LEN(A322)))),1))," ",REPT(" ",LEN(A322))),LEN(A322))))))))+1,1)*10^ROW(INDIRECT("1:"&amp;LEN((--TRIM(RIGHT(SUBSTITUTE(LEFT(A322,_xlfn.AGGREGATE(16,6,FIND({0,1,2,3,4,5,6,7,8,9},A322,ROW(INDIRECT("1:"&amp;LEN(A322)))),1))," ",REPT(" ",LEN(A322))),LEN(A322)))))))/10))*100+1</f>
        <v>201 to 701</v>
      </c>
      <c r="B323" s="113"/>
      <c r="C323" s="53" t="s">
        <v>244</v>
      </c>
      <c r="D323" s="54">
        <f t="shared" si="32"/>
        <v>413.18475119999994</v>
      </c>
      <c r="E323" s="53">
        <v>0</v>
      </c>
      <c r="F323" s="53">
        <f t="shared" ref="F323:F330" si="33">D323*(($F$287)+1)+(IF(E323&lt;101,E323,IF(E323&lt;201,E323/2,IF(E323&lt;=301,E323/3,E323/4))))</f>
        <v>599.11788923999984</v>
      </c>
      <c r="G323" s="101" t="str">
        <f>A322</f>
        <v>2nd to 7th Floor</v>
      </c>
      <c r="H323" s="102"/>
      <c r="I323" s="55"/>
    </row>
    <row r="324" spans="1:14" s="20" customFormat="1">
      <c r="A324" s="112" t="str">
        <f ca="1">(SUMPRODUCT(MID(0&amp;(LEFT(A323,SUM(LEN(A323)-LEN(SUBSTITUTE(A323,{"0","1","2"},""))))),LARGE(INDEX(ISNUMBER(--MID((LEFT(A323,SUM(LEN(A323)-LEN(SUBSTITUTE(A323,{"0","1","2"},""))))),ROW(INDIRECT("1:"&amp;LEN((LEFT(A323,SUM(LEN(A323)-LEN(SUBSTITUTE(A323,{"0","1","2"},"")))))))),1))*ROW(INDIRECT("1:"&amp;LEN((LEFT(A323,SUM(LEN(A323)-LEN(SUBSTITUTE(A323,{"0","1","2"},"")))))))),0),ROW(INDIRECT("1:"&amp;LEN((LEFT(A323,SUM(LEN(A323)-LEN(SUBSTITUTE(A323,{"0","1","2"},"")))))))))+1,1)*10^ROW(INDIRECT("1:"&amp;LEN((LEFT(A323,SUM(LEN(A323)-LEN(SUBSTITUTE(A323,{"0","1","2"},""))))))))/10))*1+1&amp;""&amp;" to "&amp;""&amp;(SUMPRODUCT(MID(0&amp;(--TRIM(RIGHT(SUBSTITUTE(LEFT(A323,_xlfn.AGGREGATE(16,6,FIND({0,1,2,3,4,5,6,7,8,9},A323,ROW(INDIRECT("1:"&amp;LEN(A323)))),1))," ",REPT(" ",LEN(A323))),LEN(A323)))),LARGE(INDEX(ISNUMBER(--MID((--TRIM(RIGHT(SUBSTITUTE(LEFT(A323,_xlfn.AGGREGATE(16,6,FIND({0,1,2,3,4,5,6,7,8,9},A323,ROW(INDIRECT("1:"&amp;LEN(A323)))),1))," ",REPT(" ",LEN(A323))),LEN(A323)))),ROW(INDIRECT("1:"&amp;LEN((--TRIM(RIGHT(SUBSTITUTE(LEFT(A323,_xlfn.AGGREGATE(16,6,FIND({0,1,2,3,4,5,6,7,8,9},A323,ROW(INDIRECT("1:"&amp;LEN(A323)))),1))," ",REPT(" ",LEN(A323))),LEN(A323))))))),1))*ROW(INDIRECT("1:"&amp;LEN((--TRIM(RIGHT(SUBSTITUTE(LEFT(A323,_xlfn.AGGREGATE(16,6,FIND({0,1,2,3,4,5,6,7,8,9},A323,ROW(INDIRECT("1:"&amp;LEN(A323)))),1))," ",REPT(" ",LEN(A323))),LEN(A323))))))),0),ROW(INDIRECT("1:"&amp;LEN((--TRIM(RIGHT(SUBSTITUTE(LEFT(A323,_xlfn.AGGREGATE(16,6,FIND({0,1,2,3,4,5,6,7,8,9},A323,ROW(INDIRECT("1:"&amp;LEN(A323)))),1))," ",REPT(" ",LEN(A323))),LEN(A323))))))))+1,1)*10^ROW(INDIRECT("1:"&amp;LEN((--TRIM(RIGHT(SUBSTITUTE(LEFT(A323,_xlfn.AGGREGATE(16,6,FIND({0,1,2,3,4,5,6,7,8,9},A323,ROW(INDIRECT("1:"&amp;LEN(A323)))),1))," ",REPT(" ",LEN(A323))),LEN(A323)))))))/10))*1+1</f>
        <v>202 to 702</v>
      </c>
      <c r="B324" s="113"/>
      <c r="C324" s="53" t="s">
        <v>243</v>
      </c>
      <c r="D324" s="54">
        <f>(42.68+2.75*1+0.99*1.92+0.75*(2.75*2+3.05))*(10.764)</f>
        <v>578.49288119999994</v>
      </c>
      <c r="E324" s="53">
        <v>0</v>
      </c>
      <c r="F324" s="53">
        <f t="shared" si="33"/>
        <v>838.81467773999987</v>
      </c>
      <c r="G324" s="103"/>
      <c r="H324" s="104"/>
      <c r="I324" s="55"/>
    </row>
    <row r="325" spans="1:14" s="20" customFormat="1">
      <c r="A325" s="112" t="str">
        <f ca="1">(SUMPRODUCT(MID(0&amp;(LEFT(A324,SUM(LEN(A324)-LEN(SUBSTITUTE(A324,{"0","1","2"},""))))),LARGE(INDEX(ISNUMBER(--MID((LEFT(A324,SUM(LEN(A324)-LEN(SUBSTITUTE(A324,{"0","1","2"},""))))),ROW(INDIRECT("1:"&amp;LEN((LEFT(A324,SUM(LEN(A324)-LEN(SUBSTITUTE(A324,{"0","1","2"},"")))))))),1))*ROW(INDIRECT("1:"&amp;LEN((LEFT(A324,SUM(LEN(A324)-LEN(SUBSTITUTE(A324,{"0","1","2"},"")))))))),0),ROW(INDIRECT("1:"&amp;LEN((LEFT(A324,SUM(LEN(A324)-LEN(SUBSTITUTE(A324,{"0","1","2"},"")))))))))+1,1)*10^ROW(INDIRECT("1:"&amp;LEN((LEFT(A324,SUM(LEN(A324)-LEN(SUBSTITUTE(A324,{"0","1","2"},""))))))))/10))*1+1&amp;""&amp;" to "&amp;""&amp;(SUMPRODUCT(MID(0&amp;(--TRIM(RIGHT(SUBSTITUTE(LEFT(A324,_xlfn.AGGREGATE(16,6,FIND({0,1,2,3,4,5,6,7,8,9},A324,ROW(INDIRECT("1:"&amp;LEN(A324)))),1))," ",REPT(" ",LEN(A324))),LEN(A324)))),LARGE(INDEX(ISNUMBER(--MID((--TRIM(RIGHT(SUBSTITUTE(LEFT(A324,_xlfn.AGGREGATE(16,6,FIND({0,1,2,3,4,5,6,7,8,9},A324,ROW(INDIRECT("1:"&amp;LEN(A324)))),1))," ",REPT(" ",LEN(A324))),LEN(A324)))),ROW(INDIRECT("1:"&amp;LEN((--TRIM(RIGHT(SUBSTITUTE(LEFT(A324,_xlfn.AGGREGATE(16,6,FIND({0,1,2,3,4,5,6,7,8,9},A324,ROW(INDIRECT("1:"&amp;LEN(A324)))),1))," ",REPT(" ",LEN(A324))),LEN(A324))))))),1))*ROW(INDIRECT("1:"&amp;LEN((--TRIM(RIGHT(SUBSTITUTE(LEFT(A324,_xlfn.AGGREGATE(16,6,FIND({0,1,2,3,4,5,6,7,8,9},A324,ROW(INDIRECT("1:"&amp;LEN(A324)))),1))," ",REPT(" ",LEN(A324))),LEN(A324))))))),0),ROW(INDIRECT("1:"&amp;LEN((--TRIM(RIGHT(SUBSTITUTE(LEFT(A324,_xlfn.AGGREGATE(16,6,FIND({0,1,2,3,4,5,6,7,8,9},A324,ROW(INDIRECT("1:"&amp;LEN(A324)))),1))," ",REPT(" ",LEN(A324))),LEN(A324))))))))+1,1)*10^ROW(INDIRECT("1:"&amp;LEN((--TRIM(RIGHT(SUBSTITUTE(LEFT(A324,_xlfn.AGGREGATE(16,6,FIND({0,1,2,3,4,5,6,7,8,9},A324,ROW(INDIRECT("1:"&amp;LEN(A324)))),1))," ",REPT(" ",LEN(A324))),LEN(A324)))))))/10))*1+1</f>
        <v>203 to 703</v>
      </c>
      <c r="B325" s="113"/>
      <c r="C325" s="53" t="s">
        <v>244</v>
      </c>
      <c r="D325" s="54">
        <f t="shared" si="32"/>
        <v>413.18475119999994</v>
      </c>
      <c r="E325" s="53">
        <v>0</v>
      </c>
      <c r="F325" s="53">
        <f t="shared" si="33"/>
        <v>599.11788923999984</v>
      </c>
      <c r="G325" s="103"/>
      <c r="H325" s="104"/>
      <c r="I325" s="55"/>
    </row>
    <row r="326" spans="1:14" s="20" customFormat="1">
      <c r="A326" s="112" t="str">
        <f ca="1">(SUMPRODUCT(MID(0&amp;(LEFT(A325,SUM(LEN(A325)-LEN(SUBSTITUTE(A325,{"0","1","2"},""))))),LARGE(INDEX(ISNUMBER(--MID((LEFT(A325,SUM(LEN(A325)-LEN(SUBSTITUTE(A325,{"0","1","2"},""))))),ROW(INDIRECT("1:"&amp;LEN((LEFT(A325,SUM(LEN(A325)-LEN(SUBSTITUTE(A325,{"0","1","2"},"")))))))),1))*ROW(INDIRECT("1:"&amp;LEN((LEFT(A325,SUM(LEN(A325)-LEN(SUBSTITUTE(A325,{"0","1","2"},"")))))))),0),ROW(INDIRECT("1:"&amp;LEN((LEFT(A325,SUM(LEN(A325)-LEN(SUBSTITUTE(A325,{"0","1","2"},"")))))))))+1,1)*10^ROW(INDIRECT("1:"&amp;LEN((LEFT(A325,SUM(LEN(A325)-LEN(SUBSTITUTE(A325,{"0","1","2"},""))))))))/10))*1+1&amp;""&amp;" to "&amp;""&amp;(SUMPRODUCT(MID(0&amp;(--TRIM(RIGHT(SUBSTITUTE(LEFT(A325,_xlfn.AGGREGATE(16,6,FIND({0,1,2,3,4,5,6,7,8,9},A325,ROW(INDIRECT("1:"&amp;LEN(A325)))),1))," ",REPT(" ",LEN(A325))),LEN(A325)))),LARGE(INDEX(ISNUMBER(--MID((--TRIM(RIGHT(SUBSTITUTE(LEFT(A325,_xlfn.AGGREGATE(16,6,FIND({0,1,2,3,4,5,6,7,8,9},A325,ROW(INDIRECT("1:"&amp;LEN(A325)))),1))," ",REPT(" ",LEN(A325))),LEN(A325)))),ROW(INDIRECT("1:"&amp;LEN((--TRIM(RIGHT(SUBSTITUTE(LEFT(A325,_xlfn.AGGREGATE(16,6,FIND({0,1,2,3,4,5,6,7,8,9},A325,ROW(INDIRECT("1:"&amp;LEN(A325)))),1))," ",REPT(" ",LEN(A325))),LEN(A325))))))),1))*ROW(INDIRECT("1:"&amp;LEN((--TRIM(RIGHT(SUBSTITUTE(LEFT(A325,_xlfn.AGGREGATE(16,6,FIND({0,1,2,3,4,5,6,7,8,9},A325,ROW(INDIRECT("1:"&amp;LEN(A325)))),1))," ",REPT(" ",LEN(A325))),LEN(A325))))))),0),ROW(INDIRECT("1:"&amp;LEN((--TRIM(RIGHT(SUBSTITUTE(LEFT(A325,_xlfn.AGGREGATE(16,6,FIND({0,1,2,3,4,5,6,7,8,9},A325,ROW(INDIRECT("1:"&amp;LEN(A325)))),1))," ",REPT(" ",LEN(A325))),LEN(A325))))))))+1,1)*10^ROW(INDIRECT("1:"&amp;LEN((--TRIM(RIGHT(SUBSTITUTE(LEFT(A325,_xlfn.AGGREGATE(16,6,FIND({0,1,2,3,4,5,6,7,8,9},A325,ROW(INDIRECT("1:"&amp;LEN(A325)))),1))," ",REPT(" ",LEN(A325))),LEN(A325)))))))/10))*1+1</f>
        <v>204 to 704</v>
      </c>
      <c r="B326" s="113"/>
      <c r="C326" s="53" t="s">
        <v>244</v>
      </c>
      <c r="D326" s="54">
        <f t="shared" si="32"/>
        <v>413.18475119999994</v>
      </c>
      <c r="E326" s="53">
        <v>0</v>
      </c>
      <c r="F326" s="53">
        <f t="shared" si="33"/>
        <v>599.11788923999984</v>
      </c>
      <c r="G326" s="103"/>
      <c r="H326" s="104"/>
      <c r="I326" s="55"/>
    </row>
    <row r="327" spans="1:14" s="20" customFormat="1">
      <c r="A327" s="112" t="str">
        <f ca="1">(SUMPRODUCT(MID(0&amp;(LEFT(A326,SUM(LEN(A326)-LEN(SUBSTITUTE(A326,{"0","1","2"},""))))),LARGE(INDEX(ISNUMBER(--MID((LEFT(A326,SUM(LEN(A326)-LEN(SUBSTITUTE(A326,{"0","1","2"},""))))),ROW(INDIRECT("1:"&amp;LEN((LEFT(A326,SUM(LEN(A326)-LEN(SUBSTITUTE(A326,{"0","1","2"},"")))))))),1))*ROW(INDIRECT("1:"&amp;LEN((LEFT(A326,SUM(LEN(A326)-LEN(SUBSTITUTE(A326,{"0","1","2"},"")))))))),0),ROW(INDIRECT("1:"&amp;LEN((LEFT(A326,SUM(LEN(A326)-LEN(SUBSTITUTE(A326,{"0","1","2"},"")))))))))+1,1)*10^ROW(INDIRECT("1:"&amp;LEN((LEFT(A326,SUM(LEN(A326)-LEN(SUBSTITUTE(A326,{"0","1","2"},""))))))))/10))*1+1&amp;""&amp;" to "&amp;""&amp;(SUMPRODUCT(MID(0&amp;(--TRIM(RIGHT(SUBSTITUTE(LEFT(A326,_xlfn.AGGREGATE(16,6,FIND({0,1,2,3,4,5,6,7,8,9},A326,ROW(INDIRECT("1:"&amp;LEN(A326)))),1))," ",REPT(" ",LEN(A326))),LEN(A326)))),LARGE(INDEX(ISNUMBER(--MID((--TRIM(RIGHT(SUBSTITUTE(LEFT(A326,_xlfn.AGGREGATE(16,6,FIND({0,1,2,3,4,5,6,7,8,9},A326,ROW(INDIRECT("1:"&amp;LEN(A326)))),1))," ",REPT(" ",LEN(A326))),LEN(A326)))),ROW(INDIRECT("1:"&amp;LEN((--TRIM(RIGHT(SUBSTITUTE(LEFT(A326,_xlfn.AGGREGATE(16,6,FIND({0,1,2,3,4,5,6,7,8,9},A326,ROW(INDIRECT("1:"&amp;LEN(A326)))),1))," ",REPT(" ",LEN(A326))),LEN(A326))))))),1))*ROW(INDIRECT("1:"&amp;LEN((--TRIM(RIGHT(SUBSTITUTE(LEFT(A326,_xlfn.AGGREGATE(16,6,FIND({0,1,2,3,4,5,6,7,8,9},A326,ROW(INDIRECT("1:"&amp;LEN(A326)))),1))," ",REPT(" ",LEN(A326))),LEN(A326))))))),0),ROW(INDIRECT("1:"&amp;LEN((--TRIM(RIGHT(SUBSTITUTE(LEFT(A326,_xlfn.AGGREGATE(16,6,FIND({0,1,2,3,4,5,6,7,8,9},A326,ROW(INDIRECT("1:"&amp;LEN(A326)))),1))," ",REPT(" ",LEN(A326))),LEN(A326))))))))+1,1)*10^ROW(INDIRECT("1:"&amp;LEN((--TRIM(RIGHT(SUBSTITUTE(LEFT(A326,_xlfn.AGGREGATE(16,6,FIND({0,1,2,3,4,5,6,7,8,9},A326,ROW(INDIRECT("1:"&amp;LEN(A326)))),1))," ",REPT(" ",LEN(A326))),LEN(A326)))))))/10))*1+1</f>
        <v>205 to 705</v>
      </c>
      <c r="B327" s="113"/>
      <c r="C327" s="53" t="s">
        <v>244</v>
      </c>
      <c r="D327" s="54">
        <f t="shared" si="32"/>
        <v>413.18475119999994</v>
      </c>
      <c r="E327" s="53">
        <v>0</v>
      </c>
      <c r="F327" s="53">
        <f t="shared" si="33"/>
        <v>599.11788923999984</v>
      </c>
      <c r="G327" s="103"/>
      <c r="H327" s="104"/>
      <c r="I327" s="55"/>
    </row>
    <row r="328" spans="1:14" s="20" customFormat="1">
      <c r="A328" s="112" t="str">
        <f ca="1">(SUMPRODUCT(MID(0&amp;(LEFT(A327,SUM(LEN(A327)-LEN(SUBSTITUTE(A327,{"0","1","2"},""))))),LARGE(INDEX(ISNUMBER(--MID((LEFT(A327,SUM(LEN(A327)-LEN(SUBSTITUTE(A327,{"0","1","2"},""))))),ROW(INDIRECT("1:"&amp;LEN((LEFT(A327,SUM(LEN(A327)-LEN(SUBSTITUTE(A327,{"0","1","2"},"")))))))),1))*ROW(INDIRECT("1:"&amp;LEN((LEFT(A327,SUM(LEN(A327)-LEN(SUBSTITUTE(A327,{"0","1","2"},"")))))))),0),ROW(INDIRECT("1:"&amp;LEN((LEFT(A327,SUM(LEN(A327)-LEN(SUBSTITUTE(A327,{"0","1","2"},"")))))))))+1,1)*10^ROW(INDIRECT("1:"&amp;LEN((LEFT(A327,SUM(LEN(A327)-LEN(SUBSTITUTE(A327,{"0","1","2"},""))))))))/10))*1+1&amp;""&amp;" to "&amp;""&amp;(SUMPRODUCT(MID(0&amp;(--TRIM(RIGHT(SUBSTITUTE(LEFT(A327,_xlfn.AGGREGATE(16,6,FIND({0,1,2,3,4,5,6,7,8,9},A327,ROW(INDIRECT("1:"&amp;LEN(A327)))),1))," ",REPT(" ",LEN(A327))),LEN(A327)))),LARGE(INDEX(ISNUMBER(--MID((--TRIM(RIGHT(SUBSTITUTE(LEFT(A327,_xlfn.AGGREGATE(16,6,FIND({0,1,2,3,4,5,6,7,8,9},A327,ROW(INDIRECT("1:"&amp;LEN(A327)))),1))," ",REPT(" ",LEN(A327))),LEN(A327)))),ROW(INDIRECT("1:"&amp;LEN((--TRIM(RIGHT(SUBSTITUTE(LEFT(A327,_xlfn.AGGREGATE(16,6,FIND({0,1,2,3,4,5,6,7,8,9},A327,ROW(INDIRECT("1:"&amp;LEN(A327)))),1))," ",REPT(" ",LEN(A327))),LEN(A327))))))),1))*ROW(INDIRECT("1:"&amp;LEN((--TRIM(RIGHT(SUBSTITUTE(LEFT(A327,_xlfn.AGGREGATE(16,6,FIND({0,1,2,3,4,5,6,7,8,9},A327,ROW(INDIRECT("1:"&amp;LEN(A327)))),1))," ",REPT(" ",LEN(A327))),LEN(A327))))))),0),ROW(INDIRECT("1:"&amp;LEN((--TRIM(RIGHT(SUBSTITUTE(LEFT(A327,_xlfn.AGGREGATE(16,6,FIND({0,1,2,3,4,5,6,7,8,9},A327,ROW(INDIRECT("1:"&amp;LEN(A327)))),1))," ",REPT(" ",LEN(A327))),LEN(A327))))))))+1,1)*10^ROW(INDIRECT("1:"&amp;LEN((--TRIM(RIGHT(SUBSTITUTE(LEFT(A327,_xlfn.AGGREGATE(16,6,FIND({0,1,2,3,4,5,6,7,8,9},A327,ROW(INDIRECT("1:"&amp;LEN(A327)))),1))," ",REPT(" ",LEN(A327))),LEN(A327)))))))/10))*1+1</f>
        <v>206 to 706</v>
      </c>
      <c r="B328" s="113"/>
      <c r="C328" s="53" t="s">
        <v>244</v>
      </c>
      <c r="D328" s="54">
        <f t="shared" si="32"/>
        <v>413.18475119999994</v>
      </c>
      <c r="E328" s="53">
        <v>0</v>
      </c>
      <c r="F328" s="53">
        <f t="shared" si="33"/>
        <v>599.11788923999984</v>
      </c>
      <c r="G328" s="103"/>
      <c r="H328" s="104"/>
      <c r="I328" s="55"/>
    </row>
    <row r="329" spans="1:14" s="20" customFormat="1">
      <c r="A329" s="112" t="str">
        <f ca="1">(SUMPRODUCT(MID(0&amp;(LEFT(A328,SUM(LEN(A328)-LEN(SUBSTITUTE(A328,{"0","1","2"},""))))),LARGE(INDEX(ISNUMBER(--MID((LEFT(A328,SUM(LEN(A328)-LEN(SUBSTITUTE(A328,{"0","1","2"},""))))),ROW(INDIRECT("1:"&amp;LEN((LEFT(A328,SUM(LEN(A328)-LEN(SUBSTITUTE(A328,{"0","1","2"},"")))))))),1))*ROW(INDIRECT("1:"&amp;LEN((LEFT(A328,SUM(LEN(A328)-LEN(SUBSTITUTE(A328,{"0","1","2"},"")))))))),0),ROW(INDIRECT("1:"&amp;LEN((LEFT(A328,SUM(LEN(A328)-LEN(SUBSTITUTE(A328,{"0","1","2"},"")))))))))+1,1)*10^ROW(INDIRECT("1:"&amp;LEN((LEFT(A328,SUM(LEN(A328)-LEN(SUBSTITUTE(A328,{"0","1","2"},""))))))))/10))*1+1&amp;""&amp;" to "&amp;""&amp;(SUMPRODUCT(MID(0&amp;(--TRIM(RIGHT(SUBSTITUTE(LEFT(A328,_xlfn.AGGREGATE(16,6,FIND({0,1,2,3,4,5,6,7,8,9},A328,ROW(INDIRECT("1:"&amp;LEN(A328)))),1))," ",REPT(" ",LEN(A328))),LEN(A328)))),LARGE(INDEX(ISNUMBER(--MID((--TRIM(RIGHT(SUBSTITUTE(LEFT(A328,_xlfn.AGGREGATE(16,6,FIND({0,1,2,3,4,5,6,7,8,9},A328,ROW(INDIRECT("1:"&amp;LEN(A328)))),1))," ",REPT(" ",LEN(A328))),LEN(A328)))),ROW(INDIRECT("1:"&amp;LEN((--TRIM(RIGHT(SUBSTITUTE(LEFT(A328,_xlfn.AGGREGATE(16,6,FIND({0,1,2,3,4,5,6,7,8,9},A328,ROW(INDIRECT("1:"&amp;LEN(A328)))),1))," ",REPT(" ",LEN(A328))),LEN(A328))))))),1))*ROW(INDIRECT("1:"&amp;LEN((--TRIM(RIGHT(SUBSTITUTE(LEFT(A328,_xlfn.AGGREGATE(16,6,FIND({0,1,2,3,4,5,6,7,8,9},A328,ROW(INDIRECT("1:"&amp;LEN(A328)))),1))," ",REPT(" ",LEN(A328))),LEN(A328))))))),0),ROW(INDIRECT("1:"&amp;LEN((--TRIM(RIGHT(SUBSTITUTE(LEFT(A328,_xlfn.AGGREGATE(16,6,FIND({0,1,2,3,4,5,6,7,8,9},A328,ROW(INDIRECT("1:"&amp;LEN(A328)))),1))," ",REPT(" ",LEN(A328))),LEN(A328))))))))+1,1)*10^ROW(INDIRECT("1:"&amp;LEN((--TRIM(RIGHT(SUBSTITUTE(LEFT(A328,_xlfn.AGGREGATE(16,6,FIND({0,1,2,3,4,5,6,7,8,9},A328,ROW(INDIRECT("1:"&amp;LEN(A328)))),1))," ",REPT(" ",LEN(A328))),LEN(A328)))))))/10))*1+1</f>
        <v>207 to 707</v>
      </c>
      <c r="B329" s="113"/>
      <c r="C329" s="53" t="s">
        <v>244</v>
      </c>
      <c r="D329" s="54">
        <f t="shared" si="32"/>
        <v>413.18475119999994</v>
      </c>
      <c r="E329" s="53">
        <v>0</v>
      </c>
      <c r="F329" s="53">
        <f t="shared" si="33"/>
        <v>599.11788923999984</v>
      </c>
      <c r="G329" s="103"/>
      <c r="H329" s="104"/>
      <c r="I329" s="55"/>
    </row>
    <row r="330" spans="1:14" s="20" customFormat="1">
      <c r="A330" s="112" t="str">
        <f ca="1">(SUMPRODUCT(MID(0&amp;(LEFT(A329,SUM(LEN(A329)-LEN(SUBSTITUTE(A329,{"0","1","2"},""))))),LARGE(INDEX(ISNUMBER(--MID((LEFT(A329,SUM(LEN(A329)-LEN(SUBSTITUTE(A329,{"0","1","2"},""))))),ROW(INDIRECT("1:"&amp;LEN((LEFT(A329,SUM(LEN(A329)-LEN(SUBSTITUTE(A329,{"0","1","2"},"")))))))),1))*ROW(INDIRECT("1:"&amp;LEN((LEFT(A329,SUM(LEN(A329)-LEN(SUBSTITUTE(A329,{"0","1","2"},"")))))))),0),ROW(INDIRECT("1:"&amp;LEN((LEFT(A329,SUM(LEN(A329)-LEN(SUBSTITUTE(A329,{"0","1","2"},"")))))))))+1,1)*10^ROW(INDIRECT("1:"&amp;LEN((LEFT(A329,SUM(LEN(A329)-LEN(SUBSTITUTE(A329,{"0","1","2"},""))))))))/10))*1+1&amp;""&amp;" to "&amp;""&amp;(SUMPRODUCT(MID(0&amp;(--TRIM(RIGHT(SUBSTITUTE(LEFT(A329,_xlfn.AGGREGATE(16,6,FIND({0,1,2,3,4,5,6,7,8,9},A329,ROW(INDIRECT("1:"&amp;LEN(A329)))),1))," ",REPT(" ",LEN(A329))),LEN(A329)))),LARGE(INDEX(ISNUMBER(--MID((--TRIM(RIGHT(SUBSTITUTE(LEFT(A329,_xlfn.AGGREGATE(16,6,FIND({0,1,2,3,4,5,6,7,8,9},A329,ROW(INDIRECT("1:"&amp;LEN(A329)))),1))," ",REPT(" ",LEN(A329))),LEN(A329)))),ROW(INDIRECT("1:"&amp;LEN((--TRIM(RIGHT(SUBSTITUTE(LEFT(A329,_xlfn.AGGREGATE(16,6,FIND({0,1,2,3,4,5,6,7,8,9},A329,ROW(INDIRECT("1:"&amp;LEN(A329)))),1))," ",REPT(" ",LEN(A329))),LEN(A329))))))),1))*ROW(INDIRECT("1:"&amp;LEN((--TRIM(RIGHT(SUBSTITUTE(LEFT(A329,_xlfn.AGGREGATE(16,6,FIND({0,1,2,3,4,5,6,7,8,9},A329,ROW(INDIRECT("1:"&amp;LEN(A329)))),1))," ",REPT(" ",LEN(A329))),LEN(A329))))))),0),ROW(INDIRECT("1:"&amp;LEN((--TRIM(RIGHT(SUBSTITUTE(LEFT(A329,_xlfn.AGGREGATE(16,6,FIND({0,1,2,3,4,5,6,7,8,9},A329,ROW(INDIRECT("1:"&amp;LEN(A329)))),1))," ",REPT(" ",LEN(A329))),LEN(A329))))))))+1,1)*10^ROW(INDIRECT("1:"&amp;LEN((--TRIM(RIGHT(SUBSTITUTE(LEFT(A329,_xlfn.AGGREGATE(16,6,FIND({0,1,2,3,4,5,6,7,8,9},A329,ROW(INDIRECT("1:"&amp;LEN(A329)))),1))," ",REPT(" ",LEN(A329))),LEN(A329)))))))/10))*1+1</f>
        <v>208 to 708</v>
      </c>
      <c r="B330" s="113"/>
      <c r="C330" s="53" t="s">
        <v>244</v>
      </c>
      <c r="D330" s="54">
        <f t="shared" si="32"/>
        <v>413.18475119999994</v>
      </c>
      <c r="E330" s="53">
        <v>0</v>
      </c>
      <c r="F330" s="53">
        <f t="shared" si="33"/>
        <v>599.11788923999984</v>
      </c>
      <c r="G330" s="105"/>
      <c r="H330" s="106"/>
      <c r="I330" s="55"/>
    </row>
    <row r="331" spans="1:14" s="20" customFormat="1">
      <c r="A331" s="125" t="s">
        <v>216</v>
      </c>
      <c r="B331" s="126"/>
      <c r="C331" s="126"/>
      <c r="D331" s="126"/>
      <c r="E331" s="126"/>
      <c r="F331" s="126"/>
      <c r="G331" s="126"/>
      <c r="H331" s="127"/>
      <c r="J331" s="55"/>
    </row>
    <row r="332" spans="1:14" s="20" customFormat="1">
      <c r="A332" s="125" t="s">
        <v>249</v>
      </c>
      <c r="B332" s="126"/>
      <c r="C332" s="126"/>
      <c r="D332" s="126"/>
      <c r="E332" s="126"/>
      <c r="F332" s="126"/>
      <c r="G332" s="126"/>
      <c r="H332" s="127"/>
      <c r="J332" s="55"/>
    </row>
    <row r="333" spans="1:14" s="20" customFormat="1" ht="15.75" customHeight="1">
      <c r="A333" s="112">
        <v>1</v>
      </c>
      <c r="B333" s="113"/>
      <c r="C333" s="53" t="s">
        <v>243</v>
      </c>
      <c r="D333" s="54">
        <f>(42.8)*(10.764)</f>
        <v>460.69919999999996</v>
      </c>
      <c r="E333" s="53">
        <v>0</v>
      </c>
      <c r="F333" s="53">
        <f>D333*(($F$287)+1)+(IF(E333&lt;101,E333,IF(E333&lt;201,E333/2,IF(E333&lt;=301,E333/3,E333/4))))</f>
        <v>668.01383999999996</v>
      </c>
      <c r="G333" s="101" t="str">
        <f>A332</f>
        <v xml:space="preserve">Ground Floor For Residential, Drivers Room &amp; Commercial </v>
      </c>
      <c r="H333" s="102"/>
      <c r="I333" s="56">
        <f>(2.75*4.27+1.92*2.3+2.75*2.75+1.5*0.53+2.75*3.35+1.8*1.22+1.22*1.98+0.9*2.3)</f>
        <v>40.4101</v>
      </c>
      <c r="L333" s="128"/>
      <c r="M333" s="128"/>
      <c r="N333" s="55"/>
    </row>
    <row r="334" spans="1:14" s="20" customFormat="1">
      <c r="A334" s="112">
        <f t="shared" ref="A334" si="34">A333+1</f>
        <v>2</v>
      </c>
      <c r="B334" s="113"/>
      <c r="C334" s="53" t="s">
        <v>244</v>
      </c>
      <c r="D334" s="54">
        <f>(33.08)*(10.764)</f>
        <v>356.07311999999996</v>
      </c>
      <c r="E334" s="53">
        <v>0</v>
      </c>
      <c r="F334" s="53">
        <f>D334*(($F$287)+1)+(IF(E334&lt;101,E334,IF(E334&lt;201,E334/2,IF(E334&lt;=301,E334/3,E334/4))))</f>
        <v>516.30602399999998</v>
      </c>
      <c r="G334" s="105"/>
      <c r="H334" s="106"/>
      <c r="I334" s="55"/>
      <c r="L334" s="128"/>
      <c r="M334" s="128"/>
      <c r="N334" s="55"/>
    </row>
    <row r="335" spans="1:14" s="20" customFormat="1">
      <c r="A335" s="129" t="s">
        <v>245</v>
      </c>
      <c r="B335" s="129"/>
      <c r="C335" s="129"/>
      <c r="D335" s="129"/>
      <c r="E335" s="129"/>
      <c r="F335" s="129"/>
      <c r="G335" s="129"/>
      <c r="H335" s="129"/>
      <c r="I335" s="55"/>
      <c r="L335" s="128"/>
      <c r="M335" s="128"/>
    </row>
    <row r="336" spans="1:14" s="20" customFormat="1" ht="15.75" customHeight="1">
      <c r="A336" s="107">
        <f>LEFT(A335,SUM(LEN(A335)-LEN(SUBSTITUTE(A335,{"0","1","2","3","4","5","6","7","8","9"},""))))*100+1</f>
        <v>101</v>
      </c>
      <c r="B336" s="107"/>
      <c r="C336" s="53" t="s">
        <v>243</v>
      </c>
      <c r="D336" s="54">
        <f t="shared" ref="D336" si="35">(43.09+(0.99*1.92)+0.75*(2.75*3))*(10.764)</f>
        <v>550.88322119999998</v>
      </c>
      <c r="E336" s="54">
        <f>0*(10.764)</f>
        <v>0</v>
      </c>
      <c r="F336" s="53">
        <f t="shared" ref="F336:F341" si="36">D336*(($F$287)+1)+(IF(E336&lt;101,E336,IF(E336&lt;201,E336/2,IF(E336&lt;=301,E336/3,E336/4))))</f>
        <v>798.78067073999989</v>
      </c>
      <c r="G336" s="101" t="str">
        <f>A335</f>
        <v>1st Floor For Residential</v>
      </c>
      <c r="H336" s="102"/>
      <c r="I336" s="55"/>
      <c r="N336" s="55"/>
    </row>
    <row r="337" spans="1:14" s="20" customFormat="1">
      <c r="A337" s="107">
        <f>A336+1</f>
        <v>102</v>
      </c>
      <c r="B337" s="107"/>
      <c r="C337" s="53" t="s">
        <v>243</v>
      </c>
      <c r="D337" s="54">
        <f t="shared" ref="D337:D339" si="37">(43.09+0.99*1.92)*(10.764)</f>
        <v>484.28097119999995</v>
      </c>
      <c r="E337" s="54">
        <f>(2.8*0.5+6*1+0.7*4.1+2*3.5+1.1*4.7)*(10.764)</f>
        <v>241.54416000000001</v>
      </c>
      <c r="F337" s="53">
        <f t="shared" si="36"/>
        <v>782.72212823999996</v>
      </c>
      <c r="G337" s="103"/>
      <c r="H337" s="104"/>
      <c r="I337" s="55"/>
      <c r="N337" s="55"/>
    </row>
    <row r="338" spans="1:14" s="20" customFormat="1">
      <c r="A338" s="107">
        <f>A337+1</f>
        <v>103</v>
      </c>
      <c r="B338" s="107"/>
      <c r="C338" s="53" t="s">
        <v>243</v>
      </c>
      <c r="D338" s="54">
        <f t="shared" si="37"/>
        <v>484.28097119999995</v>
      </c>
      <c r="E338" s="54">
        <f>(5.9*1+2.8*0.4)*(10.764)</f>
        <v>75.563280000000006</v>
      </c>
      <c r="F338" s="53">
        <f t="shared" si="36"/>
        <v>777.77068823999991</v>
      </c>
      <c r="G338" s="103"/>
      <c r="H338" s="104"/>
      <c r="I338" s="55">
        <f>(2.75*4.27+1.92*2.3+2.75*2.75+1.5*0.53+2.75*3.35+1.22*1.98+1.8*1.2+0.9*2.3)</f>
        <v>40.374100000000006</v>
      </c>
      <c r="N338" s="55"/>
    </row>
    <row r="339" spans="1:14" s="20" customFormat="1">
      <c r="A339" s="107">
        <f>A338+1</f>
        <v>104</v>
      </c>
      <c r="B339" s="107"/>
      <c r="C339" s="53" t="s">
        <v>243</v>
      </c>
      <c r="D339" s="54">
        <f t="shared" si="37"/>
        <v>484.28097119999995</v>
      </c>
      <c r="E339" s="54">
        <f>(3.1*0.4+2.8*1+2.8*0.45)*(10.764)</f>
        <v>57.049199999999992</v>
      </c>
      <c r="F339" s="53">
        <f t="shared" si="36"/>
        <v>759.25660823999999</v>
      </c>
      <c r="G339" s="103"/>
      <c r="H339" s="104"/>
      <c r="I339" s="55"/>
      <c r="N339" s="55"/>
    </row>
    <row r="340" spans="1:14" s="20" customFormat="1">
      <c r="A340" s="107">
        <f>A339+1</f>
        <v>105</v>
      </c>
      <c r="B340" s="107"/>
      <c r="C340" s="53" t="s">
        <v>243</v>
      </c>
      <c r="D340" s="54">
        <f t="shared" ref="D340:D341" si="38">(43.09+(0.99*1.92)+0.75*(2.75*3))*(10.764)</f>
        <v>550.88322119999998</v>
      </c>
      <c r="E340" s="54">
        <f>0*(10.764)</f>
        <v>0</v>
      </c>
      <c r="F340" s="53">
        <f t="shared" si="36"/>
        <v>798.78067073999989</v>
      </c>
      <c r="G340" s="103"/>
      <c r="H340" s="104"/>
      <c r="I340" s="55"/>
      <c r="N340" s="55"/>
    </row>
    <row r="341" spans="1:14" s="20" customFormat="1">
      <c r="A341" s="107">
        <f>A340+1</f>
        <v>106</v>
      </c>
      <c r="B341" s="107"/>
      <c r="C341" s="53" t="s">
        <v>243</v>
      </c>
      <c r="D341" s="54">
        <f t="shared" si="38"/>
        <v>550.88322119999998</v>
      </c>
      <c r="E341" s="54">
        <f>0*(10.764)</f>
        <v>0</v>
      </c>
      <c r="F341" s="53">
        <f t="shared" si="36"/>
        <v>798.78067073999989</v>
      </c>
      <c r="G341" s="105"/>
      <c r="H341" s="106"/>
      <c r="I341" s="55"/>
      <c r="N341" s="55"/>
    </row>
    <row r="342" spans="1:14" s="20" customFormat="1">
      <c r="A342" s="125" t="s">
        <v>246</v>
      </c>
      <c r="B342" s="126"/>
      <c r="C342" s="126"/>
      <c r="D342" s="126"/>
      <c r="E342" s="126"/>
      <c r="F342" s="126"/>
      <c r="G342" s="126"/>
      <c r="H342" s="127"/>
      <c r="I342" s="55"/>
    </row>
    <row r="343" spans="1:14" s="20" customFormat="1" ht="15.75" customHeight="1">
      <c r="A343" s="112" t="str">
        <f ca="1">(SUMPRODUCT(MID(0&amp;(LEFT(A342,SUM(LEN(A342)-LEN(SUBSTITUTE(A342,{"0","1","2"},""))))),LARGE(INDEX(ISNUMBER(--MID((LEFT(A342,SUM(LEN(A342)-LEN(SUBSTITUTE(A342,{"0","1","2"},""))))),ROW(INDIRECT("1:"&amp;LEN((LEFT(A342,SUM(LEN(A342)-LEN(SUBSTITUTE(A342,{"0","1","2"},"")))))))),1))*ROW(INDIRECT("1:"&amp;LEN((LEFT(A342,SUM(LEN(A342)-LEN(SUBSTITUTE(A342,{"0","1","2"},"")))))))),0),ROW(INDIRECT("1:"&amp;LEN((LEFT(A342,SUM(LEN(A342)-LEN(SUBSTITUTE(A342,{"0","1","2"},"")))))))))+1,1)*10^ROW(INDIRECT("1:"&amp;LEN((LEFT(A342,SUM(LEN(A342)-LEN(SUBSTITUTE(A342,{"0","1","2"},""))))))))/10))*100+1&amp;""&amp;" to "&amp;""&amp;(SUMPRODUCT(MID(0&amp;(--TRIM(RIGHT(SUBSTITUTE(LEFT(A342,_xlfn.AGGREGATE(16,6,FIND({0,1,2,3,4,5,6,7,8,9},A342,ROW(INDIRECT("1:"&amp;LEN(A342)))),1))," ",REPT(" ",LEN(A342))),LEN(A342)))),LARGE(INDEX(ISNUMBER(--MID((--TRIM(RIGHT(SUBSTITUTE(LEFT(A342,_xlfn.AGGREGATE(16,6,FIND({0,1,2,3,4,5,6,7,8,9},A342,ROW(INDIRECT("1:"&amp;LEN(A342)))),1))," ",REPT(" ",LEN(A342))),LEN(A342)))),ROW(INDIRECT("1:"&amp;LEN((--TRIM(RIGHT(SUBSTITUTE(LEFT(A342,_xlfn.AGGREGATE(16,6,FIND({0,1,2,3,4,5,6,7,8,9},A342,ROW(INDIRECT("1:"&amp;LEN(A342)))),1))," ",REPT(" ",LEN(A342))),LEN(A342))))))),1))*ROW(INDIRECT("1:"&amp;LEN((--TRIM(RIGHT(SUBSTITUTE(LEFT(A342,_xlfn.AGGREGATE(16,6,FIND({0,1,2,3,4,5,6,7,8,9},A342,ROW(INDIRECT("1:"&amp;LEN(A342)))),1))," ",REPT(" ",LEN(A342))),LEN(A342))))))),0),ROW(INDIRECT("1:"&amp;LEN((--TRIM(RIGHT(SUBSTITUTE(LEFT(A342,_xlfn.AGGREGATE(16,6,FIND({0,1,2,3,4,5,6,7,8,9},A342,ROW(INDIRECT("1:"&amp;LEN(A342)))),1))," ",REPT(" ",LEN(A342))),LEN(A342))))))))+1,1)*10^ROW(INDIRECT("1:"&amp;LEN((--TRIM(RIGHT(SUBSTITUTE(LEFT(A342,_xlfn.AGGREGATE(16,6,FIND({0,1,2,3,4,5,6,7,8,9},A342,ROW(INDIRECT("1:"&amp;LEN(A342)))),1))," ",REPT(" ",LEN(A342))),LEN(A342)))))))/10))*100+1</f>
        <v>201 to 701</v>
      </c>
      <c r="B343" s="113"/>
      <c r="C343" s="53" t="s">
        <v>243</v>
      </c>
      <c r="D343" s="54">
        <f t="shared" ref="D343:D348" si="39">(43.09+(0.99*1.92)+0.75*(2.75*3))*(10.764)</f>
        <v>550.88322119999998</v>
      </c>
      <c r="E343" s="54">
        <f t="shared" ref="E343:E348" si="40">0*(10.764)</f>
        <v>0</v>
      </c>
      <c r="F343" s="53">
        <f t="shared" ref="F343:F348" si="41">D343*(($F$287)+1)+(IF(E343&lt;101,E343,IF(E343&lt;201,E343/2,IF(E343&lt;=301,E343/3,E343/4))))</f>
        <v>798.78067073999989</v>
      </c>
      <c r="G343" s="101" t="str">
        <f>A342</f>
        <v>2nd to 7th Floor</v>
      </c>
      <c r="H343" s="102"/>
      <c r="I343" s="55"/>
    </row>
    <row r="344" spans="1:14" s="20" customFormat="1">
      <c r="A344" s="112" t="str">
        <f ca="1">(SUMPRODUCT(MID(0&amp;(LEFT(A343,SUM(LEN(A343)-LEN(SUBSTITUTE(A343,{"0","1","2"},""))))),LARGE(INDEX(ISNUMBER(--MID((LEFT(A343,SUM(LEN(A343)-LEN(SUBSTITUTE(A343,{"0","1","2"},""))))),ROW(INDIRECT("1:"&amp;LEN((LEFT(A343,SUM(LEN(A343)-LEN(SUBSTITUTE(A343,{"0","1","2"},"")))))))),1))*ROW(INDIRECT("1:"&amp;LEN((LEFT(A343,SUM(LEN(A343)-LEN(SUBSTITUTE(A343,{"0","1","2"},"")))))))),0),ROW(INDIRECT("1:"&amp;LEN((LEFT(A343,SUM(LEN(A343)-LEN(SUBSTITUTE(A343,{"0","1","2"},"")))))))))+1,1)*10^ROW(INDIRECT("1:"&amp;LEN((LEFT(A343,SUM(LEN(A343)-LEN(SUBSTITUTE(A343,{"0","1","2"},""))))))))/10))*1+1&amp;""&amp;" to "&amp;""&amp;(SUMPRODUCT(MID(0&amp;(--TRIM(RIGHT(SUBSTITUTE(LEFT(A343,_xlfn.AGGREGATE(16,6,FIND({0,1,2,3,4,5,6,7,8,9},A343,ROW(INDIRECT("1:"&amp;LEN(A343)))),1))," ",REPT(" ",LEN(A343))),LEN(A343)))),LARGE(INDEX(ISNUMBER(--MID((--TRIM(RIGHT(SUBSTITUTE(LEFT(A343,_xlfn.AGGREGATE(16,6,FIND({0,1,2,3,4,5,6,7,8,9},A343,ROW(INDIRECT("1:"&amp;LEN(A343)))),1))," ",REPT(" ",LEN(A343))),LEN(A343)))),ROW(INDIRECT("1:"&amp;LEN((--TRIM(RIGHT(SUBSTITUTE(LEFT(A343,_xlfn.AGGREGATE(16,6,FIND({0,1,2,3,4,5,6,7,8,9},A343,ROW(INDIRECT("1:"&amp;LEN(A343)))),1))," ",REPT(" ",LEN(A343))),LEN(A343))))))),1))*ROW(INDIRECT("1:"&amp;LEN((--TRIM(RIGHT(SUBSTITUTE(LEFT(A343,_xlfn.AGGREGATE(16,6,FIND({0,1,2,3,4,5,6,7,8,9},A343,ROW(INDIRECT("1:"&amp;LEN(A343)))),1))," ",REPT(" ",LEN(A343))),LEN(A343))))))),0),ROW(INDIRECT("1:"&amp;LEN((--TRIM(RIGHT(SUBSTITUTE(LEFT(A343,_xlfn.AGGREGATE(16,6,FIND({0,1,2,3,4,5,6,7,8,9},A343,ROW(INDIRECT("1:"&amp;LEN(A343)))),1))," ",REPT(" ",LEN(A343))),LEN(A343))))))))+1,1)*10^ROW(INDIRECT("1:"&amp;LEN((--TRIM(RIGHT(SUBSTITUTE(LEFT(A343,_xlfn.AGGREGATE(16,6,FIND({0,1,2,3,4,5,6,7,8,9},A343,ROW(INDIRECT("1:"&amp;LEN(A343)))),1))," ",REPT(" ",LEN(A343))),LEN(A343)))))))/10))*1+1</f>
        <v>202 to 702</v>
      </c>
      <c r="B344" s="113"/>
      <c r="C344" s="53" t="s">
        <v>243</v>
      </c>
      <c r="D344" s="54">
        <f t="shared" si="39"/>
        <v>550.88322119999998</v>
      </c>
      <c r="E344" s="54">
        <f t="shared" si="40"/>
        <v>0</v>
      </c>
      <c r="F344" s="53">
        <f t="shared" si="41"/>
        <v>798.78067073999989</v>
      </c>
      <c r="G344" s="103"/>
      <c r="H344" s="104"/>
      <c r="I344" s="55"/>
    </row>
    <row r="345" spans="1:14" s="20" customFormat="1">
      <c r="A345" s="112" t="str">
        <f ca="1">(SUMPRODUCT(MID(0&amp;(LEFT(A344,SUM(LEN(A344)-LEN(SUBSTITUTE(A344,{"0","1","2"},""))))),LARGE(INDEX(ISNUMBER(--MID((LEFT(A344,SUM(LEN(A344)-LEN(SUBSTITUTE(A344,{"0","1","2"},""))))),ROW(INDIRECT("1:"&amp;LEN((LEFT(A344,SUM(LEN(A344)-LEN(SUBSTITUTE(A344,{"0","1","2"},"")))))))),1))*ROW(INDIRECT("1:"&amp;LEN((LEFT(A344,SUM(LEN(A344)-LEN(SUBSTITUTE(A344,{"0","1","2"},"")))))))),0),ROW(INDIRECT("1:"&amp;LEN((LEFT(A344,SUM(LEN(A344)-LEN(SUBSTITUTE(A344,{"0","1","2"},"")))))))))+1,1)*10^ROW(INDIRECT("1:"&amp;LEN((LEFT(A344,SUM(LEN(A344)-LEN(SUBSTITUTE(A344,{"0","1","2"},""))))))))/10))*1+1&amp;""&amp;" to "&amp;""&amp;(SUMPRODUCT(MID(0&amp;(--TRIM(RIGHT(SUBSTITUTE(LEFT(A344,_xlfn.AGGREGATE(16,6,FIND({0,1,2,3,4,5,6,7,8,9},A344,ROW(INDIRECT("1:"&amp;LEN(A344)))),1))," ",REPT(" ",LEN(A344))),LEN(A344)))),LARGE(INDEX(ISNUMBER(--MID((--TRIM(RIGHT(SUBSTITUTE(LEFT(A344,_xlfn.AGGREGATE(16,6,FIND({0,1,2,3,4,5,6,7,8,9},A344,ROW(INDIRECT("1:"&amp;LEN(A344)))),1))," ",REPT(" ",LEN(A344))),LEN(A344)))),ROW(INDIRECT("1:"&amp;LEN((--TRIM(RIGHT(SUBSTITUTE(LEFT(A344,_xlfn.AGGREGATE(16,6,FIND({0,1,2,3,4,5,6,7,8,9},A344,ROW(INDIRECT("1:"&amp;LEN(A344)))),1))," ",REPT(" ",LEN(A344))),LEN(A344))))))),1))*ROW(INDIRECT("1:"&amp;LEN((--TRIM(RIGHT(SUBSTITUTE(LEFT(A344,_xlfn.AGGREGATE(16,6,FIND({0,1,2,3,4,5,6,7,8,9},A344,ROW(INDIRECT("1:"&amp;LEN(A344)))),1))," ",REPT(" ",LEN(A344))),LEN(A344))))))),0),ROW(INDIRECT("1:"&amp;LEN((--TRIM(RIGHT(SUBSTITUTE(LEFT(A344,_xlfn.AGGREGATE(16,6,FIND({0,1,2,3,4,5,6,7,8,9},A344,ROW(INDIRECT("1:"&amp;LEN(A344)))),1))," ",REPT(" ",LEN(A344))),LEN(A344))))))))+1,1)*10^ROW(INDIRECT("1:"&amp;LEN((--TRIM(RIGHT(SUBSTITUTE(LEFT(A344,_xlfn.AGGREGATE(16,6,FIND({0,1,2,3,4,5,6,7,8,9},A344,ROW(INDIRECT("1:"&amp;LEN(A344)))),1))," ",REPT(" ",LEN(A344))),LEN(A344)))))))/10))*1+1</f>
        <v>203 to 703</v>
      </c>
      <c r="B345" s="113"/>
      <c r="C345" s="53" t="s">
        <v>243</v>
      </c>
      <c r="D345" s="54">
        <f t="shared" si="39"/>
        <v>550.88322119999998</v>
      </c>
      <c r="E345" s="54">
        <f t="shared" si="40"/>
        <v>0</v>
      </c>
      <c r="F345" s="53">
        <f t="shared" si="41"/>
        <v>798.78067073999989</v>
      </c>
      <c r="G345" s="103"/>
      <c r="H345" s="104"/>
      <c r="I345" s="55"/>
    </row>
    <row r="346" spans="1:14" s="20" customFormat="1">
      <c r="A346" s="112" t="str">
        <f ca="1">(SUMPRODUCT(MID(0&amp;(LEFT(A345,SUM(LEN(A345)-LEN(SUBSTITUTE(A345,{"0","1","2"},""))))),LARGE(INDEX(ISNUMBER(--MID((LEFT(A345,SUM(LEN(A345)-LEN(SUBSTITUTE(A345,{"0","1","2"},""))))),ROW(INDIRECT("1:"&amp;LEN((LEFT(A345,SUM(LEN(A345)-LEN(SUBSTITUTE(A345,{"0","1","2"},"")))))))),1))*ROW(INDIRECT("1:"&amp;LEN((LEFT(A345,SUM(LEN(A345)-LEN(SUBSTITUTE(A345,{"0","1","2"},"")))))))),0),ROW(INDIRECT("1:"&amp;LEN((LEFT(A345,SUM(LEN(A345)-LEN(SUBSTITUTE(A345,{"0","1","2"},"")))))))))+1,1)*10^ROW(INDIRECT("1:"&amp;LEN((LEFT(A345,SUM(LEN(A345)-LEN(SUBSTITUTE(A345,{"0","1","2"},""))))))))/10))*1+1&amp;""&amp;" to "&amp;""&amp;(SUMPRODUCT(MID(0&amp;(--TRIM(RIGHT(SUBSTITUTE(LEFT(A345,_xlfn.AGGREGATE(16,6,FIND({0,1,2,3,4,5,6,7,8,9},A345,ROW(INDIRECT("1:"&amp;LEN(A345)))),1))," ",REPT(" ",LEN(A345))),LEN(A345)))),LARGE(INDEX(ISNUMBER(--MID((--TRIM(RIGHT(SUBSTITUTE(LEFT(A345,_xlfn.AGGREGATE(16,6,FIND({0,1,2,3,4,5,6,7,8,9},A345,ROW(INDIRECT("1:"&amp;LEN(A345)))),1))," ",REPT(" ",LEN(A345))),LEN(A345)))),ROW(INDIRECT("1:"&amp;LEN((--TRIM(RIGHT(SUBSTITUTE(LEFT(A345,_xlfn.AGGREGATE(16,6,FIND({0,1,2,3,4,5,6,7,8,9},A345,ROW(INDIRECT("1:"&amp;LEN(A345)))),1))," ",REPT(" ",LEN(A345))),LEN(A345))))))),1))*ROW(INDIRECT("1:"&amp;LEN((--TRIM(RIGHT(SUBSTITUTE(LEFT(A345,_xlfn.AGGREGATE(16,6,FIND({0,1,2,3,4,5,6,7,8,9},A345,ROW(INDIRECT("1:"&amp;LEN(A345)))),1))," ",REPT(" ",LEN(A345))),LEN(A345))))))),0),ROW(INDIRECT("1:"&amp;LEN((--TRIM(RIGHT(SUBSTITUTE(LEFT(A345,_xlfn.AGGREGATE(16,6,FIND({0,1,2,3,4,5,6,7,8,9},A345,ROW(INDIRECT("1:"&amp;LEN(A345)))),1))," ",REPT(" ",LEN(A345))),LEN(A345))))))))+1,1)*10^ROW(INDIRECT("1:"&amp;LEN((--TRIM(RIGHT(SUBSTITUTE(LEFT(A345,_xlfn.AGGREGATE(16,6,FIND({0,1,2,3,4,5,6,7,8,9},A345,ROW(INDIRECT("1:"&amp;LEN(A345)))),1))," ",REPT(" ",LEN(A345))),LEN(A345)))))))/10))*1+1</f>
        <v>204 to 704</v>
      </c>
      <c r="B346" s="113"/>
      <c r="C346" s="53" t="s">
        <v>243</v>
      </c>
      <c r="D346" s="54">
        <f t="shared" si="39"/>
        <v>550.88322119999998</v>
      </c>
      <c r="E346" s="54">
        <f t="shared" si="40"/>
        <v>0</v>
      </c>
      <c r="F346" s="53">
        <f t="shared" si="41"/>
        <v>798.78067073999989</v>
      </c>
      <c r="G346" s="103"/>
      <c r="H346" s="104"/>
      <c r="I346" s="55"/>
    </row>
    <row r="347" spans="1:14" s="20" customFormat="1">
      <c r="A347" s="112" t="str">
        <f ca="1">(SUMPRODUCT(MID(0&amp;(LEFT(A346,SUM(LEN(A346)-LEN(SUBSTITUTE(A346,{"0","1","2"},""))))),LARGE(INDEX(ISNUMBER(--MID((LEFT(A346,SUM(LEN(A346)-LEN(SUBSTITUTE(A346,{"0","1","2"},""))))),ROW(INDIRECT("1:"&amp;LEN((LEFT(A346,SUM(LEN(A346)-LEN(SUBSTITUTE(A346,{"0","1","2"},"")))))))),1))*ROW(INDIRECT("1:"&amp;LEN((LEFT(A346,SUM(LEN(A346)-LEN(SUBSTITUTE(A346,{"0","1","2"},"")))))))),0),ROW(INDIRECT("1:"&amp;LEN((LEFT(A346,SUM(LEN(A346)-LEN(SUBSTITUTE(A346,{"0","1","2"},"")))))))))+1,1)*10^ROW(INDIRECT("1:"&amp;LEN((LEFT(A346,SUM(LEN(A346)-LEN(SUBSTITUTE(A346,{"0","1","2"},""))))))))/10))*1+1&amp;""&amp;" to "&amp;""&amp;(SUMPRODUCT(MID(0&amp;(--TRIM(RIGHT(SUBSTITUTE(LEFT(A346,_xlfn.AGGREGATE(16,6,FIND({0,1,2,3,4,5,6,7,8,9},A346,ROW(INDIRECT("1:"&amp;LEN(A346)))),1))," ",REPT(" ",LEN(A346))),LEN(A346)))),LARGE(INDEX(ISNUMBER(--MID((--TRIM(RIGHT(SUBSTITUTE(LEFT(A346,_xlfn.AGGREGATE(16,6,FIND({0,1,2,3,4,5,6,7,8,9},A346,ROW(INDIRECT("1:"&amp;LEN(A346)))),1))," ",REPT(" ",LEN(A346))),LEN(A346)))),ROW(INDIRECT("1:"&amp;LEN((--TRIM(RIGHT(SUBSTITUTE(LEFT(A346,_xlfn.AGGREGATE(16,6,FIND({0,1,2,3,4,5,6,7,8,9},A346,ROW(INDIRECT("1:"&amp;LEN(A346)))),1))," ",REPT(" ",LEN(A346))),LEN(A346))))))),1))*ROW(INDIRECT("1:"&amp;LEN((--TRIM(RIGHT(SUBSTITUTE(LEFT(A346,_xlfn.AGGREGATE(16,6,FIND({0,1,2,3,4,5,6,7,8,9},A346,ROW(INDIRECT("1:"&amp;LEN(A346)))),1))," ",REPT(" ",LEN(A346))),LEN(A346))))))),0),ROW(INDIRECT("1:"&amp;LEN((--TRIM(RIGHT(SUBSTITUTE(LEFT(A346,_xlfn.AGGREGATE(16,6,FIND({0,1,2,3,4,5,6,7,8,9},A346,ROW(INDIRECT("1:"&amp;LEN(A346)))),1))," ",REPT(" ",LEN(A346))),LEN(A346))))))))+1,1)*10^ROW(INDIRECT("1:"&amp;LEN((--TRIM(RIGHT(SUBSTITUTE(LEFT(A346,_xlfn.AGGREGATE(16,6,FIND({0,1,2,3,4,5,6,7,8,9},A346,ROW(INDIRECT("1:"&amp;LEN(A346)))),1))," ",REPT(" ",LEN(A346))),LEN(A346)))))))/10))*1+1</f>
        <v>205 to 705</v>
      </c>
      <c r="B347" s="113"/>
      <c r="C347" s="53" t="s">
        <v>243</v>
      </c>
      <c r="D347" s="54">
        <f t="shared" si="39"/>
        <v>550.88322119999998</v>
      </c>
      <c r="E347" s="54">
        <f t="shared" si="40"/>
        <v>0</v>
      </c>
      <c r="F347" s="53">
        <f t="shared" si="41"/>
        <v>798.78067073999989</v>
      </c>
      <c r="G347" s="103"/>
      <c r="H347" s="104"/>
      <c r="I347" s="55"/>
    </row>
    <row r="348" spans="1:14" s="20" customFormat="1">
      <c r="A348" s="112" t="str">
        <f ca="1">(SUMPRODUCT(MID(0&amp;(LEFT(A347,SUM(LEN(A347)-LEN(SUBSTITUTE(A347,{"0","1","2"},""))))),LARGE(INDEX(ISNUMBER(--MID((LEFT(A347,SUM(LEN(A347)-LEN(SUBSTITUTE(A347,{"0","1","2"},""))))),ROW(INDIRECT("1:"&amp;LEN((LEFT(A347,SUM(LEN(A347)-LEN(SUBSTITUTE(A347,{"0","1","2"},"")))))))),1))*ROW(INDIRECT("1:"&amp;LEN((LEFT(A347,SUM(LEN(A347)-LEN(SUBSTITUTE(A347,{"0","1","2"},"")))))))),0),ROW(INDIRECT("1:"&amp;LEN((LEFT(A347,SUM(LEN(A347)-LEN(SUBSTITUTE(A347,{"0","1","2"},"")))))))))+1,1)*10^ROW(INDIRECT("1:"&amp;LEN((LEFT(A347,SUM(LEN(A347)-LEN(SUBSTITUTE(A347,{"0","1","2"},""))))))))/10))*1+1&amp;""&amp;" to "&amp;""&amp;(SUMPRODUCT(MID(0&amp;(--TRIM(RIGHT(SUBSTITUTE(LEFT(A347,_xlfn.AGGREGATE(16,6,FIND({0,1,2,3,4,5,6,7,8,9},A347,ROW(INDIRECT("1:"&amp;LEN(A347)))),1))," ",REPT(" ",LEN(A347))),LEN(A347)))),LARGE(INDEX(ISNUMBER(--MID((--TRIM(RIGHT(SUBSTITUTE(LEFT(A347,_xlfn.AGGREGATE(16,6,FIND({0,1,2,3,4,5,6,7,8,9},A347,ROW(INDIRECT("1:"&amp;LEN(A347)))),1))," ",REPT(" ",LEN(A347))),LEN(A347)))),ROW(INDIRECT("1:"&amp;LEN((--TRIM(RIGHT(SUBSTITUTE(LEFT(A347,_xlfn.AGGREGATE(16,6,FIND({0,1,2,3,4,5,6,7,8,9},A347,ROW(INDIRECT("1:"&amp;LEN(A347)))),1))," ",REPT(" ",LEN(A347))),LEN(A347))))))),1))*ROW(INDIRECT("1:"&amp;LEN((--TRIM(RIGHT(SUBSTITUTE(LEFT(A347,_xlfn.AGGREGATE(16,6,FIND({0,1,2,3,4,5,6,7,8,9},A347,ROW(INDIRECT("1:"&amp;LEN(A347)))),1))," ",REPT(" ",LEN(A347))),LEN(A347))))))),0),ROW(INDIRECT("1:"&amp;LEN((--TRIM(RIGHT(SUBSTITUTE(LEFT(A347,_xlfn.AGGREGATE(16,6,FIND({0,1,2,3,4,5,6,7,8,9},A347,ROW(INDIRECT("1:"&amp;LEN(A347)))),1))," ",REPT(" ",LEN(A347))),LEN(A347))))))))+1,1)*10^ROW(INDIRECT("1:"&amp;LEN((--TRIM(RIGHT(SUBSTITUTE(LEFT(A347,_xlfn.AGGREGATE(16,6,FIND({0,1,2,3,4,5,6,7,8,9},A347,ROW(INDIRECT("1:"&amp;LEN(A347)))),1))," ",REPT(" ",LEN(A347))),LEN(A347)))))))/10))*1+1</f>
        <v>206 to 706</v>
      </c>
      <c r="B348" s="113"/>
      <c r="C348" s="53" t="s">
        <v>243</v>
      </c>
      <c r="D348" s="54">
        <f t="shared" si="39"/>
        <v>550.88322119999998</v>
      </c>
      <c r="E348" s="54">
        <f t="shared" si="40"/>
        <v>0</v>
      </c>
      <c r="F348" s="53">
        <f t="shared" si="41"/>
        <v>798.78067073999989</v>
      </c>
      <c r="G348" s="105"/>
      <c r="H348" s="106"/>
      <c r="I348" s="55"/>
    </row>
    <row r="349" spans="1:14" s="20" customFormat="1">
      <c r="A349" s="129" t="s">
        <v>217</v>
      </c>
      <c r="B349" s="129"/>
      <c r="C349" s="129"/>
      <c r="D349" s="129"/>
      <c r="E349" s="129"/>
      <c r="F349" s="129"/>
      <c r="G349" s="129"/>
      <c r="H349" s="129"/>
      <c r="J349" s="55"/>
    </row>
    <row r="350" spans="1:14" s="20" customFormat="1">
      <c r="A350" s="130" t="s">
        <v>245</v>
      </c>
      <c r="B350" s="130"/>
      <c r="C350" s="130"/>
      <c r="D350" s="130"/>
      <c r="E350" s="130"/>
      <c r="F350" s="130"/>
      <c r="G350" s="130"/>
      <c r="H350" s="130"/>
      <c r="I350" s="55"/>
      <c r="L350" s="128"/>
      <c r="M350" s="128"/>
    </row>
    <row r="351" spans="1:14" s="20" customFormat="1">
      <c r="A351" s="107">
        <f>LEFT(A350,SUM(LEN(A350)-LEN(SUBSTITUTE(A350,{"0","1","2","3","4","5","6","7","8","9"},""))))*100+1</f>
        <v>101</v>
      </c>
      <c r="B351" s="107"/>
      <c r="C351" s="61" t="s">
        <v>244</v>
      </c>
      <c r="D351" s="54">
        <f t="shared" ref="D351" si="42">(29.61+2.75*1+0.99*1.92+0.75*(2.75*2))*(10.764)</f>
        <v>413.18475119999994</v>
      </c>
      <c r="E351" s="61">
        <v>0</v>
      </c>
      <c r="F351" s="61">
        <f t="shared" ref="F351:F352" si="43">D351*(($F$287)+1)+(IF(E351&lt;101,E351,IF(E351&lt;201,E351/2,IF(E351&lt;=301,E351/3,E351/4))))</f>
        <v>599.11788923999984</v>
      </c>
      <c r="G351" s="107" t="str">
        <f>A350</f>
        <v>1st Floor For Residential</v>
      </c>
      <c r="H351" s="107"/>
      <c r="I351" s="55"/>
      <c r="N351" s="55"/>
    </row>
    <row r="352" spans="1:14" s="20" customFormat="1">
      <c r="A352" s="107">
        <f t="shared" ref="A352:A358" si="44">A351+1</f>
        <v>102</v>
      </c>
      <c r="B352" s="107"/>
      <c r="C352" s="61" t="s">
        <v>244</v>
      </c>
      <c r="D352" s="54">
        <f>(42.68+2.75*1+0.99*1.92)*(10.764)</f>
        <v>509.46873119999992</v>
      </c>
      <c r="E352" s="62">
        <f>(2*0.6+1.5*1.4+2.8*0.5+2.75*1.4+14.7*5.5)*(10.764)</f>
        <v>962.30159999999989</v>
      </c>
      <c r="F352" s="61">
        <f t="shared" si="43"/>
        <v>979.30506023999976</v>
      </c>
      <c r="G352" s="107" t="str">
        <f t="shared" ref="G352:G358" si="45">G351</f>
        <v>1st Floor For Residential</v>
      </c>
      <c r="H352" s="107"/>
      <c r="I352" s="55"/>
      <c r="N352" s="55"/>
    </row>
    <row r="353" spans="1:14" s="20" customFormat="1">
      <c r="A353" s="107">
        <f t="shared" si="44"/>
        <v>103</v>
      </c>
      <c r="B353" s="107"/>
      <c r="C353" s="61" t="s">
        <v>244</v>
      </c>
      <c r="D353" s="54">
        <f t="shared" ref="D353:D355" si="46">(29.61+2.75*1+0.99*1.92)*(10.764)</f>
        <v>368.78325119999994</v>
      </c>
      <c r="E353" s="54">
        <f>(2.75*1.4+2.75*0.4)*(10.764)</f>
        <v>53.28179999999999</v>
      </c>
      <c r="F353" s="61">
        <f t="shared" ref="F353:F358" si="47">D353*(($F$287)+1)+(IF(E353&lt;101,E353,IF(E353&lt;201,E353/2,IF(E353&lt;=301,E353/3,E353/4))))</f>
        <v>588.01751423999985</v>
      </c>
      <c r="G353" s="107" t="str">
        <f t="shared" si="45"/>
        <v>1st Floor For Residential</v>
      </c>
      <c r="H353" s="107"/>
      <c r="I353" s="55"/>
      <c r="N353" s="55"/>
    </row>
    <row r="354" spans="1:14" s="20" customFormat="1">
      <c r="A354" s="107">
        <f t="shared" si="44"/>
        <v>104</v>
      </c>
      <c r="B354" s="107"/>
      <c r="C354" s="61" t="s">
        <v>244</v>
      </c>
      <c r="D354" s="54">
        <f t="shared" si="46"/>
        <v>368.78325119999994</v>
      </c>
      <c r="E354" s="54">
        <f>(2.75*1.4+2.75*0.4)*(10.764)</f>
        <v>53.28179999999999</v>
      </c>
      <c r="F354" s="61">
        <f t="shared" si="47"/>
        <v>588.01751423999985</v>
      </c>
      <c r="G354" s="107" t="str">
        <f t="shared" si="45"/>
        <v>1st Floor For Residential</v>
      </c>
      <c r="H354" s="107"/>
      <c r="I354" s="55"/>
      <c r="N354" s="55"/>
    </row>
    <row r="355" spans="1:14" s="20" customFormat="1">
      <c r="A355" s="107">
        <f t="shared" si="44"/>
        <v>105</v>
      </c>
      <c r="B355" s="107"/>
      <c r="C355" s="61" t="s">
        <v>244</v>
      </c>
      <c r="D355" s="54">
        <f t="shared" si="46"/>
        <v>368.78325119999994</v>
      </c>
      <c r="E355" s="54">
        <f>(2.8*0.5+2.75*1.4)*(10.764)</f>
        <v>56.510999999999996</v>
      </c>
      <c r="F355" s="61">
        <f t="shared" si="47"/>
        <v>591.24671423999985</v>
      </c>
      <c r="G355" s="107" t="str">
        <f t="shared" si="45"/>
        <v>1st Floor For Residential</v>
      </c>
      <c r="H355" s="107"/>
      <c r="I355" s="55"/>
      <c r="N355" s="55"/>
    </row>
    <row r="356" spans="1:14" s="20" customFormat="1">
      <c r="A356" s="107">
        <f t="shared" si="44"/>
        <v>106</v>
      </c>
      <c r="B356" s="107"/>
      <c r="C356" s="61" t="s">
        <v>244</v>
      </c>
      <c r="D356" s="54">
        <f t="shared" ref="D356:D367" si="48">(29.61+2.75*1+0.99*1.92+0.75*(2.75*2))*(10.764)</f>
        <v>413.18475119999994</v>
      </c>
      <c r="E356" s="61">
        <v>0</v>
      </c>
      <c r="F356" s="61">
        <f t="shared" si="47"/>
        <v>599.11788923999984</v>
      </c>
      <c r="G356" s="107" t="str">
        <f t="shared" si="45"/>
        <v>1st Floor For Residential</v>
      </c>
      <c r="H356" s="107"/>
      <c r="I356" s="55"/>
      <c r="N356" s="55"/>
    </row>
    <row r="357" spans="1:14" s="20" customFormat="1">
      <c r="A357" s="107">
        <f t="shared" si="44"/>
        <v>107</v>
      </c>
      <c r="B357" s="107"/>
      <c r="C357" s="61" t="s">
        <v>244</v>
      </c>
      <c r="D357" s="54">
        <f t="shared" si="48"/>
        <v>413.18475119999994</v>
      </c>
      <c r="E357" s="61">
        <v>0</v>
      </c>
      <c r="F357" s="61">
        <f t="shared" si="47"/>
        <v>599.11788923999984</v>
      </c>
      <c r="G357" s="107" t="str">
        <f t="shared" si="45"/>
        <v>1st Floor For Residential</v>
      </c>
      <c r="H357" s="107"/>
      <c r="I357" s="55"/>
      <c r="N357" s="55"/>
    </row>
    <row r="358" spans="1:14" s="20" customFormat="1">
      <c r="A358" s="107">
        <f t="shared" si="44"/>
        <v>108</v>
      </c>
      <c r="B358" s="107"/>
      <c r="C358" s="61" t="s">
        <v>244</v>
      </c>
      <c r="D358" s="54">
        <f t="shared" si="48"/>
        <v>413.18475119999994</v>
      </c>
      <c r="E358" s="61">
        <v>0</v>
      </c>
      <c r="F358" s="61">
        <f t="shared" si="47"/>
        <v>599.11788923999984</v>
      </c>
      <c r="G358" s="107" t="str">
        <f t="shared" si="45"/>
        <v>1st Floor For Residential</v>
      </c>
      <c r="H358" s="107"/>
      <c r="I358" s="55"/>
      <c r="N358" s="55"/>
    </row>
    <row r="359" spans="1:14" s="20" customFormat="1">
      <c r="A359" s="130" t="s">
        <v>246</v>
      </c>
      <c r="B359" s="130"/>
      <c r="C359" s="130"/>
      <c r="D359" s="130"/>
      <c r="E359" s="130"/>
      <c r="F359" s="130"/>
      <c r="G359" s="130"/>
      <c r="H359" s="130"/>
      <c r="I359" s="55"/>
    </row>
    <row r="360" spans="1:14" s="20" customFormat="1" ht="15.75" customHeight="1">
      <c r="A360" s="112" t="str">
        <f ca="1">(SUMPRODUCT(MID(0&amp;(LEFT(A359,SUM(LEN(A359)-LEN(SUBSTITUTE(A359,{"0","1","2"},""))))),LARGE(INDEX(ISNUMBER(--MID((LEFT(A359,SUM(LEN(A359)-LEN(SUBSTITUTE(A359,{"0","1","2"},""))))),ROW(INDIRECT("1:"&amp;LEN((LEFT(A359,SUM(LEN(A359)-LEN(SUBSTITUTE(A359,{"0","1","2"},"")))))))),1))*ROW(INDIRECT("1:"&amp;LEN((LEFT(A359,SUM(LEN(A359)-LEN(SUBSTITUTE(A359,{"0","1","2"},"")))))))),0),ROW(INDIRECT("1:"&amp;LEN((LEFT(A359,SUM(LEN(A359)-LEN(SUBSTITUTE(A359,{"0","1","2"},"")))))))))+1,1)*10^ROW(INDIRECT("1:"&amp;LEN((LEFT(A359,SUM(LEN(A359)-LEN(SUBSTITUTE(A359,{"0","1","2"},""))))))))/10))*100+1&amp;""&amp;" to "&amp;""&amp;(SUMPRODUCT(MID(0&amp;(--TRIM(RIGHT(SUBSTITUTE(LEFT(A359,_xlfn.AGGREGATE(16,6,FIND({0,1,2,3,4,5,6,7,8,9},A359,ROW(INDIRECT("1:"&amp;LEN(A359)))),1))," ",REPT(" ",LEN(A359))),LEN(A359)))),LARGE(INDEX(ISNUMBER(--MID((--TRIM(RIGHT(SUBSTITUTE(LEFT(A359,_xlfn.AGGREGATE(16,6,FIND({0,1,2,3,4,5,6,7,8,9},A359,ROW(INDIRECT("1:"&amp;LEN(A359)))),1))," ",REPT(" ",LEN(A359))),LEN(A359)))),ROW(INDIRECT("1:"&amp;LEN((--TRIM(RIGHT(SUBSTITUTE(LEFT(A359,_xlfn.AGGREGATE(16,6,FIND({0,1,2,3,4,5,6,7,8,9},A359,ROW(INDIRECT("1:"&amp;LEN(A359)))),1))," ",REPT(" ",LEN(A359))),LEN(A359))))))),1))*ROW(INDIRECT("1:"&amp;LEN((--TRIM(RIGHT(SUBSTITUTE(LEFT(A359,_xlfn.AGGREGATE(16,6,FIND({0,1,2,3,4,5,6,7,8,9},A359,ROW(INDIRECT("1:"&amp;LEN(A359)))),1))," ",REPT(" ",LEN(A359))),LEN(A359))))))),0),ROW(INDIRECT("1:"&amp;LEN((--TRIM(RIGHT(SUBSTITUTE(LEFT(A359,_xlfn.AGGREGATE(16,6,FIND({0,1,2,3,4,5,6,7,8,9},A359,ROW(INDIRECT("1:"&amp;LEN(A359)))),1))," ",REPT(" ",LEN(A359))),LEN(A359))))))))+1,1)*10^ROW(INDIRECT("1:"&amp;LEN((--TRIM(RIGHT(SUBSTITUTE(LEFT(A359,_xlfn.AGGREGATE(16,6,FIND({0,1,2,3,4,5,6,7,8,9},A359,ROW(INDIRECT("1:"&amp;LEN(A359)))),1))," ",REPT(" ",LEN(A359))),LEN(A359)))))))/10))*100+1</f>
        <v>201 to 701</v>
      </c>
      <c r="B360" s="113"/>
      <c r="C360" s="53" t="s">
        <v>244</v>
      </c>
      <c r="D360" s="54">
        <f t="shared" si="48"/>
        <v>413.18475119999994</v>
      </c>
      <c r="E360" s="53">
        <v>0</v>
      </c>
      <c r="F360" s="53">
        <f t="shared" ref="F360:F367" si="49">D360*(($F$287)+1)+(IF(E360&lt;101,E360,IF(E360&lt;201,E360/2,IF(E360&lt;=301,E360/3,E360/4))))</f>
        <v>599.11788923999984</v>
      </c>
      <c r="G360" s="101" t="str">
        <f>A359</f>
        <v>2nd to 7th Floor</v>
      </c>
      <c r="H360" s="102"/>
      <c r="I360" s="55"/>
    </row>
    <row r="361" spans="1:14" s="20" customFormat="1">
      <c r="A361" s="112" t="str">
        <f ca="1">(SUMPRODUCT(MID(0&amp;(LEFT(A360,SUM(LEN(A360)-LEN(SUBSTITUTE(A360,{"0","1","2"},""))))),LARGE(INDEX(ISNUMBER(--MID((LEFT(A360,SUM(LEN(A360)-LEN(SUBSTITUTE(A360,{"0","1","2"},""))))),ROW(INDIRECT("1:"&amp;LEN((LEFT(A360,SUM(LEN(A360)-LEN(SUBSTITUTE(A360,{"0","1","2"},"")))))))),1))*ROW(INDIRECT("1:"&amp;LEN((LEFT(A360,SUM(LEN(A360)-LEN(SUBSTITUTE(A360,{"0","1","2"},"")))))))),0),ROW(INDIRECT("1:"&amp;LEN((LEFT(A360,SUM(LEN(A360)-LEN(SUBSTITUTE(A360,{"0","1","2"},"")))))))))+1,1)*10^ROW(INDIRECT("1:"&amp;LEN((LEFT(A360,SUM(LEN(A360)-LEN(SUBSTITUTE(A360,{"0","1","2"},""))))))))/10))*1+1&amp;""&amp;" to "&amp;""&amp;(SUMPRODUCT(MID(0&amp;(--TRIM(RIGHT(SUBSTITUTE(LEFT(A360,_xlfn.AGGREGATE(16,6,FIND({0,1,2,3,4,5,6,7,8,9},A360,ROW(INDIRECT("1:"&amp;LEN(A360)))),1))," ",REPT(" ",LEN(A360))),LEN(A360)))),LARGE(INDEX(ISNUMBER(--MID((--TRIM(RIGHT(SUBSTITUTE(LEFT(A360,_xlfn.AGGREGATE(16,6,FIND({0,1,2,3,4,5,6,7,8,9},A360,ROW(INDIRECT("1:"&amp;LEN(A360)))),1))," ",REPT(" ",LEN(A360))),LEN(A360)))),ROW(INDIRECT("1:"&amp;LEN((--TRIM(RIGHT(SUBSTITUTE(LEFT(A360,_xlfn.AGGREGATE(16,6,FIND({0,1,2,3,4,5,6,7,8,9},A360,ROW(INDIRECT("1:"&amp;LEN(A360)))),1))," ",REPT(" ",LEN(A360))),LEN(A360))))))),1))*ROW(INDIRECT("1:"&amp;LEN((--TRIM(RIGHT(SUBSTITUTE(LEFT(A360,_xlfn.AGGREGATE(16,6,FIND({0,1,2,3,4,5,6,7,8,9},A360,ROW(INDIRECT("1:"&amp;LEN(A360)))),1))," ",REPT(" ",LEN(A360))),LEN(A360))))))),0),ROW(INDIRECT("1:"&amp;LEN((--TRIM(RIGHT(SUBSTITUTE(LEFT(A360,_xlfn.AGGREGATE(16,6,FIND({0,1,2,3,4,5,6,7,8,9},A360,ROW(INDIRECT("1:"&amp;LEN(A360)))),1))," ",REPT(" ",LEN(A360))),LEN(A360))))))))+1,1)*10^ROW(INDIRECT("1:"&amp;LEN((--TRIM(RIGHT(SUBSTITUTE(LEFT(A360,_xlfn.AGGREGATE(16,6,FIND({0,1,2,3,4,5,6,7,8,9},A360,ROW(INDIRECT("1:"&amp;LEN(A360)))),1))," ",REPT(" ",LEN(A360))),LEN(A360)))))))/10))*1+1</f>
        <v>202 to 702</v>
      </c>
      <c r="B361" s="113"/>
      <c r="C361" s="53" t="s">
        <v>243</v>
      </c>
      <c r="D361" s="54">
        <f>(42.68+2.75*1+0.99*1.92+0.75*(2.75*2+3.05))*(10.764)</f>
        <v>578.49288119999994</v>
      </c>
      <c r="E361" s="53">
        <v>0</v>
      </c>
      <c r="F361" s="53">
        <f t="shared" si="49"/>
        <v>838.81467773999987</v>
      </c>
      <c r="G361" s="103"/>
      <c r="H361" s="104"/>
      <c r="I361" s="55"/>
    </row>
    <row r="362" spans="1:14" s="20" customFormat="1">
      <c r="A362" s="112" t="str">
        <f ca="1">(SUMPRODUCT(MID(0&amp;(LEFT(A361,SUM(LEN(A361)-LEN(SUBSTITUTE(A361,{"0","1","2"},""))))),LARGE(INDEX(ISNUMBER(--MID((LEFT(A361,SUM(LEN(A361)-LEN(SUBSTITUTE(A361,{"0","1","2"},""))))),ROW(INDIRECT("1:"&amp;LEN((LEFT(A361,SUM(LEN(A361)-LEN(SUBSTITUTE(A361,{"0","1","2"},"")))))))),1))*ROW(INDIRECT("1:"&amp;LEN((LEFT(A361,SUM(LEN(A361)-LEN(SUBSTITUTE(A361,{"0","1","2"},"")))))))),0),ROW(INDIRECT("1:"&amp;LEN((LEFT(A361,SUM(LEN(A361)-LEN(SUBSTITUTE(A361,{"0","1","2"},"")))))))))+1,1)*10^ROW(INDIRECT("1:"&amp;LEN((LEFT(A361,SUM(LEN(A361)-LEN(SUBSTITUTE(A361,{"0","1","2"},""))))))))/10))*1+1&amp;""&amp;" to "&amp;""&amp;(SUMPRODUCT(MID(0&amp;(--TRIM(RIGHT(SUBSTITUTE(LEFT(A361,_xlfn.AGGREGATE(16,6,FIND({0,1,2,3,4,5,6,7,8,9},A361,ROW(INDIRECT("1:"&amp;LEN(A361)))),1))," ",REPT(" ",LEN(A361))),LEN(A361)))),LARGE(INDEX(ISNUMBER(--MID((--TRIM(RIGHT(SUBSTITUTE(LEFT(A361,_xlfn.AGGREGATE(16,6,FIND({0,1,2,3,4,5,6,7,8,9},A361,ROW(INDIRECT("1:"&amp;LEN(A361)))),1))," ",REPT(" ",LEN(A361))),LEN(A361)))),ROW(INDIRECT("1:"&amp;LEN((--TRIM(RIGHT(SUBSTITUTE(LEFT(A361,_xlfn.AGGREGATE(16,6,FIND({0,1,2,3,4,5,6,7,8,9},A361,ROW(INDIRECT("1:"&amp;LEN(A361)))),1))," ",REPT(" ",LEN(A361))),LEN(A361))))))),1))*ROW(INDIRECT("1:"&amp;LEN((--TRIM(RIGHT(SUBSTITUTE(LEFT(A361,_xlfn.AGGREGATE(16,6,FIND({0,1,2,3,4,5,6,7,8,9},A361,ROW(INDIRECT("1:"&amp;LEN(A361)))),1))," ",REPT(" ",LEN(A361))),LEN(A361))))))),0),ROW(INDIRECT("1:"&amp;LEN((--TRIM(RIGHT(SUBSTITUTE(LEFT(A361,_xlfn.AGGREGATE(16,6,FIND({0,1,2,3,4,5,6,7,8,9},A361,ROW(INDIRECT("1:"&amp;LEN(A361)))),1))," ",REPT(" ",LEN(A361))),LEN(A361))))))))+1,1)*10^ROW(INDIRECT("1:"&amp;LEN((--TRIM(RIGHT(SUBSTITUTE(LEFT(A361,_xlfn.AGGREGATE(16,6,FIND({0,1,2,3,4,5,6,7,8,9},A361,ROW(INDIRECT("1:"&amp;LEN(A361)))),1))," ",REPT(" ",LEN(A361))),LEN(A361)))))))/10))*1+1</f>
        <v>203 to 703</v>
      </c>
      <c r="B362" s="113"/>
      <c r="C362" s="53" t="s">
        <v>244</v>
      </c>
      <c r="D362" s="54">
        <f t="shared" si="48"/>
        <v>413.18475119999994</v>
      </c>
      <c r="E362" s="53">
        <v>0</v>
      </c>
      <c r="F362" s="53">
        <f t="shared" si="49"/>
        <v>599.11788923999984</v>
      </c>
      <c r="G362" s="103"/>
      <c r="H362" s="104"/>
      <c r="I362" s="55"/>
    </row>
    <row r="363" spans="1:14" s="20" customFormat="1">
      <c r="A363" s="112" t="str">
        <f ca="1">(SUMPRODUCT(MID(0&amp;(LEFT(A362,SUM(LEN(A362)-LEN(SUBSTITUTE(A362,{"0","1","2"},""))))),LARGE(INDEX(ISNUMBER(--MID((LEFT(A362,SUM(LEN(A362)-LEN(SUBSTITUTE(A362,{"0","1","2"},""))))),ROW(INDIRECT("1:"&amp;LEN((LEFT(A362,SUM(LEN(A362)-LEN(SUBSTITUTE(A362,{"0","1","2"},"")))))))),1))*ROW(INDIRECT("1:"&amp;LEN((LEFT(A362,SUM(LEN(A362)-LEN(SUBSTITUTE(A362,{"0","1","2"},"")))))))),0),ROW(INDIRECT("1:"&amp;LEN((LEFT(A362,SUM(LEN(A362)-LEN(SUBSTITUTE(A362,{"0","1","2"},"")))))))))+1,1)*10^ROW(INDIRECT("1:"&amp;LEN((LEFT(A362,SUM(LEN(A362)-LEN(SUBSTITUTE(A362,{"0","1","2"},""))))))))/10))*1+1&amp;""&amp;" to "&amp;""&amp;(SUMPRODUCT(MID(0&amp;(--TRIM(RIGHT(SUBSTITUTE(LEFT(A362,_xlfn.AGGREGATE(16,6,FIND({0,1,2,3,4,5,6,7,8,9},A362,ROW(INDIRECT("1:"&amp;LEN(A362)))),1))," ",REPT(" ",LEN(A362))),LEN(A362)))),LARGE(INDEX(ISNUMBER(--MID((--TRIM(RIGHT(SUBSTITUTE(LEFT(A362,_xlfn.AGGREGATE(16,6,FIND({0,1,2,3,4,5,6,7,8,9},A362,ROW(INDIRECT("1:"&amp;LEN(A362)))),1))," ",REPT(" ",LEN(A362))),LEN(A362)))),ROW(INDIRECT("1:"&amp;LEN((--TRIM(RIGHT(SUBSTITUTE(LEFT(A362,_xlfn.AGGREGATE(16,6,FIND({0,1,2,3,4,5,6,7,8,9},A362,ROW(INDIRECT("1:"&amp;LEN(A362)))),1))," ",REPT(" ",LEN(A362))),LEN(A362))))))),1))*ROW(INDIRECT("1:"&amp;LEN((--TRIM(RIGHT(SUBSTITUTE(LEFT(A362,_xlfn.AGGREGATE(16,6,FIND({0,1,2,3,4,5,6,7,8,9},A362,ROW(INDIRECT("1:"&amp;LEN(A362)))),1))," ",REPT(" ",LEN(A362))),LEN(A362))))))),0),ROW(INDIRECT("1:"&amp;LEN((--TRIM(RIGHT(SUBSTITUTE(LEFT(A362,_xlfn.AGGREGATE(16,6,FIND({0,1,2,3,4,5,6,7,8,9},A362,ROW(INDIRECT("1:"&amp;LEN(A362)))),1))," ",REPT(" ",LEN(A362))),LEN(A362))))))))+1,1)*10^ROW(INDIRECT("1:"&amp;LEN((--TRIM(RIGHT(SUBSTITUTE(LEFT(A362,_xlfn.AGGREGATE(16,6,FIND({0,1,2,3,4,5,6,7,8,9},A362,ROW(INDIRECT("1:"&amp;LEN(A362)))),1))," ",REPT(" ",LEN(A362))),LEN(A362)))))))/10))*1+1</f>
        <v>204 to 704</v>
      </c>
      <c r="B363" s="113"/>
      <c r="C363" s="53" t="s">
        <v>244</v>
      </c>
      <c r="D363" s="54">
        <f t="shared" si="48"/>
        <v>413.18475119999994</v>
      </c>
      <c r="E363" s="53">
        <v>0</v>
      </c>
      <c r="F363" s="53">
        <f t="shared" si="49"/>
        <v>599.11788923999984</v>
      </c>
      <c r="G363" s="103"/>
      <c r="H363" s="104"/>
      <c r="I363" s="55"/>
    </row>
    <row r="364" spans="1:14" s="20" customFormat="1">
      <c r="A364" s="112" t="str">
        <f ca="1">(SUMPRODUCT(MID(0&amp;(LEFT(A363,SUM(LEN(A363)-LEN(SUBSTITUTE(A363,{"0","1","2"},""))))),LARGE(INDEX(ISNUMBER(--MID((LEFT(A363,SUM(LEN(A363)-LEN(SUBSTITUTE(A363,{"0","1","2"},""))))),ROW(INDIRECT("1:"&amp;LEN((LEFT(A363,SUM(LEN(A363)-LEN(SUBSTITUTE(A363,{"0","1","2"},"")))))))),1))*ROW(INDIRECT("1:"&amp;LEN((LEFT(A363,SUM(LEN(A363)-LEN(SUBSTITUTE(A363,{"0","1","2"},"")))))))),0),ROW(INDIRECT("1:"&amp;LEN((LEFT(A363,SUM(LEN(A363)-LEN(SUBSTITUTE(A363,{"0","1","2"},"")))))))))+1,1)*10^ROW(INDIRECT("1:"&amp;LEN((LEFT(A363,SUM(LEN(A363)-LEN(SUBSTITUTE(A363,{"0","1","2"},""))))))))/10))*1+1&amp;""&amp;" to "&amp;""&amp;(SUMPRODUCT(MID(0&amp;(--TRIM(RIGHT(SUBSTITUTE(LEFT(A363,_xlfn.AGGREGATE(16,6,FIND({0,1,2,3,4,5,6,7,8,9},A363,ROW(INDIRECT("1:"&amp;LEN(A363)))),1))," ",REPT(" ",LEN(A363))),LEN(A363)))),LARGE(INDEX(ISNUMBER(--MID((--TRIM(RIGHT(SUBSTITUTE(LEFT(A363,_xlfn.AGGREGATE(16,6,FIND({0,1,2,3,4,5,6,7,8,9},A363,ROW(INDIRECT("1:"&amp;LEN(A363)))),1))," ",REPT(" ",LEN(A363))),LEN(A363)))),ROW(INDIRECT("1:"&amp;LEN((--TRIM(RIGHT(SUBSTITUTE(LEFT(A363,_xlfn.AGGREGATE(16,6,FIND({0,1,2,3,4,5,6,7,8,9},A363,ROW(INDIRECT("1:"&amp;LEN(A363)))),1))," ",REPT(" ",LEN(A363))),LEN(A363))))))),1))*ROW(INDIRECT("1:"&amp;LEN((--TRIM(RIGHT(SUBSTITUTE(LEFT(A363,_xlfn.AGGREGATE(16,6,FIND({0,1,2,3,4,5,6,7,8,9},A363,ROW(INDIRECT("1:"&amp;LEN(A363)))),1))," ",REPT(" ",LEN(A363))),LEN(A363))))))),0),ROW(INDIRECT("1:"&amp;LEN((--TRIM(RIGHT(SUBSTITUTE(LEFT(A363,_xlfn.AGGREGATE(16,6,FIND({0,1,2,3,4,5,6,7,8,9},A363,ROW(INDIRECT("1:"&amp;LEN(A363)))),1))," ",REPT(" ",LEN(A363))),LEN(A363))))))))+1,1)*10^ROW(INDIRECT("1:"&amp;LEN((--TRIM(RIGHT(SUBSTITUTE(LEFT(A363,_xlfn.AGGREGATE(16,6,FIND({0,1,2,3,4,5,6,7,8,9},A363,ROW(INDIRECT("1:"&amp;LEN(A363)))),1))," ",REPT(" ",LEN(A363))),LEN(A363)))))))/10))*1+1</f>
        <v>205 to 705</v>
      </c>
      <c r="B364" s="113"/>
      <c r="C364" s="53" t="s">
        <v>244</v>
      </c>
      <c r="D364" s="54">
        <f t="shared" si="48"/>
        <v>413.18475119999994</v>
      </c>
      <c r="E364" s="53">
        <v>0</v>
      </c>
      <c r="F364" s="53">
        <f t="shared" si="49"/>
        <v>599.11788923999984</v>
      </c>
      <c r="G364" s="103"/>
      <c r="H364" s="104"/>
      <c r="I364" s="55"/>
    </row>
    <row r="365" spans="1:14" s="20" customFormat="1">
      <c r="A365" s="112" t="str">
        <f ca="1">(SUMPRODUCT(MID(0&amp;(LEFT(A364,SUM(LEN(A364)-LEN(SUBSTITUTE(A364,{"0","1","2"},""))))),LARGE(INDEX(ISNUMBER(--MID((LEFT(A364,SUM(LEN(A364)-LEN(SUBSTITUTE(A364,{"0","1","2"},""))))),ROW(INDIRECT("1:"&amp;LEN((LEFT(A364,SUM(LEN(A364)-LEN(SUBSTITUTE(A364,{"0","1","2"},"")))))))),1))*ROW(INDIRECT("1:"&amp;LEN((LEFT(A364,SUM(LEN(A364)-LEN(SUBSTITUTE(A364,{"0","1","2"},"")))))))),0),ROW(INDIRECT("1:"&amp;LEN((LEFT(A364,SUM(LEN(A364)-LEN(SUBSTITUTE(A364,{"0","1","2"},"")))))))))+1,1)*10^ROW(INDIRECT("1:"&amp;LEN((LEFT(A364,SUM(LEN(A364)-LEN(SUBSTITUTE(A364,{"0","1","2"},""))))))))/10))*1+1&amp;""&amp;" to "&amp;""&amp;(SUMPRODUCT(MID(0&amp;(--TRIM(RIGHT(SUBSTITUTE(LEFT(A364,_xlfn.AGGREGATE(16,6,FIND({0,1,2,3,4,5,6,7,8,9},A364,ROW(INDIRECT("1:"&amp;LEN(A364)))),1))," ",REPT(" ",LEN(A364))),LEN(A364)))),LARGE(INDEX(ISNUMBER(--MID((--TRIM(RIGHT(SUBSTITUTE(LEFT(A364,_xlfn.AGGREGATE(16,6,FIND({0,1,2,3,4,5,6,7,8,9},A364,ROW(INDIRECT("1:"&amp;LEN(A364)))),1))," ",REPT(" ",LEN(A364))),LEN(A364)))),ROW(INDIRECT("1:"&amp;LEN((--TRIM(RIGHT(SUBSTITUTE(LEFT(A364,_xlfn.AGGREGATE(16,6,FIND({0,1,2,3,4,5,6,7,8,9},A364,ROW(INDIRECT("1:"&amp;LEN(A364)))),1))," ",REPT(" ",LEN(A364))),LEN(A364))))))),1))*ROW(INDIRECT("1:"&amp;LEN((--TRIM(RIGHT(SUBSTITUTE(LEFT(A364,_xlfn.AGGREGATE(16,6,FIND({0,1,2,3,4,5,6,7,8,9},A364,ROW(INDIRECT("1:"&amp;LEN(A364)))),1))," ",REPT(" ",LEN(A364))),LEN(A364))))))),0),ROW(INDIRECT("1:"&amp;LEN((--TRIM(RIGHT(SUBSTITUTE(LEFT(A364,_xlfn.AGGREGATE(16,6,FIND({0,1,2,3,4,5,6,7,8,9},A364,ROW(INDIRECT("1:"&amp;LEN(A364)))),1))," ",REPT(" ",LEN(A364))),LEN(A364))))))))+1,1)*10^ROW(INDIRECT("1:"&amp;LEN((--TRIM(RIGHT(SUBSTITUTE(LEFT(A364,_xlfn.AGGREGATE(16,6,FIND({0,1,2,3,4,5,6,7,8,9},A364,ROW(INDIRECT("1:"&amp;LEN(A364)))),1))," ",REPT(" ",LEN(A364))),LEN(A364)))))))/10))*1+1</f>
        <v>206 to 706</v>
      </c>
      <c r="B365" s="113"/>
      <c r="C365" s="53" t="s">
        <v>244</v>
      </c>
      <c r="D365" s="54">
        <f t="shared" si="48"/>
        <v>413.18475119999994</v>
      </c>
      <c r="E365" s="53">
        <v>0</v>
      </c>
      <c r="F365" s="53">
        <f t="shared" si="49"/>
        <v>599.11788923999984</v>
      </c>
      <c r="G365" s="103"/>
      <c r="H365" s="104"/>
      <c r="I365" s="55"/>
    </row>
    <row r="366" spans="1:14" s="20" customFormat="1">
      <c r="A366" s="112" t="str">
        <f ca="1">(SUMPRODUCT(MID(0&amp;(LEFT(A365,SUM(LEN(A365)-LEN(SUBSTITUTE(A365,{"0","1","2"},""))))),LARGE(INDEX(ISNUMBER(--MID((LEFT(A365,SUM(LEN(A365)-LEN(SUBSTITUTE(A365,{"0","1","2"},""))))),ROW(INDIRECT("1:"&amp;LEN((LEFT(A365,SUM(LEN(A365)-LEN(SUBSTITUTE(A365,{"0","1","2"},"")))))))),1))*ROW(INDIRECT("1:"&amp;LEN((LEFT(A365,SUM(LEN(A365)-LEN(SUBSTITUTE(A365,{"0","1","2"},"")))))))),0),ROW(INDIRECT("1:"&amp;LEN((LEFT(A365,SUM(LEN(A365)-LEN(SUBSTITUTE(A365,{"0","1","2"},"")))))))))+1,1)*10^ROW(INDIRECT("1:"&amp;LEN((LEFT(A365,SUM(LEN(A365)-LEN(SUBSTITUTE(A365,{"0","1","2"},""))))))))/10))*1+1&amp;""&amp;" to "&amp;""&amp;(SUMPRODUCT(MID(0&amp;(--TRIM(RIGHT(SUBSTITUTE(LEFT(A365,_xlfn.AGGREGATE(16,6,FIND({0,1,2,3,4,5,6,7,8,9},A365,ROW(INDIRECT("1:"&amp;LEN(A365)))),1))," ",REPT(" ",LEN(A365))),LEN(A365)))),LARGE(INDEX(ISNUMBER(--MID((--TRIM(RIGHT(SUBSTITUTE(LEFT(A365,_xlfn.AGGREGATE(16,6,FIND({0,1,2,3,4,5,6,7,8,9},A365,ROW(INDIRECT("1:"&amp;LEN(A365)))),1))," ",REPT(" ",LEN(A365))),LEN(A365)))),ROW(INDIRECT("1:"&amp;LEN((--TRIM(RIGHT(SUBSTITUTE(LEFT(A365,_xlfn.AGGREGATE(16,6,FIND({0,1,2,3,4,5,6,7,8,9},A365,ROW(INDIRECT("1:"&amp;LEN(A365)))),1))," ",REPT(" ",LEN(A365))),LEN(A365))))))),1))*ROW(INDIRECT("1:"&amp;LEN((--TRIM(RIGHT(SUBSTITUTE(LEFT(A365,_xlfn.AGGREGATE(16,6,FIND({0,1,2,3,4,5,6,7,8,9},A365,ROW(INDIRECT("1:"&amp;LEN(A365)))),1))," ",REPT(" ",LEN(A365))),LEN(A365))))))),0),ROW(INDIRECT("1:"&amp;LEN((--TRIM(RIGHT(SUBSTITUTE(LEFT(A365,_xlfn.AGGREGATE(16,6,FIND({0,1,2,3,4,5,6,7,8,9},A365,ROW(INDIRECT("1:"&amp;LEN(A365)))),1))," ",REPT(" ",LEN(A365))),LEN(A365))))))))+1,1)*10^ROW(INDIRECT("1:"&amp;LEN((--TRIM(RIGHT(SUBSTITUTE(LEFT(A365,_xlfn.AGGREGATE(16,6,FIND({0,1,2,3,4,5,6,7,8,9},A365,ROW(INDIRECT("1:"&amp;LEN(A365)))),1))," ",REPT(" ",LEN(A365))),LEN(A365)))))))/10))*1+1</f>
        <v>207 to 707</v>
      </c>
      <c r="B366" s="113"/>
      <c r="C366" s="53" t="s">
        <v>244</v>
      </c>
      <c r="D366" s="54">
        <f t="shared" si="48"/>
        <v>413.18475119999994</v>
      </c>
      <c r="E366" s="53">
        <v>0</v>
      </c>
      <c r="F366" s="53">
        <f t="shared" si="49"/>
        <v>599.11788923999984</v>
      </c>
      <c r="G366" s="103"/>
      <c r="H366" s="104"/>
      <c r="I366" s="55"/>
    </row>
    <row r="367" spans="1:14" s="20" customFormat="1">
      <c r="A367" s="112" t="str">
        <f ca="1">(SUMPRODUCT(MID(0&amp;(LEFT(A366,SUM(LEN(A366)-LEN(SUBSTITUTE(A366,{"0","1","2"},""))))),LARGE(INDEX(ISNUMBER(--MID((LEFT(A366,SUM(LEN(A366)-LEN(SUBSTITUTE(A366,{"0","1","2"},""))))),ROW(INDIRECT("1:"&amp;LEN((LEFT(A366,SUM(LEN(A366)-LEN(SUBSTITUTE(A366,{"0","1","2"},"")))))))),1))*ROW(INDIRECT("1:"&amp;LEN((LEFT(A366,SUM(LEN(A366)-LEN(SUBSTITUTE(A366,{"0","1","2"},"")))))))),0),ROW(INDIRECT("1:"&amp;LEN((LEFT(A366,SUM(LEN(A366)-LEN(SUBSTITUTE(A366,{"0","1","2"},"")))))))))+1,1)*10^ROW(INDIRECT("1:"&amp;LEN((LEFT(A366,SUM(LEN(A366)-LEN(SUBSTITUTE(A366,{"0","1","2"},""))))))))/10))*1+1&amp;""&amp;" to "&amp;""&amp;(SUMPRODUCT(MID(0&amp;(--TRIM(RIGHT(SUBSTITUTE(LEFT(A366,_xlfn.AGGREGATE(16,6,FIND({0,1,2,3,4,5,6,7,8,9},A366,ROW(INDIRECT("1:"&amp;LEN(A366)))),1))," ",REPT(" ",LEN(A366))),LEN(A366)))),LARGE(INDEX(ISNUMBER(--MID((--TRIM(RIGHT(SUBSTITUTE(LEFT(A366,_xlfn.AGGREGATE(16,6,FIND({0,1,2,3,4,5,6,7,8,9},A366,ROW(INDIRECT("1:"&amp;LEN(A366)))),1))," ",REPT(" ",LEN(A366))),LEN(A366)))),ROW(INDIRECT("1:"&amp;LEN((--TRIM(RIGHT(SUBSTITUTE(LEFT(A366,_xlfn.AGGREGATE(16,6,FIND({0,1,2,3,4,5,6,7,8,9},A366,ROW(INDIRECT("1:"&amp;LEN(A366)))),1))," ",REPT(" ",LEN(A366))),LEN(A366))))))),1))*ROW(INDIRECT("1:"&amp;LEN((--TRIM(RIGHT(SUBSTITUTE(LEFT(A366,_xlfn.AGGREGATE(16,6,FIND({0,1,2,3,4,5,6,7,8,9},A366,ROW(INDIRECT("1:"&amp;LEN(A366)))),1))," ",REPT(" ",LEN(A366))),LEN(A366))))))),0),ROW(INDIRECT("1:"&amp;LEN((--TRIM(RIGHT(SUBSTITUTE(LEFT(A366,_xlfn.AGGREGATE(16,6,FIND({0,1,2,3,4,5,6,7,8,9},A366,ROW(INDIRECT("1:"&amp;LEN(A366)))),1))," ",REPT(" ",LEN(A366))),LEN(A366))))))))+1,1)*10^ROW(INDIRECT("1:"&amp;LEN((--TRIM(RIGHT(SUBSTITUTE(LEFT(A366,_xlfn.AGGREGATE(16,6,FIND({0,1,2,3,4,5,6,7,8,9},A366,ROW(INDIRECT("1:"&amp;LEN(A366)))),1))," ",REPT(" ",LEN(A366))),LEN(A366)))))))/10))*1+1</f>
        <v>208 to 708</v>
      </c>
      <c r="B367" s="113"/>
      <c r="C367" s="53" t="s">
        <v>244</v>
      </c>
      <c r="D367" s="54">
        <f t="shared" si="48"/>
        <v>413.18475119999994</v>
      </c>
      <c r="E367" s="53">
        <v>0</v>
      </c>
      <c r="F367" s="53">
        <f t="shared" si="49"/>
        <v>599.11788923999984</v>
      </c>
      <c r="G367" s="105"/>
      <c r="H367" s="106"/>
      <c r="I367" s="55"/>
    </row>
    <row r="368" spans="1:14" s="20" customFormat="1">
      <c r="A368" s="125" t="s">
        <v>220</v>
      </c>
      <c r="B368" s="126"/>
      <c r="C368" s="126"/>
      <c r="D368" s="126"/>
      <c r="E368" s="126"/>
      <c r="F368" s="126"/>
      <c r="G368" s="126"/>
      <c r="H368" s="127"/>
      <c r="J368" s="55"/>
    </row>
    <row r="369" spans="1:10" s="20" customFormat="1">
      <c r="A369" s="125" t="s">
        <v>250</v>
      </c>
      <c r="B369" s="126"/>
      <c r="C369" s="126"/>
      <c r="D369" s="126"/>
      <c r="E369" s="126"/>
      <c r="F369" s="126"/>
      <c r="G369" s="126"/>
      <c r="H369" s="127"/>
      <c r="J369" s="55"/>
    </row>
    <row r="370" spans="1:10" s="20" customFormat="1">
      <c r="A370" s="125" t="s">
        <v>251</v>
      </c>
      <c r="B370" s="126"/>
      <c r="C370" s="126"/>
      <c r="D370" s="126"/>
      <c r="E370" s="126"/>
      <c r="F370" s="126"/>
      <c r="G370" s="126"/>
      <c r="H370" s="127"/>
      <c r="I370" s="55"/>
    </row>
    <row r="371" spans="1:10" s="20" customFormat="1">
      <c r="A371" s="112" t="str">
        <f ca="1">(SUMPRODUCT(MID(0&amp;(LEFT(A370,SUM(LEN(A370)-LEN(SUBSTITUTE(A370,{"0","1","2"},""))))),LARGE(INDEX(ISNUMBER(--MID((LEFT(A370,SUM(LEN(A370)-LEN(SUBSTITUTE(A370,{"0","1","2"},""))))),ROW(INDIRECT("1:"&amp;LEN((LEFT(A370,SUM(LEN(A370)-LEN(SUBSTITUTE(A370,{"0","1","2"},"")))))))),1))*ROW(INDIRECT("1:"&amp;LEN((LEFT(A370,SUM(LEN(A370)-LEN(SUBSTITUTE(A370,{"0","1","2"},"")))))))),0),ROW(INDIRECT("1:"&amp;LEN((LEFT(A370,SUM(LEN(A370)-LEN(SUBSTITUTE(A370,{"0","1","2"},"")))))))))+1,1)*10^ROW(INDIRECT("1:"&amp;LEN((LEFT(A370,SUM(LEN(A370)-LEN(SUBSTITUTE(A370,{"0","1","2"},""))))))))/10))*100+1&amp;""&amp;" to "&amp;""&amp;(SUMPRODUCT(MID(0&amp;(--TRIM(RIGHT(SUBSTITUTE(LEFT(A370,_xlfn.AGGREGATE(16,6,FIND({0,1,2,3,4,5,6,7,8,9},A370,ROW(INDIRECT("1:"&amp;LEN(A370)))),1))," ",REPT(" ",LEN(A370))),LEN(A370)))),LARGE(INDEX(ISNUMBER(--MID((--TRIM(RIGHT(SUBSTITUTE(LEFT(A370,_xlfn.AGGREGATE(16,6,FIND({0,1,2,3,4,5,6,7,8,9},A370,ROW(INDIRECT("1:"&amp;LEN(A370)))),1))," ",REPT(" ",LEN(A370))),LEN(A370)))),ROW(INDIRECT("1:"&amp;LEN((--TRIM(RIGHT(SUBSTITUTE(LEFT(A370,_xlfn.AGGREGATE(16,6,FIND({0,1,2,3,4,5,6,7,8,9},A370,ROW(INDIRECT("1:"&amp;LEN(A370)))),1))," ",REPT(" ",LEN(A370))),LEN(A370))))))),1))*ROW(INDIRECT("1:"&amp;LEN((--TRIM(RIGHT(SUBSTITUTE(LEFT(A370,_xlfn.AGGREGATE(16,6,FIND({0,1,2,3,4,5,6,7,8,9},A370,ROW(INDIRECT("1:"&amp;LEN(A370)))),1))," ",REPT(" ",LEN(A370))),LEN(A370))))))),0),ROW(INDIRECT("1:"&amp;LEN((--TRIM(RIGHT(SUBSTITUTE(LEFT(A370,_xlfn.AGGREGATE(16,6,FIND({0,1,2,3,4,5,6,7,8,9},A370,ROW(INDIRECT("1:"&amp;LEN(A370)))),1))," ",REPT(" ",LEN(A370))),LEN(A370))))))))+1,1)*10^ROW(INDIRECT("1:"&amp;LEN((--TRIM(RIGHT(SUBSTITUTE(LEFT(A370,_xlfn.AGGREGATE(16,6,FIND({0,1,2,3,4,5,6,7,8,9},A370,ROW(INDIRECT("1:"&amp;LEN(A370)))),1))," ",REPT(" ",LEN(A370))),LEN(A370)))))))/10))*100+1</f>
        <v>101 to 701</v>
      </c>
      <c r="B371" s="113"/>
      <c r="C371" s="53" t="s">
        <v>244</v>
      </c>
      <c r="D371" s="54">
        <f t="shared" ref="D371" si="50">(29.61+2.75*1+0.99*1.92+0.75*(2.75*2))*(10.764)</f>
        <v>413.18475119999994</v>
      </c>
      <c r="E371" s="53">
        <v>0</v>
      </c>
      <c r="F371" s="53">
        <f t="shared" ref="F371:F378" si="51">D371*(($F$287)+1)+(IF(E371&lt;101,E371,IF(E371&lt;201,E371/2,IF(E371&lt;=301,E371/3,E371/4))))</f>
        <v>599.11788923999984</v>
      </c>
      <c r="G371" s="112" t="str">
        <f>A370</f>
        <v>1st to 7th Floor For Residential</v>
      </c>
      <c r="H371" s="113"/>
      <c r="I371" s="55"/>
    </row>
    <row r="372" spans="1:10" s="20" customFormat="1">
      <c r="A372" s="112" t="str">
        <f ca="1">(SUMPRODUCT(MID(0&amp;(LEFT(A371,SUM(LEN(A371)-LEN(SUBSTITUTE(A371,{"0","1","2"},""))))),LARGE(INDEX(ISNUMBER(--MID((LEFT(A371,SUM(LEN(A371)-LEN(SUBSTITUTE(A371,{"0","1","2"},""))))),ROW(INDIRECT("1:"&amp;LEN((LEFT(A371,SUM(LEN(A371)-LEN(SUBSTITUTE(A371,{"0","1","2"},"")))))))),1))*ROW(INDIRECT("1:"&amp;LEN((LEFT(A371,SUM(LEN(A371)-LEN(SUBSTITUTE(A371,{"0","1","2"},"")))))))),0),ROW(INDIRECT("1:"&amp;LEN((LEFT(A371,SUM(LEN(A371)-LEN(SUBSTITUTE(A371,{"0","1","2"},"")))))))))+1,1)*10^ROW(INDIRECT("1:"&amp;LEN((LEFT(A371,SUM(LEN(A371)-LEN(SUBSTITUTE(A371,{"0","1","2"},""))))))))/10))*1+1&amp;""&amp;" to "&amp;""&amp;(SUMPRODUCT(MID(0&amp;(--TRIM(RIGHT(SUBSTITUTE(LEFT(A371,_xlfn.AGGREGATE(16,6,FIND({0,1,2,3,4,5,6,7,8,9},A371,ROW(INDIRECT("1:"&amp;LEN(A371)))),1))," ",REPT(" ",LEN(A371))),LEN(A371)))),LARGE(INDEX(ISNUMBER(--MID((--TRIM(RIGHT(SUBSTITUTE(LEFT(A371,_xlfn.AGGREGATE(16,6,FIND({0,1,2,3,4,5,6,7,8,9},A371,ROW(INDIRECT("1:"&amp;LEN(A371)))),1))," ",REPT(" ",LEN(A371))),LEN(A371)))),ROW(INDIRECT("1:"&amp;LEN((--TRIM(RIGHT(SUBSTITUTE(LEFT(A371,_xlfn.AGGREGATE(16,6,FIND({0,1,2,3,4,5,6,7,8,9},A371,ROW(INDIRECT("1:"&amp;LEN(A371)))),1))," ",REPT(" ",LEN(A371))),LEN(A371))))))),1))*ROW(INDIRECT("1:"&amp;LEN((--TRIM(RIGHT(SUBSTITUTE(LEFT(A371,_xlfn.AGGREGATE(16,6,FIND({0,1,2,3,4,5,6,7,8,9},A371,ROW(INDIRECT("1:"&amp;LEN(A371)))),1))," ",REPT(" ",LEN(A371))),LEN(A371))))))),0),ROW(INDIRECT("1:"&amp;LEN((--TRIM(RIGHT(SUBSTITUTE(LEFT(A371,_xlfn.AGGREGATE(16,6,FIND({0,1,2,3,4,5,6,7,8,9},A371,ROW(INDIRECT("1:"&amp;LEN(A371)))),1))," ",REPT(" ",LEN(A371))),LEN(A371))))))))+1,1)*10^ROW(INDIRECT("1:"&amp;LEN((--TRIM(RIGHT(SUBSTITUTE(LEFT(A371,_xlfn.AGGREGATE(16,6,FIND({0,1,2,3,4,5,6,7,8,9},A371,ROW(INDIRECT("1:"&amp;LEN(A371)))),1))," ",REPT(" ",LEN(A371))),LEN(A371)))))))/10))*1+1</f>
        <v>102 to 702</v>
      </c>
      <c r="B372" s="113"/>
      <c r="C372" s="53" t="s">
        <v>243</v>
      </c>
      <c r="D372" s="54">
        <f>(42.68+2.75*1+0.99*1.92+0.75*(2.75*2+3.05))*(10.764)</f>
        <v>578.49288119999994</v>
      </c>
      <c r="E372" s="53">
        <v>0</v>
      </c>
      <c r="F372" s="53">
        <f t="shared" si="51"/>
        <v>838.81467773999987</v>
      </c>
      <c r="G372" s="112" t="str">
        <f t="shared" ref="G372:G378" si="52">G371</f>
        <v>1st to 7th Floor For Residential</v>
      </c>
      <c r="H372" s="113"/>
      <c r="I372" s="55"/>
    </row>
    <row r="373" spans="1:10" s="20" customFormat="1">
      <c r="A373" s="112" t="str">
        <f ca="1">(SUMPRODUCT(MID(0&amp;(LEFT(A372,SUM(LEN(A372)-LEN(SUBSTITUTE(A372,{"0","1","2"},""))))),LARGE(INDEX(ISNUMBER(--MID((LEFT(A372,SUM(LEN(A372)-LEN(SUBSTITUTE(A372,{"0","1","2"},""))))),ROW(INDIRECT("1:"&amp;LEN((LEFT(A372,SUM(LEN(A372)-LEN(SUBSTITUTE(A372,{"0","1","2"},"")))))))),1))*ROW(INDIRECT("1:"&amp;LEN((LEFT(A372,SUM(LEN(A372)-LEN(SUBSTITUTE(A372,{"0","1","2"},"")))))))),0),ROW(INDIRECT("1:"&amp;LEN((LEFT(A372,SUM(LEN(A372)-LEN(SUBSTITUTE(A372,{"0","1","2"},"")))))))))+1,1)*10^ROW(INDIRECT("1:"&amp;LEN((LEFT(A372,SUM(LEN(A372)-LEN(SUBSTITUTE(A372,{"0","1","2"},""))))))))/10))*1+1&amp;""&amp;" to "&amp;""&amp;(SUMPRODUCT(MID(0&amp;(--TRIM(RIGHT(SUBSTITUTE(LEFT(A372,_xlfn.AGGREGATE(16,6,FIND({0,1,2,3,4,5,6,7,8,9},A372,ROW(INDIRECT("1:"&amp;LEN(A372)))),1))," ",REPT(" ",LEN(A372))),LEN(A372)))),LARGE(INDEX(ISNUMBER(--MID((--TRIM(RIGHT(SUBSTITUTE(LEFT(A372,_xlfn.AGGREGATE(16,6,FIND({0,1,2,3,4,5,6,7,8,9},A372,ROW(INDIRECT("1:"&amp;LEN(A372)))),1))," ",REPT(" ",LEN(A372))),LEN(A372)))),ROW(INDIRECT("1:"&amp;LEN((--TRIM(RIGHT(SUBSTITUTE(LEFT(A372,_xlfn.AGGREGATE(16,6,FIND({0,1,2,3,4,5,6,7,8,9},A372,ROW(INDIRECT("1:"&amp;LEN(A372)))),1))," ",REPT(" ",LEN(A372))),LEN(A372))))))),1))*ROW(INDIRECT("1:"&amp;LEN((--TRIM(RIGHT(SUBSTITUTE(LEFT(A372,_xlfn.AGGREGATE(16,6,FIND({0,1,2,3,4,5,6,7,8,9},A372,ROW(INDIRECT("1:"&amp;LEN(A372)))),1))," ",REPT(" ",LEN(A372))),LEN(A372))))))),0),ROW(INDIRECT("1:"&amp;LEN((--TRIM(RIGHT(SUBSTITUTE(LEFT(A372,_xlfn.AGGREGATE(16,6,FIND({0,1,2,3,4,5,6,7,8,9},A372,ROW(INDIRECT("1:"&amp;LEN(A372)))),1))," ",REPT(" ",LEN(A372))),LEN(A372))))))))+1,1)*10^ROW(INDIRECT("1:"&amp;LEN((--TRIM(RIGHT(SUBSTITUTE(LEFT(A372,_xlfn.AGGREGATE(16,6,FIND({0,1,2,3,4,5,6,7,8,9},A372,ROW(INDIRECT("1:"&amp;LEN(A372)))),1))," ",REPT(" ",LEN(A372))),LEN(A372)))))))/10))*1+1</f>
        <v>103 to 703</v>
      </c>
      <c r="B373" s="113"/>
      <c r="C373" s="53" t="s">
        <v>244</v>
      </c>
      <c r="D373" s="54">
        <f t="shared" ref="D373:D378" si="53">(29.61+2.75*1+0.99*1.92+0.75*(2.75*2))*(10.764)</f>
        <v>413.18475119999994</v>
      </c>
      <c r="E373" s="53">
        <v>0</v>
      </c>
      <c r="F373" s="53">
        <f t="shared" si="51"/>
        <v>599.11788923999984</v>
      </c>
      <c r="G373" s="112" t="str">
        <f t="shared" si="52"/>
        <v>1st to 7th Floor For Residential</v>
      </c>
      <c r="H373" s="113"/>
      <c r="I373" s="55"/>
    </row>
    <row r="374" spans="1:10" s="20" customFormat="1">
      <c r="A374" s="112" t="str">
        <f ca="1">(SUMPRODUCT(MID(0&amp;(LEFT(A373,SUM(LEN(A373)-LEN(SUBSTITUTE(A373,{"0","1","2"},""))))),LARGE(INDEX(ISNUMBER(--MID((LEFT(A373,SUM(LEN(A373)-LEN(SUBSTITUTE(A373,{"0","1","2"},""))))),ROW(INDIRECT("1:"&amp;LEN((LEFT(A373,SUM(LEN(A373)-LEN(SUBSTITUTE(A373,{"0","1","2"},"")))))))),1))*ROW(INDIRECT("1:"&amp;LEN((LEFT(A373,SUM(LEN(A373)-LEN(SUBSTITUTE(A373,{"0","1","2"},"")))))))),0),ROW(INDIRECT("1:"&amp;LEN((LEFT(A373,SUM(LEN(A373)-LEN(SUBSTITUTE(A373,{"0","1","2"},"")))))))))+1,1)*10^ROW(INDIRECT("1:"&amp;LEN((LEFT(A373,SUM(LEN(A373)-LEN(SUBSTITUTE(A373,{"0","1","2"},""))))))))/10))*1+1&amp;""&amp;" to "&amp;""&amp;(SUMPRODUCT(MID(0&amp;(--TRIM(RIGHT(SUBSTITUTE(LEFT(A373,_xlfn.AGGREGATE(16,6,FIND({0,1,2,3,4,5,6,7,8,9},A373,ROW(INDIRECT("1:"&amp;LEN(A373)))),1))," ",REPT(" ",LEN(A373))),LEN(A373)))),LARGE(INDEX(ISNUMBER(--MID((--TRIM(RIGHT(SUBSTITUTE(LEFT(A373,_xlfn.AGGREGATE(16,6,FIND({0,1,2,3,4,5,6,7,8,9},A373,ROW(INDIRECT("1:"&amp;LEN(A373)))),1))," ",REPT(" ",LEN(A373))),LEN(A373)))),ROW(INDIRECT("1:"&amp;LEN((--TRIM(RIGHT(SUBSTITUTE(LEFT(A373,_xlfn.AGGREGATE(16,6,FIND({0,1,2,3,4,5,6,7,8,9},A373,ROW(INDIRECT("1:"&amp;LEN(A373)))),1))," ",REPT(" ",LEN(A373))),LEN(A373))))))),1))*ROW(INDIRECT("1:"&amp;LEN((--TRIM(RIGHT(SUBSTITUTE(LEFT(A373,_xlfn.AGGREGATE(16,6,FIND({0,1,2,3,4,5,6,7,8,9},A373,ROW(INDIRECT("1:"&amp;LEN(A373)))),1))," ",REPT(" ",LEN(A373))),LEN(A373))))))),0),ROW(INDIRECT("1:"&amp;LEN((--TRIM(RIGHT(SUBSTITUTE(LEFT(A373,_xlfn.AGGREGATE(16,6,FIND({0,1,2,3,4,5,6,7,8,9},A373,ROW(INDIRECT("1:"&amp;LEN(A373)))),1))," ",REPT(" ",LEN(A373))),LEN(A373))))))))+1,1)*10^ROW(INDIRECT("1:"&amp;LEN((--TRIM(RIGHT(SUBSTITUTE(LEFT(A373,_xlfn.AGGREGATE(16,6,FIND({0,1,2,3,4,5,6,7,8,9},A373,ROW(INDIRECT("1:"&amp;LEN(A373)))),1))," ",REPT(" ",LEN(A373))),LEN(A373)))))))/10))*1+1</f>
        <v>104 to 704</v>
      </c>
      <c r="B374" s="113"/>
      <c r="C374" s="53" t="s">
        <v>244</v>
      </c>
      <c r="D374" s="54">
        <f t="shared" si="53"/>
        <v>413.18475119999994</v>
      </c>
      <c r="E374" s="53">
        <v>0</v>
      </c>
      <c r="F374" s="53">
        <f t="shared" si="51"/>
        <v>599.11788923999984</v>
      </c>
      <c r="G374" s="112" t="str">
        <f t="shared" si="52"/>
        <v>1st to 7th Floor For Residential</v>
      </c>
      <c r="H374" s="113"/>
      <c r="I374" s="55"/>
    </row>
    <row r="375" spans="1:10" s="20" customFormat="1">
      <c r="A375" s="112" t="str">
        <f ca="1">(SUMPRODUCT(MID(0&amp;(LEFT(A374,SUM(LEN(A374)-LEN(SUBSTITUTE(A374,{"0","1","2"},""))))),LARGE(INDEX(ISNUMBER(--MID((LEFT(A374,SUM(LEN(A374)-LEN(SUBSTITUTE(A374,{"0","1","2"},""))))),ROW(INDIRECT("1:"&amp;LEN((LEFT(A374,SUM(LEN(A374)-LEN(SUBSTITUTE(A374,{"0","1","2"},"")))))))),1))*ROW(INDIRECT("1:"&amp;LEN((LEFT(A374,SUM(LEN(A374)-LEN(SUBSTITUTE(A374,{"0","1","2"},"")))))))),0),ROW(INDIRECT("1:"&amp;LEN((LEFT(A374,SUM(LEN(A374)-LEN(SUBSTITUTE(A374,{"0","1","2"},"")))))))))+1,1)*10^ROW(INDIRECT("1:"&amp;LEN((LEFT(A374,SUM(LEN(A374)-LEN(SUBSTITUTE(A374,{"0","1","2"},""))))))))/10))*1+1&amp;""&amp;" to "&amp;""&amp;(SUMPRODUCT(MID(0&amp;(--TRIM(RIGHT(SUBSTITUTE(LEFT(A374,_xlfn.AGGREGATE(16,6,FIND({0,1,2,3,4,5,6,7,8,9},A374,ROW(INDIRECT("1:"&amp;LEN(A374)))),1))," ",REPT(" ",LEN(A374))),LEN(A374)))),LARGE(INDEX(ISNUMBER(--MID((--TRIM(RIGHT(SUBSTITUTE(LEFT(A374,_xlfn.AGGREGATE(16,6,FIND({0,1,2,3,4,5,6,7,8,9},A374,ROW(INDIRECT("1:"&amp;LEN(A374)))),1))," ",REPT(" ",LEN(A374))),LEN(A374)))),ROW(INDIRECT("1:"&amp;LEN((--TRIM(RIGHT(SUBSTITUTE(LEFT(A374,_xlfn.AGGREGATE(16,6,FIND({0,1,2,3,4,5,6,7,8,9},A374,ROW(INDIRECT("1:"&amp;LEN(A374)))),1))," ",REPT(" ",LEN(A374))),LEN(A374))))))),1))*ROW(INDIRECT("1:"&amp;LEN((--TRIM(RIGHT(SUBSTITUTE(LEFT(A374,_xlfn.AGGREGATE(16,6,FIND({0,1,2,3,4,5,6,7,8,9},A374,ROW(INDIRECT("1:"&amp;LEN(A374)))),1))," ",REPT(" ",LEN(A374))),LEN(A374))))))),0),ROW(INDIRECT("1:"&amp;LEN((--TRIM(RIGHT(SUBSTITUTE(LEFT(A374,_xlfn.AGGREGATE(16,6,FIND({0,1,2,3,4,5,6,7,8,9},A374,ROW(INDIRECT("1:"&amp;LEN(A374)))),1))," ",REPT(" ",LEN(A374))),LEN(A374))))))))+1,1)*10^ROW(INDIRECT("1:"&amp;LEN((--TRIM(RIGHT(SUBSTITUTE(LEFT(A374,_xlfn.AGGREGATE(16,6,FIND({0,1,2,3,4,5,6,7,8,9},A374,ROW(INDIRECT("1:"&amp;LEN(A374)))),1))," ",REPT(" ",LEN(A374))),LEN(A374)))))))/10))*1+1</f>
        <v>105 to 705</v>
      </c>
      <c r="B375" s="113"/>
      <c r="C375" s="53" t="s">
        <v>244</v>
      </c>
      <c r="D375" s="54">
        <f t="shared" si="53"/>
        <v>413.18475119999994</v>
      </c>
      <c r="E375" s="53">
        <v>0</v>
      </c>
      <c r="F375" s="53">
        <f t="shared" si="51"/>
        <v>599.11788923999984</v>
      </c>
      <c r="G375" s="112" t="str">
        <f t="shared" si="52"/>
        <v>1st to 7th Floor For Residential</v>
      </c>
      <c r="H375" s="113"/>
      <c r="I375" s="55"/>
    </row>
    <row r="376" spans="1:10" s="20" customFormat="1">
      <c r="A376" s="112" t="str">
        <f ca="1">(SUMPRODUCT(MID(0&amp;(LEFT(A375,SUM(LEN(A375)-LEN(SUBSTITUTE(A375,{"0","1","2"},""))))),LARGE(INDEX(ISNUMBER(--MID((LEFT(A375,SUM(LEN(A375)-LEN(SUBSTITUTE(A375,{"0","1","2"},""))))),ROW(INDIRECT("1:"&amp;LEN((LEFT(A375,SUM(LEN(A375)-LEN(SUBSTITUTE(A375,{"0","1","2"},"")))))))),1))*ROW(INDIRECT("1:"&amp;LEN((LEFT(A375,SUM(LEN(A375)-LEN(SUBSTITUTE(A375,{"0","1","2"},"")))))))),0),ROW(INDIRECT("1:"&amp;LEN((LEFT(A375,SUM(LEN(A375)-LEN(SUBSTITUTE(A375,{"0","1","2"},"")))))))))+1,1)*10^ROW(INDIRECT("1:"&amp;LEN((LEFT(A375,SUM(LEN(A375)-LEN(SUBSTITUTE(A375,{"0","1","2"},""))))))))/10))*1+1&amp;""&amp;" to "&amp;""&amp;(SUMPRODUCT(MID(0&amp;(--TRIM(RIGHT(SUBSTITUTE(LEFT(A375,_xlfn.AGGREGATE(16,6,FIND({0,1,2,3,4,5,6,7,8,9},A375,ROW(INDIRECT("1:"&amp;LEN(A375)))),1))," ",REPT(" ",LEN(A375))),LEN(A375)))),LARGE(INDEX(ISNUMBER(--MID((--TRIM(RIGHT(SUBSTITUTE(LEFT(A375,_xlfn.AGGREGATE(16,6,FIND({0,1,2,3,4,5,6,7,8,9},A375,ROW(INDIRECT("1:"&amp;LEN(A375)))),1))," ",REPT(" ",LEN(A375))),LEN(A375)))),ROW(INDIRECT("1:"&amp;LEN((--TRIM(RIGHT(SUBSTITUTE(LEFT(A375,_xlfn.AGGREGATE(16,6,FIND({0,1,2,3,4,5,6,7,8,9},A375,ROW(INDIRECT("1:"&amp;LEN(A375)))),1))," ",REPT(" ",LEN(A375))),LEN(A375))))))),1))*ROW(INDIRECT("1:"&amp;LEN((--TRIM(RIGHT(SUBSTITUTE(LEFT(A375,_xlfn.AGGREGATE(16,6,FIND({0,1,2,3,4,5,6,7,8,9},A375,ROW(INDIRECT("1:"&amp;LEN(A375)))),1))," ",REPT(" ",LEN(A375))),LEN(A375))))))),0),ROW(INDIRECT("1:"&amp;LEN((--TRIM(RIGHT(SUBSTITUTE(LEFT(A375,_xlfn.AGGREGATE(16,6,FIND({0,1,2,3,4,5,6,7,8,9},A375,ROW(INDIRECT("1:"&amp;LEN(A375)))),1))," ",REPT(" ",LEN(A375))),LEN(A375))))))))+1,1)*10^ROW(INDIRECT("1:"&amp;LEN((--TRIM(RIGHT(SUBSTITUTE(LEFT(A375,_xlfn.AGGREGATE(16,6,FIND({0,1,2,3,4,5,6,7,8,9},A375,ROW(INDIRECT("1:"&amp;LEN(A375)))),1))," ",REPT(" ",LEN(A375))),LEN(A375)))))))/10))*1+1</f>
        <v>106 to 706</v>
      </c>
      <c r="B376" s="113"/>
      <c r="C376" s="53" t="s">
        <v>244</v>
      </c>
      <c r="D376" s="54">
        <f t="shared" si="53"/>
        <v>413.18475119999994</v>
      </c>
      <c r="E376" s="53">
        <v>0</v>
      </c>
      <c r="F376" s="53">
        <f t="shared" si="51"/>
        <v>599.11788923999984</v>
      </c>
      <c r="G376" s="112" t="str">
        <f t="shared" si="52"/>
        <v>1st to 7th Floor For Residential</v>
      </c>
      <c r="H376" s="113"/>
      <c r="I376" s="55"/>
    </row>
    <row r="377" spans="1:10" s="20" customFormat="1">
      <c r="A377" s="112" t="str">
        <f ca="1">(SUMPRODUCT(MID(0&amp;(LEFT(A376,SUM(LEN(A376)-LEN(SUBSTITUTE(A376,{"0","1","2"},""))))),LARGE(INDEX(ISNUMBER(--MID((LEFT(A376,SUM(LEN(A376)-LEN(SUBSTITUTE(A376,{"0","1","2"},""))))),ROW(INDIRECT("1:"&amp;LEN((LEFT(A376,SUM(LEN(A376)-LEN(SUBSTITUTE(A376,{"0","1","2"},"")))))))),1))*ROW(INDIRECT("1:"&amp;LEN((LEFT(A376,SUM(LEN(A376)-LEN(SUBSTITUTE(A376,{"0","1","2"},"")))))))),0),ROW(INDIRECT("1:"&amp;LEN((LEFT(A376,SUM(LEN(A376)-LEN(SUBSTITUTE(A376,{"0","1","2"},"")))))))))+1,1)*10^ROW(INDIRECT("1:"&amp;LEN((LEFT(A376,SUM(LEN(A376)-LEN(SUBSTITUTE(A376,{"0","1","2"},""))))))))/10))*1+1&amp;""&amp;" to "&amp;""&amp;(SUMPRODUCT(MID(0&amp;(--TRIM(RIGHT(SUBSTITUTE(LEFT(A376,_xlfn.AGGREGATE(16,6,FIND({0,1,2,3,4,5,6,7,8,9},A376,ROW(INDIRECT("1:"&amp;LEN(A376)))),1))," ",REPT(" ",LEN(A376))),LEN(A376)))),LARGE(INDEX(ISNUMBER(--MID((--TRIM(RIGHT(SUBSTITUTE(LEFT(A376,_xlfn.AGGREGATE(16,6,FIND({0,1,2,3,4,5,6,7,8,9},A376,ROW(INDIRECT("1:"&amp;LEN(A376)))),1))," ",REPT(" ",LEN(A376))),LEN(A376)))),ROW(INDIRECT("1:"&amp;LEN((--TRIM(RIGHT(SUBSTITUTE(LEFT(A376,_xlfn.AGGREGATE(16,6,FIND({0,1,2,3,4,5,6,7,8,9},A376,ROW(INDIRECT("1:"&amp;LEN(A376)))),1))," ",REPT(" ",LEN(A376))),LEN(A376))))))),1))*ROW(INDIRECT("1:"&amp;LEN((--TRIM(RIGHT(SUBSTITUTE(LEFT(A376,_xlfn.AGGREGATE(16,6,FIND({0,1,2,3,4,5,6,7,8,9},A376,ROW(INDIRECT("1:"&amp;LEN(A376)))),1))," ",REPT(" ",LEN(A376))),LEN(A376))))))),0),ROW(INDIRECT("1:"&amp;LEN((--TRIM(RIGHT(SUBSTITUTE(LEFT(A376,_xlfn.AGGREGATE(16,6,FIND({0,1,2,3,4,5,6,7,8,9},A376,ROW(INDIRECT("1:"&amp;LEN(A376)))),1))," ",REPT(" ",LEN(A376))),LEN(A376))))))))+1,1)*10^ROW(INDIRECT("1:"&amp;LEN((--TRIM(RIGHT(SUBSTITUTE(LEFT(A376,_xlfn.AGGREGATE(16,6,FIND({0,1,2,3,4,5,6,7,8,9},A376,ROW(INDIRECT("1:"&amp;LEN(A376)))),1))," ",REPT(" ",LEN(A376))),LEN(A376)))))))/10))*1+1</f>
        <v>107 to 707</v>
      </c>
      <c r="B377" s="113"/>
      <c r="C377" s="53" t="s">
        <v>244</v>
      </c>
      <c r="D377" s="54">
        <f t="shared" si="53"/>
        <v>413.18475119999994</v>
      </c>
      <c r="E377" s="53">
        <v>0</v>
      </c>
      <c r="F377" s="53">
        <f t="shared" si="51"/>
        <v>599.11788923999984</v>
      </c>
      <c r="G377" s="112" t="str">
        <f t="shared" si="52"/>
        <v>1st to 7th Floor For Residential</v>
      </c>
      <c r="H377" s="113"/>
      <c r="I377" s="55"/>
    </row>
    <row r="378" spans="1:10" s="20" customFormat="1">
      <c r="A378" s="112" t="str">
        <f ca="1">(SUMPRODUCT(MID(0&amp;(LEFT(A377,SUM(LEN(A377)-LEN(SUBSTITUTE(A377,{"0","1","2"},""))))),LARGE(INDEX(ISNUMBER(--MID((LEFT(A377,SUM(LEN(A377)-LEN(SUBSTITUTE(A377,{"0","1","2"},""))))),ROW(INDIRECT("1:"&amp;LEN((LEFT(A377,SUM(LEN(A377)-LEN(SUBSTITUTE(A377,{"0","1","2"},"")))))))),1))*ROW(INDIRECT("1:"&amp;LEN((LEFT(A377,SUM(LEN(A377)-LEN(SUBSTITUTE(A377,{"0","1","2"},"")))))))),0),ROW(INDIRECT("1:"&amp;LEN((LEFT(A377,SUM(LEN(A377)-LEN(SUBSTITUTE(A377,{"0","1","2"},"")))))))))+1,1)*10^ROW(INDIRECT("1:"&amp;LEN((LEFT(A377,SUM(LEN(A377)-LEN(SUBSTITUTE(A377,{"0","1","2"},""))))))))/10))*1+1&amp;""&amp;" to "&amp;""&amp;(SUMPRODUCT(MID(0&amp;(--TRIM(RIGHT(SUBSTITUTE(LEFT(A377,_xlfn.AGGREGATE(16,6,FIND({0,1,2,3,4,5,6,7,8,9},A377,ROW(INDIRECT("1:"&amp;LEN(A377)))),1))," ",REPT(" ",LEN(A377))),LEN(A377)))),LARGE(INDEX(ISNUMBER(--MID((--TRIM(RIGHT(SUBSTITUTE(LEFT(A377,_xlfn.AGGREGATE(16,6,FIND({0,1,2,3,4,5,6,7,8,9},A377,ROW(INDIRECT("1:"&amp;LEN(A377)))),1))," ",REPT(" ",LEN(A377))),LEN(A377)))),ROW(INDIRECT("1:"&amp;LEN((--TRIM(RIGHT(SUBSTITUTE(LEFT(A377,_xlfn.AGGREGATE(16,6,FIND({0,1,2,3,4,5,6,7,8,9},A377,ROW(INDIRECT("1:"&amp;LEN(A377)))),1))," ",REPT(" ",LEN(A377))),LEN(A377))))))),1))*ROW(INDIRECT("1:"&amp;LEN((--TRIM(RIGHT(SUBSTITUTE(LEFT(A377,_xlfn.AGGREGATE(16,6,FIND({0,1,2,3,4,5,6,7,8,9},A377,ROW(INDIRECT("1:"&amp;LEN(A377)))),1))," ",REPT(" ",LEN(A377))),LEN(A377))))))),0),ROW(INDIRECT("1:"&amp;LEN((--TRIM(RIGHT(SUBSTITUTE(LEFT(A377,_xlfn.AGGREGATE(16,6,FIND({0,1,2,3,4,5,6,7,8,9},A377,ROW(INDIRECT("1:"&amp;LEN(A377)))),1))," ",REPT(" ",LEN(A377))),LEN(A377))))))))+1,1)*10^ROW(INDIRECT("1:"&amp;LEN((--TRIM(RIGHT(SUBSTITUTE(LEFT(A377,_xlfn.AGGREGATE(16,6,FIND({0,1,2,3,4,5,6,7,8,9},A377,ROW(INDIRECT("1:"&amp;LEN(A377)))),1))," ",REPT(" ",LEN(A377))),LEN(A377)))))))/10))*1+1</f>
        <v>108 to 708</v>
      </c>
      <c r="B378" s="113"/>
      <c r="C378" s="53" t="s">
        <v>244</v>
      </c>
      <c r="D378" s="54">
        <f t="shared" si="53"/>
        <v>413.18475119999994</v>
      </c>
      <c r="E378" s="53">
        <v>0</v>
      </c>
      <c r="F378" s="53">
        <f t="shared" si="51"/>
        <v>599.11788923999984</v>
      </c>
      <c r="G378" s="112" t="str">
        <f t="shared" si="52"/>
        <v>1st to 7th Floor For Residential</v>
      </c>
      <c r="H378" s="113"/>
      <c r="I378" s="55"/>
    </row>
    <row r="379" spans="1:10" s="20" customFormat="1">
      <c r="A379" s="125" t="s">
        <v>221</v>
      </c>
      <c r="B379" s="126"/>
      <c r="C379" s="126"/>
      <c r="D379" s="126"/>
      <c r="E379" s="126"/>
      <c r="F379" s="126"/>
      <c r="G379" s="126"/>
      <c r="H379" s="127"/>
      <c r="J379" s="55"/>
    </row>
    <row r="380" spans="1:10" s="20" customFormat="1">
      <c r="A380" s="125" t="s">
        <v>250</v>
      </c>
      <c r="B380" s="126"/>
      <c r="C380" s="126"/>
      <c r="D380" s="126"/>
      <c r="E380" s="126"/>
      <c r="F380" s="126"/>
      <c r="G380" s="126"/>
      <c r="H380" s="127"/>
      <c r="J380" s="55"/>
    </row>
    <row r="381" spans="1:10" s="20" customFormat="1">
      <c r="A381" s="125" t="s">
        <v>251</v>
      </c>
      <c r="B381" s="126"/>
      <c r="C381" s="126"/>
      <c r="D381" s="126"/>
      <c r="E381" s="126"/>
      <c r="F381" s="126"/>
      <c r="G381" s="126"/>
      <c r="H381" s="127"/>
      <c r="I381" s="55"/>
    </row>
    <row r="382" spans="1:10" s="20" customFormat="1">
      <c r="A382" s="112" t="str">
        <f ca="1">(SUMPRODUCT(MID(0&amp;(LEFT(A381,SUM(LEN(A381)-LEN(SUBSTITUTE(A381,{"0","1","2"},""))))),LARGE(INDEX(ISNUMBER(--MID((LEFT(A381,SUM(LEN(A381)-LEN(SUBSTITUTE(A381,{"0","1","2"},""))))),ROW(INDIRECT("1:"&amp;LEN((LEFT(A381,SUM(LEN(A381)-LEN(SUBSTITUTE(A381,{"0","1","2"},"")))))))),1))*ROW(INDIRECT("1:"&amp;LEN((LEFT(A381,SUM(LEN(A381)-LEN(SUBSTITUTE(A381,{"0","1","2"},"")))))))),0),ROW(INDIRECT("1:"&amp;LEN((LEFT(A381,SUM(LEN(A381)-LEN(SUBSTITUTE(A381,{"0","1","2"},"")))))))))+1,1)*10^ROW(INDIRECT("1:"&amp;LEN((LEFT(A381,SUM(LEN(A381)-LEN(SUBSTITUTE(A381,{"0","1","2"},""))))))))/10))*100+1&amp;""&amp;" to "&amp;""&amp;(SUMPRODUCT(MID(0&amp;(--TRIM(RIGHT(SUBSTITUTE(LEFT(A381,_xlfn.AGGREGATE(16,6,FIND({0,1,2,3,4,5,6,7,8,9},A381,ROW(INDIRECT("1:"&amp;LEN(A381)))),1))," ",REPT(" ",LEN(A381))),LEN(A381)))),LARGE(INDEX(ISNUMBER(--MID((--TRIM(RIGHT(SUBSTITUTE(LEFT(A381,_xlfn.AGGREGATE(16,6,FIND({0,1,2,3,4,5,6,7,8,9},A381,ROW(INDIRECT("1:"&amp;LEN(A381)))),1))," ",REPT(" ",LEN(A381))),LEN(A381)))),ROW(INDIRECT("1:"&amp;LEN((--TRIM(RIGHT(SUBSTITUTE(LEFT(A381,_xlfn.AGGREGATE(16,6,FIND({0,1,2,3,4,5,6,7,8,9},A381,ROW(INDIRECT("1:"&amp;LEN(A381)))),1))," ",REPT(" ",LEN(A381))),LEN(A381))))))),1))*ROW(INDIRECT("1:"&amp;LEN((--TRIM(RIGHT(SUBSTITUTE(LEFT(A381,_xlfn.AGGREGATE(16,6,FIND({0,1,2,3,4,5,6,7,8,9},A381,ROW(INDIRECT("1:"&amp;LEN(A381)))),1))," ",REPT(" ",LEN(A381))),LEN(A381))))))),0),ROW(INDIRECT("1:"&amp;LEN((--TRIM(RIGHT(SUBSTITUTE(LEFT(A381,_xlfn.AGGREGATE(16,6,FIND({0,1,2,3,4,5,6,7,8,9},A381,ROW(INDIRECT("1:"&amp;LEN(A381)))),1))," ",REPT(" ",LEN(A381))),LEN(A381))))))))+1,1)*10^ROW(INDIRECT("1:"&amp;LEN((--TRIM(RIGHT(SUBSTITUTE(LEFT(A381,_xlfn.AGGREGATE(16,6,FIND({0,1,2,3,4,5,6,7,8,9},A381,ROW(INDIRECT("1:"&amp;LEN(A381)))),1))," ",REPT(" ",LEN(A381))),LEN(A381)))))))/10))*100+1</f>
        <v>101 to 701</v>
      </c>
      <c r="B382" s="113"/>
      <c r="C382" s="53" t="s">
        <v>244</v>
      </c>
      <c r="D382" s="54">
        <f t="shared" ref="D382" si="54">(29.61+2.75*1+0.99*1.92+0.75*(2.75*2))*(10.764)</f>
        <v>413.18475119999994</v>
      </c>
      <c r="E382" s="53">
        <v>0</v>
      </c>
      <c r="F382" s="53">
        <f t="shared" ref="F382:F389" si="55">D382*(($F$287)+1)+(IF(E382&lt;101,E382,IF(E382&lt;201,E382/2,IF(E382&lt;=301,E382/3,E382/4))))</f>
        <v>599.11788923999984</v>
      </c>
      <c r="G382" s="112" t="str">
        <f>A381</f>
        <v>1st to 7th Floor For Residential</v>
      </c>
      <c r="H382" s="113"/>
      <c r="I382" s="55"/>
    </row>
    <row r="383" spans="1:10" s="20" customFormat="1">
      <c r="A383" s="112" t="str">
        <f ca="1">(SUMPRODUCT(MID(0&amp;(LEFT(A382,SUM(LEN(A382)-LEN(SUBSTITUTE(A382,{"0","1","2"},""))))),LARGE(INDEX(ISNUMBER(--MID((LEFT(A382,SUM(LEN(A382)-LEN(SUBSTITUTE(A382,{"0","1","2"},""))))),ROW(INDIRECT("1:"&amp;LEN((LEFT(A382,SUM(LEN(A382)-LEN(SUBSTITUTE(A382,{"0","1","2"},"")))))))),1))*ROW(INDIRECT("1:"&amp;LEN((LEFT(A382,SUM(LEN(A382)-LEN(SUBSTITUTE(A382,{"0","1","2"},"")))))))),0),ROW(INDIRECT("1:"&amp;LEN((LEFT(A382,SUM(LEN(A382)-LEN(SUBSTITUTE(A382,{"0","1","2"},"")))))))))+1,1)*10^ROW(INDIRECT("1:"&amp;LEN((LEFT(A382,SUM(LEN(A382)-LEN(SUBSTITUTE(A382,{"0","1","2"},""))))))))/10))*1+1&amp;""&amp;" to "&amp;""&amp;(SUMPRODUCT(MID(0&amp;(--TRIM(RIGHT(SUBSTITUTE(LEFT(A382,_xlfn.AGGREGATE(16,6,FIND({0,1,2,3,4,5,6,7,8,9},A382,ROW(INDIRECT("1:"&amp;LEN(A382)))),1))," ",REPT(" ",LEN(A382))),LEN(A382)))),LARGE(INDEX(ISNUMBER(--MID((--TRIM(RIGHT(SUBSTITUTE(LEFT(A382,_xlfn.AGGREGATE(16,6,FIND({0,1,2,3,4,5,6,7,8,9},A382,ROW(INDIRECT("1:"&amp;LEN(A382)))),1))," ",REPT(" ",LEN(A382))),LEN(A382)))),ROW(INDIRECT("1:"&amp;LEN((--TRIM(RIGHT(SUBSTITUTE(LEFT(A382,_xlfn.AGGREGATE(16,6,FIND({0,1,2,3,4,5,6,7,8,9},A382,ROW(INDIRECT("1:"&amp;LEN(A382)))),1))," ",REPT(" ",LEN(A382))),LEN(A382))))))),1))*ROW(INDIRECT("1:"&amp;LEN((--TRIM(RIGHT(SUBSTITUTE(LEFT(A382,_xlfn.AGGREGATE(16,6,FIND({0,1,2,3,4,5,6,7,8,9},A382,ROW(INDIRECT("1:"&amp;LEN(A382)))),1))," ",REPT(" ",LEN(A382))),LEN(A382))))))),0),ROW(INDIRECT("1:"&amp;LEN((--TRIM(RIGHT(SUBSTITUTE(LEFT(A382,_xlfn.AGGREGATE(16,6,FIND({0,1,2,3,4,5,6,7,8,9},A382,ROW(INDIRECT("1:"&amp;LEN(A382)))),1))," ",REPT(" ",LEN(A382))),LEN(A382))))))))+1,1)*10^ROW(INDIRECT("1:"&amp;LEN((--TRIM(RIGHT(SUBSTITUTE(LEFT(A382,_xlfn.AGGREGATE(16,6,FIND({0,1,2,3,4,5,6,7,8,9},A382,ROW(INDIRECT("1:"&amp;LEN(A382)))),1))," ",REPT(" ",LEN(A382))),LEN(A382)))))))/10))*1+1</f>
        <v>102 to 702</v>
      </c>
      <c r="B383" s="113"/>
      <c r="C383" s="53" t="s">
        <v>243</v>
      </c>
      <c r="D383" s="54">
        <f>(42.68+2.75*1+0.99*1.92+0.75*(2.75*2+3.05))*(10.764)</f>
        <v>578.49288119999994</v>
      </c>
      <c r="E383" s="53">
        <v>0</v>
      </c>
      <c r="F383" s="53">
        <f t="shared" si="55"/>
        <v>838.81467773999987</v>
      </c>
      <c r="G383" s="112" t="str">
        <f t="shared" ref="G383:G389" si="56">G382</f>
        <v>1st to 7th Floor For Residential</v>
      </c>
      <c r="H383" s="113"/>
      <c r="I383" s="55"/>
    </row>
    <row r="384" spans="1:10" s="20" customFormat="1">
      <c r="A384" s="112" t="str">
        <f ca="1">(SUMPRODUCT(MID(0&amp;(LEFT(A383,SUM(LEN(A383)-LEN(SUBSTITUTE(A383,{"0","1","2"},""))))),LARGE(INDEX(ISNUMBER(--MID((LEFT(A383,SUM(LEN(A383)-LEN(SUBSTITUTE(A383,{"0","1","2"},""))))),ROW(INDIRECT("1:"&amp;LEN((LEFT(A383,SUM(LEN(A383)-LEN(SUBSTITUTE(A383,{"0","1","2"},"")))))))),1))*ROW(INDIRECT("1:"&amp;LEN((LEFT(A383,SUM(LEN(A383)-LEN(SUBSTITUTE(A383,{"0","1","2"},"")))))))),0),ROW(INDIRECT("1:"&amp;LEN((LEFT(A383,SUM(LEN(A383)-LEN(SUBSTITUTE(A383,{"0","1","2"},"")))))))))+1,1)*10^ROW(INDIRECT("1:"&amp;LEN((LEFT(A383,SUM(LEN(A383)-LEN(SUBSTITUTE(A383,{"0","1","2"},""))))))))/10))*1+1&amp;""&amp;" to "&amp;""&amp;(SUMPRODUCT(MID(0&amp;(--TRIM(RIGHT(SUBSTITUTE(LEFT(A383,_xlfn.AGGREGATE(16,6,FIND({0,1,2,3,4,5,6,7,8,9},A383,ROW(INDIRECT("1:"&amp;LEN(A383)))),1))," ",REPT(" ",LEN(A383))),LEN(A383)))),LARGE(INDEX(ISNUMBER(--MID((--TRIM(RIGHT(SUBSTITUTE(LEFT(A383,_xlfn.AGGREGATE(16,6,FIND({0,1,2,3,4,5,6,7,8,9},A383,ROW(INDIRECT("1:"&amp;LEN(A383)))),1))," ",REPT(" ",LEN(A383))),LEN(A383)))),ROW(INDIRECT("1:"&amp;LEN((--TRIM(RIGHT(SUBSTITUTE(LEFT(A383,_xlfn.AGGREGATE(16,6,FIND({0,1,2,3,4,5,6,7,8,9},A383,ROW(INDIRECT("1:"&amp;LEN(A383)))),1))," ",REPT(" ",LEN(A383))),LEN(A383))))))),1))*ROW(INDIRECT("1:"&amp;LEN((--TRIM(RIGHT(SUBSTITUTE(LEFT(A383,_xlfn.AGGREGATE(16,6,FIND({0,1,2,3,4,5,6,7,8,9},A383,ROW(INDIRECT("1:"&amp;LEN(A383)))),1))," ",REPT(" ",LEN(A383))),LEN(A383))))))),0),ROW(INDIRECT("1:"&amp;LEN((--TRIM(RIGHT(SUBSTITUTE(LEFT(A383,_xlfn.AGGREGATE(16,6,FIND({0,1,2,3,4,5,6,7,8,9},A383,ROW(INDIRECT("1:"&amp;LEN(A383)))),1))," ",REPT(" ",LEN(A383))),LEN(A383))))))))+1,1)*10^ROW(INDIRECT("1:"&amp;LEN((--TRIM(RIGHT(SUBSTITUTE(LEFT(A383,_xlfn.AGGREGATE(16,6,FIND({0,1,2,3,4,5,6,7,8,9},A383,ROW(INDIRECT("1:"&amp;LEN(A383)))),1))," ",REPT(" ",LEN(A383))),LEN(A383)))))))/10))*1+1</f>
        <v>103 to 703</v>
      </c>
      <c r="B384" s="113"/>
      <c r="C384" s="53" t="s">
        <v>244</v>
      </c>
      <c r="D384" s="54">
        <f t="shared" ref="D384:D389" si="57">(29.61+2.75*1+0.99*1.92+0.75*(2.75*2))*(10.764)</f>
        <v>413.18475119999994</v>
      </c>
      <c r="E384" s="53">
        <v>0</v>
      </c>
      <c r="F384" s="53">
        <f t="shared" si="55"/>
        <v>599.11788923999984</v>
      </c>
      <c r="G384" s="112" t="str">
        <f t="shared" si="56"/>
        <v>1st to 7th Floor For Residential</v>
      </c>
      <c r="H384" s="113"/>
      <c r="I384" s="55"/>
    </row>
    <row r="385" spans="1:10" s="20" customFormat="1">
      <c r="A385" s="112" t="str">
        <f ca="1">(SUMPRODUCT(MID(0&amp;(LEFT(A384,SUM(LEN(A384)-LEN(SUBSTITUTE(A384,{"0","1","2"},""))))),LARGE(INDEX(ISNUMBER(--MID((LEFT(A384,SUM(LEN(A384)-LEN(SUBSTITUTE(A384,{"0","1","2"},""))))),ROW(INDIRECT("1:"&amp;LEN((LEFT(A384,SUM(LEN(A384)-LEN(SUBSTITUTE(A384,{"0","1","2"},"")))))))),1))*ROW(INDIRECT("1:"&amp;LEN((LEFT(A384,SUM(LEN(A384)-LEN(SUBSTITUTE(A384,{"0","1","2"},"")))))))),0),ROW(INDIRECT("1:"&amp;LEN((LEFT(A384,SUM(LEN(A384)-LEN(SUBSTITUTE(A384,{"0","1","2"},"")))))))))+1,1)*10^ROW(INDIRECT("1:"&amp;LEN((LEFT(A384,SUM(LEN(A384)-LEN(SUBSTITUTE(A384,{"0","1","2"},""))))))))/10))*1+1&amp;""&amp;" to "&amp;""&amp;(SUMPRODUCT(MID(0&amp;(--TRIM(RIGHT(SUBSTITUTE(LEFT(A384,_xlfn.AGGREGATE(16,6,FIND({0,1,2,3,4,5,6,7,8,9},A384,ROW(INDIRECT("1:"&amp;LEN(A384)))),1))," ",REPT(" ",LEN(A384))),LEN(A384)))),LARGE(INDEX(ISNUMBER(--MID((--TRIM(RIGHT(SUBSTITUTE(LEFT(A384,_xlfn.AGGREGATE(16,6,FIND({0,1,2,3,4,5,6,7,8,9},A384,ROW(INDIRECT("1:"&amp;LEN(A384)))),1))," ",REPT(" ",LEN(A384))),LEN(A384)))),ROW(INDIRECT("1:"&amp;LEN((--TRIM(RIGHT(SUBSTITUTE(LEFT(A384,_xlfn.AGGREGATE(16,6,FIND({0,1,2,3,4,5,6,7,8,9},A384,ROW(INDIRECT("1:"&amp;LEN(A384)))),1))," ",REPT(" ",LEN(A384))),LEN(A384))))))),1))*ROW(INDIRECT("1:"&amp;LEN((--TRIM(RIGHT(SUBSTITUTE(LEFT(A384,_xlfn.AGGREGATE(16,6,FIND({0,1,2,3,4,5,6,7,8,9},A384,ROW(INDIRECT("1:"&amp;LEN(A384)))),1))," ",REPT(" ",LEN(A384))),LEN(A384))))))),0),ROW(INDIRECT("1:"&amp;LEN((--TRIM(RIGHT(SUBSTITUTE(LEFT(A384,_xlfn.AGGREGATE(16,6,FIND({0,1,2,3,4,5,6,7,8,9},A384,ROW(INDIRECT("1:"&amp;LEN(A384)))),1))," ",REPT(" ",LEN(A384))),LEN(A384))))))))+1,1)*10^ROW(INDIRECT("1:"&amp;LEN((--TRIM(RIGHT(SUBSTITUTE(LEFT(A384,_xlfn.AGGREGATE(16,6,FIND({0,1,2,3,4,5,6,7,8,9},A384,ROW(INDIRECT("1:"&amp;LEN(A384)))),1))," ",REPT(" ",LEN(A384))),LEN(A384)))))))/10))*1+1</f>
        <v>104 to 704</v>
      </c>
      <c r="B385" s="113"/>
      <c r="C385" s="53" t="s">
        <v>244</v>
      </c>
      <c r="D385" s="54">
        <f t="shared" si="57"/>
        <v>413.18475119999994</v>
      </c>
      <c r="E385" s="53">
        <v>0</v>
      </c>
      <c r="F385" s="53">
        <f t="shared" si="55"/>
        <v>599.11788923999984</v>
      </c>
      <c r="G385" s="112" t="str">
        <f t="shared" si="56"/>
        <v>1st to 7th Floor For Residential</v>
      </c>
      <c r="H385" s="113"/>
      <c r="I385" s="55"/>
    </row>
    <row r="386" spans="1:10" s="20" customFormat="1">
      <c r="A386" s="112" t="str">
        <f ca="1">(SUMPRODUCT(MID(0&amp;(LEFT(A385,SUM(LEN(A385)-LEN(SUBSTITUTE(A385,{"0","1","2"},""))))),LARGE(INDEX(ISNUMBER(--MID((LEFT(A385,SUM(LEN(A385)-LEN(SUBSTITUTE(A385,{"0","1","2"},""))))),ROW(INDIRECT("1:"&amp;LEN((LEFT(A385,SUM(LEN(A385)-LEN(SUBSTITUTE(A385,{"0","1","2"},"")))))))),1))*ROW(INDIRECT("1:"&amp;LEN((LEFT(A385,SUM(LEN(A385)-LEN(SUBSTITUTE(A385,{"0","1","2"},"")))))))),0),ROW(INDIRECT("1:"&amp;LEN((LEFT(A385,SUM(LEN(A385)-LEN(SUBSTITUTE(A385,{"0","1","2"},"")))))))))+1,1)*10^ROW(INDIRECT("1:"&amp;LEN((LEFT(A385,SUM(LEN(A385)-LEN(SUBSTITUTE(A385,{"0","1","2"},""))))))))/10))*1+1&amp;""&amp;" to "&amp;""&amp;(SUMPRODUCT(MID(0&amp;(--TRIM(RIGHT(SUBSTITUTE(LEFT(A385,_xlfn.AGGREGATE(16,6,FIND({0,1,2,3,4,5,6,7,8,9},A385,ROW(INDIRECT("1:"&amp;LEN(A385)))),1))," ",REPT(" ",LEN(A385))),LEN(A385)))),LARGE(INDEX(ISNUMBER(--MID((--TRIM(RIGHT(SUBSTITUTE(LEFT(A385,_xlfn.AGGREGATE(16,6,FIND({0,1,2,3,4,5,6,7,8,9},A385,ROW(INDIRECT("1:"&amp;LEN(A385)))),1))," ",REPT(" ",LEN(A385))),LEN(A385)))),ROW(INDIRECT("1:"&amp;LEN((--TRIM(RIGHT(SUBSTITUTE(LEFT(A385,_xlfn.AGGREGATE(16,6,FIND({0,1,2,3,4,5,6,7,8,9},A385,ROW(INDIRECT("1:"&amp;LEN(A385)))),1))," ",REPT(" ",LEN(A385))),LEN(A385))))))),1))*ROW(INDIRECT("1:"&amp;LEN((--TRIM(RIGHT(SUBSTITUTE(LEFT(A385,_xlfn.AGGREGATE(16,6,FIND({0,1,2,3,4,5,6,7,8,9},A385,ROW(INDIRECT("1:"&amp;LEN(A385)))),1))," ",REPT(" ",LEN(A385))),LEN(A385))))))),0),ROW(INDIRECT("1:"&amp;LEN((--TRIM(RIGHT(SUBSTITUTE(LEFT(A385,_xlfn.AGGREGATE(16,6,FIND({0,1,2,3,4,5,6,7,8,9},A385,ROW(INDIRECT("1:"&amp;LEN(A385)))),1))," ",REPT(" ",LEN(A385))),LEN(A385))))))))+1,1)*10^ROW(INDIRECT("1:"&amp;LEN((--TRIM(RIGHT(SUBSTITUTE(LEFT(A385,_xlfn.AGGREGATE(16,6,FIND({0,1,2,3,4,5,6,7,8,9},A385,ROW(INDIRECT("1:"&amp;LEN(A385)))),1))," ",REPT(" ",LEN(A385))),LEN(A385)))))))/10))*1+1</f>
        <v>105 to 705</v>
      </c>
      <c r="B386" s="113"/>
      <c r="C386" s="53" t="s">
        <v>244</v>
      </c>
      <c r="D386" s="54">
        <f t="shared" si="57"/>
        <v>413.18475119999994</v>
      </c>
      <c r="E386" s="53">
        <v>0</v>
      </c>
      <c r="F386" s="53">
        <f t="shared" si="55"/>
        <v>599.11788923999984</v>
      </c>
      <c r="G386" s="112" t="str">
        <f t="shared" si="56"/>
        <v>1st to 7th Floor For Residential</v>
      </c>
      <c r="H386" s="113"/>
      <c r="I386" s="55"/>
    </row>
    <row r="387" spans="1:10" s="20" customFormat="1">
      <c r="A387" s="112" t="str">
        <f ca="1">(SUMPRODUCT(MID(0&amp;(LEFT(A386,SUM(LEN(A386)-LEN(SUBSTITUTE(A386,{"0","1","2"},""))))),LARGE(INDEX(ISNUMBER(--MID((LEFT(A386,SUM(LEN(A386)-LEN(SUBSTITUTE(A386,{"0","1","2"},""))))),ROW(INDIRECT("1:"&amp;LEN((LEFT(A386,SUM(LEN(A386)-LEN(SUBSTITUTE(A386,{"0","1","2"},"")))))))),1))*ROW(INDIRECT("1:"&amp;LEN((LEFT(A386,SUM(LEN(A386)-LEN(SUBSTITUTE(A386,{"0","1","2"},"")))))))),0),ROW(INDIRECT("1:"&amp;LEN((LEFT(A386,SUM(LEN(A386)-LEN(SUBSTITUTE(A386,{"0","1","2"},"")))))))))+1,1)*10^ROW(INDIRECT("1:"&amp;LEN((LEFT(A386,SUM(LEN(A386)-LEN(SUBSTITUTE(A386,{"0","1","2"},""))))))))/10))*1+1&amp;""&amp;" to "&amp;""&amp;(SUMPRODUCT(MID(0&amp;(--TRIM(RIGHT(SUBSTITUTE(LEFT(A386,_xlfn.AGGREGATE(16,6,FIND({0,1,2,3,4,5,6,7,8,9},A386,ROW(INDIRECT("1:"&amp;LEN(A386)))),1))," ",REPT(" ",LEN(A386))),LEN(A386)))),LARGE(INDEX(ISNUMBER(--MID((--TRIM(RIGHT(SUBSTITUTE(LEFT(A386,_xlfn.AGGREGATE(16,6,FIND({0,1,2,3,4,5,6,7,8,9},A386,ROW(INDIRECT("1:"&amp;LEN(A386)))),1))," ",REPT(" ",LEN(A386))),LEN(A386)))),ROW(INDIRECT("1:"&amp;LEN((--TRIM(RIGHT(SUBSTITUTE(LEFT(A386,_xlfn.AGGREGATE(16,6,FIND({0,1,2,3,4,5,6,7,8,9},A386,ROW(INDIRECT("1:"&amp;LEN(A386)))),1))," ",REPT(" ",LEN(A386))),LEN(A386))))))),1))*ROW(INDIRECT("1:"&amp;LEN((--TRIM(RIGHT(SUBSTITUTE(LEFT(A386,_xlfn.AGGREGATE(16,6,FIND({0,1,2,3,4,5,6,7,8,9},A386,ROW(INDIRECT("1:"&amp;LEN(A386)))),1))," ",REPT(" ",LEN(A386))),LEN(A386))))))),0),ROW(INDIRECT("1:"&amp;LEN((--TRIM(RIGHT(SUBSTITUTE(LEFT(A386,_xlfn.AGGREGATE(16,6,FIND({0,1,2,3,4,5,6,7,8,9},A386,ROW(INDIRECT("1:"&amp;LEN(A386)))),1))," ",REPT(" ",LEN(A386))),LEN(A386))))))))+1,1)*10^ROW(INDIRECT("1:"&amp;LEN((--TRIM(RIGHT(SUBSTITUTE(LEFT(A386,_xlfn.AGGREGATE(16,6,FIND({0,1,2,3,4,5,6,7,8,9},A386,ROW(INDIRECT("1:"&amp;LEN(A386)))),1))," ",REPT(" ",LEN(A386))),LEN(A386)))))))/10))*1+1</f>
        <v>106 to 706</v>
      </c>
      <c r="B387" s="113"/>
      <c r="C387" s="53" t="s">
        <v>244</v>
      </c>
      <c r="D387" s="54">
        <f t="shared" si="57"/>
        <v>413.18475119999994</v>
      </c>
      <c r="E387" s="53">
        <v>0</v>
      </c>
      <c r="F387" s="53">
        <f t="shared" si="55"/>
        <v>599.11788923999984</v>
      </c>
      <c r="G387" s="112" t="str">
        <f t="shared" si="56"/>
        <v>1st to 7th Floor For Residential</v>
      </c>
      <c r="H387" s="113"/>
      <c r="I387" s="55"/>
    </row>
    <row r="388" spans="1:10" s="20" customFormat="1">
      <c r="A388" s="112" t="str">
        <f ca="1">(SUMPRODUCT(MID(0&amp;(LEFT(A387,SUM(LEN(A387)-LEN(SUBSTITUTE(A387,{"0","1","2"},""))))),LARGE(INDEX(ISNUMBER(--MID((LEFT(A387,SUM(LEN(A387)-LEN(SUBSTITUTE(A387,{"0","1","2"},""))))),ROW(INDIRECT("1:"&amp;LEN((LEFT(A387,SUM(LEN(A387)-LEN(SUBSTITUTE(A387,{"0","1","2"},"")))))))),1))*ROW(INDIRECT("1:"&amp;LEN((LEFT(A387,SUM(LEN(A387)-LEN(SUBSTITUTE(A387,{"0","1","2"},"")))))))),0),ROW(INDIRECT("1:"&amp;LEN((LEFT(A387,SUM(LEN(A387)-LEN(SUBSTITUTE(A387,{"0","1","2"},"")))))))))+1,1)*10^ROW(INDIRECT("1:"&amp;LEN((LEFT(A387,SUM(LEN(A387)-LEN(SUBSTITUTE(A387,{"0","1","2"},""))))))))/10))*1+1&amp;""&amp;" to "&amp;""&amp;(SUMPRODUCT(MID(0&amp;(--TRIM(RIGHT(SUBSTITUTE(LEFT(A387,_xlfn.AGGREGATE(16,6,FIND({0,1,2,3,4,5,6,7,8,9},A387,ROW(INDIRECT("1:"&amp;LEN(A387)))),1))," ",REPT(" ",LEN(A387))),LEN(A387)))),LARGE(INDEX(ISNUMBER(--MID((--TRIM(RIGHT(SUBSTITUTE(LEFT(A387,_xlfn.AGGREGATE(16,6,FIND({0,1,2,3,4,5,6,7,8,9},A387,ROW(INDIRECT("1:"&amp;LEN(A387)))),1))," ",REPT(" ",LEN(A387))),LEN(A387)))),ROW(INDIRECT("1:"&amp;LEN((--TRIM(RIGHT(SUBSTITUTE(LEFT(A387,_xlfn.AGGREGATE(16,6,FIND({0,1,2,3,4,5,6,7,8,9},A387,ROW(INDIRECT("1:"&amp;LEN(A387)))),1))," ",REPT(" ",LEN(A387))),LEN(A387))))))),1))*ROW(INDIRECT("1:"&amp;LEN((--TRIM(RIGHT(SUBSTITUTE(LEFT(A387,_xlfn.AGGREGATE(16,6,FIND({0,1,2,3,4,5,6,7,8,9},A387,ROW(INDIRECT("1:"&amp;LEN(A387)))),1))," ",REPT(" ",LEN(A387))),LEN(A387))))))),0),ROW(INDIRECT("1:"&amp;LEN((--TRIM(RIGHT(SUBSTITUTE(LEFT(A387,_xlfn.AGGREGATE(16,6,FIND({0,1,2,3,4,5,6,7,8,9},A387,ROW(INDIRECT("1:"&amp;LEN(A387)))),1))," ",REPT(" ",LEN(A387))),LEN(A387))))))))+1,1)*10^ROW(INDIRECT("1:"&amp;LEN((--TRIM(RIGHT(SUBSTITUTE(LEFT(A387,_xlfn.AGGREGATE(16,6,FIND({0,1,2,3,4,5,6,7,8,9},A387,ROW(INDIRECT("1:"&amp;LEN(A387)))),1))," ",REPT(" ",LEN(A387))),LEN(A387)))))))/10))*1+1</f>
        <v>107 to 707</v>
      </c>
      <c r="B388" s="113"/>
      <c r="C388" s="53" t="s">
        <v>244</v>
      </c>
      <c r="D388" s="54">
        <f t="shared" si="57"/>
        <v>413.18475119999994</v>
      </c>
      <c r="E388" s="53">
        <v>0</v>
      </c>
      <c r="F388" s="53">
        <f t="shared" si="55"/>
        <v>599.11788923999984</v>
      </c>
      <c r="G388" s="112" t="str">
        <f t="shared" si="56"/>
        <v>1st to 7th Floor For Residential</v>
      </c>
      <c r="H388" s="113"/>
      <c r="I388" s="55"/>
    </row>
    <row r="389" spans="1:10" s="20" customFormat="1">
      <c r="A389" s="112" t="str">
        <f ca="1">(SUMPRODUCT(MID(0&amp;(LEFT(A388,SUM(LEN(A388)-LEN(SUBSTITUTE(A388,{"0","1","2"},""))))),LARGE(INDEX(ISNUMBER(--MID((LEFT(A388,SUM(LEN(A388)-LEN(SUBSTITUTE(A388,{"0","1","2"},""))))),ROW(INDIRECT("1:"&amp;LEN((LEFT(A388,SUM(LEN(A388)-LEN(SUBSTITUTE(A388,{"0","1","2"},"")))))))),1))*ROW(INDIRECT("1:"&amp;LEN((LEFT(A388,SUM(LEN(A388)-LEN(SUBSTITUTE(A388,{"0","1","2"},"")))))))),0),ROW(INDIRECT("1:"&amp;LEN((LEFT(A388,SUM(LEN(A388)-LEN(SUBSTITUTE(A388,{"0","1","2"},"")))))))))+1,1)*10^ROW(INDIRECT("1:"&amp;LEN((LEFT(A388,SUM(LEN(A388)-LEN(SUBSTITUTE(A388,{"0","1","2"},""))))))))/10))*1+1&amp;""&amp;" to "&amp;""&amp;(SUMPRODUCT(MID(0&amp;(--TRIM(RIGHT(SUBSTITUTE(LEFT(A388,_xlfn.AGGREGATE(16,6,FIND({0,1,2,3,4,5,6,7,8,9},A388,ROW(INDIRECT("1:"&amp;LEN(A388)))),1))," ",REPT(" ",LEN(A388))),LEN(A388)))),LARGE(INDEX(ISNUMBER(--MID((--TRIM(RIGHT(SUBSTITUTE(LEFT(A388,_xlfn.AGGREGATE(16,6,FIND({0,1,2,3,4,5,6,7,8,9},A388,ROW(INDIRECT("1:"&amp;LEN(A388)))),1))," ",REPT(" ",LEN(A388))),LEN(A388)))),ROW(INDIRECT("1:"&amp;LEN((--TRIM(RIGHT(SUBSTITUTE(LEFT(A388,_xlfn.AGGREGATE(16,6,FIND({0,1,2,3,4,5,6,7,8,9},A388,ROW(INDIRECT("1:"&amp;LEN(A388)))),1))," ",REPT(" ",LEN(A388))),LEN(A388))))))),1))*ROW(INDIRECT("1:"&amp;LEN((--TRIM(RIGHT(SUBSTITUTE(LEFT(A388,_xlfn.AGGREGATE(16,6,FIND({0,1,2,3,4,5,6,7,8,9},A388,ROW(INDIRECT("1:"&amp;LEN(A388)))),1))," ",REPT(" ",LEN(A388))),LEN(A388))))))),0),ROW(INDIRECT("1:"&amp;LEN((--TRIM(RIGHT(SUBSTITUTE(LEFT(A388,_xlfn.AGGREGATE(16,6,FIND({0,1,2,3,4,5,6,7,8,9},A388,ROW(INDIRECT("1:"&amp;LEN(A388)))),1))," ",REPT(" ",LEN(A388))),LEN(A388))))))))+1,1)*10^ROW(INDIRECT("1:"&amp;LEN((--TRIM(RIGHT(SUBSTITUTE(LEFT(A388,_xlfn.AGGREGATE(16,6,FIND({0,1,2,3,4,5,6,7,8,9},A388,ROW(INDIRECT("1:"&amp;LEN(A388)))),1))," ",REPT(" ",LEN(A388))),LEN(A388)))))))/10))*1+1</f>
        <v>108 to 708</v>
      </c>
      <c r="B389" s="113"/>
      <c r="C389" s="53" t="s">
        <v>244</v>
      </c>
      <c r="D389" s="54">
        <f t="shared" si="57"/>
        <v>413.18475119999994</v>
      </c>
      <c r="E389" s="53">
        <v>0</v>
      </c>
      <c r="F389" s="53">
        <f t="shared" si="55"/>
        <v>599.11788923999984</v>
      </c>
      <c r="G389" s="112" t="str">
        <f t="shared" si="56"/>
        <v>1st to 7th Floor For Residential</v>
      </c>
      <c r="H389" s="113"/>
      <c r="I389" s="55"/>
    </row>
    <row r="390" spans="1:10" s="20" customFormat="1">
      <c r="A390" s="125" t="s">
        <v>222</v>
      </c>
      <c r="B390" s="126"/>
      <c r="C390" s="126"/>
      <c r="D390" s="126"/>
      <c r="E390" s="126"/>
      <c r="F390" s="126"/>
      <c r="G390" s="126"/>
      <c r="H390" s="127"/>
      <c r="J390" s="55"/>
    </row>
    <row r="391" spans="1:10" s="20" customFormat="1">
      <c r="A391" s="129" t="s">
        <v>250</v>
      </c>
      <c r="B391" s="129"/>
      <c r="C391" s="129"/>
      <c r="D391" s="129"/>
      <c r="E391" s="129"/>
      <c r="F391" s="129"/>
      <c r="G391" s="129"/>
      <c r="H391" s="129"/>
      <c r="J391" s="55"/>
    </row>
    <row r="392" spans="1:10" s="20" customFormat="1">
      <c r="A392" s="129" t="s">
        <v>251</v>
      </c>
      <c r="B392" s="129"/>
      <c r="C392" s="129"/>
      <c r="D392" s="129"/>
      <c r="E392" s="129"/>
      <c r="F392" s="129"/>
      <c r="G392" s="129"/>
      <c r="H392" s="129"/>
      <c r="I392" s="55"/>
    </row>
    <row r="393" spans="1:10" s="20" customFormat="1">
      <c r="A393" s="107" t="str">
        <f ca="1">(SUMPRODUCT(MID(0&amp;(LEFT(A392,SUM(LEN(A392)-LEN(SUBSTITUTE(A392,{"0","1","2"},""))))),LARGE(INDEX(ISNUMBER(--MID((LEFT(A392,SUM(LEN(A392)-LEN(SUBSTITUTE(A392,{"0","1","2"},""))))),ROW(INDIRECT("1:"&amp;LEN((LEFT(A392,SUM(LEN(A392)-LEN(SUBSTITUTE(A392,{"0","1","2"},"")))))))),1))*ROW(INDIRECT("1:"&amp;LEN((LEFT(A392,SUM(LEN(A392)-LEN(SUBSTITUTE(A392,{"0","1","2"},"")))))))),0),ROW(INDIRECT("1:"&amp;LEN((LEFT(A392,SUM(LEN(A392)-LEN(SUBSTITUTE(A392,{"0","1","2"},"")))))))))+1,1)*10^ROW(INDIRECT("1:"&amp;LEN((LEFT(A392,SUM(LEN(A392)-LEN(SUBSTITUTE(A392,{"0","1","2"},""))))))))/10))*100+1&amp;""&amp;" to "&amp;""&amp;(SUMPRODUCT(MID(0&amp;(--TRIM(RIGHT(SUBSTITUTE(LEFT(A392,_xlfn.AGGREGATE(16,6,FIND({0,1,2,3,4,5,6,7,8,9},A392,ROW(INDIRECT("1:"&amp;LEN(A392)))),1))," ",REPT(" ",LEN(A392))),LEN(A392)))),LARGE(INDEX(ISNUMBER(--MID((--TRIM(RIGHT(SUBSTITUTE(LEFT(A392,_xlfn.AGGREGATE(16,6,FIND({0,1,2,3,4,5,6,7,8,9},A392,ROW(INDIRECT("1:"&amp;LEN(A392)))),1))," ",REPT(" ",LEN(A392))),LEN(A392)))),ROW(INDIRECT("1:"&amp;LEN((--TRIM(RIGHT(SUBSTITUTE(LEFT(A392,_xlfn.AGGREGATE(16,6,FIND({0,1,2,3,4,5,6,7,8,9},A392,ROW(INDIRECT("1:"&amp;LEN(A392)))),1))," ",REPT(" ",LEN(A392))),LEN(A392))))))),1))*ROW(INDIRECT("1:"&amp;LEN((--TRIM(RIGHT(SUBSTITUTE(LEFT(A392,_xlfn.AGGREGATE(16,6,FIND({0,1,2,3,4,5,6,7,8,9},A392,ROW(INDIRECT("1:"&amp;LEN(A392)))),1))," ",REPT(" ",LEN(A392))),LEN(A392))))))),0),ROW(INDIRECT("1:"&amp;LEN((--TRIM(RIGHT(SUBSTITUTE(LEFT(A392,_xlfn.AGGREGATE(16,6,FIND({0,1,2,3,4,5,6,7,8,9},A392,ROW(INDIRECT("1:"&amp;LEN(A392)))),1))," ",REPT(" ",LEN(A392))),LEN(A392))))))))+1,1)*10^ROW(INDIRECT("1:"&amp;LEN((--TRIM(RIGHT(SUBSTITUTE(LEFT(A392,_xlfn.AGGREGATE(16,6,FIND({0,1,2,3,4,5,6,7,8,9},A392,ROW(INDIRECT("1:"&amp;LEN(A392)))),1))," ",REPT(" ",LEN(A392))),LEN(A392)))))))/10))*100+1</f>
        <v>101 to 701</v>
      </c>
      <c r="B393" s="107"/>
      <c r="C393" s="61" t="s">
        <v>244</v>
      </c>
      <c r="D393" s="54">
        <f t="shared" ref="D393" si="58">(29.61+2.75*1+0.99*1.92+0.75*(2.75*2))*(10.764)</f>
        <v>413.18475119999994</v>
      </c>
      <c r="E393" s="61">
        <v>0</v>
      </c>
      <c r="F393" s="61">
        <f t="shared" ref="F393:F400" si="59">D393*(($F$287)+1)+(IF(E393&lt;101,E393,IF(E393&lt;201,E393/2,IF(E393&lt;=301,E393/3,E393/4))))</f>
        <v>599.11788923999984</v>
      </c>
      <c r="G393" s="107" t="str">
        <f>A392</f>
        <v>1st to 7th Floor For Residential</v>
      </c>
      <c r="H393" s="107"/>
      <c r="I393" s="55"/>
    </row>
    <row r="394" spans="1:10" s="20" customFormat="1">
      <c r="A394" s="107" t="str">
        <f ca="1">(SUMPRODUCT(MID(0&amp;(LEFT(A393,SUM(LEN(A393)-LEN(SUBSTITUTE(A393,{"0","1","2"},""))))),LARGE(INDEX(ISNUMBER(--MID((LEFT(A393,SUM(LEN(A393)-LEN(SUBSTITUTE(A393,{"0","1","2"},""))))),ROW(INDIRECT("1:"&amp;LEN((LEFT(A393,SUM(LEN(A393)-LEN(SUBSTITUTE(A393,{"0","1","2"},"")))))))),1))*ROW(INDIRECT("1:"&amp;LEN((LEFT(A393,SUM(LEN(A393)-LEN(SUBSTITUTE(A393,{"0","1","2"},"")))))))),0),ROW(INDIRECT("1:"&amp;LEN((LEFT(A393,SUM(LEN(A393)-LEN(SUBSTITUTE(A393,{"0","1","2"},"")))))))))+1,1)*10^ROW(INDIRECT("1:"&amp;LEN((LEFT(A393,SUM(LEN(A393)-LEN(SUBSTITUTE(A393,{"0","1","2"},""))))))))/10))*1+1&amp;""&amp;" to "&amp;""&amp;(SUMPRODUCT(MID(0&amp;(--TRIM(RIGHT(SUBSTITUTE(LEFT(A393,_xlfn.AGGREGATE(16,6,FIND({0,1,2,3,4,5,6,7,8,9},A393,ROW(INDIRECT("1:"&amp;LEN(A393)))),1))," ",REPT(" ",LEN(A393))),LEN(A393)))),LARGE(INDEX(ISNUMBER(--MID((--TRIM(RIGHT(SUBSTITUTE(LEFT(A393,_xlfn.AGGREGATE(16,6,FIND({0,1,2,3,4,5,6,7,8,9},A393,ROW(INDIRECT("1:"&amp;LEN(A393)))),1))," ",REPT(" ",LEN(A393))),LEN(A393)))),ROW(INDIRECT("1:"&amp;LEN((--TRIM(RIGHT(SUBSTITUTE(LEFT(A393,_xlfn.AGGREGATE(16,6,FIND({0,1,2,3,4,5,6,7,8,9},A393,ROW(INDIRECT("1:"&amp;LEN(A393)))),1))," ",REPT(" ",LEN(A393))),LEN(A393))))))),1))*ROW(INDIRECT("1:"&amp;LEN((--TRIM(RIGHT(SUBSTITUTE(LEFT(A393,_xlfn.AGGREGATE(16,6,FIND({0,1,2,3,4,5,6,7,8,9},A393,ROW(INDIRECT("1:"&amp;LEN(A393)))),1))," ",REPT(" ",LEN(A393))),LEN(A393))))))),0),ROW(INDIRECT("1:"&amp;LEN((--TRIM(RIGHT(SUBSTITUTE(LEFT(A393,_xlfn.AGGREGATE(16,6,FIND({0,1,2,3,4,5,6,7,8,9},A393,ROW(INDIRECT("1:"&amp;LEN(A393)))),1))," ",REPT(" ",LEN(A393))),LEN(A393))))))))+1,1)*10^ROW(INDIRECT("1:"&amp;LEN((--TRIM(RIGHT(SUBSTITUTE(LEFT(A393,_xlfn.AGGREGATE(16,6,FIND({0,1,2,3,4,5,6,7,8,9},A393,ROW(INDIRECT("1:"&amp;LEN(A393)))),1))," ",REPT(" ",LEN(A393))),LEN(A393)))))))/10))*1+1</f>
        <v>102 to 702</v>
      </c>
      <c r="B394" s="107"/>
      <c r="C394" s="61" t="s">
        <v>243</v>
      </c>
      <c r="D394" s="54">
        <f>(42.68+2.75*1+0.99*1.92+0.75*(2.75*2+3.05))*(10.764)</f>
        <v>578.49288119999994</v>
      </c>
      <c r="E394" s="61">
        <v>0</v>
      </c>
      <c r="F394" s="61">
        <f t="shared" si="59"/>
        <v>838.81467773999987</v>
      </c>
      <c r="G394" s="107" t="str">
        <f t="shared" ref="G394:G400" si="60">G393</f>
        <v>1st to 7th Floor For Residential</v>
      </c>
      <c r="H394" s="107"/>
      <c r="I394" s="55"/>
    </row>
    <row r="395" spans="1:10" s="20" customFormat="1">
      <c r="A395" s="107" t="str">
        <f ca="1">(SUMPRODUCT(MID(0&amp;(LEFT(A394,SUM(LEN(A394)-LEN(SUBSTITUTE(A394,{"0","1","2"},""))))),LARGE(INDEX(ISNUMBER(--MID((LEFT(A394,SUM(LEN(A394)-LEN(SUBSTITUTE(A394,{"0","1","2"},""))))),ROW(INDIRECT("1:"&amp;LEN((LEFT(A394,SUM(LEN(A394)-LEN(SUBSTITUTE(A394,{"0","1","2"},"")))))))),1))*ROW(INDIRECT("1:"&amp;LEN((LEFT(A394,SUM(LEN(A394)-LEN(SUBSTITUTE(A394,{"0","1","2"},"")))))))),0),ROW(INDIRECT("1:"&amp;LEN((LEFT(A394,SUM(LEN(A394)-LEN(SUBSTITUTE(A394,{"0","1","2"},"")))))))))+1,1)*10^ROW(INDIRECT("1:"&amp;LEN((LEFT(A394,SUM(LEN(A394)-LEN(SUBSTITUTE(A394,{"0","1","2"},""))))))))/10))*1+1&amp;""&amp;" to "&amp;""&amp;(SUMPRODUCT(MID(0&amp;(--TRIM(RIGHT(SUBSTITUTE(LEFT(A394,_xlfn.AGGREGATE(16,6,FIND({0,1,2,3,4,5,6,7,8,9},A394,ROW(INDIRECT("1:"&amp;LEN(A394)))),1))," ",REPT(" ",LEN(A394))),LEN(A394)))),LARGE(INDEX(ISNUMBER(--MID((--TRIM(RIGHT(SUBSTITUTE(LEFT(A394,_xlfn.AGGREGATE(16,6,FIND({0,1,2,3,4,5,6,7,8,9},A394,ROW(INDIRECT("1:"&amp;LEN(A394)))),1))," ",REPT(" ",LEN(A394))),LEN(A394)))),ROW(INDIRECT("1:"&amp;LEN((--TRIM(RIGHT(SUBSTITUTE(LEFT(A394,_xlfn.AGGREGATE(16,6,FIND({0,1,2,3,4,5,6,7,8,9},A394,ROW(INDIRECT("1:"&amp;LEN(A394)))),1))," ",REPT(" ",LEN(A394))),LEN(A394))))))),1))*ROW(INDIRECT("1:"&amp;LEN((--TRIM(RIGHT(SUBSTITUTE(LEFT(A394,_xlfn.AGGREGATE(16,6,FIND({0,1,2,3,4,5,6,7,8,9},A394,ROW(INDIRECT("1:"&amp;LEN(A394)))),1))," ",REPT(" ",LEN(A394))),LEN(A394))))))),0),ROW(INDIRECT("1:"&amp;LEN((--TRIM(RIGHT(SUBSTITUTE(LEFT(A394,_xlfn.AGGREGATE(16,6,FIND({0,1,2,3,4,5,6,7,8,9},A394,ROW(INDIRECT("1:"&amp;LEN(A394)))),1))," ",REPT(" ",LEN(A394))),LEN(A394))))))))+1,1)*10^ROW(INDIRECT("1:"&amp;LEN((--TRIM(RIGHT(SUBSTITUTE(LEFT(A394,_xlfn.AGGREGATE(16,6,FIND({0,1,2,3,4,5,6,7,8,9},A394,ROW(INDIRECT("1:"&amp;LEN(A394)))),1))," ",REPT(" ",LEN(A394))),LEN(A394)))))))/10))*1+1</f>
        <v>103 to 703</v>
      </c>
      <c r="B395" s="107"/>
      <c r="C395" s="61" t="s">
        <v>244</v>
      </c>
      <c r="D395" s="54">
        <f t="shared" ref="D395:D400" si="61">(29.61+2.75*1+0.99*1.92+0.75*(2.75*2))*(10.764)</f>
        <v>413.18475119999994</v>
      </c>
      <c r="E395" s="61">
        <v>0</v>
      </c>
      <c r="F395" s="61">
        <f t="shared" si="59"/>
        <v>599.11788923999984</v>
      </c>
      <c r="G395" s="107" t="str">
        <f t="shared" si="60"/>
        <v>1st to 7th Floor For Residential</v>
      </c>
      <c r="H395" s="107"/>
      <c r="I395" s="55"/>
    </row>
    <row r="396" spans="1:10" s="20" customFormat="1">
      <c r="A396" s="107" t="str">
        <f ca="1">(SUMPRODUCT(MID(0&amp;(LEFT(A395,SUM(LEN(A395)-LEN(SUBSTITUTE(A395,{"0","1","2"},""))))),LARGE(INDEX(ISNUMBER(--MID((LEFT(A395,SUM(LEN(A395)-LEN(SUBSTITUTE(A395,{"0","1","2"},""))))),ROW(INDIRECT("1:"&amp;LEN((LEFT(A395,SUM(LEN(A395)-LEN(SUBSTITUTE(A395,{"0","1","2"},"")))))))),1))*ROW(INDIRECT("1:"&amp;LEN((LEFT(A395,SUM(LEN(A395)-LEN(SUBSTITUTE(A395,{"0","1","2"},"")))))))),0),ROW(INDIRECT("1:"&amp;LEN((LEFT(A395,SUM(LEN(A395)-LEN(SUBSTITUTE(A395,{"0","1","2"},"")))))))))+1,1)*10^ROW(INDIRECT("1:"&amp;LEN((LEFT(A395,SUM(LEN(A395)-LEN(SUBSTITUTE(A395,{"0","1","2"},""))))))))/10))*1+1&amp;""&amp;" to "&amp;""&amp;(SUMPRODUCT(MID(0&amp;(--TRIM(RIGHT(SUBSTITUTE(LEFT(A395,_xlfn.AGGREGATE(16,6,FIND({0,1,2,3,4,5,6,7,8,9},A395,ROW(INDIRECT("1:"&amp;LEN(A395)))),1))," ",REPT(" ",LEN(A395))),LEN(A395)))),LARGE(INDEX(ISNUMBER(--MID((--TRIM(RIGHT(SUBSTITUTE(LEFT(A395,_xlfn.AGGREGATE(16,6,FIND({0,1,2,3,4,5,6,7,8,9},A395,ROW(INDIRECT("1:"&amp;LEN(A395)))),1))," ",REPT(" ",LEN(A395))),LEN(A395)))),ROW(INDIRECT("1:"&amp;LEN((--TRIM(RIGHT(SUBSTITUTE(LEFT(A395,_xlfn.AGGREGATE(16,6,FIND({0,1,2,3,4,5,6,7,8,9},A395,ROW(INDIRECT("1:"&amp;LEN(A395)))),1))," ",REPT(" ",LEN(A395))),LEN(A395))))))),1))*ROW(INDIRECT("1:"&amp;LEN((--TRIM(RIGHT(SUBSTITUTE(LEFT(A395,_xlfn.AGGREGATE(16,6,FIND({0,1,2,3,4,5,6,7,8,9},A395,ROW(INDIRECT("1:"&amp;LEN(A395)))),1))," ",REPT(" ",LEN(A395))),LEN(A395))))))),0),ROW(INDIRECT("1:"&amp;LEN((--TRIM(RIGHT(SUBSTITUTE(LEFT(A395,_xlfn.AGGREGATE(16,6,FIND({0,1,2,3,4,5,6,7,8,9},A395,ROW(INDIRECT("1:"&amp;LEN(A395)))),1))," ",REPT(" ",LEN(A395))),LEN(A395))))))))+1,1)*10^ROW(INDIRECT("1:"&amp;LEN((--TRIM(RIGHT(SUBSTITUTE(LEFT(A395,_xlfn.AGGREGATE(16,6,FIND({0,1,2,3,4,5,6,7,8,9},A395,ROW(INDIRECT("1:"&amp;LEN(A395)))),1))," ",REPT(" ",LEN(A395))),LEN(A395)))))))/10))*1+1</f>
        <v>104 to 704</v>
      </c>
      <c r="B396" s="107"/>
      <c r="C396" s="61" t="s">
        <v>244</v>
      </c>
      <c r="D396" s="54">
        <f t="shared" si="61"/>
        <v>413.18475119999994</v>
      </c>
      <c r="E396" s="61">
        <v>0</v>
      </c>
      <c r="F396" s="61">
        <f t="shared" si="59"/>
        <v>599.11788923999984</v>
      </c>
      <c r="G396" s="107" t="str">
        <f t="shared" si="60"/>
        <v>1st to 7th Floor For Residential</v>
      </c>
      <c r="H396" s="107"/>
      <c r="I396" s="55"/>
    </row>
    <row r="397" spans="1:10" s="20" customFormat="1">
      <c r="A397" s="107" t="str">
        <f ca="1">(SUMPRODUCT(MID(0&amp;(LEFT(A396,SUM(LEN(A396)-LEN(SUBSTITUTE(A396,{"0","1","2"},""))))),LARGE(INDEX(ISNUMBER(--MID((LEFT(A396,SUM(LEN(A396)-LEN(SUBSTITUTE(A396,{"0","1","2"},""))))),ROW(INDIRECT("1:"&amp;LEN((LEFT(A396,SUM(LEN(A396)-LEN(SUBSTITUTE(A396,{"0","1","2"},"")))))))),1))*ROW(INDIRECT("1:"&amp;LEN((LEFT(A396,SUM(LEN(A396)-LEN(SUBSTITUTE(A396,{"0","1","2"},"")))))))),0),ROW(INDIRECT("1:"&amp;LEN((LEFT(A396,SUM(LEN(A396)-LEN(SUBSTITUTE(A396,{"0","1","2"},"")))))))))+1,1)*10^ROW(INDIRECT("1:"&amp;LEN((LEFT(A396,SUM(LEN(A396)-LEN(SUBSTITUTE(A396,{"0","1","2"},""))))))))/10))*1+1&amp;""&amp;" to "&amp;""&amp;(SUMPRODUCT(MID(0&amp;(--TRIM(RIGHT(SUBSTITUTE(LEFT(A396,_xlfn.AGGREGATE(16,6,FIND({0,1,2,3,4,5,6,7,8,9},A396,ROW(INDIRECT("1:"&amp;LEN(A396)))),1))," ",REPT(" ",LEN(A396))),LEN(A396)))),LARGE(INDEX(ISNUMBER(--MID((--TRIM(RIGHT(SUBSTITUTE(LEFT(A396,_xlfn.AGGREGATE(16,6,FIND({0,1,2,3,4,5,6,7,8,9},A396,ROW(INDIRECT("1:"&amp;LEN(A396)))),1))," ",REPT(" ",LEN(A396))),LEN(A396)))),ROW(INDIRECT("1:"&amp;LEN((--TRIM(RIGHT(SUBSTITUTE(LEFT(A396,_xlfn.AGGREGATE(16,6,FIND({0,1,2,3,4,5,6,7,8,9},A396,ROW(INDIRECT("1:"&amp;LEN(A396)))),1))," ",REPT(" ",LEN(A396))),LEN(A396))))))),1))*ROW(INDIRECT("1:"&amp;LEN((--TRIM(RIGHT(SUBSTITUTE(LEFT(A396,_xlfn.AGGREGATE(16,6,FIND({0,1,2,3,4,5,6,7,8,9},A396,ROW(INDIRECT("1:"&amp;LEN(A396)))),1))," ",REPT(" ",LEN(A396))),LEN(A396))))))),0),ROW(INDIRECT("1:"&amp;LEN((--TRIM(RIGHT(SUBSTITUTE(LEFT(A396,_xlfn.AGGREGATE(16,6,FIND({0,1,2,3,4,5,6,7,8,9},A396,ROW(INDIRECT("1:"&amp;LEN(A396)))),1))," ",REPT(" ",LEN(A396))),LEN(A396))))))))+1,1)*10^ROW(INDIRECT("1:"&amp;LEN((--TRIM(RIGHT(SUBSTITUTE(LEFT(A396,_xlfn.AGGREGATE(16,6,FIND({0,1,2,3,4,5,6,7,8,9},A396,ROW(INDIRECT("1:"&amp;LEN(A396)))),1))," ",REPT(" ",LEN(A396))),LEN(A396)))))))/10))*1+1</f>
        <v>105 to 705</v>
      </c>
      <c r="B397" s="107"/>
      <c r="C397" s="61" t="s">
        <v>244</v>
      </c>
      <c r="D397" s="54">
        <f t="shared" si="61"/>
        <v>413.18475119999994</v>
      </c>
      <c r="E397" s="61">
        <v>0</v>
      </c>
      <c r="F397" s="61">
        <f t="shared" si="59"/>
        <v>599.11788923999984</v>
      </c>
      <c r="G397" s="107" t="str">
        <f t="shared" si="60"/>
        <v>1st to 7th Floor For Residential</v>
      </c>
      <c r="H397" s="107"/>
      <c r="I397" s="55"/>
    </row>
    <row r="398" spans="1:10" s="20" customFormat="1">
      <c r="A398" s="107" t="str">
        <f ca="1">(SUMPRODUCT(MID(0&amp;(LEFT(A397,SUM(LEN(A397)-LEN(SUBSTITUTE(A397,{"0","1","2"},""))))),LARGE(INDEX(ISNUMBER(--MID((LEFT(A397,SUM(LEN(A397)-LEN(SUBSTITUTE(A397,{"0","1","2"},""))))),ROW(INDIRECT("1:"&amp;LEN((LEFT(A397,SUM(LEN(A397)-LEN(SUBSTITUTE(A397,{"0","1","2"},"")))))))),1))*ROW(INDIRECT("1:"&amp;LEN((LEFT(A397,SUM(LEN(A397)-LEN(SUBSTITUTE(A397,{"0","1","2"},"")))))))),0),ROW(INDIRECT("1:"&amp;LEN((LEFT(A397,SUM(LEN(A397)-LEN(SUBSTITUTE(A397,{"0","1","2"},"")))))))))+1,1)*10^ROW(INDIRECT("1:"&amp;LEN((LEFT(A397,SUM(LEN(A397)-LEN(SUBSTITUTE(A397,{"0","1","2"},""))))))))/10))*1+1&amp;""&amp;" to "&amp;""&amp;(SUMPRODUCT(MID(0&amp;(--TRIM(RIGHT(SUBSTITUTE(LEFT(A397,_xlfn.AGGREGATE(16,6,FIND({0,1,2,3,4,5,6,7,8,9},A397,ROW(INDIRECT("1:"&amp;LEN(A397)))),1))," ",REPT(" ",LEN(A397))),LEN(A397)))),LARGE(INDEX(ISNUMBER(--MID((--TRIM(RIGHT(SUBSTITUTE(LEFT(A397,_xlfn.AGGREGATE(16,6,FIND({0,1,2,3,4,5,6,7,8,9},A397,ROW(INDIRECT("1:"&amp;LEN(A397)))),1))," ",REPT(" ",LEN(A397))),LEN(A397)))),ROW(INDIRECT("1:"&amp;LEN((--TRIM(RIGHT(SUBSTITUTE(LEFT(A397,_xlfn.AGGREGATE(16,6,FIND({0,1,2,3,4,5,6,7,8,9},A397,ROW(INDIRECT("1:"&amp;LEN(A397)))),1))," ",REPT(" ",LEN(A397))),LEN(A397))))))),1))*ROW(INDIRECT("1:"&amp;LEN((--TRIM(RIGHT(SUBSTITUTE(LEFT(A397,_xlfn.AGGREGATE(16,6,FIND({0,1,2,3,4,5,6,7,8,9},A397,ROW(INDIRECT("1:"&amp;LEN(A397)))),1))," ",REPT(" ",LEN(A397))),LEN(A397))))))),0),ROW(INDIRECT("1:"&amp;LEN((--TRIM(RIGHT(SUBSTITUTE(LEFT(A397,_xlfn.AGGREGATE(16,6,FIND({0,1,2,3,4,5,6,7,8,9},A397,ROW(INDIRECT("1:"&amp;LEN(A397)))),1))," ",REPT(" ",LEN(A397))),LEN(A397))))))))+1,1)*10^ROW(INDIRECT("1:"&amp;LEN((--TRIM(RIGHT(SUBSTITUTE(LEFT(A397,_xlfn.AGGREGATE(16,6,FIND({0,1,2,3,4,5,6,7,8,9},A397,ROW(INDIRECT("1:"&amp;LEN(A397)))),1))," ",REPT(" ",LEN(A397))),LEN(A397)))))))/10))*1+1</f>
        <v>106 to 706</v>
      </c>
      <c r="B398" s="107"/>
      <c r="C398" s="61" t="s">
        <v>244</v>
      </c>
      <c r="D398" s="54">
        <f t="shared" si="61"/>
        <v>413.18475119999994</v>
      </c>
      <c r="E398" s="61">
        <v>0</v>
      </c>
      <c r="F398" s="61">
        <f t="shared" si="59"/>
        <v>599.11788923999984</v>
      </c>
      <c r="G398" s="107" t="str">
        <f t="shared" si="60"/>
        <v>1st to 7th Floor For Residential</v>
      </c>
      <c r="H398" s="107"/>
      <c r="I398" s="55"/>
    </row>
    <row r="399" spans="1:10" s="20" customFormat="1">
      <c r="A399" s="107" t="str">
        <f ca="1">(SUMPRODUCT(MID(0&amp;(LEFT(A398,SUM(LEN(A398)-LEN(SUBSTITUTE(A398,{"0","1","2"},""))))),LARGE(INDEX(ISNUMBER(--MID((LEFT(A398,SUM(LEN(A398)-LEN(SUBSTITUTE(A398,{"0","1","2"},""))))),ROW(INDIRECT("1:"&amp;LEN((LEFT(A398,SUM(LEN(A398)-LEN(SUBSTITUTE(A398,{"0","1","2"},"")))))))),1))*ROW(INDIRECT("1:"&amp;LEN((LEFT(A398,SUM(LEN(A398)-LEN(SUBSTITUTE(A398,{"0","1","2"},"")))))))),0),ROW(INDIRECT("1:"&amp;LEN((LEFT(A398,SUM(LEN(A398)-LEN(SUBSTITUTE(A398,{"0","1","2"},"")))))))))+1,1)*10^ROW(INDIRECT("1:"&amp;LEN((LEFT(A398,SUM(LEN(A398)-LEN(SUBSTITUTE(A398,{"0","1","2"},""))))))))/10))*1+1&amp;""&amp;" to "&amp;""&amp;(SUMPRODUCT(MID(0&amp;(--TRIM(RIGHT(SUBSTITUTE(LEFT(A398,_xlfn.AGGREGATE(16,6,FIND({0,1,2,3,4,5,6,7,8,9},A398,ROW(INDIRECT("1:"&amp;LEN(A398)))),1))," ",REPT(" ",LEN(A398))),LEN(A398)))),LARGE(INDEX(ISNUMBER(--MID((--TRIM(RIGHT(SUBSTITUTE(LEFT(A398,_xlfn.AGGREGATE(16,6,FIND({0,1,2,3,4,5,6,7,8,9},A398,ROW(INDIRECT("1:"&amp;LEN(A398)))),1))," ",REPT(" ",LEN(A398))),LEN(A398)))),ROW(INDIRECT("1:"&amp;LEN((--TRIM(RIGHT(SUBSTITUTE(LEFT(A398,_xlfn.AGGREGATE(16,6,FIND({0,1,2,3,4,5,6,7,8,9},A398,ROW(INDIRECT("1:"&amp;LEN(A398)))),1))," ",REPT(" ",LEN(A398))),LEN(A398))))))),1))*ROW(INDIRECT("1:"&amp;LEN((--TRIM(RIGHT(SUBSTITUTE(LEFT(A398,_xlfn.AGGREGATE(16,6,FIND({0,1,2,3,4,5,6,7,8,9},A398,ROW(INDIRECT("1:"&amp;LEN(A398)))),1))," ",REPT(" ",LEN(A398))),LEN(A398))))))),0),ROW(INDIRECT("1:"&amp;LEN((--TRIM(RIGHT(SUBSTITUTE(LEFT(A398,_xlfn.AGGREGATE(16,6,FIND({0,1,2,3,4,5,6,7,8,9},A398,ROW(INDIRECT("1:"&amp;LEN(A398)))),1))," ",REPT(" ",LEN(A398))),LEN(A398))))))))+1,1)*10^ROW(INDIRECT("1:"&amp;LEN((--TRIM(RIGHT(SUBSTITUTE(LEFT(A398,_xlfn.AGGREGATE(16,6,FIND({0,1,2,3,4,5,6,7,8,9},A398,ROW(INDIRECT("1:"&amp;LEN(A398)))),1))," ",REPT(" ",LEN(A398))),LEN(A398)))))))/10))*1+1</f>
        <v>107 to 707</v>
      </c>
      <c r="B399" s="107"/>
      <c r="C399" s="61" t="s">
        <v>244</v>
      </c>
      <c r="D399" s="54">
        <f t="shared" si="61"/>
        <v>413.18475119999994</v>
      </c>
      <c r="E399" s="61">
        <v>0</v>
      </c>
      <c r="F399" s="61">
        <f t="shared" si="59"/>
        <v>599.11788923999984</v>
      </c>
      <c r="G399" s="107" t="str">
        <f t="shared" si="60"/>
        <v>1st to 7th Floor For Residential</v>
      </c>
      <c r="H399" s="107"/>
      <c r="I399" s="55"/>
    </row>
    <row r="400" spans="1:10" s="20" customFormat="1">
      <c r="A400" s="107" t="str">
        <f ca="1">(SUMPRODUCT(MID(0&amp;(LEFT(A399,SUM(LEN(A399)-LEN(SUBSTITUTE(A399,{"0","1","2"},""))))),LARGE(INDEX(ISNUMBER(--MID((LEFT(A399,SUM(LEN(A399)-LEN(SUBSTITUTE(A399,{"0","1","2"},""))))),ROW(INDIRECT("1:"&amp;LEN((LEFT(A399,SUM(LEN(A399)-LEN(SUBSTITUTE(A399,{"0","1","2"},"")))))))),1))*ROW(INDIRECT("1:"&amp;LEN((LEFT(A399,SUM(LEN(A399)-LEN(SUBSTITUTE(A399,{"0","1","2"},"")))))))),0),ROW(INDIRECT("1:"&amp;LEN((LEFT(A399,SUM(LEN(A399)-LEN(SUBSTITUTE(A399,{"0","1","2"},"")))))))))+1,1)*10^ROW(INDIRECT("1:"&amp;LEN((LEFT(A399,SUM(LEN(A399)-LEN(SUBSTITUTE(A399,{"0","1","2"},""))))))))/10))*1+1&amp;""&amp;" to "&amp;""&amp;(SUMPRODUCT(MID(0&amp;(--TRIM(RIGHT(SUBSTITUTE(LEFT(A399,_xlfn.AGGREGATE(16,6,FIND({0,1,2,3,4,5,6,7,8,9},A399,ROW(INDIRECT("1:"&amp;LEN(A399)))),1))," ",REPT(" ",LEN(A399))),LEN(A399)))),LARGE(INDEX(ISNUMBER(--MID((--TRIM(RIGHT(SUBSTITUTE(LEFT(A399,_xlfn.AGGREGATE(16,6,FIND({0,1,2,3,4,5,6,7,8,9},A399,ROW(INDIRECT("1:"&amp;LEN(A399)))),1))," ",REPT(" ",LEN(A399))),LEN(A399)))),ROW(INDIRECT("1:"&amp;LEN((--TRIM(RIGHT(SUBSTITUTE(LEFT(A399,_xlfn.AGGREGATE(16,6,FIND({0,1,2,3,4,5,6,7,8,9},A399,ROW(INDIRECT("1:"&amp;LEN(A399)))),1))," ",REPT(" ",LEN(A399))),LEN(A399))))))),1))*ROW(INDIRECT("1:"&amp;LEN((--TRIM(RIGHT(SUBSTITUTE(LEFT(A399,_xlfn.AGGREGATE(16,6,FIND({0,1,2,3,4,5,6,7,8,9},A399,ROW(INDIRECT("1:"&amp;LEN(A399)))),1))," ",REPT(" ",LEN(A399))),LEN(A399))))))),0),ROW(INDIRECT("1:"&amp;LEN((--TRIM(RIGHT(SUBSTITUTE(LEFT(A399,_xlfn.AGGREGATE(16,6,FIND({0,1,2,3,4,5,6,7,8,9},A399,ROW(INDIRECT("1:"&amp;LEN(A399)))),1))," ",REPT(" ",LEN(A399))),LEN(A399))))))))+1,1)*10^ROW(INDIRECT("1:"&amp;LEN((--TRIM(RIGHT(SUBSTITUTE(LEFT(A399,_xlfn.AGGREGATE(16,6,FIND({0,1,2,3,4,5,6,7,8,9},A399,ROW(INDIRECT("1:"&amp;LEN(A399)))),1))," ",REPT(" ",LEN(A399))),LEN(A399)))))))/10))*1+1</f>
        <v>108 to 708</v>
      </c>
      <c r="B400" s="107"/>
      <c r="C400" s="61" t="s">
        <v>244</v>
      </c>
      <c r="D400" s="54">
        <f t="shared" si="61"/>
        <v>413.18475119999994</v>
      </c>
      <c r="E400" s="61">
        <v>0</v>
      </c>
      <c r="F400" s="61">
        <f t="shared" si="59"/>
        <v>599.11788923999984</v>
      </c>
      <c r="G400" s="107" t="str">
        <f t="shared" si="60"/>
        <v>1st to 7th Floor For Residential</v>
      </c>
      <c r="H400" s="107"/>
      <c r="I400" s="55"/>
    </row>
    <row r="401" spans="1:14" s="20" customFormat="1">
      <c r="A401" s="129" t="s">
        <v>223</v>
      </c>
      <c r="B401" s="129"/>
      <c r="C401" s="129"/>
      <c r="D401" s="129"/>
      <c r="E401" s="129"/>
      <c r="F401" s="129"/>
      <c r="G401" s="129"/>
      <c r="H401" s="129"/>
      <c r="J401" s="55"/>
    </row>
    <row r="402" spans="1:14" s="20" customFormat="1">
      <c r="A402" s="129" t="s">
        <v>250</v>
      </c>
      <c r="B402" s="129"/>
      <c r="C402" s="129"/>
      <c r="D402" s="129"/>
      <c r="E402" s="129"/>
      <c r="F402" s="129"/>
      <c r="G402" s="129"/>
      <c r="H402" s="129"/>
      <c r="J402" s="55"/>
    </row>
    <row r="403" spans="1:14" s="20" customFormat="1">
      <c r="A403" s="125" t="s">
        <v>251</v>
      </c>
      <c r="B403" s="126"/>
      <c r="C403" s="126"/>
      <c r="D403" s="126"/>
      <c r="E403" s="126"/>
      <c r="F403" s="126"/>
      <c r="G403" s="126"/>
      <c r="H403" s="127"/>
      <c r="I403" s="55"/>
    </row>
    <row r="404" spans="1:14" s="20" customFormat="1">
      <c r="A404" s="112" t="str">
        <f ca="1">(SUMPRODUCT(MID(0&amp;(LEFT(A403,SUM(LEN(A403)-LEN(SUBSTITUTE(A403,{"0","1","2"},""))))),LARGE(INDEX(ISNUMBER(--MID((LEFT(A403,SUM(LEN(A403)-LEN(SUBSTITUTE(A403,{"0","1","2"},""))))),ROW(INDIRECT("1:"&amp;LEN((LEFT(A403,SUM(LEN(A403)-LEN(SUBSTITUTE(A403,{"0","1","2"},"")))))))),1))*ROW(INDIRECT("1:"&amp;LEN((LEFT(A403,SUM(LEN(A403)-LEN(SUBSTITUTE(A403,{"0","1","2"},"")))))))),0),ROW(INDIRECT("1:"&amp;LEN((LEFT(A403,SUM(LEN(A403)-LEN(SUBSTITUTE(A403,{"0","1","2"},"")))))))))+1,1)*10^ROW(INDIRECT("1:"&amp;LEN((LEFT(A403,SUM(LEN(A403)-LEN(SUBSTITUTE(A403,{"0","1","2"},""))))))))/10))*100+1&amp;""&amp;" to "&amp;""&amp;(SUMPRODUCT(MID(0&amp;(--TRIM(RIGHT(SUBSTITUTE(LEFT(A403,_xlfn.AGGREGATE(16,6,FIND({0,1,2,3,4,5,6,7,8,9},A403,ROW(INDIRECT("1:"&amp;LEN(A403)))),1))," ",REPT(" ",LEN(A403))),LEN(A403)))),LARGE(INDEX(ISNUMBER(--MID((--TRIM(RIGHT(SUBSTITUTE(LEFT(A403,_xlfn.AGGREGATE(16,6,FIND({0,1,2,3,4,5,6,7,8,9},A403,ROW(INDIRECT("1:"&amp;LEN(A403)))),1))," ",REPT(" ",LEN(A403))),LEN(A403)))),ROW(INDIRECT("1:"&amp;LEN((--TRIM(RIGHT(SUBSTITUTE(LEFT(A403,_xlfn.AGGREGATE(16,6,FIND({0,1,2,3,4,5,6,7,8,9},A403,ROW(INDIRECT("1:"&amp;LEN(A403)))),1))," ",REPT(" ",LEN(A403))),LEN(A403))))))),1))*ROW(INDIRECT("1:"&amp;LEN((--TRIM(RIGHT(SUBSTITUTE(LEFT(A403,_xlfn.AGGREGATE(16,6,FIND({0,1,2,3,4,5,6,7,8,9},A403,ROW(INDIRECT("1:"&amp;LEN(A403)))),1))," ",REPT(" ",LEN(A403))),LEN(A403))))))),0),ROW(INDIRECT("1:"&amp;LEN((--TRIM(RIGHT(SUBSTITUTE(LEFT(A403,_xlfn.AGGREGATE(16,6,FIND({0,1,2,3,4,5,6,7,8,9},A403,ROW(INDIRECT("1:"&amp;LEN(A403)))),1))," ",REPT(" ",LEN(A403))),LEN(A403))))))))+1,1)*10^ROW(INDIRECT("1:"&amp;LEN((--TRIM(RIGHT(SUBSTITUTE(LEFT(A403,_xlfn.AGGREGATE(16,6,FIND({0,1,2,3,4,5,6,7,8,9},A403,ROW(INDIRECT("1:"&amp;LEN(A403)))),1))," ",REPT(" ",LEN(A403))),LEN(A403)))))))/10))*100+1</f>
        <v>101 to 701</v>
      </c>
      <c r="B404" s="113"/>
      <c r="C404" s="53" t="s">
        <v>244</v>
      </c>
      <c r="D404" s="54">
        <f t="shared" ref="D404" si="62">(29.61+2.75*1+0.99*1.92+0.75*(2.75*2))*(10.764)</f>
        <v>413.18475119999994</v>
      </c>
      <c r="E404" s="53">
        <v>0</v>
      </c>
      <c r="F404" s="53">
        <f t="shared" ref="F404:F411" si="63">D404*(($F$287)+1)+(IF(E404&lt;101,E404,IF(E404&lt;201,E404/2,IF(E404&lt;=301,E404/3,E404/4))))</f>
        <v>599.11788923999984</v>
      </c>
      <c r="G404" s="112" t="str">
        <f>A403</f>
        <v>1st to 7th Floor For Residential</v>
      </c>
      <c r="H404" s="113"/>
      <c r="I404" s="55"/>
    </row>
    <row r="405" spans="1:14" s="20" customFormat="1">
      <c r="A405" s="112" t="str">
        <f ca="1">(SUMPRODUCT(MID(0&amp;(LEFT(A404,SUM(LEN(A404)-LEN(SUBSTITUTE(A404,{"0","1","2"},""))))),LARGE(INDEX(ISNUMBER(--MID((LEFT(A404,SUM(LEN(A404)-LEN(SUBSTITUTE(A404,{"0","1","2"},""))))),ROW(INDIRECT("1:"&amp;LEN((LEFT(A404,SUM(LEN(A404)-LEN(SUBSTITUTE(A404,{"0","1","2"},"")))))))),1))*ROW(INDIRECT("1:"&amp;LEN((LEFT(A404,SUM(LEN(A404)-LEN(SUBSTITUTE(A404,{"0","1","2"},"")))))))),0),ROW(INDIRECT("1:"&amp;LEN((LEFT(A404,SUM(LEN(A404)-LEN(SUBSTITUTE(A404,{"0","1","2"},"")))))))))+1,1)*10^ROW(INDIRECT("1:"&amp;LEN((LEFT(A404,SUM(LEN(A404)-LEN(SUBSTITUTE(A404,{"0","1","2"},""))))))))/10))*1+1&amp;""&amp;" to "&amp;""&amp;(SUMPRODUCT(MID(0&amp;(--TRIM(RIGHT(SUBSTITUTE(LEFT(A404,_xlfn.AGGREGATE(16,6,FIND({0,1,2,3,4,5,6,7,8,9},A404,ROW(INDIRECT("1:"&amp;LEN(A404)))),1))," ",REPT(" ",LEN(A404))),LEN(A404)))),LARGE(INDEX(ISNUMBER(--MID((--TRIM(RIGHT(SUBSTITUTE(LEFT(A404,_xlfn.AGGREGATE(16,6,FIND({0,1,2,3,4,5,6,7,8,9},A404,ROW(INDIRECT("1:"&amp;LEN(A404)))),1))," ",REPT(" ",LEN(A404))),LEN(A404)))),ROW(INDIRECT("1:"&amp;LEN((--TRIM(RIGHT(SUBSTITUTE(LEFT(A404,_xlfn.AGGREGATE(16,6,FIND({0,1,2,3,4,5,6,7,8,9},A404,ROW(INDIRECT("1:"&amp;LEN(A404)))),1))," ",REPT(" ",LEN(A404))),LEN(A404))))))),1))*ROW(INDIRECT("1:"&amp;LEN((--TRIM(RIGHT(SUBSTITUTE(LEFT(A404,_xlfn.AGGREGATE(16,6,FIND({0,1,2,3,4,5,6,7,8,9},A404,ROW(INDIRECT("1:"&amp;LEN(A404)))),1))," ",REPT(" ",LEN(A404))),LEN(A404))))))),0),ROW(INDIRECT("1:"&amp;LEN((--TRIM(RIGHT(SUBSTITUTE(LEFT(A404,_xlfn.AGGREGATE(16,6,FIND({0,1,2,3,4,5,6,7,8,9},A404,ROW(INDIRECT("1:"&amp;LEN(A404)))),1))," ",REPT(" ",LEN(A404))),LEN(A404))))))))+1,1)*10^ROW(INDIRECT("1:"&amp;LEN((--TRIM(RIGHT(SUBSTITUTE(LEFT(A404,_xlfn.AGGREGATE(16,6,FIND({0,1,2,3,4,5,6,7,8,9},A404,ROW(INDIRECT("1:"&amp;LEN(A404)))),1))," ",REPT(" ",LEN(A404))),LEN(A404)))))))/10))*1+1</f>
        <v>102 to 702</v>
      </c>
      <c r="B405" s="113"/>
      <c r="C405" s="53" t="s">
        <v>243</v>
      </c>
      <c r="D405" s="54">
        <f>(42.68+2.75*1+0.99*1.92+0.75*(2.75*2+3.05))*(10.764)</f>
        <v>578.49288119999994</v>
      </c>
      <c r="E405" s="53">
        <v>0</v>
      </c>
      <c r="F405" s="53">
        <f t="shared" si="63"/>
        <v>838.81467773999987</v>
      </c>
      <c r="G405" s="112" t="str">
        <f t="shared" ref="G405:G411" si="64">G404</f>
        <v>1st to 7th Floor For Residential</v>
      </c>
      <c r="H405" s="113"/>
      <c r="I405" s="55"/>
    </row>
    <row r="406" spans="1:14" s="20" customFormat="1">
      <c r="A406" s="112" t="str">
        <f ca="1">(SUMPRODUCT(MID(0&amp;(LEFT(A405,SUM(LEN(A405)-LEN(SUBSTITUTE(A405,{"0","1","2"},""))))),LARGE(INDEX(ISNUMBER(--MID((LEFT(A405,SUM(LEN(A405)-LEN(SUBSTITUTE(A405,{"0","1","2"},""))))),ROW(INDIRECT("1:"&amp;LEN((LEFT(A405,SUM(LEN(A405)-LEN(SUBSTITUTE(A405,{"0","1","2"},"")))))))),1))*ROW(INDIRECT("1:"&amp;LEN((LEFT(A405,SUM(LEN(A405)-LEN(SUBSTITUTE(A405,{"0","1","2"},"")))))))),0),ROW(INDIRECT("1:"&amp;LEN((LEFT(A405,SUM(LEN(A405)-LEN(SUBSTITUTE(A405,{"0","1","2"},"")))))))))+1,1)*10^ROW(INDIRECT("1:"&amp;LEN((LEFT(A405,SUM(LEN(A405)-LEN(SUBSTITUTE(A405,{"0","1","2"},""))))))))/10))*1+1&amp;""&amp;" to "&amp;""&amp;(SUMPRODUCT(MID(0&amp;(--TRIM(RIGHT(SUBSTITUTE(LEFT(A405,_xlfn.AGGREGATE(16,6,FIND({0,1,2,3,4,5,6,7,8,9},A405,ROW(INDIRECT("1:"&amp;LEN(A405)))),1))," ",REPT(" ",LEN(A405))),LEN(A405)))),LARGE(INDEX(ISNUMBER(--MID((--TRIM(RIGHT(SUBSTITUTE(LEFT(A405,_xlfn.AGGREGATE(16,6,FIND({0,1,2,3,4,5,6,7,8,9},A405,ROW(INDIRECT("1:"&amp;LEN(A405)))),1))," ",REPT(" ",LEN(A405))),LEN(A405)))),ROW(INDIRECT("1:"&amp;LEN((--TRIM(RIGHT(SUBSTITUTE(LEFT(A405,_xlfn.AGGREGATE(16,6,FIND({0,1,2,3,4,5,6,7,8,9},A405,ROW(INDIRECT("1:"&amp;LEN(A405)))),1))," ",REPT(" ",LEN(A405))),LEN(A405))))))),1))*ROW(INDIRECT("1:"&amp;LEN((--TRIM(RIGHT(SUBSTITUTE(LEFT(A405,_xlfn.AGGREGATE(16,6,FIND({0,1,2,3,4,5,6,7,8,9},A405,ROW(INDIRECT("1:"&amp;LEN(A405)))),1))," ",REPT(" ",LEN(A405))),LEN(A405))))))),0),ROW(INDIRECT("1:"&amp;LEN((--TRIM(RIGHT(SUBSTITUTE(LEFT(A405,_xlfn.AGGREGATE(16,6,FIND({0,1,2,3,4,5,6,7,8,9},A405,ROW(INDIRECT("1:"&amp;LEN(A405)))),1))," ",REPT(" ",LEN(A405))),LEN(A405))))))))+1,1)*10^ROW(INDIRECT("1:"&amp;LEN((--TRIM(RIGHT(SUBSTITUTE(LEFT(A405,_xlfn.AGGREGATE(16,6,FIND({0,1,2,3,4,5,6,7,8,9},A405,ROW(INDIRECT("1:"&amp;LEN(A405)))),1))," ",REPT(" ",LEN(A405))),LEN(A405)))))))/10))*1+1</f>
        <v>103 to 703</v>
      </c>
      <c r="B406" s="113"/>
      <c r="C406" s="53" t="s">
        <v>244</v>
      </c>
      <c r="D406" s="54">
        <f t="shared" ref="D406:D411" si="65">(29.61+2.75*1+0.99*1.92+0.75*(2.75*2))*(10.764)</f>
        <v>413.18475119999994</v>
      </c>
      <c r="E406" s="53">
        <v>0</v>
      </c>
      <c r="F406" s="53">
        <f t="shared" si="63"/>
        <v>599.11788923999984</v>
      </c>
      <c r="G406" s="112" t="str">
        <f t="shared" si="64"/>
        <v>1st to 7th Floor For Residential</v>
      </c>
      <c r="H406" s="113"/>
      <c r="I406" s="55"/>
    </row>
    <row r="407" spans="1:14" s="20" customFormat="1">
      <c r="A407" s="112" t="str">
        <f ca="1">(SUMPRODUCT(MID(0&amp;(LEFT(A406,SUM(LEN(A406)-LEN(SUBSTITUTE(A406,{"0","1","2"},""))))),LARGE(INDEX(ISNUMBER(--MID((LEFT(A406,SUM(LEN(A406)-LEN(SUBSTITUTE(A406,{"0","1","2"},""))))),ROW(INDIRECT("1:"&amp;LEN((LEFT(A406,SUM(LEN(A406)-LEN(SUBSTITUTE(A406,{"0","1","2"},"")))))))),1))*ROW(INDIRECT("1:"&amp;LEN((LEFT(A406,SUM(LEN(A406)-LEN(SUBSTITUTE(A406,{"0","1","2"},"")))))))),0),ROW(INDIRECT("1:"&amp;LEN((LEFT(A406,SUM(LEN(A406)-LEN(SUBSTITUTE(A406,{"0","1","2"},"")))))))))+1,1)*10^ROW(INDIRECT("1:"&amp;LEN((LEFT(A406,SUM(LEN(A406)-LEN(SUBSTITUTE(A406,{"0","1","2"},""))))))))/10))*1+1&amp;""&amp;" to "&amp;""&amp;(SUMPRODUCT(MID(0&amp;(--TRIM(RIGHT(SUBSTITUTE(LEFT(A406,_xlfn.AGGREGATE(16,6,FIND({0,1,2,3,4,5,6,7,8,9},A406,ROW(INDIRECT("1:"&amp;LEN(A406)))),1))," ",REPT(" ",LEN(A406))),LEN(A406)))),LARGE(INDEX(ISNUMBER(--MID((--TRIM(RIGHT(SUBSTITUTE(LEFT(A406,_xlfn.AGGREGATE(16,6,FIND({0,1,2,3,4,5,6,7,8,9},A406,ROW(INDIRECT("1:"&amp;LEN(A406)))),1))," ",REPT(" ",LEN(A406))),LEN(A406)))),ROW(INDIRECT("1:"&amp;LEN((--TRIM(RIGHT(SUBSTITUTE(LEFT(A406,_xlfn.AGGREGATE(16,6,FIND({0,1,2,3,4,5,6,7,8,9},A406,ROW(INDIRECT("1:"&amp;LEN(A406)))),1))," ",REPT(" ",LEN(A406))),LEN(A406))))))),1))*ROW(INDIRECT("1:"&amp;LEN((--TRIM(RIGHT(SUBSTITUTE(LEFT(A406,_xlfn.AGGREGATE(16,6,FIND({0,1,2,3,4,5,6,7,8,9},A406,ROW(INDIRECT("1:"&amp;LEN(A406)))),1))," ",REPT(" ",LEN(A406))),LEN(A406))))))),0),ROW(INDIRECT("1:"&amp;LEN((--TRIM(RIGHT(SUBSTITUTE(LEFT(A406,_xlfn.AGGREGATE(16,6,FIND({0,1,2,3,4,5,6,7,8,9},A406,ROW(INDIRECT("1:"&amp;LEN(A406)))),1))," ",REPT(" ",LEN(A406))),LEN(A406))))))))+1,1)*10^ROW(INDIRECT("1:"&amp;LEN((--TRIM(RIGHT(SUBSTITUTE(LEFT(A406,_xlfn.AGGREGATE(16,6,FIND({0,1,2,3,4,5,6,7,8,9},A406,ROW(INDIRECT("1:"&amp;LEN(A406)))),1))," ",REPT(" ",LEN(A406))),LEN(A406)))))))/10))*1+1</f>
        <v>104 to 704</v>
      </c>
      <c r="B407" s="113"/>
      <c r="C407" s="53" t="s">
        <v>244</v>
      </c>
      <c r="D407" s="54">
        <f t="shared" si="65"/>
        <v>413.18475119999994</v>
      </c>
      <c r="E407" s="53">
        <v>0</v>
      </c>
      <c r="F407" s="53">
        <f t="shared" si="63"/>
        <v>599.11788923999984</v>
      </c>
      <c r="G407" s="112" t="str">
        <f t="shared" si="64"/>
        <v>1st to 7th Floor For Residential</v>
      </c>
      <c r="H407" s="113"/>
      <c r="I407" s="55"/>
    </row>
    <row r="408" spans="1:14" s="20" customFormat="1">
      <c r="A408" s="112" t="str">
        <f ca="1">(SUMPRODUCT(MID(0&amp;(LEFT(A407,SUM(LEN(A407)-LEN(SUBSTITUTE(A407,{"0","1","2"},""))))),LARGE(INDEX(ISNUMBER(--MID((LEFT(A407,SUM(LEN(A407)-LEN(SUBSTITUTE(A407,{"0","1","2"},""))))),ROW(INDIRECT("1:"&amp;LEN((LEFT(A407,SUM(LEN(A407)-LEN(SUBSTITUTE(A407,{"0","1","2"},"")))))))),1))*ROW(INDIRECT("1:"&amp;LEN((LEFT(A407,SUM(LEN(A407)-LEN(SUBSTITUTE(A407,{"0","1","2"},"")))))))),0),ROW(INDIRECT("1:"&amp;LEN((LEFT(A407,SUM(LEN(A407)-LEN(SUBSTITUTE(A407,{"0","1","2"},"")))))))))+1,1)*10^ROW(INDIRECT("1:"&amp;LEN((LEFT(A407,SUM(LEN(A407)-LEN(SUBSTITUTE(A407,{"0","1","2"},""))))))))/10))*1+1&amp;""&amp;" to "&amp;""&amp;(SUMPRODUCT(MID(0&amp;(--TRIM(RIGHT(SUBSTITUTE(LEFT(A407,_xlfn.AGGREGATE(16,6,FIND({0,1,2,3,4,5,6,7,8,9},A407,ROW(INDIRECT("1:"&amp;LEN(A407)))),1))," ",REPT(" ",LEN(A407))),LEN(A407)))),LARGE(INDEX(ISNUMBER(--MID((--TRIM(RIGHT(SUBSTITUTE(LEFT(A407,_xlfn.AGGREGATE(16,6,FIND({0,1,2,3,4,5,6,7,8,9},A407,ROW(INDIRECT("1:"&amp;LEN(A407)))),1))," ",REPT(" ",LEN(A407))),LEN(A407)))),ROW(INDIRECT("1:"&amp;LEN((--TRIM(RIGHT(SUBSTITUTE(LEFT(A407,_xlfn.AGGREGATE(16,6,FIND({0,1,2,3,4,5,6,7,8,9},A407,ROW(INDIRECT("1:"&amp;LEN(A407)))),1))," ",REPT(" ",LEN(A407))),LEN(A407))))))),1))*ROW(INDIRECT("1:"&amp;LEN((--TRIM(RIGHT(SUBSTITUTE(LEFT(A407,_xlfn.AGGREGATE(16,6,FIND({0,1,2,3,4,5,6,7,8,9},A407,ROW(INDIRECT("1:"&amp;LEN(A407)))),1))," ",REPT(" ",LEN(A407))),LEN(A407))))))),0),ROW(INDIRECT("1:"&amp;LEN((--TRIM(RIGHT(SUBSTITUTE(LEFT(A407,_xlfn.AGGREGATE(16,6,FIND({0,1,2,3,4,5,6,7,8,9},A407,ROW(INDIRECT("1:"&amp;LEN(A407)))),1))," ",REPT(" ",LEN(A407))),LEN(A407))))))))+1,1)*10^ROW(INDIRECT("1:"&amp;LEN((--TRIM(RIGHT(SUBSTITUTE(LEFT(A407,_xlfn.AGGREGATE(16,6,FIND({0,1,2,3,4,5,6,7,8,9},A407,ROW(INDIRECT("1:"&amp;LEN(A407)))),1))," ",REPT(" ",LEN(A407))),LEN(A407)))))))/10))*1+1</f>
        <v>105 to 705</v>
      </c>
      <c r="B408" s="113"/>
      <c r="C408" s="53" t="s">
        <v>244</v>
      </c>
      <c r="D408" s="54">
        <f t="shared" si="65"/>
        <v>413.18475119999994</v>
      </c>
      <c r="E408" s="53">
        <v>0</v>
      </c>
      <c r="F408" s="53">
        <f t="shared" si="63"/>
        <v>599.11788923999984</v>
      </c>
      <c r="G408" s="112" t="str">
        <f t="shared" si="64"/>
        <v>1st to 7th Floor For Residential</v>
      </c>
      <c r="H408" s="113"/>
      <c r="I408" s="55"/>
    </row>
    <row r="409" spans="1:14" s="20" customFormat="1">
      <c r="A409" s="112" t="str">
        <f ca="1">(SUMPRODUCT(MID(0&amp;(LEFT(A408,SUM(LEN(A408)-LEN(SUBSTITUTE(A408,{"0","1","2"},""))))),LARGE(INDEX(ISNUMBER(--MID((LEFT(A408,SUM(LEN(A408)-LEN(SUBSTITUTE(A408,{"0","1","2"},""))))),ROW(INDIRECT("1:"&amp;LEN((LEFT(A408,SUM(LEN(A408)-LEN(SUBSTITUTE(A408,{"0","1","2"},"")))))))),1))*ROW(INDIRECT("1:"&amp;LEN((LEFT(A408,SUM(LEN(A408)-LEN(SUBSTITUTE(A408,{"0","1","2"},"")))))))),0),ROW(INDIRECT("1:"&amp;LEN((LEFT(A408,SUM(LEN(A408)-LEN(SUBSTITUTE(A408,{"0","1","2"},"")))))))))+1,1)*10^ROW(INDIRECT("1:"&amp;LEN((LEFT(A408,SUM(LEN(A408)-LEN(SUBSTITUTE(A408,{"0","1","2"},""))))))))/10))*1+1&amp;""&amp;" to "&amp;""&amp;(SUMPRODUCT(MID(0&amp;(--TRIM(RIGHT(SUBSTITUTE(LEFT(A408,_xlfn.AGGREGATE(16,6,FIND({0,1,2,3,4,5,6,7,8,9},A408,ROW(INDIRECT("1:"&amp;LEN(A408)))),1))," ",REPT(" ",LEN(A408))),LEN(A408)))),LARGE(INDEX(ISNUMBER(--MID((--TRIM(RIGHT(SUBSTITUTE(LEFT(A408,_xlfn.AGGREGATE(16,6,FIND({0,1,2,3,4,5,6,7,8,9},A408,ROW(INDIRECT("1:"&amp;LEN(A408)))),1))," ",REPT(" ",LEN(A408))),LEN(A408)))),ROW(INDIRECT("1:"&amp;LEN((--TRIM(RIGHT(SUBSTITUTE(LEFT(A408,_xlfn.AGGREGATE(16,6,FIND({0,1,2,3,4,5,6,7,8,9},A408,ROW(INDIRECT("1:"&amp;LEN(A408)))),1))," ",REPT(" ",LEN(A408))),LEN(A408))))))),1))*ROW(INDIRECT("1:"&amp;LEN((--TRIM(RIGHT(SUBSTITUTE(LEFT(A408,_xlfn.AGGREGATE(16,6,FIND({0,1,2,3,4,5,6,7,8,9},A408,ROW(INDIRECT("1:"&amp;LEN(A408)))),1))," ",REPT(" ",LEN(A408))),LEN(A408))))))),0),ROW(INDIRECT("1:"&amp;LEN((--TRIM(RIGHT(SUBSTITUTE(LEFT(A408,_xlfn.AGGREGATE(16,6,FIND({0,1,2,3,4,5,6,7,8,9},A408,ROW(INDIRECT("1:"&amp;LEN(A408)))),1))," ",REPT(" ",LEN(A408))),LEN(A408))))))))+1,1)*10^ROW(INDIRECT("1:"&amp;LEN((--TRIM(RIGHT(SUBSTITUTE(LEFT(A408,_xlfn.AGGREGATE(16,6,FIND({0,1,2,3,4,5,6,7,8,9},A408,ROW(INDIRECT("1:"&amp;LEN(A408)))),1))," ",REPT(" ",LEN(A408))),LEN(A408)))))))/10))*1+1</f>
        <v>106 to 706</v>
      </c>
      <c r="B409" s="113"/>
      <c r="C409" s="53" t="s">
        <v>244</v>
      </c>
      <c r="D409" s="54">
        <f t="shared" si="65"/>
        <v>413.18475119999994</v>
      </c>
      <c r="E409" s="53">
        <v>0</v>
      </c>
      <c r="F409" s="53">
        <f t="shared" si="63"/>
        <v>599.11788923999984</v>
      </c>
      <c r="G409" s="112" t="str">
        <f t="shared" si="64"/>
        <v>1st to 7th Floor For Residential</v>
      </c>
      <c r="H409" s="113"/>
      <c r="I409" s="55"/>
    </row>
    <row r="410" spans="1:14" s="20" customFormat="1">
      <c r="A410" s="112" t="str">
        <f ca="1">(SUMPRODUCT(MID(0&amp;(LEFT(A409,SUM(LEN(A409)-LEN(SUBSTITUTE(A409,{"0","1","2"},""))))),LARGE(INDEX(ISNUMBER(--MID((LEFT(A409,SUM(LEN(A409)-LEN(SUBSTITUTE(A409,{"0","1","2"},""))))),ROW(INDIRECT("1:"&amp;LEN((LEFT(A409,SUM(LEN(A409)-LEN(SUBSTITUTE(A409,{"0","1","2"},"")))))))),1))*ROW(INDIRECT("1:"&amp;LEN((LEFT(A409,SUM(LEN(A409)-LEN(SUBSTITUTE(A409,{"0","1","2"},"")))))))),0),ROW(INDIRECT("1:"&amp;LEN((LEFT(A409,SUM(LEN(A409)-LEN(SUBSTITUTE(A409,{"0","1","2"},"")))))))))+1,1)*10^ROW(INDIRECT("1:"&amp;LEN((LEFT(A409,SUM(LEN(A409)-LEN(SUBSTITUTE(A409,{"0","1","2"},""))))))))/10))*1+1&amp;""&amp;" to "&amp;""&amp;(SUMPRODUCT(MID(0&amp;(--TRIM(RIGHT(SUBSTITUTE(LEFT(A409,_xlfn.AGGREGATE(16,6,FIND({0,1,2,3,4,5,6,7,8,9},A409,ROW(INDIRECT("1:"&amp;LEN(A409)))),1))," ",REPT(" ",LEN(A409))),LEN(A409)))),LARGE(INDEX(ISNUMBER(--MID((--TRIM(RIGHT(SUBSTITUTE(LEFT(A409,_xlfn.AGGREGATE(16,6,FIND({0,1,2,3,4,5,6,7,8,9},A409,ROW(INDIRECT("1:"&amp;LEN(A409)))),1))," ",REPT(" ",LEN(A409))),LEN(A409)))),ROW(INDIRECT("1:"&amp;LEN((--TRIM(RIGHT(SUBSTITUTE(LEFT(A409,_xlfn.AGGREGATE(16,6,FIND({0,1,2,3,4,5,6,7,8,9},A409,ROW(INDIRECT("1:"&amp;LEN(A409)))),1))," ",REPT(" ",LEN(A409))),LEN(A409))))))),1))*ROW(INDIRECT("1:"&amp;LEN((--TRIM(RIGHT(SUBSTITUTE(LEFT(A409,_xlfn.AGGREGATE(16,6,FIND({0,1,2,3,4,5,6,7,8,9},A409,ROW(INDIRECT("1:"&amp;LEN(A409)))),1))," ",REPT(" ",LEN(A409))),LEN(A409))))))),0),ROW(INDIRECT("1:"&amp;LEN((--TRIM(RIGHT(SUBSTITUTE(LEFT(A409,_xlfn.AGGREGATE(16,6,FIND({0,1,2,3,4,5,6,7,8,9},A409,ROW(INDIRECT("1:"&amp;LEN(A409)))),1))," ",REPT(" ",LEN(A409))),LEN(A409))))))))+1,1)*10^ROW(INDIRECT("1:"&amp;LEN((--TRIM(RIGHT(SUBSTITUTE(LEFT(A409,_xlfn.AGGREGATE(16,6,FIND({0,1,2,3,4,5,6,7,8,9},A409,ROW(INDIRECT("1:"&amp;LEN(A409)))),1))," ",REPT(" ",LEN(A409))),LEN(A409)))))))/10))*1+1</f>
        <v>107 to 707</v>
      </c>
      <c r="B410" s="113"/>
      <c r="C410" s="53" t="s">
        <v>244</v>
      </c>
      <c r="D410" s="54">
        <f t="shared" si="65"/>
        <v>413.18475119999994</v>
      </c>
      <c r="E410" s="53">
        <v>0</v>
      </c>
      <c r="F410" s="53">
        <f t="shared" si="63"/>
        <v>599.11788923999984</v>
      </c>
      <c r="G410" s="112" t="str">
        <f t="shared" si="64"/>
        <v>1st to 7th Floor For Residential</v>
      </c>
      <c r="H410" s="113"/>
      <c r="I410" s="55"/>
    </row>
    <row r="411" spans="1:14" s="20" customFormat="1">
      <c r="A411" s="112" t="str">
        <f ca="1">(SUMPRODUCT(MID(0&amp;(LEFT(A410,SUM(LEN(A410)-LEN(SUBSTITUTE(A410,{"0","1","2"},""))))),LARGE(INDEX(ISNUMBER(--MID((LEFT(A410,SUM(LEN(A410)-LEN(SUBSTITUTE(A410,{"0","1","2"},""))))),ROW(INDIRECT("1:"&amp;LEN((LEFT(A410,SUM(LEN(A410)-LEN(SUBSTITUTE(A410,{"0","1","2"},"")))))))),1))*ROW(INDIRECT("1:"&amp;LEN((LEFT(A410,SUM(LEN(A410)-LEN(SUBSTITUTE(A410,{"0","1","2"},"")))))))),0),ROW(INDIRECT("1:"&amp;LEN((LEFT(A410,SUM(LEN(A410)-LEN(SUBSTITUTE(A410,{"0","1","2"},"")))))))))+1,1)*10^ROW(INDIRECT("1:"&amp;LEN((LEFT(A410,SUM(LEN(A410)-LEN(SUBSTITUTE(A410,{"0","1","2"},""))))))))/10))*1+1&amp;""&amp;" to "&amp;""&amp;(SUMPRODUCT(MID(0&amp;(--TRIM(RIGHT(SUBSTITUTE(LEFT(A410,_xlfn.AGGREGATE(16,6,FIND({0,1,2,3,4,5,6,7,8,9},A410,ROW(INDIRECT("1:"&amp;LEN(A410)))),1))," ",REPT(" ",LEN(A410))),LEN(A410)))),LARGE(INDEX(ISNUMBER(--MID((--TRIM(RIGHT(SUBSTITUTE(LEFT(A410,_xlfn.AGGREGATE(16,6,FIND({0,1,2,3,4,5,6,7,8,9},A410,ROW(INDIRECT("1:"&amp;LEN(A410)))),1))," ",REPT(" ",LEN(A410))),LEN(A410)))),ROW(INDIRECT("1:"&amp;LEN((--TRIM(RIGHT(SUBSTITUTE(LEFT(A410,_xlfn.AGGREGATE(16,6,FIND({0,1,2,3,4,5,6,7,8,9},A410,ROW(INDIRECT("1:"&amp;LEN(A410)))),1))," ",REPT(" ",LEN(A410))),LEN(A410))))))),1))*ROW(INDIRECT("1:"&amp;LEN((--TRIM(RIGHT(SUBSTITUTE(LEFT(A410,_xlfn.AGGREGATE(16,6,FIND({0,1,2,3,4,5,6,7,8,9},A410,ROW(INDIRECT("1:"&amp;LEN(A410)))),1))," ",REPT(" ",LEN(A410))),LEN(A410))))))),0),ROW(INDIRECT("1:"&amp;LEN((--TRIM(RIGHT(SUBSTITUTE(LEFT(A410,_xlfn.AGGREGATE(16,6,FIND({0,1,2,3,4,5,6,7,8,9},A410,ROW(INDIRECT("1:"&amp;LEN(A410)))),1))," ",REPT(" ",LEN(A410))),LEN(A410))))))))+1,1)*10^ROW(INDIRECT("1:"&amp;LEN((--TRIM(RIGHT(SUBSTITUTE(LEFT(A410,_xlfn.AGGREGATE(16,6,FIND({0,1,2,3,4,5,6,7,8,9},A410,ROW(INDIRECT("1:"&amp;LEN(A410)))),1))," ",REPT(" ",LEN(A410))),LEN(A410)))))))/10))*1+1</f>
        <v>108 to 708</v>
      </c>
      <c r="B411" s="113"/>
      <c r="C411" s="53" t="s">
        <v>244</v>
      </c>
      <c r="D411" s="54">
        <f t="shared" si="65"/>
        <v>413.18475119999994</v>
      </c>
      <c r="E411" s="53">
        <v>0</v>
      </c>
      <c r="F411" s="53">
        <f t="shared" si="63"/>
        <v>599.11788923999984</v>
      </c>
      <c r="G411" s="112" t="str">
        <f t="shared" si="64"/>
        <v>1st to 7th Floor For Residential</v>
      </c>
      <c r="H411" s="113"/>
      <c r="I411" s="55"/>
    </row>
    <row r="412" spans="1:14" s="20" customFormat="1" hidden="1">
      <c r="A412" s="125" t="s">
        <v>238</v>
      </c>
      <c r="B412" s="126"/>
      <c r="C412" s="126"/>
      <c r="D412" s="126"/>
      <c r="E412" s="126"/>
      <c r="F412" s="126"/>
      <c r="G412" s="126"/>
      <c r="H412" s="127"/>
      <c r="J412" s="55"/>
    </row>
    <row r="413" spans="1:14" s="20" customFormat="1" hidden="1">
      <c r="A413" s="112">
        <v>1</v>
      </c>
      <c r="B413" s="113"/>
      <c r="C413" s="53"/>
      <c r="D413" s="53"/>
      <c r="E413" s="53">
        <v>0</v>
      </c>
      <c r="F413" s="53">
        <f>D413*(($F$287)+1)+(IF(E413&lt;101,E413,IF(E413&lt;201,E413/2,IF(E413&lt;=301,E413/3,E413/4))))</f>
        <v>0</v>
      </c>
      <c r="G413" s="112" t="str">
        <f>A412</f>
        <v>Ground Floor</v>
      </c>
      <c r="H413" s="113"/>
      <c r="I413" s="55"/>
      <c r="L413" s="128"/>
      <c r="M413" s="128"/>
      <c r="N413" s="55"/>
    </row>
    <row r="414" spans="1:14" s="20" customFormat="1" hidden="1">
      <c r="A414" s="112">
        <f t="shared" ref="A414:A416" si="66">A413+1</f>
        <v>2</v>
      </c>
      <c r="B414" s="113"/>
      <c r="C414" s="53"/>
      <c r="D414" s="53"/>
      <c r="E414" s="53">
        <v>0</v>
      </c>
      <c r="F414" s="53">
        <f>D414*(($F$287)+1)+(IF(E414&lt;101,E414,IF(E414&lt;201,E414/2,IF(E414&lt;=301,E414/3,E414/4))))</f>
        <v>0</v>
      </c>
      <c r="G414" s="112" t="str">
        <f t="shared" ref="G414:G416" si="67">G413</f>
        <v>Ground Floor</v>
      </c>
      <c r="H414" s="113"/>
      <c r="I414" s="55"/>
      <c r="L414" s="128"/>
      <c r="M414" s="128"/>
      <c r="N414" s="55"/>
    </row>
    <row r="415" spans="1:14" s="20" customFormat="1" hidden="1">
      <c r="A415" s="112">
        <f t="shared" si="66"/>
        <v>3</v>
      </c>
      <c r="B415" s="113"/>
      <c r="C415" s="53"/>
      <c r="D415" s="53"/>
      <c r="E415" s="53">
        <v>0</v>
      </c>
      <c r="F415" s="53">
        <f>D415*(($F$287)+1)+(IF(E415&lt;101,E415,IF(E415&lt;201,E415/2,IF(E415&lt;=301,E415/3,E415/4))))</f>
        <v>0</v>
      </c>
      <c r="G415" s="112" t="str">
        <f t="shared" si="67"/>
        <v>Ground Floor</v>
      </c>
      <c r="H415" s="113"/>
      <c r="I415" s="55"/>
      <c r="L415" s="128"/>
      <c r="M415" s="128"/>
      <c r="N415" s="55"/>
    </row>
    <row r="416" spans="1:14" s="20" customFormat="1" hidden="1">
      <c r="A416" s="112">
        <f t="shared" si="66"/>
        <v>4</v>
      </c>
      <c r="B416" s="113"/>
      <c r="C416" s="53"/>
      <c r="D416" s="53"/>
      <c r="E416" s="53">
        <v>0</v>
      </c>
      <c r="F416" s="53">
        <f>D416*(($F$287)+1)+(IF(E416&lt;101,E416,IF(E416&lt;201,E416/2,IF(E416&lt;=301,E416/3,E416/4))))</f>
        <v>0</v>
      </c>
      <c r="G416" s="112" t="str">
        <f t="shared" si="67"/>
        <v>Ground Floor</v>
      </c>
      <c r="H416" s="113"/>
      <c r="I416" s="55"/>
      <c r="L416" s="128"/>
      <c r="M416" s="128"/>
      <c r="N416" s="55"/>
    </row>
    <row r="417" spans="1:14" s="20" customFormat="1" hidden="1">
      <c r="A417" s="129" t="s">
        <v>252</v>
      </c>
      <c r="B417" s="129"/>
      <c r="C417" s="129"/>
      <c r="D417" s="129"/>
      <c r="E417" s="129"/>
      <c r="F417" s="129"/>
      <c r="G417" s="129"/>
      <c r="H417" s="129"/>
      <c r="I417" s="55"/>
      <c r="L417" s="128"/>
      <c r="M417" s="128"/>
    </row>
    <row r="418" spans="1:14" s="20" customFormat="1" hidden="1">
      <c r="A418" s="107">
        <f>LEFT(A417,SUM(LEN(A417)-LEN(SUBSTITUTE(A417,{"0","1","2","3","4","5","6","7","8","9"},""))))*100+1</f>
        <v>201</v>
      </c>
      <c r="B418" s="107"/>
      <c r="C418" s="53"/>
      <c r="D418" s="53"/>
      <c r="E418" s="53">
        <v>0</v>
      </c>
      <c r="F418" s="53">
        <f t="shared" ref="F418:F422" si="68">D418*(($F$287)+1)+(IF(E418&lt;101,E418,IF(E418&lt;201,E418/2,IF(E418&lt;=301,E418/3,E418/4))))</f>
        <v>0</v>
      </c>
      <c r="G418" s="107" t="str">
        <f>A417</f>
        <v>2nd Floor</v>
      </c>
      <c r="H418" s="107"/>
      <c r="I418" s="55"/>
      <c r="N418" s="55"/>
    </row>
    <row r="419" spans="1:14" s="20" customFormat="1" hidden="1">
      <c r="A419" s="107">
        <f>A418+1</f>
        <v>202</v>
      </c>
      <c r="B419" s="107"/>
      <c r="C419" s="53"/>
      <c r="D419" s="53"/>
      <c r="E419" s="53">
        <v>0</v>
      </c>
      <c r="F419" s="53">
        <f t="shared" si="68"/>
        <v>0</v>
      </c>
      <c r="G419" s="107" t="str">
        <f>G418</f>
        <v>2nd Floor</v>
      </c>
      <c r="H419" s="107"/>
      <c r="I419" s="55"/>
      <c r="N419" s="55"/>
    </row>
    <row r="420" spans="1:14" s="20" customFormat="1" hidden="1">
      <c r="A420" s="107">
        <f>A419+1</f>
        <v>203</v>
      </c>
      <c r="B420" s="107"/>
      <c r="C420" s="53"/>
      <c r="D420" s="53"/>
      <c r="E420" s="53">
        <v>0</v>
      </c>
      <c r="F420" s="53">
        <f t="shared" si="68"/>
        <v>0</v>
      </c>
      <c r="G420" s="107" t="str">
        <f>G419</f>
        <v>2nd Floor</v>
      </c>
      <c r="H420" s="107"/>
      <c r="I420" s="55"/>
      <c r="N420" s="55"/>
    </row>
    <row r="421" spans="1:14" s="20" customFormat="1" hidden="1">
      <c r="A421" s="107">
        <f>A420+1</f>
        <v>204</v>
      </c>
      <c r="B421" s="107"/>
      <c r="C421" s="53"/>
      <c r="D421" s="53"/>
      <c r="E421" s="53">
        <v>0</v>
      </c>
      <c r="F421" s="53">
        <f t="shared" si="68"/>
        <v>0</v>
      </c>
      <c r="G421" s="107" t="str">
        <f>G420</f>
        <v>2nd Floor</v>
      </c>
      <c r="H421" s="107"/>
      <c r="I421" s="55"/>
      <c r="N421" s="55"/>
    </row>
    <row r="422" spans="1:14" s="20" customFormat="1" hidden="1">
      <c r="A422" s="107">
        <f>A421+1</f>
        <v>205</v>
      </c>
      <c r="B422" s="107"/>
      <c r="C422" s="53"/>
      <c r="D422" s="53"/>
      <c r="E422" s="53">
        <v>0</v>
      </c>
      <c r="F422" s="53">
        <f t="shared" si="68"/>
        <v>0</v>
      </c>
      <c r="G422" s="107" t="str">
        <f>G421</f>
        <v>2nd Floor</v>
      </c>
      <c r="H422" s="107"/>
      <c r="I422" s="55"/>
      <c r="N422" s="55"/>
    </row>
    <row r="423" spans="1:14" s="20" customFormat="1" ht="15.75" hidden="1" customHeight="1">
      <c r="A423" s="125" t="s">
        <v>253</v>
      </c>
      <c r="B423" s="126"/>
      <c r="C423" s="126"/>
      <c r="D423" s="126"/>
      <c r="E423" s="126"/>
      <c r="F423" s="126"/>
      <c r="G423" s="126"/>
      <c r="H423" s="127"/>
      <c r="I423" s="55"/>
    </row>
    <row r="424" spans="1:14" s="20" customFormat="1" hidden="1">
      <c r="A424" s="112" t="str">
        <f ca="1">(SUMPRODUCT(MID(0&amp;(LEFT(A423,SUM(LEN(A423)-LEN(SUBSTITUTE(A423,{"0","1","2"},""))))),LARGE(INDEX(ISNUMBER(--MID((LEFT(A423,SUM(LEN(A423)-LEN(SUBSTITUTE(A423,{"0","1","2"},""))))),ROW(INDIRECT("1:"&amp;LEN((LEFT(A423,SUM(LEN(A423)-LEN(SUBSTITUTE(A423,{"0","1","2"},"")))))))),1))*ROW(INDIRECT("1:"&amp;LEN((LEFT(A423,SUM(LEN(A423)-LEN(SUBSTITUTE(A423,{"0","1","2"},"")))))))),0),ROW(INDIRECT("1:"&amp;LEN((LEFT(A423,SUM(LEN(A423)-LEN(SUBSTITUTE(A423,{"0","1","2"},"")))))))))+1,1)*10^ROW(INDIRECT("1:"&amp;LEN((LEFT(A423,SUM(LEN(A423)-LEN(SUBSTITUTE(A423,{"0","1","2"},""))))))))/10))*100+1&amp;""&amp;" ,.., "&amp;""&amp;(SUMPRODUCT(MID(0&amp;(--TRIM(RIGHT(SUBSTITUTE(LEFT(A423,_xlfn.AGGREGATE(16,6,FIND({0,1,2,3,4,5,6,7,8,9},A423,ROW(INDIRECT("1:"&amp;LEN(A423)))),1))," ",REPT(" ",LEN(A423))),LEN(A423)))),LARGE(INDEX(ISNUMBER(--MID((--TRIM(RIGHT(SUBSTITUTE(LEFT(A423,_xlfn.AGGREGATE(16,6,FIND({0,1,2,3,4,5,6,7,8,9},A423,ROW(INDIRECT("1:"&amp;LEN(A423)))),1))," ",REPT(" ",LEN(A423))),LEN(A423)))),ROW(INDIRECT("1:"&amp;LEN((--TRIM(RIGHT(SUBSTITUTE(LEFT(A423,_xlfn.AGGREGATE(16,6,FIND({0,1,2,3,4,5,6,7,8,9},A423,ROW(INDIRECT("1:"&amp;LEN(A423)))),1))," ",REPT(" ",LEN(A423))),LEN(A423))))))),1))*ROW(INDIRECT("1:"&amp;LEN((--TRIM(RIGHT(SUBSTITUTE(LEFT(A423,_xlfn.AGGREGATE(16,6,FIND({0,1,2,3,4,5,6,7,8,9},A423,ROW(INDIRECT("1:"&amp;LEN(A423)))),1))," ",REPT(" ",LEN(A423))),LEN(A423))))))),0),ROW(INDIRECT("1:"&amp;LEN((--TRIM(RIGHT(SUBSTITUTE(LEFT(A423,_xlfn.AGGREGATE(16,6,FIND({0,1,2,3,4,5,6,7,8,9},A423,ROW(INDIRECT("1:"&amp;LEN(A423)))),1))," ",REPT(" ",LEN(A423))),LEN(A423))))))))+1,1)*10^ROW(INDIRECT("1:"&amp;LEN((--TRIM(RIGHT(SUBSTITUTE(LEFT(A423,_xlfn.AGGREGATE(16,6,FIND({0,1,2,3,4,5,6,7,8,9},A423,ROW(INDIRECT("1:"&amp;LEN(A423)))),1))," ",REPT(" ",LEN(A423))),LEN(A423)))))))/10))*100+1</f>
        <v>301 ,.., 1501</v>
      </c>
      <c r="B424" s="113"/>
      <c r="C424" s="53"/>
      <c r="D424" s="53"/>
      <c r="E424" s="53">
        <v>0</v>
      </c>
      <c r="F424" s="53">
        <f>D424*(($F$287)+1)+(IF(E424&lt;101,E424,IF(E424&lt;201,E424/2,IF(E424&lt;=301,E424/3,E424/4))))</f>
        <v>0</v>
      </c>
      <c r="G424" s="112" t="str">
        <f>A423</f>
        <v>3rd, 5th, 7th, 9th, 11th, 13th, 15th Floor</v>
      </c>
      <c r="H424" s="113"/>
      <c r="I424" s="55"/>
    </row>
    <row r="425" spans="1:14" s="20" customFormat="1" hidden="1">
      <c r="A425" s="112" t="str">
        <f ca="1">(SUMPRODUCT(MID(0&amp;(LEFT(A424,SUM(LEN(A424)-LEN(SUBSTITUTE(A424,{"0","1","2"},""))))),LARGE(INDEX(ISNUMBER(--MID((LEFT(A424,SUM(LEN(A424)-LEN(SUBSTITUTE(A424,{"0","1","2"},""))))),ROW(INDIRECT("1:"&amp;LEN((LEFT(A424,SUM(LEN(A424)-LEN(SUBSTITUTE(A424,{"0","1","2"},"")))))))),1))*ROW(INDIRECT("1:"&amp;LEN((LEFT(A424,SUM(LEN(A424)-LEN(SUBSTITUTE(A424,{"0","1","2"},"")))))))),0),ROW(INDIRECT("1:"&amp;LEN((LEFT(A424,SUM(LEN(A424)-LEN(SUBSTITUTE(A424,{"0","1","2"},"")))))))))+1,1)*10^ROW(INDIRECT("1:"&amp;LEN((LEFT(A424,SUM(LEN(A424)-LEN(SUBSTITUTE(A424,{"0","1","2"},""))))))))/10))*1+1&amp;""&amp;" ,.., "&amp;""&amp;(SUMPRODUCT(MID(0&amp;(--TRIM(RIGHT(SUBSTITUTE(LEFT(A424,_xlfn.AGGREGATE(16,6,FIND({0,1,2,3,4,5,6,7,8,9},A424,ROW(INDIRECT("1:"&amp;LEN(A424)))),1))," ",REPT(" ",LEN(A424))),LEN(A424)))),LARGE(INDEX(ISNUMBER(--MID((--TRIM(RIGHT(SUBSTITUTE(LEFT(A424,_xlfn.AGGREGATE(16,6,FIND({0,1,2,3,4,5,6,7,8,9},A424,ROW(INDIRECT("1:"&amp;LEN(A424)))),1))," ",REPT(" ",LEN(A424))),LEN(A424)))),ROW(INDIRECT("1:"&amp;LEN((--TRIM(RIGHT(SUBSTITUTE(LEFT(A424,_xlfn.AGGREGATE(16,6,FIND({0,1,2,3,4,5,6,7,8,9},A424,ROW(INDIRECT("1:"&amp;LEN(A424)))),1))," ",REPT(" ",LEN(A424))),LEN(A424))))))),1))*ROW(INDIRECT("1:"&amp;LEN((--TRIM(RIGHT(SUBSTITUTE(LEFT(A424,_xlfn.AGGREGATE(16,6,FIND({0,1,2,3,4,5,6,7,8,9},A424,ROW(INDIRECT("1:"&amp;LEN(A424)))),1))," ",REPT(" ",LEN(A424))),LEN(A424))))))),0),ROW(INDIRECT("1:"&amp;LEN((--TRIM(RIGHT(SUBSTITUTE(LEFT(A424,_xlfn.AGGREGATE(16,6,FIND({0,1,2,3,4,5,6,7,8,9},A424,ROW(INDIRECT("1:"&amp;LEN(A424)))),1))," ",REPT(" ",LEN(A424))),LEN(A424))))))))+1,1)*10^ROW(INDIRECT("1:"&amp;LEN((--TRIM(RIGHT(SUBSTITUTE(LEFT(A424,_xlfn.AGGREGATE(16,6,FIND({0,1,2,3,4,5,6,7,8,9},A424,ROW(INDIRECT("1:"&amp;LEN(A424)))),1))," ",REPT(" ",LEN(A424))),LEN(A424)))))))/10))*1+1</f>
        <v>302 ,.., 1502</v>
      </c>
      <c r="B425" s="113"/>
      <c r="C425" s="53"/>
      <c r="D425" s="53"/>
      <c r="E425" s="53">
        <v>0</v>
      </c>
      <c r="F425" s="53">
        <f>D425*(($F$287)+1)+(IF(E425&lt;101,E425,IF(E425&lt;201,E425/2,IF(E425&lt;=301,E425/3,E425/4))))</f>
        <v>0</v>
      </c>
      <c r="G425" s="112" t="str">
        <f>G424</f>
        <v>3rd, 5th, 7th, 9th, 11th, 13th, 15th Floor</v>
      </c>
      <c r="H425" s="113"/>
      <c r="I425" s="55"/>
    </row>
    <row r="426" spans="1:14" s="20" customFormat="1" ht="15.75" hidden="1" customHeight="1">
      <c r="A426" s="112" t="str">
        <f ca="1">(SUMPRODUCT(MID(0&amp;(LEFT(A425,SUM(LEN(A425)-LEN(SUBSTITUTE(A425,{"0","1","2"},""))))),LARGE(INDEX(ISNUMBER(--MID((LEFT(A425,SUM(LEN(A425)-LEN(SUBSTITUTE(A425,{"0","1","2"},""))))),ROW(INDIRECT("1:"&amp;LEN((LEFT(A425,SUM(LEN(A425)-LEN(SUBSTITUTE(A425,{"0","1","2"},"")))))))),1))*ROW(INDIRECT("1:"&amp;LEN((LEFT(A425,SUM(LEN(A425)-LEN(SUBSTITUTE(A425,{"0","1","2"},"")))))))),0),ROW(INDIRECT("1:"&amp;LEN((LEFT(A425,SUM(LEN(A425)-LEN(SUBSTITUTE(A425,{"0","1","2"},"")))))))))+1,1)*10^ROW(INDIRECT("1:"&amp;LEN((LEFT(A425,SUM(LEN(A425)-LEN(SUBSTITUTE(A425,{"0","1","2"},""))))))))/10))*1+1&amp;""&amp;" ,.., "&amp;""&amp;(SUMPRODUCT(MID(0&amp;(--TRIM(RIGHT(SUBSTITUTE(LEFT(A425,_xlfn.AGGREGATE(16,6,FIND({0,1,2,3,4,5,6,7,8,9},A425,ROW(INDIRECT("1:"&amp;LEN(A425)))),1))," ",REPT(" ",LEN(A425))),LEN(A425)))),LARGE(INDEX(ISNUMBER(--MID((--TRIM(RIGHT(SUBSTITUTE(LEFT(A425,_xlfn.AGGREGATE(16,6,FIND({0,1,2,3,4,5,6,7,8,9},A425,ROW(INDIRECT("1:"&amp;LEN(A425)))),1))," ",REPT(" ",LEN(A425))),LEN(A425)))),ROW(INDIRECT("1:"&amp;LEN((--TRIM(RIGHT(SUBSTITUTE(LEFT(A425,_xlfn.AGGREGATE(16,6,FIND({0,1,2,3,4,5,6,7,8,9},A425,ROW(INDIRECT("1:"&amp;LEN(A425)))),1))," ",REPT(" ",LEN(A425))),LEN(A425))))))),1))*ROW(INDIRECT("1:"&amp;LEN((--TRIM(RIGHT(SUBSTITUTE(LEFT(A425,_xlfn.AGGREGATE(16,6,FIND({0,1,2,3,4,5,6,7,8,9},A425,ROW(INDIRECT("1:"&amp;LEN(A425)))),1))," ",REPT(" ",LEN(A425))),LEN(A425))))))),0),ROW(INDIRECT("1:"&amp;LEN((--TRIM(RIGHT(SUBSTITUTE(LEFT(A425,_xlfn.AGGREGATE(16,6,FIND({0,1,2,3,4,5,6,7,8,9},A425,ROW(INDIRECT("1:"&amp;LEN(A425)))),1))," ",REPT(" ",LEN(A425))),LEN(A425))))))))+1,1)*10^ROW(INDIRECT("1:"&amp;LEN((--TRIM(RIGHT(SUBSTITUTE(LEFT(A425,_xlfn.AGGREGATE(16,6,FIND({0,1,2,3,4,5,6,7,8,9},A425,ROW(INDIRECT("1:"&amp;LEN(A425)))),1))," ",REPT(" ",LEN(A425))),LEN(A425)))))))/10))*1+1</f>
        <v>303 ,.., 1503</v>
      </c>
      <c r="B426" s="113"/>
      <c r="C426" s="53"/>
      <c r="D426" s="53"/>
      <c r="E426" s="53">
        <v>0</v>
      </c>
      <c r="F426" s="53">
        <f>D426*(($F$287)+1)+(IF(E426&lt;101,E426,IF(E426&lt;201,E426/2,IF(E426&lt;=301,E426/3,E426/4))))</f>
        <v>0</v>
      </c>
      <c r="G426" s="112" t="str">
        <f>G425</f>
        <v>3rd, 5th, 7th, 9th, 11th, 13th, 15th Floor</v>
      </c>
      <c r="H426" s="113"/>
      <c r="I426" s="55"/>
    </row>
    <row r="427" spans="1:14" s="20" customFormat="1" ht="15.75" hidden="1" customHeight="1">
      <c r="A427" s="112" t="str">
        <f ca="1">(SUMPRODUCT(MID(0&amp;(LEFT(A426,SUM(LEN(A426)-LEN(SUBSTITUTE(A426,{"0","1","2"},""))))),LARGE(INDEX(ISNUMBER(--MID((LEFT(A426,SUM(LEN(A426)-LEN(SUBSTITUTE(A426,{"0","1","2"},""))))),ROW(INDIRECT("1:"&amp;LEN((LEFT(A426,SUM(LEN(A426)-LEN(SUBSTITUTE(A426,{"0","1","2"},"")))))))),1))*ROW(INDIRECT("1:"&amp;LEN((LEFT(A426,SUM(LEN(A426)-LEN(SUBSTITUTE(A426,{"0","1","2"},"")))))))),0),ROW(INDIRECT("1:"&amp;LEN((LEFT(A426,SUM(LEN(A426)-LEN(SUBSTITUTE(A426,{"0","1","2"},"")))))))))+1,1)*10^ROW(INDIRECT("1:"&amp;LEN((LEFT(A426,SUM(LEN(A426)-LEN(SUBSTITUTE(A426,{"0","1","2"},""))))))))/10))*1+1&amp;""&amp;" ,.., "&amp;""&amp;(SUMPRODUCT(MID(0&amp;(--TRIM(RIGHT(SUBSTITUTE(LEFT(A426,_xlfn.AGGREGATE(16,6,FIND({0,1,2,3,4,5,6,7,8,9},A426,ROW(INDIRECT("1:"&amp;LEN(A426)))),1))," ",REPT(" ",LEN(A426))),LEN(A426)))),LARGE(INDEX(ISNUMBER(--MID((--TRIM(RIGHT(SUBSTITUTE(LEFT(A426,_xlfn.AGGREGATE(16,6,FIND({0,1,2,3,4,5,6,7,8,9},A426,ROW(INDIRECT("1:"&amp;LEN(A426)))),1))," ",REPT(" ",LEN(A426))),LEN(A426)))),ROW(INDIRECT("1:"&amp;LEN((--TRIM(RIGHT(SUBSTITUTE(LEFT(A426,_xlfn.AGGREGATE(16,6,FIND({0,1,2,3,4,5,6,7,8,9},A426,ROW(INDIRECT("1:"&amp;LEN(A426)))),1))," ",REPT(" ",LEN(A426))),LEN(A426))))))),1))*ROW(INDIRECT("1:"&amp;LEN((--TRIM(RIGHT(SUBSTITUTE(LEFT(A426,_xlfn.AGGREGATE(16,6,FIND({0,1,2,3,4,5,6,7,8,9},A426,ROW(INDIRECT("1:"&amp;LEN(A426)))),1))," ",REPT(" ",LEN(A426))),LEN(A426))))))),0),ROW(INDIRECT("1:"&amp;LEN((--TRIM(RIGHT(SUBSTITUTE(LEFT(A426,_xlfn.AGGREGATE(16,6,FIND({0,1,2,3,4,5,6,7,8,9},A426,ROW(INDIRECT("1:"&amp;LEN(A426)))),1))," ",REPT(" ",LEN(A426))),LEN(A426))))))))+1,1)*10^ROW(INDIRECT("1:"&amp;LEN((--TRIM(RIGHT(SUBSTITUTE(LEFT(A426,_xlfn.AGGREGATE(16,6,FIND({0,1,2,3,4,5,6,7,8,9},A426,ROW(INDIRECT("1:"&amp;LEN(A426)))),1))," ",REPT(" ",LEN(A426))),LEN(A426)))))))/10))*1+1</f>
        <v>304 ,.., 1504</v>
      </c>
      <c r="B427" s="113"/>
      <c r="C427" s="53"/>
      <c r="D427" s="53"/>
      <c r="E427" s="53">
        <v>0</v>
      </c>
      <c r="F427" s="53">
        <f>D427*(($F$287)+1)+(IF(E427&lt;101,E427,IF(E427&lt;201,E427/2,IF(E427&lt;=301,E427/3,E427/4))))</f>
        <v>0</v>
      </c>
      <c r="G427" s="112" t="str">
        <f>G426</f>
        <v>3rd, 5th, 7th, 9th, 11th, 13th, 15th Floor</v>
      </c>
      <c r="H427" s="113"/>
      <c r="I427" s="55"/>
    </row>
    <row r="428" spans="1:14" s="20" customFormat="1" ht="15.75" hidden="1" customHeight="1">
      <c r="A428" s="112" t="str">
        <f ca="1">(SUMPRODUCT(MID(0&amp;(LEFT(A427,SUM(LEN(A427)-LEN(SUBSTITUTE(A427,{"0","1","2"},""))))),LARGE(INDEX(ISNUMBER(--MID((LEFT(A427,SUM(LEN(A427)-LEN(SUBSTITUTE(A427,{"0","1","2"},""))))),ROW(INDIRECT("1:"&amp;LEN((LEFT(A427,SUM(LEN(A427)-LEN(SUBSTITUTE(A427,{"0","1","2"},"")))))))),1))*ROW(INDIRECT("1:"&amp;LEN((LEFT(A427,SUM(LEN(A427)-LEN(SUBSTITUTE(A427,{"0","1","2"},"")))))))),0),ROW(INDIRECT("1:"&amp;LEN((LEFT(A427,SUM(LEN(A427)-LEN(SUBSTITUTE(A427,{"0","1","2"},"")))))))))+1,1)*10^ROW(INDIRECT("1:"&amp;LEN((LEFT(A427,SUM(LEN(A427)-LEN(SUBSTITUTE(A427,{"0","1","2"},""))))))))/10))*1+1&amp;""&amp;" ,.., "&amp;""&amp;(SUMPRODUCT(MID(0&amp;(--TRIM(RIGHT(SUBSTITUTE(LEFT(A427,_xlfn.AGGREGATE(16,6,FIND({0,1,2,3,4,5,6,7,8,9},A427,ROW(INDIRECT("1:"&amp;LEN(A427)))),1))," ",REPT(" ",LEN(A427))),LEN(A427)))),LARGE(INDEX(ISNUMBER(--MID((--TRIM(RIGHT(SUBSTITUTE(LEFT(A427,_xlfn.AGGREGATE(16,6,FIND({0,1,2,3,4,5,6,7,8,9},A427,ROW(INDIRECT("1:"&amp;LEN(A427)))),1))," ",REPT(" ",LEN(A427))),LEN(A427)))),ROW(INDIRECT("1:"&amp;LEN((--TRIM(RIGHT(SUBSTITUTE(LEFT(A427,_xlfn.AGGREGATE(16,6,FIND({0,1,2,3,4,5,6,7,8,9},A427,ROW(INDIRECT("1:"&amp;LEN(A427)))),1))," ",REPT(" ",LEN(A427))),LEN(A427))))))),1))*ROW(INDIRECT("1:"&amp;LEN((--TRIM(RIGHT(SUBSTITUTE(LEFT(A427,_xlfn.AGGREGATE(16,6,FIND({0,1,2,3,4,5,6,7,8,9},A427,ROW(INDIRECT("1:"&amp;LEN(A427)))),1))," ",REPT(" ",LEN(A427))),LEN(A427))))))),0),ROW(INDIRECT("1:"&amp;LEN((--TRIM(RIGHT(SUBSTITUTE(LEFT(A427,_xlfn.AGGREGATE(16,6,FIND({0,1,2,3,4,5,6,7,8,9},A427,ROW(INDIRECT("1:"&amp;LEN(A427)))),1))," ",REPT(" ",LEN(A427))),LEN(A427))))))))+1,1)*10^ROW(INDIRECT("1:"&amp;LEN((--TRIM(RIGHT(SUBSTITUTE(LEFT(A427,_xlfn.AGGREGATE(16,6,FIND({0,1,2,3,4,5,6,7,8,9},A427,ROW(INDIRECT("1:"&amp;LEN(A427)))),1))," ",REPT(" ",LEN(A427))),LEN(A427)))))))/10))*1+1</f>
        <v>305 ,.., 1505</v>
      </c>
      <c r="B428" s="113"/>
      <c r="C428" s="53"/>
      <c r="D428" s="53"/>
      <c r="E428" s="53">
        <v>0</v>
      </c>
      <c r="F428" s="53">
        <f>D428*(($F$287)+1)+(IF(E428&lt;101,E428,IF(E428&lt;201,E428/2,IF(E428&lt;=301,E428/3,E428/4))))</f>
        <v>0</v>
      </c>
      <c r="G428" s="112" t="str">
        <f>G427</f>
        <v>3rd, 5th, 7th, 9th, 11th, 13th, 15th Floor</v>
      </c>
      <c r="H428" s="113"/>
      <c r="I428" s="55"/>
    </row>
    <row r="429" spans="1:14" s="20" customFormat="1" hidden="1">
      <c r="A429" s="125" t="s">
        <v>254</v>
      </c>
      <c r="B429" s="126"/>
      <c r="C429" s="126"/>
      <c r="D429" s="126"/>
      <c r="E429" s="126"/>
      <c r="F429" s="126"/>
      <c r="G429" s="126"/>
      <c r="H429" s="127"/>
      <c r="I429" s="55"/>
    </row>
    <row r="430" spans="1:14" s="20" customFormat="1" hidden="1">
      <c r="A430" s="112" t="str">
        <f ca="1">(SUMPRODUCT(MID(0&amp;(LEFT(A429,SUM(LEN(A429)-LEN(SUBSTITUTE(A429,{"0","1","2"},""))))),LARGE(INDEX(ISNUMBER(--MID((LEFT(A429,SUM(LEN(A429)-LEN(SUBSTITUTE(A429,{"0","1","2"},""))))),ROW(INDIRECT("1:"&amp;LEN((LEFT(A429,SUM(LEN(A429)-LEN(SUBSTITUTE(A429,{"0","1","2"},"")))))))),1))*ROW(INDIRECT("1:"&amp;LEN((LEFT(A429,SUM(LEN(A429)-LEN(SUBSTITUTE(A429,{"0","1","2"},"")))))))),0),ROW(INDIRECT("1:"&amp;LEN((LEFT(A429,SUM(LEN(A429)-LEN(SUBSTITUTE(A429,{"0","1","2"},"")))))))))+1,1)*10^ROW(INDIRECT("1:"&amp;LEN((LEFT(A429,SUM(LEN(A429)-LEN(SUBSTITUTE(A429,{"0","1","2"},""))))))))/10))*100+1&amp;""&amp;" to "&amp;""&amp;(SUMPRODUCT(MID(0&amp;(--TRIM(RIGHT(SUBSTITUTE(LEFT(A429,_xlfn.AGGREGATE(16,6,FIND({0,1,2,3,4,5,6,7,8,9},A429,ROW(INDIRECT("1:"&amp;LEN(A429)))),1))," ",REPT(" ",LEN(A429))),LEN(A429)))),LARGE(INDEX(ISNUMBER(--MID((--TRIM(RIGHT(SUBSTITUTE(LEFT(A429,_xlfn.AGGREGATE(16,6,FIND({0,1,2,3,4,5,6,7,8,9},A429,ROW(INDIRECT("1:"&amp;LEN(A429)))),1))," ",REPT(" ",LEN(A429))),LEN(A429)))),ROW(INDIRECT("1:"&amp;LEN((--TRIM(RIGHT(SUBSTITUTE(LEFT(A429,_xlfn.AGGREGATE(16,6,FIND({0,1,2,3,4,5,6,7,8,9},A429,ROW(INDIRECT("1:"&amp;LEN(A429)))),1))," ",REPT(" ",LEN(A429))),LEN(A429))))))),1))*ROW(INDIRECT("1:"&amp;LEN((--TRIM(RIGHT(SUBSTITUTE(LEFT(A429,_xlfn.AGGREGATE(16,6,FIND({0,1,2,3,4,5,6,7,8,9},A429,ROW(INDIRECT("1:"&amp;LEN(A429)))),1))," ",REPT(" ",LEN(A429))),LEN(A429))))))),0),ROW(INDIRECT("1:"&amp;LEN((--TRIM(RIGHT(SUBSTITUTE(LEFT(A429,_xlfn.AGGREGATE(16,6,FIND({0,1,2,3,4,5,6,7,8,9},A429,ROW(INDIRECT("1:"&amp;LEN(A429)))),1))," ",REPT(" ",LEN(A429))),LEN(A429))))))))+1,1)*10^ROW(INDIRECT("1:"&amp;LEN((--TRIM(RIGHT(SUBSTITUTE(LEFT(A429,_xlfn.AGGREGATE(16,6,FIND({0,1,2,3,4,5,6,7,8,9},A429,ROW(INDIRECT("1:"&amp;LEN(A429)))),1))," ",REPT(" ",LEN(A429))),LEN(A429)))))))/10))*100+1</f>
        <v>201 to 501</v>
      </c>
      <c r="B430" s="113"/>
      <c r="C430" s="53"/>
      <c r="D430" s="53"/>
      <c r="E430" s="53">
        <v>0</v>
      </c>
      <c r="F430" s="53">
        <f>D430*(($F$287)+1)+(IF(E430&lt;101,E430,IF(E430&lt;201,E430/2,IF(E430&lt;=301,E430/3,E430/4))))</f>
        <v>0</v>
      </c>
      <c r="G430" s="112" t="str">
        <f>A429</f>
        <v>2nd to 5th Floor</v>
      </c>
      <c r="H430" s="113"/>
      <c r="I430" s="55"/>
    </row>
    <row r="431" spans="1:14" s="20" customFormat="1" hidden="1">
      <c r="A431" s="112" t="str">
        <f ca="1">(SUMPRODUCT(MID(0&amp;(LEFT(A430,SUM(LEN(A430)-LEN(SUBSTITUTE(A430,{"0","1","2"},""))))),LARGE(INDEX(ISNUMBER(--MID((LEFT(A430,SUM(LEN(A430)-LEN(SUBSTITUTE(A430,{"0","1","2"},""))))),ROW(INDIRECT("1:"&amp;LEN((LEFT(A430,SUM(LEN(A430)-LEN(SUBSTITUTE(A430,{"0","1","2"},"")))))))),1))*ROW(INDIRECT("1:"&amp;LEN((LEFT(A430,SUM(LEN(A430)-LEN(SUBSTITUTE(A430,{"0","1","2"},"")))))))),0),ROW(INDIRECT("1:"&amp;LEN((LEFT(A430,SUM(LEN(A430)-LEN(SUBSTITUTE(A430,{"0","1","2"},"")))))))))+1,1)*10^ROW(INDIRECT("1:"&amp;LEN((LEFT(A430,SUM(LEN(A430)-LEN(SUBSTITUTE(A430,{"0","1","2"},""))))))))/10))*1+1&amp;""&amp;" to "&amp;""&amp;(SUMPRODUCT(MID(0&amp;(--TRIM(RIGHT(SUBSTITUTE(LEFT(A430,_xlfn.AGGREGATE(16,6,FIND({0,1,2,3,4,5,6,7,8,9},A430,ROW(INDIRECT("1:"&amp;LEN(A430)))),1))," ",REPT(" ",LEN(A430))),LEN(A430)))),LARGE(INDEX(ISNUMBER(--MID((--TRIM(RIGHT(SUBSTITUTE(LEFT(A430,_xlfn.AGGREGATE(16,6,FIND({0,1,2,3,4,5,6,7,8,9},A430,ROW(INDIRECT("1:"&amp;LEN(A430)))),1))," ",REPT(" ",LEN(A430))),LEN(A430)))),ROW(INDIRECT("1:"&amp;LEN((--TRIM(RIGHT(SUBSTITUTE(LEFT(A430,_xlfn.AGGREGATE(16,6,FIND({0,1,2,3,4,5,6,7,8,9},A430,ROW(INDIRECT("1:"&amp;LEN(A430)))),1))," ",REPT(" ",LEN(A430))),LEN(A430))))))),1))*ROW(INDIRECT("1:"&amp;LEN((--TRIM(RIGHT(SUBSTITUTE(LEFT(A430,_xlfn.AGGREGATE(16,6,FIND({0,1,2,3,4,5,6,7,8,9},A430,ROW(INDIRECT("1:"&amp;LEN(A430)))),1))," ",REPT(" ",LEN(A430))),LEN(A430))))))),0),ROW(INDIRECT("1:"&amp;LEN((--TRIM(RIGHT(SUBSTITUTE(LEFT(A430,_xlfn.AGGREGATE(16,6,FIND({0,1,2,3,4,5,6,7,8,9},A430,ROW(INDIRECT("1:"&amp;LEN(A430)))),1))," ",REPT(" ",LEN(A430))),LEN(A430))))))))+1,1)*10^ROW(INDIRECT("1:"&amp;LEN((--TRIM(RIGHT(SUBSTITUTE(LEFT(A430,_xlfn.AGGREGATE(16,6,FIND({0,1,2,3,4,5,6,7,8,9},A430,ROW(INDIRECT("1:"&amp;LEN(A430)))),1))," ",REPT(" ",LEN(A430))),LEN(A430)))))))/10))*1+1</f>
        <v>202 to 502</v>
      </c>
      <c r="B431" s="113"/>
      <c r="C431" s="53"/>
      <c r="D431" s="53"/>
      <c r="E431" s="53">
        <v>0</v>
      </c>
      <c r="F431" s="53">
        <f>D431*(($F$287)+1)+(IF(E431&lt;101,E431,IF(E431&lt;201,E431/2,IF(E431&lt;=301,E431/3,E431/4))))</f>
        <v>0</v>
      </c>
      <c r="G431" s="112" t="str">
        <f>G430</f>
        <v>2nd to 5th Floor</v>
      </c>
      <c r="H431" s="113"/>
      <c r="I431" s="55"/>
    </row>
    <row r="432" spans="1:14" s="20" customFormat="1" hidden="1">
      <c r="A432" s="112" t="str">
        <f ca="1">(SUMPRODUCT(MID(0&amp;(LEFT(A431,SUM(LEN(A431)-LEN(SUBSTITUTE(A431,{"0","1","2"},""))))),LARGE(INDEX(ISNUMBER(--MID((LEFT(A431,SUM(LEN(A431)-LEN(SUBSTITUTE(A431,{"0","1","2"},""))))),ROW(INDIRECT("1:"&amp;LEN((LEFT(A431,SUM(LEN(A431)-LEN(SUBSTITUTE(A431,{"0","1","2"},"")))))))),1))*ROW(INDIRECT("1:"&amp;LEN((LEFT(A431,SUM(LEN(A431)-LEN(SUBSTITUTE(A431,{"0","1","2"},"")))))))),0),ROW(INDIRECT("1:"&amp;LEN((LEFT(A431,SUM(LEN(A431)-LEN(SUBSTITUTE(A431,{"0","1","2"},"")))))))))+1,1)*10^ROW(INDIRECT("1:"&amp;LEN((LEFT(A431,SUM(LEN(A431)-LEN(SUBSTITUTE(A431,{"0","1","2"},""))))))))/10))*1+1&amp;""&amp;" to "&amp;""&amp;(SUMPRODUCT(MID(0&amp;(--TRIM(RIGHT(SUBSTITUTE(LEFT(A431,_xlfn.AGGREGATE(16,6,FIND({0,1,2,3,4,5,6,7,8,9},A431,ROW(INDIRECT("1:"&amp;LEN(A431)))),1))," ",REPT(" ",LEN(A431))),LEN(A431)))),LARGE(INDEX(ISNUMBER(--MID((--TRIM(RIGHT(SUBSTITUTE(LEFT(A431,_xlfn.AGGREGATE(16,6,FIND({0,1,2,3,4,5,6,7,8,9},A431,ROW(INDIRECT("1:"&amp;LEN(A431)))),1))," ",REPT(" ",LEN(A431))),LEN(A431)))),ROW(INDIRECT("1:"&amp;LEN((--TRIM(RIGHT(SUBSTITUTE(LEFT(A431,_xlfn.AGGREGATE(16,6,FIND({0,1,2,3,4,5,6,7,8,9},A431,ROW(INDIRECT("1:"&amp;LEN(A431)))),1))," ",REPT(" ",LEN(A431))),LEN(A431))))))),1))*ROW(INDIRECT("1:"&amp;LEN((--TRIM(RIGHT(SUBSTITUTE(LEFT(A431,_xlfn.AGGREGATE(16,6,FIND({0,1,2,3,4,5,6,7,8,9},A431,ROW(INDIRECT("1:"&amp;LEN(A431)))),1))," ",REPT(" ",LEN(A431))),LEN(A431))))))),0),ROW(INDIRECT("1:"&amp;LEN((--TRIM(RIGHT(SUBSTITUTE(LEFT(A431,_xlfn.AGGREGATE(16,6,FIND({0,1,2,3,4,5,6,7,8,9},A431,ROW(INDIRECT("1:"&amp;LEN(A431)))),1))," ",REPT(" ",LEN(A431))),LEN(A431))))))))+1,1)*10^ROW(INDIRECT("1:"&amp;LEN((--TRIM(RIGHT(SUBSTITUTE(LEFT(A431,_xlfn.AGGREGATE(16,6,FIND({0,1,2,3,4,5,6,7,8,9},A431,ROW(INDIRECT("1:"&amp;LEN(A431)))),1))," ",REPT(" ",LEN(A431))),LEN(A431)))))))/10))*1+1</f>
        <v>203 to 503</v>
      </c>
      <c r="B432" s="113"/>
      <c r="C432" s="53"/>
      <c r="D432" s="53"/>
      <c r="E432" s="53">
        <v>0</v>
      </c>
      <c r="F432" s="53">
        <f>D432*(($F$287)+1)+(IF(E432&lt;101,E432,IF(E432&lt;201,E432/2,IF(E432&lt;=301,E432/3,E432/4))))</f>
        <v>0</v>
      </c>
      <c r="G432" s="112" t="str">
        <f>G431</f>
        <v>2nd to 5th Floor</v>
      </c>
      <c r="H432" s="113"/>
      <c r="I432" s="55"/>
    </row>
    <row r="433" spans="1:9" s="20" customFormat="1" hidden="1">
      <c r="A433" s="112" t="str">
        <f ca="1">(SUMPRODUCT(MID(0&amp;(LEFT(A432,SUM(LEN(A432)-LEN(SUBSTITUTE(A432,{"0","1","2"},""))))),LARGE(INDEX(ISNUMBER(--MID((LEFT(A432,SUM(LEN(A432)-LEN(SUBSTITUTE(A432,{"0","1","2"},""))))),ROW(INDIRECT("1:"&amp;LEN((LEFT(A432,SUM(LEN(A432)-LEN(SUBSTITUTE(A432,{"0","1","2"},"")))))))),1))*ROW(INDIRECT("1:"&amp;LEN((LEFT(A432,SUM(LEN(A432)-LEN(SUBSTITUTE(A432,{"0","1","2"},"")))))))),0),ROW(INDIRECT("1:"&amp;LEN((LEFT(A432,SUM(LEN(A432)-LEN(SUBSTITUTE(A432,{"0","1","2"},"")))))))))+1,1)*10^ROW(INDIRECT("1:"&amp;LEN((LEFT(A432,SUM(LEN(A432)-LEN(SUBSTITUTE(A432,{"0","1","2"},""))))))))/10))*1+1&amp;""&amp;" to "&amp;""&amp;(SUMPRODUCT(MID(0&amp;(--TRIM(RIGHT(SUBSTITUTE(LEFT(A432,_xlfn.AGGREGATE(16,6,FIND({0,1,2,3,4,5,6,7,8,9},A432,ROW(INDIRECT("1:"&amp;LEN(A432)))),1))," ",REPT(" ",LEN(A432))),LEN(A432)))),LARGE(INDEX(ISNUMBER(--MID((--TRIM(RIGHT(SUBSTITUTE(LEFT(A432,_xlfn.AGGREGATE(16,6,FIND({0,1,2,3,4,5,6,7,8,9},A432,ROW(INDIRECT("1:"&amp;LEN(A432)))),1))," ",REPT(" ",LEN(A432))),LEN(A432)))),ROW(INDIRECT("1:"&amp;LEN((--TRIM(RIGHT(SUBSTITUTE(LEFT(A432,_xlfn.AGGREGATE(16,6,FIND({0,1,2,3,4,5,6,7,8,9},A432,ROW(INDIRECT("1:"&amp;LEN(A432)))),1))," ",REPT(" ",LEN(A432))),LEN(A432))))))),1))*ROW(INDIRECT("1:"&amp;LEN((--TRIM(RIGHT(SUBSTITUTE(LEFT(A432,_xlfn.AGGREGATE(16,6,FIND({0,1,2,3,4,5,6,7,8,9},A432,ROW(INDIRECT("1:"&amp;LEN(A432)))),1))," ",REPT(" ",LEN(A432))),LEN(A432))))))),0),ROW(INDIRECT("1:"&amp;LEN((--TRIM(RIGHT(SUBSTITUTE(LEFT(A432,_xlfn.AGGREGATE(16,6,FIND({0,1,2,3,4,5,6,7,8,9},A432,ROW(INDIRECT("1:"&amp;LEN(A432)))),1))," ",REPT(" ",LEN(A432))),LEN(A432))))))))+1,1)*10^ROW(INDIRECT("1:"&amp;LEN((--TRIM(RIGHT(SUBSTITUTE(LEFT(A432,_xlfn.AGGREGATE(16,6,FIND({0,1,2,3,4,5,6,7,8,9},A432,ROW(INDIRECT("1:"&amp;LEN(A432)))),1))," ",REPT(" ",LEN(A432))),LEN(A432)))))))/10))*1+1</f>
        <v>204 to 504</v>
      </c>
      <c r="B433" s="113"/>
      <c r="C433" s="53"/>
      <c r="D433" s="53"/>
      <c r="E433" s="53">
        <v>0</v>
      </c>
      <c r="F433" s="53">
        <f>D433*(($F$287)+1)+(IF(E433&lt;101,E433,IF(E433&lt;201,E433/2,IF(E433&lt;=301,E433/3,E433/4))))</f>
        <v>0</v>
      </c>
      <c r="G433" s="112" t="str">
        <f>G432</f>
        <v>2nd to 5th Floor</v>
      </c>
      <c r="H433" s="113"/>
      <c r="I433" s="55"/>
    </row>
    <row r="434" spans="1:9" s="20" customFormat="1" hidden="1">
      <c r="A434" s="112" t="str">
        <f ca="1">(SUMPRODUCT(MID(0&amp;(LEFT(A433,SUM(LEN(A433)-LEN(SUBSTITUTE(A433,{"0","1","2"},""))))),LARGE(INDEX(ISNUMBER(--MID((LEFT(A433,SUM(LEN(A433)-LEN(SUBSTITUTE(A433,{"0","1","2"},""))))),ROW(INDIRECT("1:"&amp;LEN((LEFT(A433,SUM(LEN(A433)-LEN(SUBSTITUTE(A433,{"0","1","2"},"")))))))),1))*ROW(INDIRECT("1:"&amp;LEN((LEFT(A433,SUM(LEN(A433)-LEN(SUBSTITUTE(A433,{"0","1","2"},"")))))))),0),ROW(INDIRECT("1:"&amp;LEN((LEFT(A433,SUM(LEN(A433)-LEN(SUBSTITUTE(A433,{"0","1","2"},"")))))))))+1,1)*10^ROW(INDIRECT("1:"&amp;LEN((LEFT(A433,SUM(LEN(A433)-LEN(SUBSTITUTE(A433,{"0","1","2"},""))))))))/10))*1+1&amp;""&amp;" to "&amp;""&amp;(SUMPRODUCT(MID(0&amp;(--TRIM(RIGHT(SUBSTITUTE(LEFT(A433,_xlfn.AGGREGATE(16,6,FIND({0,1,2,3,4,5,6,7,8,9},A433,ROW(INDIRECT("1:"&amp;LEN(A433)))),1))," ",REPT(" ",LEN(A433))),LEN(A433)))),LARGE(INDEX(ISNUMBER(--MID((--TRIM(RIGHT(SUBSTITUTE(LEFT(A433,_xlfn.AGGREGATE(16,6,FIND({0,1,2,3,4,5,6,7,8,9},A433,ROW(INDIRECT("1:"&amp;LEN(A433)))),1))," ",REPT(" ",LEN(A433))),LEN(A433)))),ROW(INDIRECT("1:"&amp;LEN((--TRIM(RIGHT(SUBSTITUTE(LEFT(A433,_xlfn.AGGREGATE(16,6,FIND({0,1,2,3,4,5,6,7,8,9},A433,ROW(INDIRECT("1:"&amp;LEN(A433)))),1))," ",REPT(" ",LEN(A433))),LEN(A433))))))),1))*ROW(INDIRECT("1:"&amp;LEN((--TRIM(RIGHT(SUBSTITUTE(LEFT(A433,_xlfn.AGGREGATE(16,6,FIND({0,1,2,3,4,5,6,7,8,9},A433,ROW(INDIRECT("1:"&amp;LEN(A433)))),1))," ",REPT(" ",LEN(A433))),LEN(A433))))))),0),ROW(INDIRECT("1:"&amp;LEN((--TRIM(RIGHT(SUBSTITUTE(LEFT(A433,_xlfn.AGGREGATE(16,6,FIND({0,1,2,3,4,5,6,7,8,9},A433,ROW(INDIRECT("1:"&amp;LEN(A433)))),1))," ",REPT(" ",LEN(A433))),LEN(A433))))))))+1,1)*10^ROW(INDIRECT("1:"&amp;LEN((--TRIM(RIGHT(SUBSTITUTE(LEFT(A433,_xlfn.AGGREGATE(16,6,FIND({0,1,2,3,4,5,6,7,8,9},A433,ROW(INDIRECT("1:"&amp;LEN(A433)))),1))," ",REPT(" ",LEN(A433))),LEN(A433)))))))/10))*1+1</f>
        <v>205 to 505</v>
      </c>
      <c r="B434" s="113"/>
      <c r="C434" s="53"/>
      <c r="D434" s="53"/>
      <c r="E434" s="53">
        <v>0</v>
      </c>
      <c r="F434" s="53">
        <f>D434*(($F$287)+1)+(IF(E434&lt;101,E434,IF(E434&lt;201,E434/2,IF(E434&lt;=301,E434/3,E434/4))))</f>
        <v>0</v>
      </c>
      <c r="G434" s="112" t="str">
        <f>G433</f>
        <v>2nd to 5th Floor</v>
      </c>
      <c r="H434" s="113"/>
      <c r="I434" s="55"/>
    </row>
    <row r="435" spans="1:9" s="20" customFormat="1" hidden="1">
      <c r="A435" s="125" t="s">
        <v>255</v>
      </c>
      <c r="B435" s="126"/>
      <c r="C435" s="126"/>
      <c r="D435" s="126"/>
      <c r="E435" s="126"/>
      <c r="F435" s="126"/>
      <c r="G435" s="126"/>
      <c r="H435" s="127"/>
      <c r="I435" s="55"/>
    </row>
    <row r="436" spans="1:9" s="20" customFormat="1" hidden="1">
      <c r="A436" s="112" t="str">
        <f ca="1">(SUMPRODUCT(MID(0&amp;(LEFT(A435,SUM(LEN(A435)-LEN(SUBSTITUTE(A435,{"0","1","2"},""))))),LARGE(INDEX(ISNUMBER(--MID((LEFT(A435,SUM(LEN(A435)-LEN(SUBSTITUTE(A435,{"0","1","2"},""))))),ROW(INDIRECT("1:"&amp;LEN((LEFT(A435,SUM(LEN(A435)-LEN(SUBSTITUTE(A435,{"0","1","2"},"")))))))),1))*ROW(INDIRECT("1:"&amp;LEN((LEFT(A435,SUM(LEN(A435)-LEN(SUBSTITUTE(A435,{"0","1","2"},"")))))))),0),ROW(INDIRECT("1:"&amp;LEN((LEFT(A435,SUM(LEN(A435)-LEN(SUBSTITUTE(A435,{"0","1","2"},"")))))))))+1,1)*10^ROW(INDIRECT("1:"&amp;LEN((LEFT(A435,SUM(LEN(A435)-LEN(SUBSTITUTE(A435,{"0","1","2"},""))))))))/10))*100+1&amp;""&amp;" &amp; "&amp;""&amp;(SUMPRODUCT(MID(0&amp;(--TRIM(RIGHT(SUBSTITUTE(LEFT(A435,_xlfn.AGGREGATE(16,6,FIND({0,1,2,3,4,5,6,7,8,9},A435,ROW(INDIRECT("1:"&amp;LEN(A435)))),1))," ",REPT(" ",LEN(A435))),LEN(A435)))),LARGE(INDEX(ISNUMBER(--MID((--TRIM(RIGHT(SUBSTITUTE(LEFT(A435,_xlfn.AGGREGATE(16,6,FIND({0,1,2,3,4,5,6,7,8,9},A435,ROW(INDIRECT("1:"&amp;LEN(A435)))),1))," ",REPT(" ",LEN(A435))),LEN(A435)))),ROW(INDIRECT("1:"&amp;LEN((--TRIM(RIGHT(SUBSTITUTE(LEFT(A435,_xlfn.AGGREGATE(16,6,FIND({0,1,2,3,4,5,6,7,8,9},A435,ROW(INDIRECT("1:"&amp;LEN(A435)))),1))," ",REPT(" ",LEN(A435))),LEN(A435))))))),1))*ROW(INDIRECT("1:"&amp;LEN((--TRIM(RIGHT(SUBSTITUTE(LEFT(A435,_xlfn.AGGREGATE(16,6,FIND({0,1,2,3,4,5,6,7,8,9},A435,ROW(INDIRECT("1:"&amp;LEN(A435)))),1))," ",REPT(" ",LEN(A435))),LEN(A435))))))),0),ROW(INDIRECT("1:"&amp;LEN((--TRIM(RIGHT(SUBSTITUTE(LEFT(A435,_xlfn.AGGREGATE(16,6,FIND({0,1,2,3,4,5,6,7,8,9},A435,ROW(INDIRECT("1:"&amp;LEN(A435)))),1))," ",REPT(" ",LEN(A435))),LEN(A435))))))))+1,1)*10^ROW(INDIRECT("1:"&amp;LEN((--TRIM(RIGHT(SUBSTITUTE(LEFT(A435,_xlfn.AGGREGATE(16,6,FIND({0,1,2,3,4,5,6,7,8,9},A435,ROW(INDIRECT("1:"&amp;LEN(A435)))),1))," ",REPT(" ",LEN(A435))),LEN(A435)))))))/10))*100+1</f>
        <v>201 &amp; 501</v>
      </c>
      <c r="B436" s="113"/>
      <c r="C436" s="53"/>
      <c r="D436" s="53"/>
      <c r="E436" s="53">
        <v>0</v>
      </c>
      <c r="F436" s="53">
        <f>D436*(($F$287)+1)+(IF(E436&lt;101,E436,IF(E436&lt;201,E436/2,IF(E436&lt;=301,E436/3,E436/4))))</f>
        <v>0</v>
      </c>
      <c r="G436" s="112" t="str">
        <f>A435</f>
        <v>2nd &amp; 5th Floor</v>
      </c>
      <c r="H436" s="113"/>
      <c r="I436" s="55"/>
    </row>
    <row r="437" spans="1:9" s="20" customFormat="1" hidden="1">
      <c r="A437" s="112" t="str">
        <f ca="1">(SUMPRODUCT(MID(0&amp;(LEFT(A436,SUM(LEN(A436)-LEN(SUBSTITUTE(A436,{"0","1","2"},""))))),LARGE(INDEX(ISNUMBER(--MID((LEFT(A436,SUM(LEN(A436)-LEN(SUBSTITUTE(A436,{"0","1","2"},""))))),ROW(INDIRECT("1:"&amp;LEN((LEFT(A436,SUM(LEN(A436)-LEN(SUBSTITUTE(A436,{"0","1","2"},"")))))))),1))*ROW(INDIRECT("1:"&amp;LEN((LEFT(A436,SUM(LEN(A436)-LEN(SUBSTITUTE(A436,{"0","1","2"},"")))))))),0),ROW(INDIRECT("1:"&amp;LEN((LEFT(A436,SUM(LEN(A436)-LEN(SUBSTITUTE(A436,{"0","1","2"},"")))))))))+1,1)*10^ROW(INDIRECT("1:"&amp;LEN((LEFT(A436,SUM(LEN(A436)-LEN(SUBSTITUTE(A436,{"0","1","2"},""))))))))/10))*1+1&amp;""&amp;" &amp; "&amp;""&amp;(SUMPRODUCT(MID(0&amp;(--TRIM(RIGHT(SUBSTITUTE(LEFT(A436,_xlfn.AGGREGATE(16,6,FIND({0,1,2,3,4,5,6,7,8,9},A436,ROW(INDIRECT("1:"&amp;LEN(A436)))),1))," ",REPT(" ",LEN(A436))),LEN(A436)))),LARGE(INDEX(ISNUMBER(--MID((--TRIM(RIGHT(SUBSTITUTE(LEFT(A436,_xlfn.AGGREGATE(16,6,FIND({0,1,2,3,4,5,6,7,8,9},A436,ROW(INDIRECT("1:"&amp;LEN(A436)))),1))," ",REPT(" ",LEN(A436))),LEN(A436)))),ROW(INDIRECT("1:"&amp;LEN((--TRIM(RIGHT(SUBSTITUTE(LEFT(A436,_xlfn.AGGREGATE(16,6,FIND({0,1,2,3,4,5,6,7,8,9},A436,ROW(INDIRECT("1:"&amp;LEN(A436)))),1))," ",REPT(" ",LEN(A436))),LEN(A436))))))),1))*ROW(INDIRECT("1:"&amp;LEN((--TRIM(RIGHT(SUBSTITUTE(LEFT(A436,_xlfn.AGGREGATE(16,6,FIND({0,1,2,3,4,5,6,7,8,9},A436,ROW(INDIRECT("1:"&amp;LEN(A436)))),1))," ",REPT(" ",LEN(A436))),LEN(A436))))))),0),ROW(INDIRECT("1:"&amp;LEN((--TRIM(RIGHT(SUBSTITUTE(LEFT(A436,_xlfn.AGGREGATE(16,6,FIND({0,1,2,3,4,5,6,7,8,9},A436,ROW(INDIRECT("1:"&amp;LEN(A436)))),1))," ",REPT(" ",LEN(A436))),LEN(A436))))))))+1,1)*10^ROW(INDIRECT("1:"&amp;LEN((--TRIM(RIGHT(SUBSTITUTE(LEFT(A436,_xlfn.AGGREGATE(16,6,FIND({0,1,2,3,4,5,6,7,8,9},A436,ROW(INDIRECT("1:"&amp;LEN(A436)))),1))," ",REPT(" ",LEN(A436))),LEN(A436)))))))/10))*1+1</f>
        <v>202 &amp; 502</v>
      </c>
      <c r="B437" s="113"/>
      <c r="C437" s="53"/>
      <c r="D437" s="53"/>
      <c r="E437" s="53">
        <v>0</v>
      </c>
      <c r="F437" s="53">
        <f>D437*(($F$287)+1)+(IF(E437&lt;101,E437,IF(E437&lt;201,E437/2,IF(E437&lt;=301,E437/3,E437/4))))</f>
        <v>0</v>
      </c>
      <c r="G437" s="112" t="str">
        <f t="shared" ref="G437:G440" si="69">G436</f>
        <v>2nd &amp; 5th Floor</v>
      </c>
      <c r="H437" s="113"/>
      <c r="I437" s="55"/>
    </row>
    <row r="438" spans="1:9" s="20" customFormat="1" hidden="1">
      <c r="A438" s="112" t="str">
        <f ca="1">(SUMPRODUCT(MID(0&amp;(LEFT(A437,SUM(LEN(A437)-LEN(SUBSTITUTE(A437,{"0","1","2"},""))))),LARGE(INDEX(ISNUMBER(--MID((LEFT(A437,SUM(LEN(A437)-LEN(SUBSTITUTE(A437,{"0","1","2"},""))))),ROW(INDIRECT("1:"&amp;LEN((LEFT(A437,SUM(LEN(A437)-LEN(SUBSTITUTE(A437,{"0","1","2"},"")))))))),1))*ROW(INDIRECT("1:"&amp;LEN((LEFT(A437,SUM(LEN(A437)-LEN(SUBSTITUTE(A437,{"0","1","2"},"")))))))),0),ROW(INDIRECT("1:"&amp;LEN((LEFT(A437,SUM(LEN(A437)-LEN(SUBSTITUTE(A437,{"0","1","2"},"")))))))))+1,1)*10^ROW(INDIRECT("1:"&amp;LEN((LEFT(A437,SUM(LEN(A437)-LEN(SUBSTITUTE(A437,{"0","1","2"},""))))))))/10))*1+1&amp;""&amp;" &amp; "&amp;""&amp;(SUMPRODUCT(MID(0&amp;(--TRIM(RIGHT(SUBSTITUTE(LEFT(A437,_xlfn.AGGREGATE(16,6,FIND({0,1,2,3,4,5,6,7,8,9},A437,ROW(INDIRECT("1:"&amp;LEN(A437)))),1))," ",REPT(" ",LEN(A437))),LEN(A437)))),LARGE(INDEX(ISNUMBER(--MID((--TRIM(RIGHT(SUBSTITUTE(LEFT(A437,_xlfn.AGGREGATE(16,6,FIND({0,1,2,3,4,5,6,7,8,9},A437,ROW(INDIRECT("1:"&amp;LEN(A437)))),1))," ",REPT(" ",LEN(A437))),LEN(A437)))),ROW(INDIRECT("1:"&amp;LEN((--TRIM(RIGHT(SUBSTITUTE(LEFT(A437,_xlfn.AGGREGATE(16,6,FIND({0,1,2,3,4,5,6,7,8,9},A437,ROW(INDIRECT("1:"&amp;LEN(A437)))),1))," ",REPT(" ",LEN(A437))),LEN(A437))))))),1))*ROW(INDIRECT("1:"&amp;LEN((--TRIM(RIGHT(SUBSTITUTE(LEFT(A437,_xlfn.AGGREGATE(16,6,FIND({0,1,2,3,4,5,6,7,8,9},A437,ROW(INDIRECT("1:"&amp;LEN(A437)))),1))," ",REPT(" ",LEN(A437))),LEN(A437))))))),0),ROW(INDIRECT("1:"&amp;LEN((--TRIM(RIGHT(SUBSTITUTE(LEFT(A437,_xlfn.AGGREGATE(16,6,FIND({0,1,2,3,4,5,6,7,8,9},A437,ROW(INDIRECT("1:"&amp;LEN(A437)))),1))," ",REPT(" ",LEN(A437))),LEN(A437))))))))+1,1)*10^ROW(INDIRECT("1:"&amp;LEN((--TRIM(RIGHT(SUBSTITUTE(LEFT(A437,_xlfn.AGGREGATE(16,6,FIND({0,1,2,3,4,5,6,7,8,9},A437,ROW(INDIRECT("1:"&amp;LEN(A437)))),1))," ",REPT(" ",LEN(A437))),LEN(A437)))))))/10))*1+1</f>
        <v>203 &amp; 503</v>
      </c>
      <c r="B438" s="113"/>
      <c r="C438" s="53"/>
      <c r="D438" s="53"/>
      <c r="E438" s="53">
        <v>0</v>
      </c>
      <c r="F438" s="53">
        <f>D438*(($F$287)+1)+(IF(E438&lt;101,E438,IF(E438&lt;201,E438/2,IF(E438&lt;=301,E438/3,E438/4))))</f>
        <v>0</v>
      </c>
      <c r="G438" s="112" t="str">
        <f t="shared" si="69"/>
        <v>2nd &amp; 5th Floor</v>
      </c>
      <c r="H438" s="113"/>
      <c r="I438" s="55"/>
    </row>
    <row r="439" spans="1:9" s="20" customFormat="1" hidden="1">
      <c r="A439" s="112" t="str">
        <f ca="1">(SUMPRODUCT(MID(0&amp;(LEFT(A438,SUM(LEN(A438)-LEN(SUBSTITUTE(A438,{"0","1","2"},""))))),LARGE(INDEX(ISNUMBER(--MID((LEFT(A438,SUM(LEN(A438)-LEN(SUBSTITUTE(A438,{"0","1","2"},""))))),ROW(INDIRECT("1:"&amp;LEN((LEFT(A438,SUM(LEN(A438)-LEN(SUBSTITUTE(A438,{"0","1","2"},"")))))))),1))*ROW(INDIRECT("1:"&amp;LEN((LEFT(A438,SUM(LEN(A438)-LEN(SUBSTITUTE(A438,{"0","1","2"},"")))))))),0),ROW(INDIRECT("1:"&amp;LEN((LEFT(A438,SUM(LEN(A438)-LEN(SUBSTITUTE(A438,{"0","1","2"},"")))))))))+1,1)*10^ROW(INDIRECT("1:"&amp;LEN((LEFT(A438,SUM(LEN(A438)-LEN(SUBSTITUTE(A438,{"0","1","2"},""))))))))/10))*1+1&amp;""&amp;" &amp; "&amp;""&amp;(SUMPRODUCT(MID(0&amp;(--TRIM(RIGHT(SUBSTITUTE(LEFT(A438,_xlfn.AGGREGATE(16,6,FIND({0,1,2,3,4,5,6,7,8,9},A438,ROW(INDIRECT("1:"&amp;LEN(A438)))),1))," ",REPT(" ",LEN(A438))),LEN(A438)))),LARGE(INDEX(ISNUMBER(--MID((--TRIM(RIGHT(SUBSTITUTE(LEFT(A438,_xlfn.AGGREGATE(16,6,FIND({0,1,2,3,4,5,6,7,8,9},A438,ROW(INDIRECT("1:"&amp;LEN(A438)))),1))," ",REPT(" ",LEN(A438))),LEN(A438)))),ROW(INDIRECT("1:"&amp;LEN((--TRIM(RIGHT(SUBSTITUTE(LEFT(A438,_xlfn.AGGREGATE(16,6,FIND({0,1,2,3,4,5,6,7,8,9},A438,ROW(INDIRECT("1:"&amp;LEN(A438)))),1))," ",REPT(" ",LEN(A438))),LEN(A438))))))),1))*ROW(INDIRECT("1:"&amp;LEN((--TRIM(RIGHT(SUBSTITUTE(LEFT(A438,_xlfn.AGGREGATE(16,6,FIND({0,1,2,3,4,5,6,7,8,9},A438,ROW(INDIRECT("1:"&amp;LEN(A438)))),1))," ",REPT(" ",LEN(A438))),LEN(A438))))))),0),ROW(INDIRECT("1:"&amp;LEN((--TRIM(RIGHT(SUBSTITUTE(LEFT(A438,_xlfn.AGGREGATE(16,6,FIND({0,1,2,3,4,5,6,7,8,9},A438,ROW(INDIRECT("1:"&amp;LEN(A438)))),1))," ",REPT(" ",LEN(A438))),LEN(A438))))))))+1,1)*10^ROW(INDIRECT("1:"&amp;LEN((--TRIM(RIGHT(SUBSTITUTE(LEFT(A438,_xlfn.AGGREGATE(16,6,FIND({0,1,2,3,4,5,6,7,8,9},A438,ROW(INDIRECT("1:"&amp;LEN(A438)))),1))," ",REPT(" ",LEN(A438))),LEN(A438)))))))/10))*1+1</f>
        <v>204 &amp; 504</v>
      </c>
      <c r="B439" s="113"/>
      <c r="C439" s="53"/>
      <c r="D439" s="53"/>
      <c r="E439" s="53">
        <v>0</v>
      </c>
      <c r="F439" s="53">
        <f>D439*(($F$287)+1)+(IF(E439&lt;101,E439,IF(E439&lt;201,E439/2,IF(E439&lt;=301,E439/3,E439/4))))</f>
        <v>0</v>
      </c>
      <c r="G439" s="112" t="str">
        <f t="shared" si="69"/>
        <v>2nd &amp; 5th Floor</v>
      </c>
      <c r="H439" s="113"/>
      <c r="I439" s="55"/>
    </row>
    <row r="440" spans="1:9" s="20" customFormat="1" hidden="1">
      <c r="A440" s="112" t="str">
        <f ca="1">(SUMPRODUCT(MID(0&amp;(LEFT(A439,SUM(LEN(A439)-LEN(SUBSTITUTE(A439,{"0","1","2"},""))))),LARGE(INDEX(ISNUMBER(--MID((LEFT(A439,SUM(LEN(A439)-LEN(SUBSTITUTE(A439,{"0","1","2"},""))))),ROW(INDIRECT("1:"&amp;LEN((LEFT(A439,SUM(LEN(A439)-LEN(SUBSTITUTE(A439,{"0","1","2"},"")))))))),1))*ROW(INDIRECT("1:"&amp;LEN((LEFT(A439,SUM(LEN(A439)-LEN(SUBSTITUTE(A439,{"0","1","2"},"")))))))),0),ROW(INDIRECT("1:"&amp;LEN((LEFT(A439,SUM(LEN(A439)-LEN(SUBSTITUTE(A439,{"0","1","2"},"")))))))))+1,1)*10^ROW(INDIRECT("1:"&amp;LEN((LEFT(A439,SUM(LEN(A439)-LEN(SUBSTITUTE(A439,{"0","1","2"},""))))))))/10))*1+1&amp;""&amp;" &amp; "&amp;""&amp;(SUMPRODUCT(MID(0&amp;(--TRIM(RIGHT(SUBSTITUTE(LEFT(A439,_xlfn.AGGREGATE(16,6,FIND({0,1,2,3,4,5,6,7,8,9},A439,ROW(INDIRECT("1:"&amp;LEN(A439)))),1))," ",REPT(" ",LEN(A439))),LEN(A439)))),LARGE(INDEX(ISNUMBER(--MID((--TRIM(RIGHT(SUBSTITUTE(LEFT(A439,_xlfn.AGGREGATE(16,6,FIND({0,1,2,3,4,5,6,7,8,9},A439,ROW(INDIRECT("1:"&amp;LEN(A439)))),1))," ",REPT(" ",LEN(A439))),LEN(A439)))),ROW(INDIRECT("1:"&amp;LEN((--TRIM(RIGHT(SUBSTITUTE(LEFT(A439,_xlfn.AGGREGATE(16,6,FIND({0,1,2,3,4,5,6,7,8,9},A439,ROW(INDIRECT("1:"&amp;LEN(A439)))),1))," ",REPT(" ",LEN(A439))),LEN(A439))))))),1))*ROW(INDIRECT("1:"&amp;LEN((--TRIM(RIGHT(SUBSTITUTE(LEFT(A439,_xlfn.AGGREGATE(16,6,FIND({0,1,2,3,4,5,6,7,8,9},A439,ROW(INDIRECT("1:"&amp;LEN(A439)))),1))," ",REPT(" ",LEN(A439))),LEN(A439))))))),0),ROW(INDIRECT("1:"&amp;LEN((--TRIM(RIGHT(SUBSTITUTE(LEFT(A439,_xlfn.AGGREGATE(16,6,FIND({0,1,2,3,4,5,6,7,8,9},A439,ROW(INDIRECT("1:"&amp;LEN(A439)))),1))," ",REPT(" ",LEN(A439))),LEN(A439))))))))+1,1)*10^ROW(INDIRECT("1:"&amp;LEN((--TRIM(RIGHT(SUBSTITUTE(LEFT(A439,_xlfn.AGGREGATE(16,6,FIND({0,1,2,3,4,5,6,7,8,9},A439,ROW(INDIRECT("1:"&amp;LEN(A439)))),1))," ",REPT(" ",LEN(A439))),LEN(A439)))))))/10))*1+1</f>
        <v>205 &amp; 505</v>
      </c>
      <c r="B440" s="113"/>
      <c r="C440" s="53"/>
      <c r="D440" s="53"/>
      <c r="E440" s="53">
        <v>0</v>
      </c>
      <c r="F440" s="53">
        <f>D440*(($F$287)+1)+(IF(E440&lt;101,E440,IF(E440&lt;201,E440/2,IF(E440&lt;=301,E440/3,E440/4))))</f>
        <v>0</v>
      </c>
      <c r="G440" s="112" t="str">
        <f t="shared" si="69"/>
        <v>2nd &amp; 5th Floor</v>
      </c>
      <c r="H440" s="113"/>
      <c r="I440" s="55"/>
    </row>
    <row r="441" spans="1:9" s="19" customFormat="1">
      <c r="A441" s="114" t="s">
        <v>256</v>
      </c>
      <c r="B441" s="114"/>
      <c r="C441" s="114"/>
      <c r="D441" s="114"/>
      <c r="E441" s="114"/>
      <c r="F441" s="114"/>
      <c r="G441" s="114"/>
      <c r="H441" s="114"/>
    </row>
    <row r="442" spans="1:9" s="19" customFormat="1" ht="32.25" customHeight="1">
      <c r="A442" s="50" t="s">
        <v>257</v>
      </c>
      <c r="B442" s="115" t="s">
        <v>300</v>
      </c>
      <c r="C442" s="116"/>
      <c r="D442" s="116"/>
      <c r="E442" s="116"/>
      <c r="F442" s="116"/>
      <c r="G442" s="116"/>
      <c r="H442" s="117"/>
    </row>
    <row r="443" spans="1:9" s="19" customFormat="1">
      <c r="A443" s="50" t="s">
        <v>257</v>
      </c>
      <c r="B443" s="118" t="str">
        <f>(IF(F286="Saleable area Loading :","We have considered Saleable area of Flats as per our Calculation.","We considered Saleable area of Flat as per Builder area Sheet."))</f>
        <v>We have considered Saleable area of Flats as per our Calculation.</v>
      </c>
      <c r="C443" s="119"/>
      <c r="D443" s="119"/>
      <c r="E443" s="119"/>
      <c r="F443" s="119"/>
      <c r="G443" s="119"/>
      <c r="H443" s="120"/>
    </row>
    <row r="444" spans="1:9" s="19" customFormat="1">
      <c r="A444" s="50" t="s">
        <v>257</v>
      </c>
      <c r="B444" s="118" t="str">
        <f>(IF(F215="Saleable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444" s="119"/>
      <c r="D444" s="119"/>
      <c r="E444" s="119"/>
      <c r="F444" s="119"/>
      <c r="G444" s="119"/>
      <c r="H444" s="120"/>
    </row>
    <row r="445" spans="1:9" s="19" customFormat="1">
      <c r="A445" s="50" t="s">
        <v>257</v>
      </c>
      <c r="B445" s="121" t="s">
        <v>258</v>
      </c>
      <c r="C445" s="122"/>
      <c r="D445" s="122"/>
      <c r="E445" s="122"/>
      <c r="F445" s="122"/>
      <c r="G445" s="122"/>
      <c r="H445" s="123"/>
    </row>
    <row r="446" spans="1:9" s="19" customFormat="1" ht="33" customHeight="1">
      <c r="A446" s="64" t="s">
        <v>257</v>
      </c>
      <c r="B446" s="124" t="s">
        <v>296</v>
      </c>
      <c r="C446" s="108"/>
      <c r="D446" s="108"/>
      <c r="E446" s="108"/>
      <c r="F446" s="108"/>
      <c r="G446" s="108"/>
      <c r="H446" s="108"/>
    </row>
    <row r="447" spans="1:9" s="19" customFormat="1">
      <c r="A447" s="64" t="s">
        <v>257</v>
      </c>
      <c r="B447" s="108" t="s">
        <v>259</v>
      </c>
      <c r="C447" s="108"/>
      <c r="D447" s="108"/>
      <c r="E447" s="108"/>
      <c r="F447" s="108"/>
      <c r="G447" s="108"/>
      <c r="H447" s="108"/>
    </row>
    <row r="448" spans="1:9" s="19" customFormat="1">
      <c r="A448" s="64" t="s">
        <v>257</v>
      </c>
      <c r="B448" s="108" t="s">
        <v>260</v>
      </c>
      <c r="C448" s="108"/>
      <c r="D448" s="108"/>
      <c r="E448" s="108"/>
      <c r="F448" s="108"/>
      <c r="G448" s="108"/>
      <c r="H448" s="108"/>
    </row>
    <row r="449" spans="1:8" s="19" customFormat="1" ht="34.5" customHeight="1">
      <c r="A449" s="64" t="s">
        <v>257</v>
      </c>
      <c r="B449" s="108" t="s">
        <v>261</v>
      </c>
      <c r="C449" s="108"/>
      <c r="D449" s="108"/>
      <c r="E449" s="108"/>
      <c r="F449" s="108"/>
      <c r="G449" s="108"/>
      <c r="H449" s="108"/>
    </row>
    <row r="450" spans="1:8" s="19" customFormat="1">
      <c r="A450" s="64" t="s">
        <v>257</v>
      </c>
      <c r="B450" s="108" t="s">
        <v>262</v>
      </c>
      <c r="C450" s="108"/>
      <c r="D450" s="108"/>
      <c r="E450" s="108"/>
      <c r="F450" s="108"/>
      <c r="G450" s="108"/>
      <c r="H450" s="108"/>
    </row>
    <row r="451" spans="1:8" s="19" customFormat="1">
      <c r="A451" s="64" t="s">
        <v>257</v>
      </c>
      <c r="B451" s="108" t="s">
        <v>263</v>
      </c>
      <c r="C451" s="108"/>
      <c r="D451" s="108"/>
      <c r="E451" s="108"/>
      <c r="F451" s="108"/>
      <c r="G451" s="108"/>
      <c r="H451" s="108"/>
    </row>
    <row r="452" spans="1:8" s="19" customFormat="1" ht="50.25" hidden="1" customHeight="1">
      <c r="A452" s="64" t="s">
        <v>257</v>
      </c>
      <c r="B452" s="109" t="s">
        <v>264</v>
      </c>
      <c r="C452" s="109"/>
      <c r="D452" s="109"/>
      <c r="E452" s="109"/>
      <c r="F452" s="109"/>
      <c r="G452" s="109"/>
      <c r="H452" s="109"/>
    </row>
    <row r="453" spans="1:8" s="19" customFormat="1" ht="34.5" customHeight="1">
      <c r="A453" s="64" t="s">
        <v>257</v>
      </c>
      <c r="B453" s="108" t="s">
        <v>301</v>
      </c>
      <c r="C453" s="108"/>
      <c r="D453" s="108"/>
      <c r="E453" s="108"/>
      <c r="F453" s="108"/>
      <c r="G453" s="108"/>
      <c r="H453" s="108"/>
    </row>
    <row r="454" spans="1:8">
      <c r="A454" s="110" t="s">
        <v>265</v>
      </c>
      <c r="B454" s="110"/>
      <c r="C454" s="110"/>
      <c r="D454" s="110"/>
      <c r="E454" s="110"/>
      <c r="F454" s="110"/>
      <c r="G454" s="110"/>
      <c r="H454" s="110"/>
    </row>
    <row r="455" spans="1:8">
      <c r="A455" s="91" t="s">
        <v>266</v>
      </c>
      <c r="B455" s="91"/>
      <c r="C455" s="91"/>
      <c r="D455" s="91"/>
      <c r="E455" s="91"/>
      <c r="F455" s="91"/>
      <c r="G455" s="91"/>
      <c r="H455" s="91"/>
    </row>
    <row r="456" spans="1:8" ht="15.75" customHeight="1">
      <c r="A456" s="111" t="s">
        <v>267</v>
      </c>
      <c r="B456" s="111"/>
      <c r="C456" s="111"/>
      <c r="D456" s="111"/>
      <c r="E456" s="111"/>
      <c r="F456" s="111"/>
      <c r="G456" s="111"/>
      <c r="H456" s="111"/>
    </row>
    <row r="457" spans="1:8">
      <c r="A457" s="91" t="s">
        <v>268</v>
      </c>
      <c r="B457" s="91"/>
      <c r="C457" s="91"/>
      <c r="D457" s="91"/>
      <c r="E457" s="91"/>
      <c r="F457" s="91"/>
      <c r="G457" s="91"/>
      <c r="H457" s="91"/>
    </row>
    <row r="458" spans="1:8">
      <c r="A458" s="91" t="s">
        <v>269</v>
      </c>
      <c r="B458" s="91"/>
      <c r="C458" s="91"/>
      <c r="D458" s="91"/>
      <c r="E458" s="91"/>
      <c r="F458" s="91"/>
      <c r="G458" s="91"/>
      <c r="H458" s="91"/>
    </row>
    <row r="459" spans="1:8">
      <c r="A459" s="91" t="s">
        <v>270</v>
      </c>
      <c r="B459" s="91"/>
      <c r="C459" s="91"/>
      <c r="D459" s="91"/>
      <c r="E459" s="91"/>
      <c r="F459" s="91"/>
      <c r="G459" s="91"/>
      <c r="H459" s="91"/>
    </row>
    <row r="460" spans="1:8" ht="34" customHeight="1">
      <c r="A460" s="78" t="s">
        <v>271</v>
      </c>
      <c r="B460" s="78"/>
      <c r="C460" s="78"/>
      <c r="D460" s="78"/>
      <c r="E460" s="78"/>
      <c r="F460" s="78"/>
      <c r="G460" s="78"/>
      <c r="H460" s="78"/>
    </row>
    <row r="461" spans="1:8">
      <c r="A461" s="92" t="s">
        <v>272</v>
      </c>
      <c r="B461" s="92"/>
      <c r="C461" s="93" t="s">
        <v>273</v>
      </c>
      <c r="D461" s="93"/>
      <c r="E461" s="92" t="s">
        <v>274</v>
      </c>
      <c r="F461" s="92"/>
      <c r="G461" s="92" t="s">
        <v>298</v>
      </c>
      <c r="H461" s="92"/>
    </row>
    <row r="462" spans="1:8">
      <c r="A462" s="73" t="s">
        <v>275</v>
      </c>
      <c r="B462" s="73"/>
      <c r="C462" s="73"/>
      <c r="D462" s="73"/>
      <c r="E462" s="73"/>
      <c r="F462" s="73"/>
      <c r="G462" s="73"/>
      <c r="H462" s="73"/>
    </row>
    <row r="463" spans="1:8">
      <c r="A463" s="73"/>
      <c r="B463" s="73"/>
      <c r="C463" s="73"/>
      <c r="D463" s="73"/>
      <c r="E463" s="73"/>
      <c r="F463" s="73"/>
      <c r="G463" s="73"/>
      <c r="H463" s="73"/>
    </row>
    <row r="464" spans="1:8">
      <c r="A464" s="73"/>
      <c r="B464" s="73"/>
      <c r="C464" s="73"/>
      <c r="D464" s="73"/>
      <c r="E464" s="73"/>
      <c r="F464" s="73"/>
      <c r="G464" s="73"/>
      <c r="H464" s="73"/>
    </row>
    <row r="465" spans="1:8">
      <c r="A465" s="73"/>
      <c r="B465" s="73"/>
      <c r="C465" s="73"/>
      <c r="D465" s="73"/>
      <c r="E465" s="73"/>
      <c r="F465" s="73"/>
      <c r="G465" s="73"/>
      <c r="H465" s="73"/>
    </row>
    <row r="466" spans="1:8">
      <c r="A466" s="57" t="s">
        <v>276</v>
      </c>
      <c r="B466" s="58"/>
      <c r="C466" s="58"/>
      <c r="D466" s="57" t="str">
        <f>E8</f>
        <v>Seasons Green</v>
      </c>
      <c r="F466" s="58"/>
      <c r="G466" s="58"/>
      <c r="H466" s="58"/>
    </row>
    <row r="467" spans="1:8">
      <c r="A467" s="58"/>
      <c r="B467" s="58"/>
      <c r="C467" s="58"/>
      <c r="D467" s="58"/>
      <c r="E467" s="58"/>
      <c r="F467" s="58"/>
      <c r="G467" s="58"/>
      <c r="H467" s="58"/>
    </row>
    <row r="468" spans="1:8">
      <c r="A468" s="58"/>
      <c r="B468" s="58"/>
      <c r="C468" s="58"/>
      <c r="D468" s="58"/>
      <c r="E468" s="58"/>
      <c r="F468" s="58"/>
      <c r="G468" s="58"/>
      <c r="H468" s="58"/>
    </row>
    <row r="469" spans="1:8" ht="15" customHeight="1"/>
    <row r="509" spans="1:8">
      <c r="A509" s="57" t="s">
        <v>276</v>
      </c>
      <c r="B509" s="58"/>
      <c r="C509" s="58"/>
      <c r="D509" s="57" t="str">
        <f>E8</f>
        <v>Seasons Green</v>
      </c>
      <c r="F509" s="58"/>
      <c r="G509" s="58"/>
      <c r="H509" s="58"/>
    </row>
    <row r="510" spans="1:8">
      <c r="A510" s="58"/>
      <c r="B510" s="58"/>
      <c r="C510" s="58"/>
      <c r="D510" s="58"/>
      <c r="E510" s="58"/>
      <c r="F510" s="58"/>
      <c r="G510" s="58"/>
      <c r="H510" s="58"/>
    </row>
    <row r="511" spans="1:8">
      <c r="A511" s="58"/>
      <c r="B511" s="58"/>
      <c r="C511" s="58"/>
      <c r="D511" s="58"/>
      <c r="E511" s="58"/>
      <c r="F511" s="58"/>
      <c r="G511" s="58"/>
      <c r="H511" s="58"/>
    </row>
    <row r="512" spans="1:8" ht="15" customHeight="1"/>
    <row r="552" spans="1:1">
      <c r="A552" s="59" t="s">
        <v>277</v>
      </c>
    </row>
    <row r="595" spans="1:1">
      <c r="A595" s="59" t="s">
        <v>278</v>
      </c>
    </row>
  </sheetData>
  <mergeCells count="808">
    <mergeCell ref="A1:H1"/>
    <mergeCell ref="A2:H2"/>
    <mergeCell ref="A3:D3"/>
    <mergeCell ref="E3:H3"/>
    <mergeCell ref="A4:D4"/>
    <mergeCell ref="E4:H4"/>
    <mergeCell ref="A5:D5"/>
    <mergeCell ref="E5:H5"/>
    <mergeCell ref="A6:D6"/>
    <mergeCell ref="E6:H6"/>
    <mergeCell ref="A7:D7"/>
    <mergeCell ref="E7:H7"/>
    <mergeCell ref="A8:D8"/>
    <mergeCell ref="E8:H8"/>
    <mergeCell ref="A9:D9"/>
    <mergeCell ref="E9:H9"/>
    <mergeCell ref="A10:D10"/>
    <mergeCell ref="E10:H10"/>
    <mergeCell ref="A11:D11"/>
    <mergeCell ref="E11:H11"/>
    <mergeCell ref="A12:D12"/>
    <mergeCell ref="E12:H12"/>
    <mergeCell ref="A13:D13"/>
    <mergeCell ref="E13:H13"/>
    <mergeCell ref="A14:D14"/>
    <mergeCell ref="E14:H14"/>
    <mergeCell ref="I14:P14"/>
    <mergeCell ref="A15:B15"/>
    <mergeCell ref="C15:H15"/>
    <mergeCell ref="A16:B16"/>
    <mergeCell ref="C16:H16"/>
    <mergeCell ref="A17:B17"/>
    <mergeCell ref="C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24:D24"/>
    <mergeCell ref="E24:H24"/>
    <mergeCell ref="A25:D25"/>
    <mergeCell ref="E25:H25"/>
    <mergeCell ref="A26:D26"/>
    <mergeCell ref="E26:H26"/>
    <mergeCell ref="A27:D27"/>
    <mergeCell ref="E27:H27"/>
    <mergeCell ref="A28:D28"/>
    <mergeCell ref="E28:H28"/>
    <mergeCell ref="A29:D29"/>
    <mergeCell ref="E29:H29"/>
    <mergeCell ref="A30:D30"/>
    <mergeCell ref="E30:H30"/>
    <mergeCell ref="A31:D31"/>
    <mergeCell ref="E31:H31"/>
    <mergeCell ref="A32:B32"/>
    <mergeCell ref="C32:E32"/>
    <mergeCell ref="F32:H32"/>
    <mergeCell ref="A33:B33"/>
    <mergeCell ref="C33:E33"/>
    <mergeCell ref="F33:H33"/>
    <mergeCell ref="A34:B34"/>
    <mergeCell ref="C34:E34"/>
    <mergeCell ref="F34:H34"/>
    <mergeCell ref="A35:B35"/>
    <mergeCell ref="C35:E35"/>
    <mergeCell ref="F35:H35"/>
    <mergeCell ref="A36:B36"/>
    <mergeCell ref="C36:E36"/>
    <mergeCell ref="F36:H36"/>
    <mergeCell ref="A37:H37"/>
    <mergeCell ref="A38:B38"/>
    <mergeCell ref="C38:H38"/>
    <mergeCell ref="A39:B39"/>
    <mergeCell ref="C39:H39"/>
    <mergeCell ref="A40:H40"/>
    <mergeCell ref="A41:D41"/>
    <mergeCell ref="E41:H41"/>
    <mergeCell ref="A42:D42"/>
    <mergeCell ref="E42:H42"/>
    <mergeCell ref="A43:D43"/>
    <mergeCell ref="E43:H43"/>
    <mergeCell ref="A44:D44"/>
    <mergeCell ref="E44:H44"/>
    <mergeCell ref="A45:D45"/>
    <mergeCell ref="E45:H45"/>
    <mergeCell ref="A46:D46"/>
    <mergeCell ref="E46:H46"/>
    <mergeCell ref="A47:H47"/>
    <mergeCell ref="A48:B48"/>
    <mergeCell ref="C48:H48"/>
    <mergeCell ref="A49:B49"/>
    <mergeCell ref="C49:E49"/>
    <mergeCell ref="G49:H49"/>
    <mergeCell ref="A50:B50"/>
    <mergeCell ref="C50:E50"/>
    <mergeCell ref="G50:H50"/>
    <mergeCell ref="C51:E51"/>
    <mergeCell ref="G51:H51"/>
    <mergeCell ref="C52:H52"/>
    <mergeCell ref="A53:B53"/>
    <mergeCell ref="C53:E53"/>
    <mergeCell ref="G53:H53"/>
    <mergeCell ref="A54:H54"/>
    <mergeCell ref="A55:C55"/>
    <mergeCell ref="D55:H55"/>
    <mergeCell ref="A56:C56"/>
    <mergeCell ref="D56:H56"/>
    <mergeCell ref="A57:C57"/>
    <mergeCell ref="D57:H57"/>
    <mergeCell ref="D58:H58"/>
    <mergeCell ref="D59:H59"/>
    <mergeCell ref="D60:H60"/>
    <mergeCell ref="A61:C61"/>
    <mergeCell ref="D61:H61"/>
    <mergeCell ref="A62:C62"/>
    <mergeCell ref="D62:H62"/>
    <mergeCell ref="A58:C60"/>
    <mergeCell ref="A63:C63"/>
    <mergeCell ref="D63:H63"/>
    <mergeCell ref="A64:C64"/>
    <mergeCell ref="D64:H64"/>
    <mergeCell ref="A65:C65"/>
    <mergeCell ref="D65:H65"/>
    <mergeCell ref="A66:C66"/>
    <mergeCell ref="D66:H66"/>
    <mergeCell ref="A67:C67"/>
    <mergeCell ref="D67:H67"/>
    <mergeCell ref="A68:B68"/>
    <mergeCell ref="C68:H68"/>
    <mergeCell ref="A70:B70"/>
    <mergeCell ref="C70:H70"/>
    <mergeCell ref="A71:B71"/>
    <mergeCell ref="E71:F71"/>
    <mergeCell ref="G71:H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C82:H82"/>
    <mergeCell ref="A84:B84"/>
    <mergeCell ref="C84:H84"/>
    <mergeCell ref="A85:B85"/>
    <mergeCell ref="E85:F85"/>
    <mergeCell ref="G85:H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C96:H96"/>
    <mergeCell ref="E86:F95"/>
    <mergeCell ref="G86:H95"/>
    <mergeCell ref="A98:B98"/>
    <mergeCell ref="C98:H98"/>
    <mergeCell ref="A99:B99"/>
    <mergeCell ref="E99:F99"/>
    <mergeCell ref="G99:H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C110:H110"/>
    <mergeCell ref="A112:B112"/>
    <mergeCell ref="C112:H112"/>
    <mergeCell ref="A113:B113"/>
    <mergeCell ref="E113:F113"/>
    <mergeCell ref="G113:H113"/>
    <mergeCell ref="A114:B114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C124:H124"/>
    <mergeCell ref="A126:B126"/>
    <mergeCell ref="C126:H126"/>
    <mergeCell ref="A127:B127"/>
    <mergeCell ref="E127:F127"/>
    <mergeCell ref="G127:H127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38:B138"/>
    <mergeCell ref="C138:H138"/>
    <mergeCell ref="A140:B140"/>
    <mergeCell ref="C140:H140"/>
    <mergeCell ref="A141:B141"/>
    <mergeCell ref="E141:F141"/>
    <mergeCell ref="G141:H141"/>
    <mergeCell ref="A142:B142"/>
    <mergeCell ref="A143:B143"/>
    <mergeCell ref="A144:B144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C152:H152"/>
    <mergeCell ref="A154:B154"/>
    <mergeCell ref="C154:H154"/>
    <mergeCell ref="A155:B155"/>
    <mergeCell ref="E155:F155"/>
    <mergeCell ref="G155:H155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65:B165"/>
    <mergeCell ref="A166:B166"/>
    <mergeCell ref="C166:H166"/>
    <mergeCell ref="A168:B168"/>
    <mergeCell ref="C168:H168"/>
    <mergeCell ref="A169:B169"/>
    <mergeCell ref="E169:F169"/>
    <mergeCell ref="G169:H169"/>
    <mergeCell ref="A170:B170"/>
    <mergeCell ref="A171:B171"/>
    <mergeCell ref="A172:B172"/>
    <mergeCell ref="A173:B173"/>
    <mergeCell ref="A174:B174"/>
    <mergeCell ref="A175:B175"/>
    <mergeCell ref="A176:B176"/>
    <mergeCell ref="A177:B177"/>
    <mergeCell ref="A178:B178"/>
    <mergeCell ref="A179:B179"/>
    <mergeCell ref="A180:E180"/>
    <mergeCell ref="F180:H180"/>
    <mergeCell ref="E170:F179"/>
    <mergeCell ref="G170:H179"/>
    <mergeCell ref="A181:E181"/>
    <mergeCell ref="F181:H181"/>
    <mergeCell ref="A182:E182"/>
    <mergeCell ref="F182:H182"/>
    <mergeCell ref="A183:E183"/>
    <mergeCell ref="F183:H183"/>
    <mergeCell ref="A184:E184"/>
    <mergeCell ref="F184:H184"/>
    <mergeCell ref="A185:E185"/>
    <mergeCell ref="F185:H185"/>
    <mergeCell ref="A186:E186"/>
    <mergeCell ref="F186:H186"/>
    <mergeCell ref="A187:E187"/>
    <mergeCell ref="F187:H187"/>
    <mergeCell ref="A188:E188"/>
    <mergeCell ref="F188:H188"/>
    <mergeCell ref="A189:E189"/>
    <mergeCell ref="F189:H189"/>
    <mergeCell ref="A190:E190"/>
    <mergeCell ref="F190:H190"/>
    <mergeCell ref="A191:E191"/>
    <mergeCell ref="F191:H191"/>
    <mergeCell ref="A192:E192"/>
    <mergeCell ref="F192:H192"/>
    <mergeCell ref="A193:E193"/>
    <mergeCell ref="F193:H193"/>
    <mergeCell ref="A194:H194"/>
    <mergeCell ref="A195:B195"/>
    <mergeCell ref="C195:D195"/>
    <mergeCell ref="E195:F195"/>
    <mergeCell ref="G195:H195"/>
    <mergeCell ref="A196:B196"/>
    <mergeCell ref="C196:D196"/>
    <mergeCell ref="E196:F196"/>
    <mergeCell ref="G196:H196"/>
    <mergeCell ref="A197:B197"/>
    <mergeCell ref="C197:D197"/>
    <mergeCell ref="E197:F197"/>
    <mergeCell ref="G197:H197"/>
    <mergeCell ref="A198:B198"/>
    <mergeCell ref="C198:D198"/>
    <mergeCell ref="E198:F198"/>
    <mergeCell ref="G198:H198"/>
    <mergeCell ref="A199:B199"/>
    <mergeCell ref="C199:D199"/>
    <mergeCell ref="E199:F199"/>
    <mergeCell ref="G199:H199"/>
    <mergeCell ref="A200:B200"/>
    <mergeCell ref="C200:D200"/>
    <mergeCell ref="E200:F200"/>
    <mergeCell ref="G200:H200"/>
    <mergeCell ref="A201:H201"/>
    <mergeCell ref="A202:B202"/>
    <mergeCell ref="C202:D202"/>
    <mergeCell ref="E202:F202"/>
    <mergeCell ref="G202:H202"/>
    <mergeCell ref="A203:B203"/>
    <mergeCell ref="C203:D203"/>
    <mergeCell ref="E203:F203"/>
    <mergeCell ref="G203:H203"/>
    <mergeCell ref="A204:B204"/>
    <mergeCell ref="C204:D204"/>
    <mergeCell ref="E204:F204"/>
    <mergeCell ref="G204:H204"/>
    <mergeCell ref="A205:B205"/>
    <mergeCell ref="C205:D205"/>
    <mergeCell ref="E205:F205"/>
    <mergeCell ref="G205:H205"/>
    <mergeCell ref="A206:B206"/>
    <mergeCell ref="C206:D206"/>
    <mergeCell ref="E206:F206"/>
    <mergeCell ref="G206:H206"/>
    <mergeCell ref="A207:B207"/>
    <mergeCell ref="C207:D207"/>
    <mergeCell ref="E207:F207"/>
    <mergeCell ref="G207:H207"/>
    <mergeCell ref="A208:B208"/>
    <mergeCell ref="C208:D208"/>
    <mergeCell ref="E208:F208"/>
    <mergeCell ref="G208:H208"/>
    <mergeCell ref="A209:B209"/>
    <mergeCell ref="C209:D209"/>
    <mergeCell ref="E209:F209"/>
    <mergeCell ref="G209:H209"/>
    <mergeCell ref="A210:B210"/>
    <mergeCell ref="C210:D210"/>
    <mergeCell ref="E210:F210"/>
    <mergeCell ref="G210:H210"/>
    <mergeCell ref="A211:B211"/>
    <mergeCell ref="C211:D211"/>
    <mergeCell ref="E211:F211"/>
    <mergeCell ref="G211:H211"/>
    <mergeCell ref="A212:B212"/>
    <mergeCell ref="C212:D212"/>
    <mergeCell ref="E212:F212"/>
    <mergeCell ref="G212:H212"/>
    <mergeCell ref="A213:H213"/>
    <mergeCell ref="A214:H214"/>
    <mergeCell ref="A217:H217"/>
    <mergeCell ref="A218:H218"/>
    <mergeCell ref="A219:B219"/>
    <mergeCell ref="L219:M219"/>
    <mergeCell ref="A220:B220"/>
    <mergeCell ref="L220:M220"/>
    <mergeCell ref="A221:B221"/>
    <mergeCell ref="L221:M221"/>
    <mergeCell ref="A227:B227"/>
    <mergeCell ref="L227:M227"/>
    <mergeCell ref="A228:B228"/>
    <mergeCell ref="L228:M228"/>
    <mergeCell ref="A229:B229"/>
    <mergeCell ref="L229:M229"/>
    <mergeCell ref="A230:B230"/>
    <mergeCell ref="L230:M230"/>
    <mergeCell ref="A231:B231"/>
    <mergeCell ref="L231:M231"/>
    <mergeCell ref="G219:H231"/>
    <mergeCell ref="A222:B222"/>
    <mergeCell ref="L222:M222"/>
    <mergeCell ref="A223:B223"/>
    <mergeCell ref="L223:M223"/>
    <mergeCell ref="A224:B224"/>
    <mergeCell ref="L224:M224"/>
    <mergeCell ref="A225:B225"/>
    <mergeCell ref="L225:M225"/>
    <mergeCell ref="A226:B226"/>
    <mergeCell ref="L226:M226"/>
    <mergeCell ref="A232:H232"/>
    <mergeCell ref="A233:H233"/>
    <mergeCell ref="A234:B234"/>
    <mergeCell ref="L234:M234"/>
    <mergeCell ref="A235:B235"/>
    <mergeCell ref="L235:M235"/>
    <mergeCell ref="A236:B236"/>
    <mergeCell ref="L236:M236"/>
    <mergeCell ref="A237:B237"/>
    <mergeCell ref="L237:M237"/>
    <mergeCell ref="A243:B243"/>
    <mergeCell ref="L243:M243"/>
    <mergeCell ref="A244:B244"/>
    <mergeCell ref="L244:M244"/>
    <mergeCell ref="A245:B245"/>
    <mergeCell ref="L245:M245"/>
    <mergeCell ref="A246:B246"/>
    <mergeCell ref="L246:M246"/>
    <mergeCell ref="A247:H247"/>
    <mergeCell ref="G234:H246"/>
    <mergeCell ref="A238:B238"/>
    <mergeCell ref="L238:M238"/>
    <mergeCell ref="A239:B239"/>
    <mergeCell ref="L239:M239"/>
    <mergeCell ref="A240:B240"/>
    <mergeCell ref="L240:M240"/>
    <mergeCell ref="A241:B241"/>
    <mergeCell ref="L241:M241"/>
    <mergeCell ref="A242:B242"/>
    <mergeCell ref="L242:M242"/>
    <mergeCell ref="L254:M254"/>
    <mergeCell ref="A255:B255"/>
    <mergeCell ref="L255:M255"/>
    <mergeCell ref="A256:B256"/>
    <mergeCell ref="L256:M256"/>
    <mergeCell ref="A257:B257"/>
    <mergeCell ref="L257:M257"/>
    <mergeCell ref="A248:H248"/>
    <mergeCell ref="A249:B249"/>
    <mergeCell ref="L249:M249"/>
    <mergeCell ref="A250:B250"/>
    <mergeCell ref="L250:M250"/>
    <mergeCell ref="A251:B251"/>
    <mergeCell ref="L251:M251"/>
    <mergeCell ref="A252:B252"/>
    <mergeCell ref="L252:M252"/>
    <mergeCell ref="A263:B263"/>
    <mergeCell ref="L263:M263"/>
    <mergeCell ref="A264:B264"/>
    <mergeCell ref="L264:M264"/>
    <mergeCell ref="A265:H265"/>
    <mergeCell ref="A266:H266"/>
    <mergeCell ref="A267:B267"/>
    <mergeCell ref="L267:M267"/>
    <mergeCell ref="A268:B268"/>
    <mergeCell ref="L268:M268"/>
    <mergeCell ref="G249:H264"/>
    <mergeCell ref="A258:B258"/>
    <mergeCell ref="L258:M258"/>
    <mergeCell ref="A259:B259"/>
    <mergeCell ref="L259:M259"/>
    <mergeCell ref="A260:B260"/>
    <mergeCell ref="L260:M260"/>
    <mergeCell ref="A261:B261"/>
    <mergeCell ref="L261:M261"/>
    <mergeCell ref="A262:B262"/>
    <mergeCell ref="L262:M262"/>
    <mergeCell ref="A253:B253"/>
    <mergeCell ref="L253:M253"/>
    <mergeCell ref="A254:B254"/>
    <mergeCell ref="A269:B269"/>
    <mergeCell ref="L269:M269"/>
    <mergeCell ref="A270:B270"/>
    <mergeCell ref="L270:M270"/>
    <mergeCell ref="A271:B271"/>
    <mergeCell ref="L271:M271"/>
    <mergeCell ref="A272:B272"/>
    <mergeCell ref="L272:M272"/>
    <mergeCell ref="A273:B273"/>
    <mergeCell ref="L273:M273"/>
    <mergeCell ref="A274:B274"/>
    <mergeCell ref="L274:M274"/>
    <mergeCell ref="A275:B275"/>
    <mergeCell ref="L275:M275"/>
    <mergeCell ref="A276:B276"/>
    <mergeCell ref="L276:M276"/>
    <mergeCell ref="A277:B277"/>
    <mergeCell ref="L277:M277"/>
    <mergeCell ref="A278:B278"/>
    <mergeCell ref="L278:M278"/>
    <mergeCell ref="A285:H285"/>
    <mergeCell ref="A288:H288"/>
    <mergeCell ref="A289:H289"/>
    <mergeCell ref="G286:H287"/>
    <mergeCell ref="A284:B284"/>
    <mergeCell ref="L284:M284"/>
    <mergeCell ref="A279:B279"/>
    <mergeCell ref="L279:M279"/>
    <mergeCell ref="A280:B280"/>
    <mergeCell ref="L280:M280"/>
    <mergeCell ref="A281:B281"/>
    <mergeCell ref="L281:M281"/>
    <mergeCell ref="A282:B282"/>
    <mergeCell ref="L282:M282"/>
    <mergeCell ref="A283:B283"/>
    <mergeCell ref="L283:M283"/>
    <mergeCell ref="A290:B290"/>
    <mergeCell ref="L290:M290"/>
    <mergeCell ref="A291:B291"/>
    <mergeCell ref="L291:M291"/>
    <mergeCell ref="A292:B292"/>
    <mergeCell ref="L292:M292"/>
    <mergeCell ref="A293:H293"/>
    <mergeCell ref="L293:M293"/>
    <mergeCell ref="A294:B294"/>
    <mergeCell ref="G290:H292"/>
    <mergeCell ref="A295:B295"/>
    <mergeCell ref="A296:B296"/>
    <mergeCell ref="A297:B297"/>
    <mergeCell ref="A298:B298"/>
    <mergeCell ref="A299:B299"/>
    <mergeCell ref="A300:H300"/>
    <mergeCell ref="A301:B301"/>
    <mergeCell ref="A302:B302"/>
    <mergeCell ref="A303:B303"/>
    <mergeCell ref="G294:H299"/>
    <mergeCell ref="A304:B304"/>
    <mergeCell ref="A305:B305"/>
    <mergeCell ref="A306:B306"/>
    <mergeCell ref="A307:H307"/>
    <mergeCell ref="A308:H308"/>
    <mergeCell ref="A309:B309"/>
    <mergeCell ref="L309:M309"/>
    <mergeCell ref="A310:B310"/>
    <mergeCell ref="L310:M310"/>
    <mergeCell ref="G301:H306"/>
    <mergeCell ref="A311:B311"/>
    <mergeCell ref="L311:M311"/>
    <mergeCell ref="A312:B312"/>
    <mergeCell ref="L312:M312"/>
    <mergeCell ref="A313:H313"/>
    <mergeCell ref="L313:M313"/>
    <mergeCell ref="A314:B314"/>
    <mergeCell ref="A315:B315"/>
    <mergeCell ref="A316:B316"/>
    <mergeCell ref="G309:H312"/>
    <mergeCell ref="A317:B317"/>
    <mergeCell ref="A318:B318"/>
    <mergeCell ref="A319:B319"/>
    <mergeCell ref="A320:B320"/>
    <mergeCell ref="A321:B321"/>
    <mergeCell ref="A322:H322"/>
    <mergeCell ref="A323:B323"/>
    <mergeCell ref="A324:B324"/>
    <mergeCell ref="A325:B325"/>
    <mergeCell ref="G314:H321"/>
    <mergeCell ref="A326:B326"/>
    <mergeCell ref="A327:B327"/>
    <mergeCell ref="A328:B328"/>
    <mergeCell ref="A329:B329"/>
    <mergeCell ref="A330:B330"/>
    <mergeCell ref="A331:H331"/>
    <mergeCell ref="A332:H332"/>
    <mergeCell ref="A333:B333"/>
    <mergeCell ref="L333:M333"/>
    <mergeCell ref="A334:B334"/>
    <mergeCell ref="L334:M334"/>
    <mergeCell ref="A335:H335"/>
    <mergeCell ref="L335:M335"/>
    <mergeCell ref="A336:B336"/>
    <mergeCell ref="A337:B337"/>
    <mergeCell ref="A338:B338"/>
    <mergeCell ref="A339:B339"/>
    <mergeCell ref="A340:B340"/>
    <mergeCell ref="A341:B341"/>
    <mergeCell ref="A342:H342"/>
    <mergeCell ref="A343:B343"/>
    <mergeCell ref="A344:B344"/>
    <mergeCell ref="A345:B345"/>
    <mergeCell ref="A346:B346"/>
    <mergeCell ref="A347:B347"/>
    <mergeCell ref="A348:B348"/>
    <mergeCell ref="A349:H349"/>
    <mergeCell ref="A350:H350"/>
    <mergeCell ref="L350:M350"/>
    <mergeCell ref="A351:B351"/>
    <mergeCell ref="G351:H351"/>
    <mergeCell ref="A352:B352"/>
    <mergeCell ref="G352:H352"/>
    <mergeCell ref="A353:B353"/>
    <mergeCell ref="G353:H353"/>
    <mergeCell ref="A354:B354"/>
    <mergeCell ref="G354:H354"/>
    <mergeCell ref="A355:B355"/>
    <mergeCell ref="G355:H355"/>
    <mergeCell ref="A356:B356"/>
    <mergeCell ref="G356:H356"/>
    <mergeCell ref="A357:B357"/>
    <mergeCell ref="G357:H357"/>
    <mergeCell ref="A358:B358"/>
    <mergeCell ref="G358:H358"/>
    <mergeCell ref="A359:H359"/>
    <mergeCell ref="A360:B360"/>
    <mergeCell ref="A361:B361"/>
    <mergeCell ref="A362:B362"/>
    <mergeCell ref="A363:B363"/>
    <mergeCell ref="A364:B364"/>
    <mergeCell ref="A365:B365"/>
    <mergeCell ref="A366:B366"/>
    <mergeCell ref="A367:B367"/>
    <mergeCell ref="A368:H368"/>
    <mergeCell ref="A369:H369"/>
    <mergeCell ref="A370:H370"/>
    <mergeCell ref="A371:B371"/>
    <mergeCell ref="G371:H371"/>
    <mergeCell ref="A372:B372"/>
    <mergeCell ref="G372:H372"/>
    <mergeCell ref="A373:B373"/>
    <mergeCell ref="G373:H373"/>
    <mergeCell ref="A374:B374"/>
    <mergeCell ref="G374:H374"/>
    <mergeCell ref="A375:B375"/>
    <mergeCell ref="G375:H375"/>
    <mergeCell ref="A376:B376"/>
    <mergeCell ref="G376:H376"/>
    <mergeCell ref="A377:B377"/>
    <mergeCell ref="G377:H377"/>
    <mergeCell ref="A378:B378"/>
    <mergeCell ref="G378:H378"/>
    <mergeCell ref="A379:H379"/>
    <mergeCell ref="A380:H380"/>
    <mergeCell ref="A381:H381"/>
    <mergeCell ref="A382:B382"/>
    <mergeCell ref="G382:H382"/>
    <mergeCell ref="A383:B383"/>
    <mergeCell ref="G383:H383"/>
    <mergeCell ref="A384:B384"/>
    <mergeCell ref="G384:H384"/>
    <mergeCell ref="A385:B385"/>
    <mergeCell ref="G385:H385"/>
    <mergeCell ref="A386:B386"/>
    <mergeCell ref="G386:H386"/>
    <mergeCell ref="A387:B387"/>
    <mergeCell ref="G387:H387"/>
    <mergeCell ref="A388:B388"/>
    <mergeCell ref="G388:H388"/>
    <mergeCell ref="A389:B389"/>
    <mergeCell ref="G389:H389"/>
    <mergeCell ref="A390:H390"/>
    <mergeCell ref="A391:H391"/>
    <mergeCell ref="A392:H392"/>
    <mergeCell ref="A393:B393"/>
    <mergeCell ref="G393:H393"/>
    <mergeCell ref="A394:B394"/>
    <mergeCell ref="G394:H394"/>
    <mergeCell ref="A395:B395"/>
    <mergeCell ref="G395:H395"/>
    <mergeCell ref="A396:B396"/>
    <mergeCell ref="G396:H396"/>
    <mergeCell ref="A397:B397"/>
    <mergeCell ref="G397:H397"/>
    <mergeCell ref="A398:B398"/>
    <mergeCell ref="G398:H398"/>
    <mergeCell ref="A399:B399"/>
    <mergeCell ref="G399:H399"/>
    <mergeCell ref="A400:B400"/>
    <mergeCell ref="G400:H400"/>
    <mergeCell ref="A401:H401"/>
    <mergeCell ref="A402:H402"/>
    <mergeCell ref="A403:H403"/>
    <mergeCell ref="A404:B404"/>
    <mergeCell ref="G404:H404"/>
    <mergeCell ref="A405:B405"/>
    <mergeCell ref="G405:H405"/>
    <mergeCell ref="A406:B406"/>
    <mergeCell ref="G406:H406"/>
    <mergeCell ref="A407:B407"/>
    <mergeCell ref="G407:H407"/>
    <mergeCell ref="A408:B408"/>
    <mergeCell ref="G408:H408"/>
    <mergeCell ref="A409:B409"/>
    <mergeCell ref="G409:H409"/>
    <mergeCell ref="A410:B410"/>
    <mergeCell ref="G410:H410"/>
    <mergeCell ref="A411:B411"/>
    <mergeCell ref="G411:H411"/>
    <mergeCell ref="A412:H412"/>
    <mergeCell ref="A413:B413"/>
    <mergeCell ref="G413:H413"/>
    <mergeCell ref="L413:M413"/>
    <mergeCell ref="A414:B414"/>
    <mergeCell ref="G414:H414"/>
    <mergeCell ref="L414:M414"/>
    <mergeCell ref="A415:B415"/>
    <mergeCell ref="G415:H415"/>
    <mergeCell ref="L415:M415"/>
    <mergeCell ref="A416:B416"/>
    <mergeCell ref="G416:H416"/>
    <mergeCell ref="L416:M416"/>
    <mergeCell ref="A417:H417"/>
    <mergeCell ref="L417:M417"/>
    <mergeCell ref="A418:B418"/>
    <mergeCell ref="G418:H418"/>
    <mergeCell ref="A419:B419"/>
    <mergeCell ref="G419:H419"/>
    <mergeCell ref="A420:B420"/>
    <mergeCell ref="G420:H420"/>
    <mergeCell ref="A421:B421"/>
    <mergeCell ref="G421:H421"/>
    <mergeCell ref="A422:B422"/>
    <mergeCell ref="G422:H422"/>
    <mergeCell ref="A423:H423"/>
    <mergeCell ref="A424:B424"/>
    <mergeCell ref="G424:H424"/>
    <mergeCell ref="A425:B425"/>
    <mergeCell ref="G425:H425"/>
    <mergeCell ref="A426:B426"/>
    <mergeCell ref="G426:H426"/>
    <mergeCell ref="A427:B427"/>
    <mergeCell ref="G427:H427"/>
    <mergeCell ref="A428:B428"/>
    <mergeCell ref="G428:H428"/>
    <mergeCell ref="A429:H429"/>
    <mergeCell ref="A430:B430"/>
    <mergeCell ref="G430:H430"/>
    <mergeCell ref="A431:B431"/>
    <mergeCell ref="G431:H431"/>
    <mergeCell ref="A432:B432"/>
    <mergeCell ref="G432:H432"/>
    <mergeCell ref="A433:B433"/>
    <mergeCell ref="G433:H433"/>
    <mergeCell ref="A434:B434"/>
    <mergeCell ref="G434:H434"/>
    <mergeCell ref="A435:H435"/>
    <mergeCell ref="A436:B436"/>
    <mergeCell ref="G436:H436"/>
    <mergeCell ref="A437:B437"/>
    <mergeCell ref="G437:H437"/>
    <mergeCell ref="A438:B438"/>
    <mergeCell ref="G438:H438"/>
    <mergeCell ref="A439:B439"/>
    <mergeCell ref="G439:H439"/>
    <mergeCell ref="A455:H455"/>
    <mergeCell ref="A456:H456"/>
    <mergeCell ref="A440:B440"/>
    <mergeCell ref="G440:H440"/>
    <mergeCell ref="A441:H441"/>
    <mergeCell ref="B442:H442"/>
    <mergeCell ref="B443:H443"/>
    <mergeCell ref="B444:H444"/>
    <mergeCell ref="B445:H445"/>
    <mergeCell ref="B446:H446"/>
    <mergeCell ref="B453:H453"/>
    <mergeCell ref="G461:H461"/>
    <mergeCell ref="A215:A216"/>
    <mergeCell ref="A286:A287"/>
    <mergeCell ref="B215:B216"/>
    <mergeCell ref="B286:B287"/>
    <mergeCell ref="C215:C216"/>
    <mergeCell ref="C286:C287"/>
    <mergeCell ref="D215:D216"/>
    <mergeCell ref="D286:D287"/>
    <mergeCell ref="E215:E216"/>
    <mergeCell ref="E286:E287"/>
    <mergeCell ref="G360:H367"/>
    <mergeCell ref="G343:H348"/>
    <mergeCell ref="G267:H284"/>
    <mergeCell ref="G336:H341"/>
    <mergeCell ref="G323:H330"/>
    <mergeCell ref="G333:H334"/>
    <mergeCell ref="B447:H447"/>
    <mergeCell ref="B448:H448"/>
    <mergeCell ref="B449:H449"/>
    <mergeCell ref="B450:H450"/>
    <mergeCell ref="B451:H451"/>
    <mergeCell ref="B452:H452"/>
    <mergeCell ref="A454:H454"/>
    <mergeCell ref="A462:H465"/>
    <mergeCell ref="A51:B52"/>
    <mergeCell ref="A22:D23"/>
    <mergeCell ref="E22:H23"/>
    <mergeCell ref="E72:F81"/>
    <mergeCell ref="G72:H81"/>
    <mergeCell ref="G215:H216"/>
    <mergeCell ref="E142:F151"/>
    <mergeCell ref="G142:H151"/>
    <mergeCell ref="E128:F137"/>
    <mergeCell ref="G128:H137"/>
    <mergeCell ref="E114:F123"/>
    <mergeCell ref="G114:H123"/>
    <mergeCell ref="E100:F109"/>
    <mergeCell ref="G100:H109"/>
    <mergeCell ref="E156:F165"/>
    <mergeCell ref="G156:H165"/>
    <mergeCell ref="A457:H457"/>
    <mergeCell ref="A458:H458"/>
    <mergeCell ref="A459:H459"/>
    <mergeCell ref="A460:H460"/>
    <mergeCell ref="A461:B461"/>
    <mergeCell ref="C461:D461"/>
    <mergeCell ref="E461:F461"/>
  </mergeCells>
  <dataValidations count="13">
    <dataValidation type="list" allowBlank="1" showInputMessage="1" showErrorMessage="1" sqref="E4:H4">
      <formula1>"Axis Goregaon,Axis Thane,Axis Badlapur,Axis Sanpada, PNB Thane"</formula1>
    </dataValidation>
    <dataValidation type="list" allowBlank="1" showInputMessage="1" showErrorMessage="1" sqref="Y12">
      <formula1>$D$4:$H$4</formula1>
    </dataValidation>
    <dataValidation type="list" allowBlank="1" showInputMessage="1" showErrorMessage="1" sqref="A16:B16">
      <formula1>"CTS No,Survey No,Plot No,Gut No,FP No,"</formula1>
    </dataValidation>
    <dataValidation type="list" allowBlank="1" showInputMessage="1" showErrorMessage="1" sqref="G19:H19">
      <formula1>$S$12:$W$12</formula1>
    </dataValidation>
    <dataValidation type="list" allowBlank="1" showInputMessage="1" showErrorMessage="1" sqref="C20:D20">
      <formula1>OFFSET($S$12,1,MATCH($G19,$S$12:$W$12,0)-1,15,1)</formula1>
    </dataValidation>
    <dataValidation type="list" allowBlank="1" showInputMessage="1" showErrorMessage="1" sqref="F180:H180">
      <formula1>"On Saleable Area,On Builtup Area,On Carpet Area,On Plot Area"</formula1>
    </dataValidation>
    <dataValidation type="list" allowBlank="1" showInputMessage="1" showErrorMessage="1" sqref="F192:H192">
      <formula1>"100000,150000,200000,250000,300000,350000,400000,500000,600000,700000,800000,900000,1000000,1200000,1400000,1500000"</formula1>
    </dataValidation>
    <dataValidation type="list" allowBlank="1" showInputMessage="1" showErrorMessage="1" sqref="F215 F286">
      <formula1>"Saleable area Loading :,Builder Saleable area"</formula1>
    </dataValidation>
    <dataValidation type="list" allowBlank="1" showInputMessage="1" showErrorMessage="1" sqref="F216 F287">
      <formula1>"45%,50%,55%,60%"</formula1>
    </dataValidation>
    <dataValidation type="list" allowBlank="1" showInputMessage="1" showErrorMessage="1" sqref="G461:H461">
      <formula1>"Kunal Kadam,Shruti Tathare, Pranita Mhatre,Shruti Fule,Pooja Kawale,Mansee Mohite,Anjali Kamble, Hitakshi Mhatre, Sachin Sawant"</formula1>
    </dataValidation>
    <dataValidation type="list" allowBlank="1" showInputMessage="1" showErrorMessage="1" sqref="B215:B216">
      <formula1>"Shop No. (Sale Plan),Sale / Rehab,Sale / Mhada"</formula1>
    </dataValidation>
    <dataValidation type="list" allowBlank="1" showInputMessage="1" showErrorMessage="1" sqref="B286:B287">
      <formula1>"Flat No. (Sale Plan),Sale / Rehab,Sale / Mhada"</formula1>
    </dataValidation>
    <dataValidation type="list" allowBlank="1" showInputMessage="1" showErrorMessage="1" sqref="E215:E216">
      <formula1>"Attached Loft area,Attached Terrace area,Attached Mezzanine area"</formula1>
    </dataValidation>
  </dataValidations>
  <hyperlinks>
    <hyperlink ref="C39" r:id="rId1"/>
  </hyperlinks>
  <printOptions horizontalCentered="1"/>
  <pageMargins left="0.39370078740157499" right="0.39370078740157499" top="0.82677165354330695" bottom="0.78740157480314998" header="0.15748031496063" footer="0.196850393700787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465" max="16383" man="1"/>
    <brk id="508" max="16383" man="1"/>
    <brk id="551" max="16383" man="1"/>
    <brk id="594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/>
  <cols>
    <col min="1" max="1" width="8.7265625" style="3"/>
    <col min="2" max="2" width="22.1796875" style="3" customWidth="1"/>
    <col min="3" max="3" width="37" style="3" customWidth="1"/>
    <col min="4" max="5" width="11.453125" style="3" customWidth="1"/>
    <col min="6" max="6" width="14" style="3" customWidth="1"/>
    <col min="7" max="7" width="20" style="3" customWidth="1"/>
    <col min="8" max="8" width="16.453125" style="3" customWidth="1"/>
    <col min="9" max="16384" width="8.7265625" style="3"/>
  </cols>
  <sheetData>
    <row r="1" spans="1:9" ht="15" customHeight="1"/>
    <row r="2" spans="1:9" ht="15" customHeight="1">
      <c r="A2" s="4"/>
      <c r="B2" s="4"/>
      <c r="C2" s="4"/>
      <c r="D2" s="4"/>
      <c r="E2" s="4"/>
      <c r="F2" s="4"/>
      <c r="G2" s="4"/>
      <c r="H2" s="4"/>
    </row>
    <row r="3" spans="1:9" ht="15.75" customHeight="1">
      <c r="A3" s="4"/>
      <c r="B3" s="228" t="s">
        <v>279</v>
      </c>
      <c r="C3" s="228"/>
      <c r="D3" s="228"/>
      <c r="E3" s="228"/>
      <c r="F3" s="228"/>
      <c r="G3" s="228"/>
      <c r="H3" s="228"/>
    </row>
    <row r="4" spans="1:9">
      <c r="A4" s="4"/>
      <c r="B4" s="5" t="s">
        <v>280</v>
      </c>
      <c r="C4" s="5" t="s">
        <v>281</v>
      </c>
      <c r="D4" s="5" t="s">
        <v>282</v>
      </c>
      <c r="E4" s="5" t="s">
        <v>283</v>
      </c>
      <c r="F4" s="5" t="s">
        <v>284</v>
      </c>
      <c r="G4" s="5" t="s">
        <v>285</v>
      </c>
      <c r="H4" s="5" t="s">
        <v>286</v>
      </c>
    </row>
    <row r="5" spans="1:9" ht="15" customHeight="1">
      <c r="A5" s="4"/>
      <c r="B5" s="6" t="s">
        <v>287</v>
      </c>
      <c r="C5" s="7"/>
      <c r="D5" s="6"/>
      <c r="E5" s="6"/>
      <c r="F5" s="8">
        <f>E5*1.6</f>
        <v>0</v>
      </c>
      <c r="G5" s="8" t="e">
        <f>H5/F5</f>
        <v>#DIV/0!</v>
      </c>
      <c r="H5" s="9"/>
    </row>
    <row r="6" spans="1:9">
      <c r="A6" s="4"/>
      <c r="B6" s="6" t="s">
        <v>287</v>
      </c>
      <c r="C6" s="10"/>
      <c r="D6" s="6"/>
      <c r="E6" s="6"/>
      <c r="F6" s="8">
        <f t="shared" ref="F6:F11" si="0">E6*1.6</f>
        <v>0</v>
      </c>
      <c r="G6" s="8" t="e">
        <f t="shared" ref="G6:G11" si="1">H6/F6</f>
        <v>#DIV/0!</v>
      </c>
      <c r="H6" s="9"/>
    </row>
    <row r="7" spans="1:9" ht="15" customHeight="1">
      <c r="A7" s="4"/>
      <c r="B7" s="6" t="s">
        <v>287</v>
      </c>
      <c r="C7" s="7"/>
      <c r="D7" s="6"/>
      <c r="E7" s="6"/>
      <c r="F7" s="8">
        <f t="shared" si="0"/>
        <v>0</v>
      </c>
      <c r="G7" s="8" t="e">
        <f t="shared" si="1"/>
        <v>#DIV/0!</v>
      </c>
      <c r="H7" s="9"/>
    </row>
    <row r="8" spans="1:9">
      <c r="A8" s="4"/>
      <c r="B8" s="6" t="s">
        <v>287</v>
      </c>
      <c r="C8" s="10"/>
      <c r="D8" s="6"/>
      <c r="E8" s="6"/>
      <c r="F8" s="8">
        <f t="shared" si="0"/>
        <v>0</v>
      </c>
      <c r="G8" s="8" t="e">
        <f t="shared" si="1"/>
        <v>#DIV/0!</v>
      </c>
      <c r="H8" s="9"/>
    </row>
    <row r="9" spans="1:9" ht="15" customHeight="1">
      <c r="A9" s="4"/>
      <c r="B9" s="6" t="s">
        <v>287</v>
      </c>
      <c r="C9" s="10"/>
      <c r="D9" s="6"/>
      <c r="E9" s="6"/>
      <c r="F9" s="8">
        <f t="shared" si="0"/>
        <v>0</v>
      </c>
      <c r="G9" s="8" t="e">
        <f t="shared" si="1"/>
        <v>#DIV/0!</v>
      </c>
      <c r="H9" s="9"/>
    </row>
    <row r="10" spans="1:9" ht="15" customHeight="1">
      <c r="A10" s="4"/>
      <c r="B10" s="6" t="s">
        <v>288</v>
      </c>
      <c r="C10" s="7"/>
      <c r="D10" s="6"/>
      <c r="E10" s="6"/>
      <c r="F10" s="8">
        <f t="shared" si="0"/>
        <v>0</v>
      </c>
      <c r="G10" s="8" t="e">
        <f t="shared" si="1"/>
        <v>#DIV/0!</v>
      </c>
      <c r="H10" s="9"/>
    </row>
    <row r="11" spans="1:9" ht="15" customHeight="1">
      <c r="A11" s="4"/>
      <c r="B11" s="6" t="s">
        <v>288</v>
      </c>
      <c r="C11" s="7"/>
      <c r="D11" s="6"/>
      <c r="E11" s="6"/>
      <c r="F11" s="8">
        <f t="shared" si="0"/>
        <v>0</v>
      </c>
      <c r="G11" s="8" t="e">
        <f t="shared" si="1"/>
        <v>#DIV/0!</v>
      </c>
      <c r="H11" s="9"/>
    </row>
    <row r="12" spans="1:9" ht="15" customHeight="1">
      <c r="A12" s="4"/>
      <c r="B12" s="11" t="s">
        <v>289</v>
      </c>
      <c r="C12" s="6"/>
      <c r="D12" s="6"/>
      <c r="E12" s="6"/>
      <c r="F12" s="6"/>
      <c r="G12" s="12" t="e">
        <f>AVERAGE(G5:G11)</f>
        <v>#DIV/0!</v>
      </c>
      <c r="H12" s="6"/>
    </row>
    <row r="13" spans="1:9" ht="15" customHeight="1">
      <c r="B13" s="11" t="s">
        <v>290</v>
      </c>
      <c r="C13" s="6"/>
      <c r="D13" s="6"/>
      <c r="E13" s="6"/>
      <c r="F13" s="13"/>
      <c r="G13" s="11"/>
      <c r="H13" s="11"/>
      <c r="I13" s="14"/>
    </row>
    <row r="14" spans="1:9" ht="15" customHeight="1"/>
    <row r="15" spans="1:9" ht="15" customHeight="1"/>
    <row r="16" spans="1:9" ht="15" customHeight="1"/>
  </sheetData>
  <mergeCells count="1">
    <mergeCell ref="B3:H3"/>
  </mergeCells>
  <pageMargins left="0.7" right="0.7" top="0.75" bottom="0.75" header="0.3" footer="0.3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K30"/>
  <sheetViews>
    <sheetView topLeftCell="A16" zoomScale="130" zoomScaleNormal="130" workbookViewId="0">
      <selection activeCell="C30" sqref="C30"/>
    </sheetView>
  </sheetViews>
  <sheetFormatPr defaultColWidth="9" defaultRowHeight="14.5"/>
  <cols>
    <col min="4" max="4" width="11" customWidth="1"/>
    <col min="5" max="5" width="10.453125" customWidth="1"/>
    <col min="8" max="8" width="10.54296875" customWidth="1"/>
  </cols>
  <sheetData>
    <row r="3" spans="2:11">
      <c r="J3">
        <v>1</v>
      </c>
      <c r="K3">
        <v>2</v>
      </c>
    </row>
    <row r="4" spans="2:11">
      <c r="B4" s="1"/>
      <c r="C4" s="1" t="s">
        <v>64</v>
      </c>
      <c r="D4" s="2" t="s">
        <v>19</v>
      </c>
      <c r="E4" s="2" t="s">
        <v>20</v>
      </c>
      <c r="F4" s="2" t="s">
        <v>21</v>
      </c>
      <c r="G4" s="2" t="s">
        <v>22</v>
      </c>
      <c r="H4" s="2" t="s">
        <v>23</v>
      </c>
      <c r="J4" t="s">
        <v>22</v>
      </c>
      <c r="K4" t="s">
        <v>35</v>
      </c>
    </row>
    <row r="5" spans="2:11">
      <c r="B5" s="1"/>
      <c r="C5" s="1"/>
      <c r="D5" s="2" t="s">
        <v>26</v>
      </c>
      <c r="E5" s="2" t="s">
        <v>27</v>
      </c>
      <c r="F5" s="2" t="s">
        <v>28</v>
      </c>
      <c r="G5" s="2" t="s">
        <v>29</v>
      </c>
      <c r="H5" s="2" t="s">
        <v>30</v>
      </c>
    </row>
    <row r="6" spans="2:11">
      <c r="B6" s="1"/>
      <c r="C6" s="1"/>
      <c r="D6" s="2" t="s">
        <v>33</v>
      </c>
      <c r="E6" s="2" t="s">
        <v>34</v>
      </c>
      <c r="F6" s="2" t="s">
        <v>35</v>
      </c>
      <c r="G6" s="2" t="s">
        <v>36</v>
      </c>
      <c r="H6" s="2" t="s">
        <v>37</v>
      </c>
    </row>
    <row r="7" spans="2:11">
      <c r="B7" s="1"/>
      <c r="C7" s="1"/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</row>
    <row r="8" spans="2:11">
      <c r="B8" s="1"/>
      <c r="C8" s="1"/>
      <c r="D8" s="2" t="s">
        <v>46</v>
      </c>
      <c r="E8" s="2" t="s">
        <v>47</v>
      </c>
      <c r="F8" s="2"/>
      <c r="G8" s="2" t="s">
        <v>48</v>
      </c>
      <c r="H8" s="2" t="s">
        <v>49</v>
      </c>
    </row>
    <row r="9" spans="2:11">
      <c r="B9" s="1"/>
      <c r="C9" s="1"/>
      <c r="D9" s="2" t="s">
        <v>52</v>
      </c>
      <c r="E9" s="2" t="s">
        <v>20</v>
      </c>
      <c r="F9" s="2"/>
      <c r="G9" s="2" t="s">
        <v>53</v>
      </c>
      <c r="H9" s="2" t="s">
        <v>54</v>
      </c>
    </row>
    <row r="10" spans="2:11">
      <c r="B10" s="1"/>
      <c r="C10" s="1"/>
      <c r="D10" s="2" t="s">
        <v>59</v>
      </c>
      <c r="E10" s="2" t="s">
        <v>60</v>
      </c>
      <c r="F10" s="2"/>
      <c r="G10" s="2" t="s">
        <v>61</v>
      </c>
      <c r="H10" s="2" t="s">
        <v>62</v>
      </c>
    </row>
    <row r="11" spans="2:11">
      <c r="B11" s="1"/>
      <c r="C11" s="1"/>
      <c r="D11" s="2" t="s">
        <v>65</v>
      </c>
      <c r="E11" s="2" t="s">
        <v>66</v>
      </c>
      <c r="F11" s="2"/>
      <c r="G11" s="2" t="s">
        <v>67</v>
      </c>
      <c r="H11" s="2" t="s">
        <v>68</v>
      </c>
    </row>
    <row r="12" spans="2:11">
      <c r="B12" s="1"/>
      <c r="C12" s="1"/>
      <c r="D12" s="2"/>
      <c r="E12" s="2"/>
      <c r="F12" s="2"/>
      <c r="G12" s="2" t="s">
        <v>71</v>
      </c>
      <c r="H12" s="2" t="s">
        <v>72</v>
      </c>
    </row>
    <row r="13" spans="2:11">
      <c r="B13" s="1"/>
      <c r="C13" s="1"/>
      <c r="D13" s="2"/>
      <c r="E13" s="2"/>
      <c r="F13" s="2"/>
      <c r="G13" s="2" t="s">
        <v>77</v>
      </c>
      <c r="H13" s="2" t="s">
        <v>78</v>
      </c>
    </row>
    <row r="14" spans="2:11">
      <c r="B14" s="1"/>
      <c r="C14" s="1"/>
      <c r="D14" s="2"/>
      <c r="E14" s="2"/>
      <c r="F14" s="2"/>
      <c r="G14" s="2" t="s">
        <v>81</v>
      </c>
      <c r="H14" s="2" t="s">
        <v>82</v>
      </c>
    </row>
    <row r="15" spans="2:11">
      <c r="B15" s="1"/>
      <c r="C15" s="1"/>
      <c r="D15" s="2"/>
      <c r="E15" s="2"/>
      <c r="F15" s="2"/>
      <c r="G15" s="2" t="s">
        <v>83</v>
      </c>
      <c r="H15" s="2" t="s">
        <v>84</v>
      </c>
    </row>
    <row r="16" spans="2:11">
      <c r="B16" s="1"/>
      <c r="C16" s="1"/>
      <c r="D16" s="2"/>
      <c r="E16" s="2"/>
      <c r="F16" s="2"/>
      <c r="G16" s="2" t="s">
        <v>87</v>
      </c>
      <c r="H16" s="2" t="s">
        <v>88</v>
      </c>
    </row>
    <row r="17" spans="2:8">
      <c r="B17" s="1"/>
      <c r="C17" s="1"/>
      <c r="D17" s="2"/>
      <c r="E17" s="2"/>
      <c r="F17" s="2"/>
      <c r="G17" s="2" t="s">
        <v>90</v>
      </c>
      <c r="H17" s="2" t="s">
        <v>91</v>
      </c>
    </row>
    <row r="18" spans="2:8">
      <c r="B18" s="1"/>
      <c r="C18" s="1"/>
      <c r="D18" s="2"/>
      <c r="E18" s="2"/>
      <c r="F18" s="2"/>
      <c r="G18" s="2" t="s">
        <v>94</v>
      </c>
      <c r="H18" s="2" t="s">
        <v>95</v>
      </c>
    </row>
    <row r="24" spans="2:8">
      <c r="C24" t="s">
        <v>291</v>
      </c>
    </row>
    <row r="25" spans="2:8">
      <c r="C25" t="s">
        <v>25</v>
      </c>
    </row>
    <row r="26" spans="2:8">
      <c r="C26" t="s">
        <v>292</v>
      </c>
    </row>
    <row r="27" spans="2:8">
      <c r="C27" t="s">
        <v>293</v>
      </c>
    </row>
    <row r="28" spans="2:8">
      <c r="C28" t="s">
        <v>294</v>
      </c>
    </row>
    <row r="29" spans="2:8">
      <c r="C29" t="s">
        <v>295</v>
      </c>
    </row>
    <row r="30" spans="2:8">
      <c r="C30" t="s">
        <v>291</v>
      </c>
    </row>
  </sheetData>
  <dataValidations count="2">
    <dataValidation type="list" allowBlank="1" showInputMessage="1" showErrorMessage="1" sqref="J4">
      <formula1>$D$4:$H$4</formula1>
    </dataValidation>
    <dataValidation type="list" allowBlank="1" showInputMessage="1" showErrorMessage="1" sqref="K4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2024-11-13T12:59:37Z</cp:lastPrinted>
  <dcterms:created xsi:type="dcterms:W3CDTF">2019-07-16T09:29:00Z</dcterms:created>
  <dcterms:modified xsi:type="dcterms:W3CDTF">2025-07-02T09:48:42Z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DC0C468351444020A53EDC4BAAE5820C_12</vt:lpwstr>
  </property>
  <property fmtid="{D5CDD505-2E9C-101B-9397-08002B2CF9AE}" pid="3" name="KSOProductBuildVer">
    <vt:lpwstr>1033-12.2.0.17562</vt:lpwstr>
  </property>
</Properties>
</file>