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July 2025\AXIS\New\Gaurav\"/>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4" i="1" l="1"/>
  <c r="D165" i="1" l="1"/>
  <c r="D164" i="1"/>
  <c r="D157" i="1"/>
  <c r="I61" i="1"/>
  <c r="D175" i="1" l="1"/>
  <c r="D174" i="1"/>
  <c r="F174" i="1" s="1"/>
  <c r="H174" i="1" s="1"/>
  <c r="D173" i="1"/>
  <c r="F173" i="1" s="1"/>
  <c r="H173" i="1" s="1"/>
  <c r="D172" i="1"/>
  <c r="F172" i="1" s="1"/>
  <c r="H172" i="1" s="1"/>
  <c r="D170" i="1"/>
  <c r="F170" i="1" s="1"/>
  <c r="H170" i="1" s="1"/>
  <c r="D169" i="1"/>
  <c r="F169" i="1" s="1"/>
  <c r="H169" i="1" s="1"/>
  <c r="D168" i="1"/>
  <c r="F168" i="1" s="1"/>
  <c r="H168" i="1" s="1"/>
  <c r="D167" i="1"/>
  <c r="F167" i="1" s="1"/>
  <c r="H167" i="1" s="1"/>
  <c r="D166" i="1"/>
  <c r="F166" i="1" s="1"/>
  <c r="H166" i="1" s="1"/>
  <c r="F165" i="1"/>
  <c r="H165" i="1" s="1"/>
  <c r="F164" i="1"/>
  <c r="H164" i="1" s="1"/>
  <c r="D163" i="1"/>
  <c r="F163" i="1" s="1"/>
  <c r="H163" i="1" s="1"/>
  <c r="D162" i="1"/>
  <c r="D160" i="1"/>
  <c r="D159" i="1"/>
  <c r="D158" i="1"/>
  <c r="F175" i="1"/>
  <c r="H175" i="1" s="1"/>
  <c r="F162" i="1"/>
  <c r="H162" i="1" s="1"/>
  <c r="A163" i="1"/>
  <c r="A164" i="1" s="1"/>
  <c r="A165" i="1" s="1"/>
  <c r="A166" i="1" s="1"/>
  <c r="A167" i="1" s="1"/>
  <c r="A168" i="1" s="1"/>
  <c r="A169" i="1" s="1"/>
  <c r="A170" i="1" s="1"/>
  <c r="A173" i="1"/>
  <c r="A174" i="1" s="1"/>
  <c r="A175" i="1" s="1"/>
  <c r="C134" i="1" l="1"/>
  <c r="C135" i="1" s="1"/>
  <c r="F154" i="1"/>
  <c r="H154" i="1" s="1"/>
  <c r="F153" i="1"/>
  <c r="H153" i="1" s="1"/>
  <c r="F152" i="1"/>
  <c r="H152" i="1" s="1"/>
  <c r="F151" i="1"/>
  <c r="H151" i="1" s="1"/>
  <c r="F150" i="1"/>
  <c r="H150" i="1" s="1"/>
  <c r="F149" i="1"/>
  <c r="H149" i="1" s="1"/>
  <c r="A149" i="1"/>
  <c r="A150" i="1" s="1"/>
  <c r="A151" i="1" s="1"/>
  <c r="A152" i="1" s="1"/>
  <c r="A153" i="1" s="1"/>
  <c r="A154" i="1" s="1"/>
  <c r="F148" i="1"/>
  <c r="H148" i="1" s="1"/>
  <c r="C77" i="1" l="1"/>
  <c r="F157" i="1" l="1"/>
  <c r="B38" i="6"/>
  <c r="B39" i="6" s="1"/>
  <c r="B40" i="6" s="1"/>
  <c r="B41" i="6" s="1"/>
  <c r="B42" i="6" s="1"/>
  <c r="B43" i="6" s="1"/>
  <c r="B44" i="6" s="1"/>
  <c r="B45" i="6" s="1"/>
  <c r="B46" i="6" s="1"/>
  <c r="B47" i="6" s="1"/>
  <c r="B48" i="6" s="1"/>
  <c r="B49" i="6" s="1"/>
  <c r="B50" i="6" s="1"/>
  <c r="B51" i="6" s="1"/>
  <c r="B52" i="6" s="1"/>
  <c r="B53" i="6" s="1"/>
  <c r="H157"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35" i="1"/>
  <c r="B210" i="1"/>
  <c r="F207" i="1"/>
  <c r="H207" i="1" s="1"/>
  <c r="F206" i="1"/>
  <c r="H206" i="1" s="1"/>
  <c r="F205" i="1"/>
  <c r="H205" i="1" s="1"/>
  <c r="F204" i="1"/>
  <c r="H204" i="1" s="1"/>
  <c r="F203" i="1"/>
  <c r="H203" i="1" s="1"/>
  <c r="F201" i="1"/>
  <c r="H201" i="1" s="1"/>
  <c r="F200" i="1"/>
  <c r="H200" i="1" s="1"/>
  <c r="F199" i="1"/>
  <c r="H199" i="1" s="1"/>
  <c r="F198" i="1"/>
  <c r="H198" i="1" s="1"/>
  <c r="F197" i="1"/>
  <c r="H197" i="1" s="1"/>
  <c r="F195" i="1"/>
  <c r="H195" i="1" s="1"/>
  <c r="F194" i="1"/>
  <c r="H194" i="1" s="1"/>
  <c r="F193" i="1"/>
  <c r="H193" i="1" s="1"/>
  <c r="F192" i="1"/>
  <c r="H192" i="1" s="1"/>
  <c r="F191" i="1"/>
  <c r="H191" i="1" s="1"/>
  <c r="F189" i="1"/>
  <c r="H189" i="1" s="1"/>
  <c r="F188" i="1"/>
  <c r="H188" i="1" s="1"/>
  <c r="F187" i="1"/>
  <c r="H187" i="1" s="1"/>
  <c r="F186" i="1"/>
  <c r="H186" i="1" s="1"/>
  <c r="F185" i="1"/>
  <c r="H185" i="1" s="1"/>
  <c r="A185" i="1"/>
  <c r="A186" i="1" s="1"/>
  <c r="A187" i="1" s="1"/>
  <c r="A188" i="1" s="1"/>
  <c r="A189" i="1" s="1"/>
  <c r="F183" i="1"/>
  <c r="H183" i="1" s="1"/>
  <c r="F182" i="1"/>
  <c r="H182" i="1" s="1"/>
  <c r="F181" i="1"/>
  <c r="H181" i="1" s="1"/>
  <c r="A181" i="1"/>
  <c r="A182" i="1" s="1"/>
  <c r="A183" i="1" s="1"/>
  <c r="F180" i="1"/>
  <c r="H180" i="1" s="1"/>
  <c r="F160" i="1"/>
  <c r="H160" i="1" s="1"/>
  <c r="F159" i="1"/>
  <c r="H159" i="1" s="1"/>
  <c r="F158" i="1"/>
  <c r="A158" i="1"/>
  <c r="A159" i="1" s="1"/>
  <c r="A160" i="1" s="1"/>
  <c r="C141" i="1"/>
  <c r="F131" i="1"/>
  <c r="C105" i="1"/>
  <c r="C91" i="1"/>
  <c r="D71" i="1"/>
  <c r="D64" i="1"/>
  <c r="K55" i="1"/>
  <c r="G51" i="1"/>
  <c r="C51" i="1"/>
  <c r="E44" i="1"/>
  <c r="E45" i="1" s="1"/>
  <c r="S33" i="1"/>
  <c r="E31" i="1"/>
  <c r="E28" i="1"/>
  <c r="E26" i="1"/>
  <c r="C16" i="1"/>
  <c r="I15" i="1"/>
  <c r="Z13" i="1"/>
  <c r="E8" i="1"/>
  <c r="E3" i="1"/>
  <c r="B221" i="1" s="1"/>
  <c r="H92" i="1"/>
  <c r="A203" i="1"/>
  <c r="A191" i="1"/>
  <c r="H106" i="1"/>
  <c r="A197" i="1"/>
  <c r="H158" i="1" l="1"/>
  <c r="G135" i="1" s="1"/>
  <c r="G141" i="1" s="1"/>
  <c r="E134" i="1"/>
  <c r="E135" i="1" s="1"/>
  <c r="E141" i="1" s="1"/>
  <c r="E42" i="7"/>
  <c r="J85" i="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C109" i="1" s="1"/>
  <c r="D109" i="1" s="1"/>
  <c r="D116" i="1"/>
  <c r="D42" i="7"/>
  <c r="L55" i="1"/>
  <c r="B92" i="1"/>
  <c r="J87" i="1"/>
  <c r="J88" i="1"/>
  <c r="I52" i="1"/>
  <c r="A204" i="1"/>
  <c r="A192" i="1"/>
  <c r="H78" i="1"/>
  <c r="A198" i="1"/>
  <c r="D89" i="1" l="1"/>
  <c r="D83" i="1"/>
  <c r="J83" i="1"/>
  <c r="J82" i="1"/>
  <c r="C81" i="1" s="1"/>
  <c r="D88" i="1"/>
  <c r="D87" i="1"/>
  <c r="J77" i="1"/>
  <c r="J79" i="1" s="1"/>
  <c r="D86" i="1"/>
  <c r="D90" i="1"/>
  <c r="D84" i="1"/>
  <c r="J81" i="1"/>
  <c r="J80" i="1"/>
  <c r="D85" i="1"/>
  <c r="J116" i="1"/>
  <c r="J115" i="1"/>
  <c r="D44" i="7"/>
  <c r="E44" i="7"/>
  <c r="J113" i="1"/>
  <c r="J111" i="1"/>
  <c r="J112" i="1" s="1"/>
  <c r="J117" i="1" s="1"/>
  <c r="J118" i="1" s="1"/>
  <c r="C110" i="1" s="1"/>
  <c r="G109" i="1" s="1"/>
  <c r="D81" i="1"/>
  <c r="D95" i="1"/>
  <c r="J100" i="1"/>
  <c r="J97" i="1"/>
  <c r="J98" i="1" s="1"/>
  <c r="J103" i="1" s="1"/>
  <c r="J104" i="1" s="1"/>
  <c r="C96" i="1" s="1"/>
  <c r="J102" i="1"/>
  <c r="J99" i="1"/>
  <c r="J101" i="1"/>
  <c r="A193" i="1"/>
  <c r="A205" i="1"/>
  <c r="A199" i="1"/>
  <c r="J84" i="1" l="1"/>
  <c r="J89" i="1" s="1"/>
  <c r="J90" i="1" s="1"/>
  <c r="C82" i="1"/>
  <c r="G81" i="1" s="1"/>
  <c r="D75" i="1" s="1"/>
  <c r="D76" i="1" s="1"/>
  <c r="D110" i="1"/>
  <c r="I106" i="1" s="1"/>
  <c r="I107" i="1" s="1"/>
  <c r="J106" i="1"/>
  <c r="E109" i="1"/>
  <c r="J78" i="1"/>
  <c r="E95" i="1"/>
  <c r="D96" i="1"/>
  <c r="I92" i="1" s="1"/>
  <c r="J92" i="1"/>
  <c r="G95" i="1"/>
  <c r="A206" i="1"/>
  <c r="A200" i="1"/>
  <c r="A194" i="1"/>
  <c r="D82" i="1" l="1"/>
  <c r="I78" i="1" s="1"/>
  <c r="I79" i="1" s="1"/>
  <c r="I77" i="1" s="1"/>
  <c r="C79" i="1" s="1"/>
  <c r="E81" i="1"/>
  <c r="F76" i="1"/>
  <c r="I105" i="1"/>
  <c r="C107" i="1" s="1"/>
  <c r="I93" i="1"/>
  <c r="I91" i="1" s="1"/>
  <c r="C93" i="1" s="1"/>
  <c r="A207" i="1"/>
  <c r="A201" i="1"/>
  <c r="A19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<sst xmlns="http://schemas.openxmlformats.org/spreadsheetml/2006/main" count="734" uniqueCount="446">
  <si>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</si>
  <si>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</si>
  <si>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</si>
  <si>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</si>
  <si>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</si>
  <si>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</si>
  <si>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</si>
  <si>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</si>
  <si>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</si>
  <si>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</si>
  <si>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</si>
  <si>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</si>
  <si>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</si>
  <si>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</si>
  <si>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</si>
  <si>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</si>
  <si>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</si>
  <si>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</si>
  <si>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</si>
  <si>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</si>
  <si>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</si>
  <si>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</si>
  <si>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</si>
  <si>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</si>
  <si>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</si>
  <si>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</si>
  <si>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</si>
  <si>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</si>
  <si>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</si>
  <si>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</si>
  <si>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</si>
  <si>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</si>
  <si>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</si>
  <si>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</si>
  <si>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</si>
  <si>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</si>
  <si>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</si>
  <si>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</si>
  <si>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</si>
  <si>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</si>
  <si>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</si>
  <si>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</si>
  <si>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</si>
  <si>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</si>
  <si>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</si>
  <si>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</si>
  <si>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</si>
  <si>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</si>
  <si>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</si>
  <si>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</si>
  <si>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</si>
  <si>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</si>
  <si>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</si>
  <si>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</si>
  <si>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</si>
  <si>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</si>
  <si>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</si>
  <si>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</si>
  <si>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</si>
  <si>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</si>
  <si>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</si>
  <si>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</si>
  <si>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</si>
  <si>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</si>
  <si>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</si>
  <si>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</si>
  <si>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</si>
  <si>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</si>
  <si>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</si>
  <si>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</si>
  <si>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</si>
  <si>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</si>
  <si>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</si>
  <si>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</si>
  <si>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</si>
  <si>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</si>
  <si>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</si>
  <si>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</si>
  <si>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</si>
  <si>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</si>
  <si>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</si>
  <si>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</si>
  <si>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</si>
  <si>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</si>
  <si>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</si>
  <si>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</si>
  <si>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</si>
  <si>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</si>
  <si>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</si>
  <si>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</si>
  <si>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</si>
  <si>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</si>
  <si>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</si>
  <si>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</si>
  <si>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</si>
  <si>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</si>
  <si>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</si>
  <si>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</si>
  <si>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</si>
  <si>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</si>
  <si>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</si>
  <si>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</si>
  <si>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</si>
  <si>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</si>
  <si>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</si>
  <si>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</si>
  <si>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</si>
  <si>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</si>
  <si>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</si>
  <si>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</si>
  <si>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</si>
  <si>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</si>
  <si>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</si>
  <si>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</si>
  <si>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</si>
  <si>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</si>
  <si>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</si>
  <si>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</si>
  <si>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</si>
  <si>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</si>
  <si>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</si>
  <si>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</si>
  <si>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</si>
  <si>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</si>
  <si>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</si>
  <si>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</si>
  <si>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</si>
  <si>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</si>
  <si>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</si>
  <si>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</si>
  <si>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</si>
  <si>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</si>
  <si>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</si>
  <si>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</si>
  <si>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</si>
  <si>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</si>
  <si>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</si>
  <si>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</si>
  <si>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</si>
  <si>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</si>
  <si>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</si>
  <si>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</si>
  <si>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</si>
  <si>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</si>
  <si>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</si>
  <si>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</si>
  <si>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</si>
  <si>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</si>
  <si>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</si>
  <si>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</si>
  <si>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</si>
  <si>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</si>
  <si>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</si>
  <si>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</si>
  <si>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</si>
  <si>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</si>
  <si>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</si>
  <si>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</si>
  <si>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</si>
  <si>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</si>
  <si>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</si>
  <si>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</si>
  <si>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</si>
  <si>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</si>
  <si>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</si>
  <si>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</si>
  <si>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</si>
  <si>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</si>
  <si>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</si>
  <si>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</si>
  <si>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</si>
  <si>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</si>
  <si>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</si>
  <si>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</si>
  <si>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</si>
  <si>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</si>
  <si>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</si>
  <si>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CTS No</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</si>
  <si>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</si>
  <si>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</si>
  <si>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</si>
  <si>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</si>
  <si>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</si>
  <si>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</si>
  <si>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</si>
  <si>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</si>
  <si>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</si>
  <si>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</si>
  <si>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</si>
  <si>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</si>
  <si>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</si>
  <si>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</si>
  <si>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</si>
  <si>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</si>
  <si>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</si>
  <si>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</si>
  <si>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</si>
  <si>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</si>
  <si>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</si>
  <si>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</si>
  <si>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</si>
  <si>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</si>
  <si>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</si>
  <si>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</si>
  <si>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</si>
  <si>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</si>
  <si>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</si>
  <si>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</si>
  <si>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</si>
  <si>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</si>
  <si>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</si>
  <si>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</si>
  <si>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</si>
  <si>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</si>
  <si>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</si>
  <si>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</si>
  <si>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</si>
  <si>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</si>
  <si>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</si>
  <si>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</si>
  <si>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</si>
  <si>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</si>
  <si>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</si>
  <si>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</si>
  <si>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</si>
  <si>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</si>
  <si>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</si>
  <si>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</si>
  <si>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</si>
  <si>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</si>
  <si>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</si>
  <si>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</si>
  <si>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</si>
  <si>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</si>
  <si>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</si>
  <si>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</si>
  <si>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</si>
  <si>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</si>
  <si>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</si>
  <si>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</si>
  <si>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</si>
  <si>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</si>
  <si>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</si>
  <si>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</si>
  <si>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</si>
  <si>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</si>
  <si>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</si>
  <si>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</si>
  <si>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</si>
  <si>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</si>
  <si>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</si>
  <si>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</si>
  <si>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</si>
  <si>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</si>
  <si>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</si>
  <si>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</si>
  <si>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</si>
  <si>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</si>
  <si>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</si>
  <si>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</si>
  <si>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</si>
  <si>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</si>
  <si>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</si>
  <si>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</si>
  <si>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</si>
  <si>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</si>
  <si>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</si>
  <si>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</si>
  <si>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</si>
  <si>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</si>
  <si>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</si>
  <si>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</si>
  <si>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</si>
  <si>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</si>
  <si>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</si>
  <si>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</si>
  <si>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</si>
  <si>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</si>
  <si>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</si>
  <si>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</si>
  <si>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</si>
  <si>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</si>
  <si>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</si>
  <si>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</si>
  <si>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</si>
  <si>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</si>
  <si>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</si>
  <si>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</si>
  <si>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</si>
  <si>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</si>
  <si>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</si>
  <si>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</si>
  <si>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</si>
  <si>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</si>
  <si>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</si>
  <si>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</si>
  <si>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</si>
  <si>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</si>
  <si>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</si>
  <si>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</si>
  <si>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</si>
  <si>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</si>
  <si>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</si>
  <si>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</si>
  <si>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</si>
  <si>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</si>
  <si>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</si>
  <si>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</si>
  <si>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</si>
  <si>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</si>
  <si>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</si>
  <si>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</si>
  <si>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</si>
  <si>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</si>
  <si>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</si>
  <si>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</si>
  <si>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</si>
  <si>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</si>
  <si>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</si>
  <si>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</si>
  <si>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</si>
  <si>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</si>
  <si>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</si>
  <si>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</si>
  <si>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</si>
  <si>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</si>
  <si>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</si>
  <si>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</si>
  <si>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</si>
  <si>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</si>
  <si>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</si>
  <si>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</si>
  <si>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</si>
  <si>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</si>
  <si>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</si>
  <si>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</si>
  <si>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</si>
  <si>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</si>
  <si>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</si>
  <si>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</si>
  <si>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</si>
  <si>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</si>
  <si>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</si>
  <si>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</si>
  <si>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</si>
  <si>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</si>
  <si>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</si>
  <si>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</si>
  <si>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</si>
  <si>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</si>
  <si>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</si>
  <si>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</si>
  <si>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</si>
  <si>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</si>
  <si>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</si>
  <si>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</si>
  <si>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</si>
  <si>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</si>
  <si>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</si>
  <si>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</si>
  <si>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</si>
  <si>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</si>
  <si>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</si>
  <si>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</si>
  <si>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</si>
  <si>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</si>
  <si>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</si>
  <si>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</si>
  <si>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</si>
  <si>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</si>
  <si>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</si>
  <si>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</si>
  <si>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</si>
  <si>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</si>
  <si>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</si>
  <si>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</si>
  <si>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</si>
  <si>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</si>
  <si>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</si>
  <si>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</si>
  <si>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</si>
  <si>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</si>
  <si>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</si>
  <si>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</si>
  <si>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Leela Business Park ­ II</t>
  </si>
  <si>
    <t xml:space="preserve">Rockfort Estate Developers Private Limited </t>
  </si>
  <si>
    <t xml:space="preserve">Mr. Vinod Vishambharan 9566215222 </t>
  </si>
  <si>
    <t>As per RERA - 31/12/2029</t>
  </si>
  <si>
    <t>Leela Business Park</t>
  </si>
  <si>
    <t>P51800077630</t>
  </si>
  <si>
    <t>1300, 1388/A, 1388/B, 1387A/1 and 1387A/2</t>
  </si>
  <si>
    <t>Marol</t>
  </si>
  <si>
    <t>https://maps.app.goo.gl/HB2iBATWSLA4KkBR7</t>
  </si>
  <si>
    <t>P-4588/2020/(1300 And Other)/K/E Ward/MAROL/337/4/Amend</t>
  </si>
  <si>
    <t>Amenity Space for Handover</t>
  </si>
  <si>
    <t>13.40MT Wide DP Road</t>
  </si>
  <si>
    <t>40.70MT Wide Andheri Kurla Road</t>
  </si>
  <si>
    <t>Andheri - Kurla Road</t>
  </si>
  <si>
    <t>Other Plot</t>
  </si>
  <si>
    <t>Amba Shanti Chambers / Sterling Apartments</t>
  </si>
  <si>
    <t>Marol Pipeline Road</t>
  </si>
  <si>
    <t>Open Plot</t>
  </si>
  <si>
    <t>P-4588/2020/(1300 And Other)/K/E
Ward/MAROL/CC/1/New</t>
  </si>
  <si>
    <t>Validity is as per provided Notesheet</t>
  </si>
  <si>
    <t>SIA/MH/MIS/144687/2020</t>
  </si>
  <si>
    <t>SNCR/WEST/B/050719/393271</t>
  </si>
  <si>
    <t>Site Elevation (AMSL) = 17.56M
Permissible Top Elevation (AMSL) = 57.13M (Restricted)</t>
  </si>
  <si>
    <t>Basement Floor For Pump Room &amp; Parking</t>
  </si>
  <si>
    <t>Ground Floor For Commercial, Double Height Entrance Lobby &amp; Parking</t>
  </si>
  <si>
    <t>Retail</t>
  </si>
  <si>
    <t>1st &amp; 2nd Podium Floor For Parking</t>
  </si>
  <si>
    <t>Office</t>
  </si>
  <si>
    <t>3rd Floor</t>
  </si>
  <si>
    <t>B + G + 2P + 1 to 10th Floor</t>
  </si>
  <si>
    <t>We have referred Airport Noc From AAI site.</t>
  </si>
  <si>
    <t>Gaurav Panchal</t>
  </si>
  <si>
    <t>Construction work is in process at the time of Visit.</t>
  </si>
  <si>
    <t>Offices - 17</t>
  </si>
  <si>
    <t>Mr. Ganesh</t>
  </si>
  <si>
    <t>Power Backup, 24*7 Security, CCTV, Lift, etc</t>
  </si>
  <si>
    <r>
      <t xml:space="preserve">Proposed Amenities :                                                                                                                                                                                                                         </t>
    </r>
    <r>
      <rPr>
        <b/>
        <sz val="12"/>
        <color theme="1"/>
        <rFont val="Times New Roman"/>
        <family val="1"/>
      </rPr>
      <t xml:space="preserve">                                               </t>
    </r>
  </si>
  <si>
    <t>https://www.squareyards.com/mumbai-residential-property/leela-business-park/119252/project</t>
  </si>
  <si>
    <t>3.2 KM from Andheri Railway Station</t>
  </si>
  <si>
    <t>We have referred EC from PARIVESH site.</t>
  </si>
  <si>
    <t>We considered Gross carpet area = Net carpet Area</t>
  </si>
  <si>
    <t>19.111509,72.873464</t>
  </si>
  <si>
    <t>Sunteck Crest</t>
  </si>
  <si>
    <t>Marol Pipe Line Road</t>
  </si>
  <si>
    <t>Vijay Nagar Colony</t>
  </si>
  <si>
    <t>Validity of CC is expired on 12/01/2025, Provide Revised approved CC.</t>
  </si>
  <si>
    <t>C.C. up-to top of Basement i.e. height 0.30mts. AGL as per the approved plans dtd.19/08/2021, Subject to submission of excavation permission from the office of Collector M.S.D. along with work start notice.</t>
  </si>
  <si>
    <t xml:space="preserve">C.T.S No.1300, 1388/A, 1388/B, 1387A/1 and 1387A/2
Proposed BUA = 102980.17 Sqm
Proposed Commercial Building = 3B + G + 1st to 15th Office Floors </t>
  </si>
  <si>
    <t>P-4588/2020/(1300 And Other)/K/E Ward/ MAROL/ CFO/1/Amend</t>
  </si>
  <si>
    <t>B + G + 2P + 1 to 10th Floor (Height = 53.80 Mtrs)</t>
  </si>
  <si>
    <t xml:space="preserve">Details of Commercials in Building   </t>
  </si>
  <si>
    <t>1st Floor For Commercial</t>
  </si>
  <si>
    <t>B + G + 2P + 1 to 3rd Floor (Height = 34.10 Mtrs)</t>
  </si>
  <si>
    <t>Height Check for Revised Airport Noc When approved Floors are incresed.</t>
  </si>
  <si>
    <t>Mr. Akshay Ambekar 7977310396</t>
  </si>
  <si>
    <t>Not  Redevelopment of Leela Business Park as per  Mr. Akshay Ambekar 7977310396</t>
  </si>
  <si>
    <r>
      <t xml:space="preserve">Shop/Office  No.
</t>
    </r>
    <r>
      <rPr>
        <b/>
        <sz val="11"/>
        <color rgb="FF000000"/>
        <rFont val="Times New Roman"/>
        <family val="1"/>
      </rPr>
      <t>(Approved Plan)</t>
    </r>
  </si>
  <si>
    <t>Shop/Office No. (Sale Plan)</t>
  </si>
  <si>
    <t>We have referred approved plan &amp; Fire Noc from MCGM site.</t>
  </si>
  <si>
    <t>Plans, CC</t>
  </si>
  <si>
    <t>As per approved ground floor plan, Retail units numbering is not mentioned therefore we have not drafted area for this floor.</t>
  </si>
  <si>
    <t>Andheri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</si>
</sst>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7" fillId="0" borderId="0" xfId="1" applyFont="1"/>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27" fillId="0" borderId="0" xfId="10"/>
    <xf numFmtId="0" fontId="12" fillId="0" borderId="1" xfId="1" applyFont="1" applyBorder="1" applyAlignment="1" applyProtection="1">
      <alignment vertical="top" wrapText="1"/>
      <protection locked="0"/>
    </xf>
    <xf numFmtId="0" fontId="13" fillId="0" borderId="1" xfId="1" applyFont="1" applyBorder="1" applyAlignment="1" applyProtection="1">
      <alignment vertical="top"/>
      <protection locked="0"/>
    </xf>
    <xf numFmtId="0" fontId="17" fillId="0" borderId="1" xfId="1" applyFont="1" applyBorder="1"/>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0" xfId="1" applyFont="1" applyAlignment="1">
      <alignment horizontal="center" vertical="center"/>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10" fillId="0" borderId="33"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26"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3" fillId="0" borderId="16"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13" fillId="0" borderId="8"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4" fontId="13" fillId="0" borderId="8" xfId="1" applyNumberFormat="1" applyFont="1" applyBorder="1" applyAlignment="1" applyProtection="1">
      <alignment horizontal="left" vertical="top"/>
      <protection locked="0"/>
    </xf>
    <xf numFmtId="14" fontId="13"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5" fillId="0" borderId="8" xfId="1" applyNumberFormat="1" applyFont="1" applyBorder="1" applyAlignment="1" applyProtection="1">
      <alignment horizontal="center" vertical="center" wrapText="1"/>
      <protection locked="0"/>
    </xf>
    <xf numFmtId="1" fontId="15" fillId="0" borderId="9" xfId="1" applyNumberFormat="1" applyFont="1" applyBorder="1" applyAlignment="1" applyProtection="1">
      <alignment horizontal="center" vertical="center" wrapText="1"/>
      <protection locked="0"/>
    </xf>
    <xf numFmtId="0" fontId="17" fillId="0" borderId="17" xfId="1" applyFont="1" applyBorder="1" applyAlignment="1" applyProtection="1">
      <alignment horizontal="left" vertical="top" wrapText="1"/>
      <protection locked="0"/>
    </xf>
    <xf numFmtId="0" fontId="17" fillId="0" borderId="24" xfId="1" applyFont="1" applyBorder="1" applyAlignment="1" applyProtection="1">
      <alignment horizontal="left" vertical="top" wrapText="1"/>
      <protection locked="0"/>
    </xf>
    <xf numFmtId="0" fontId="17" fillId="0" borderId="25"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7" fillId="0" borderId="25" xfId="1" applyFont="1" applyBorder="1" applyAlignment="1">
      <alignment horizontal="center" vertical="top" wrapText="1"/>
    </xf>
    <xf numFmtId="0" fontId="7" fillId="0" borderId="0" xfId="1" applyFont="1" applyBorder="1" applyAlignment="1">
      <alignment horizontal="center" vertical="top" wrapText="1"/>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11</xdr:col>
      <xdr:colOff>428065</xdr:colOff>
      <xdr:row>9</xdr:row>
      <xdr:rowOff>86846</xdr:rowOff>
    </xdr:from>
    <xdr:to>
      <xdr:col>18</xdr:col>
      <xdr:colOff>539127</xdr:colOff>
      <xdr:row>23</xdr:row>
      <xdr:rowOff>17282</xdr:rowOff>
    </xdr:to>
    <xdr:pic>
      <xdr:nvPicPr>
        <xdr:cNvPr id="2" name="Picture 1">
          <a:extLst>
            <a:ext uri="{FF2B5EF4-FFF2-40B4-BE49-F238E27FC236}">
              <a16:creationId xmlns:a16="http://schemas.microsoft.com/office/drawing/2014/main" id="{E08E75AA-1CED-406B-AEAB-EC2FA906BE22}"/>
            </a:ext>
          </a:extLst>
        </xdr:cNvPr>
        <xdr:cNvPicPr>
          <a:picLocks noChangeAspect="1"/>
        </xdr:cNvPicPr>
      </xdr:nvPicPr>
      <xdr:blipFill>
        <a:blip xmlns:r="http://schemas.openxmlformats.org/officeDocument/2006/relationships" r:embed="rId1"/>
        <a:stretch>
          <a:fillRect/>
        </a:stretch>
      </xdr:blipFill>
      <xdr:spPr>
        <a:xfrm>
          <a:off x="9408779" y="2263989"/>
          <a:ext cx="5485884" cy="3427472"/>
        </a:xfrm>
        <a:prstGeom prst="rect">
          <a:avLst/>
        </a:prstGeom>
      </xdr:spPr>
    </xdr:pic>
    <xdr:clientData/>
  </xdr:twoCellAnchor>
  <xdr:twoCellAnchor editAs="oneCell">
    <xdr:from>
      <xdr:col>8</xdr:col>
      <xdr:colOff>114300</xdr:colOff>
      <xdr:row>39</xdr:row>
      <xdr:rowOff>76200</xdr:rowOff>
    </xdr:from>
    <xdr:to>
      <xdr:col>13</xdr:col>
      <xdr:colOff>43275</xdr:colOff>
      <xdr:row>48</xdr:row>
      <xdr:rowOff>208459</xdr:rowOff>
    </xdr:to>
    <xdr:pic>
      <xdr:nvPicPr>
        <xdr:cNvPr id="3" name="Picture 2">
          <a:extLst>
            <a:ext uri="{FF2B5EF4-FFF2-40B4-BE49-F238E27FC236}">
              <a16:creationId xmlns:a16="http://schemas.microsoft.com/office/drawing/2014/main" id="{E94D3041-9A41-4D6A-84D0-09E4A8E397E5}"/>
            </a:ext>
          </a:extLst>
        </xdr:cNvPr>
        <xdr:cNvPicPr>
          <a:picLocks noChangeAspect="1"/>
        </xdr:cNvPicPr>
      </xdr:nvPicPr>
      <xdr:blipFill>
        <a:blip xmlns:r="http://schemas.openxmlformats.org/officeDocument/2006/relationships" r:embed="rId2"/>
        <a:stretch>
          <a:fillRect/>
        </a:stretch>
      </xdr:blipFill>
      <xdr:spPr>
        <a:xfrm>
          <a:off x="6429375" y="9086850"/>
          <a:ext cx="4320000" cy="1932484"/>
        </a:xfrm>
        <a:prstGeom prst="rect">
          <a:avLst/>
        </a:prstGeom>
      </xdr:spPr>
    </xdr:pic>
    <xdr:clientData/>
  </xdr:twoCellAnchor>
  <xdr:twoCellAnchor editAs="oneCell">
    <xdr:from>
      <xdr:col>8</xdr:col>
      <xdr:colOff>604558</xdr:colOff>
      <xdr:row>51</xdr:row>
      <xdr:rowOff>183775</xdr:rowOff>
    </xdr:from>
    <xdr:to>
      <xdr:col>13</xdr:col>
      <xdr:colOff>533533</xdr:colOff>
      <xdr:row>56</xdr:row>
      <xdr:rowOff>182137</xdr:rowOff>
    </xdr:to>
    <xdr:pic>
      <xdr:nvPicPr>
        <xdr:cNvPr id="4" name="Picture 3">
          <a:extLst>
            <a:ext uri="{FF2B5EF4-FFF2-40B4-BE49-F238E27FC236}">
              <a16:creationId xmlns:a16="http://schemas.microsoft.com/office/drawing/2014/main" id="{217776C4-75BC-4A1B-8A08-BD9E769A5EAF}"/>
            </a:ext>
          </a:extLst>
        </xdr:cNvPr>
        <xdr:cNvPicPr>
          <a:picLocks noChangeAspect="1"/>
        </xdr:cNvPicPr>
      </xdr:nvPicPr>
      <xdr:blipFill>
        <a:blip xmlns:r="http://schemas.openxmlformats.org/officeDocument/2006/relationships" r:embed="rId3"/>
        <a:stretch>
          <a:fillRect/>
        </a:stretch>
      </xdr:blipFill>
      <xdr:spPr>
        <a:xfrm>
          <a:off x="6913470" y="12118040"/>
          <a:ext cx="4321681" cy="1892156"/>
        </a:xfrm>
        <a:prstGeom prst="rect">
          <a:avLst/>
        </a:prstGeom>
      </xdr:spPr>
    </xdr:pic>
    <xdr:clientData/>
  </xdr:twoCellAnchor>
  <xdr:twoCellAnchor editAs="oneCell">
    <xdr:from>
      <xdr:col>8</xdr:col>
      <xdr:colOff>857250</xdr:colOff>
      <xdr:row>48</xdr:row>
      <xdr:rowOff>219076</xdr:rowOff>
    </xdr:from>
    <xdr:to>
      <xdr:col>13</xdr:col>
      <xdr:colOff>786225</xdr:colOff>
      <xdr:row>51</xdr:row>
      <xdr:rowOff>10703</xdr:rowOff>
    </xdr:to>
    <xdr:pic>
      <xdr:nvPicPr>
        <xdr:cNvPr id="5" name="Picture 4">
          <a:extLst>
            <a:ext uri="{FF2B5EF4-FFF2-40B4-BE49-F238E27FC236}">
              <a16:creationId xmlns:a16="http://schemas.microsoft.com/office/drawing/2014/main" id="{DA736150-D67E-4CD9-9F1F-EF88BFF43B52}"/>
            </a:ext>
          </a:extLst>
        </xdr:cNvPr>
        <xdr:cNvPicPr>
          <a:picLocks noChangeAspect="1"/>
        </xdr:cNvPicPr>
      </xdr:nvPicPr>
      <xdr:blipFill>
        <a:blip xmlns:r="http://schemas.openxmlformats.org/officeDocument/2006/relationships" r:embed="rId4"/>
        <a:stretch>
          <a:fillRect/>
        </a:stretch>
      </xdr:blipFill>
      <xdr:spPr>
        <a:xfrm>
          <a:off x="7172325" y="11229976"/>
          <a:ext cx="4320000" cy="999621"/>
        </a:xfrm>
        <a:prstGeom prst="rect">
          <a:avLst/>
        </a:prstGeom>
      </xdr:spPr>
    </xdr:pic>
    <xdr:clientData/>
  </xdr:twoCellAnchor>
  <xdr:twoCellAnchor editAs="oneCell">
    <xdr:from>
      <xdr:col>10</xdr:col>
      <xdr:colOff>107416</xdr:colOff>
      <xdr:row>59</xdr:row>
      <xdr:rowOff>253972</xdr:rowOff>
    </xdr:from>
    <xdr:to>
      <xdr:col>15</xdr:col>
      <xdr:colOff>405120</xdr:colOff>
      <xdr:row>66</xdr:row>
      <xdr:rowOff>193396</xdr:rowOff>
    </xdr:to>
    <xdr:pic>
      <xdr:nvPicPr>
        <xdr:cNvPr id="6" name="Picture 5">
          <a:extLst>
            <a:ext uri="{FF2B5EF4-FFF2-40B4-BE49-F238E27FC236}">
              <a16:creationId xmlns:a16="http://schemas.microsoft.com/office/drawing/2014/main" id="{44A4F44A-AE0B-48C7-93B0-F037E589B9E0}"/>
            </a:ext>
          </a:extLst>
        </xdr:cNvPr>
        <xdr:cNvPicPr>
          <a:picLocks noChangeAspect="1"/>
        </xdr:cNvPicPr>
      </xdr:nvPicPr>
      <xdr:blipFill>
        <a:blip xmlns:r="http://schemas.openxmlformats.org/officeDocument/2006/relationships" r:embed="rId5"/>
        <a:stretch>
          <a:fillRect/>
        </a:stretch>
      </xdr:blipFill>
      <xdr:spPr>
        <a:xfrm>
          <a:off x="8343740" y="15146590"/>
          <a:ext cx="4410262" cy="1799600"/>
        </a:xfrm>
        <a:prstGeom prst="rect">
          <a:avLst/>
        </a:prstGeom>
      </xdr:spPr>
    </xdr:pic>
    <xdr:clientData/>
  </xdr:twoCellAnchor>
  <xdr:twoCellAnchor editAs="oneCell">
    <xdr:from>
      <xdr:col>14</xdr:col>
      <xdr:colOff>112059</xdr:colOff>
      <xdr:row>63</xdr:row>
      <xdr:rowOff>198904</xdr:rowOff>
    </xdr:from>
    <xdr:to>
      <xdr:col>19</xdr:col>
      <xdr:colOff>151649</xdr:colOff>
      <xdr:row>74</xdr:row>
      <xdr:rowOff>198679</xdr:rowOff>
    </xdr:to>
    <xdr:pic>
      <xdr:nvPicPr>
        <xdr:cNvPr id="7" name="Picture 6">
          <a:extLst>
            <a:ext uri="{FF2B5EF4-FFF2-40B4-BE49-F238E27FC236}">
              <a16:creationId xmlns:a16="http://schemas.microsoft.com/office/drawing/2014/main" id="{B3F5807C-DA1F-47F7-8517-CD0AD86DE097}"/>
            </a:ext>
          </a:extLst>
        </xdr:cNvPr>
        <xdr:cNvPicPr>
          <a:picLocks noChangeAspect="1"/>
        </xdr:cNvPicPr>
      </xdr:nvPicPr>
      <xdr:blipFill>
        <a:blip xmlns:r="http://schemas.openxmlformats.org/officeDocument/2006/relationships" r:embed="rId6"/>
        <a:stretch>
          <a:fillRect/>
        </a:stretch>
      </xdr:blipFill>
      <xdr:spPr>
        <a:xfrm>
          <a:off x="11654118" y="16301757"/>
          <a:ext cx="3569443" cy="1815128"/>
        </a:xfrm>
        <a:prstGeom prst="rect">
          <a:avLst/>
        </a:prstGeom>
      </xdr:spPr>
    </xdr:pic>
    <xdr:clientData/>
  </xdr:twoCellAnchor>
  <xdr:twoCellAnchor editAs="oneCell">
    <xdr:from>
      <xdr:col>8</xdr:col>
      <xdr:colOff>861332</xdr:colOff>
      <xdr:row>71</xdr:row>
      <xdr:rowOff>91168</xdr:rowOff>
    </xdr:from>
    <xdr:to>
      <xdr:col>13</xdr:col>
      <xdr:colOff>790307</xdr:colOff>
      <xdr:row>76</xdr:row>
      <xdr:rowOff>171455</xdr:rowOff>
    </xdr:to>
    <xdr:pic>
      <xdr:nvPicPr>
        <xdr:cNvPr id="8" name="Picture 7">
          <a:extLst>
            <a:ext uri="{FF2B5EF4-FFF2-40B4-BE49-F238E27FC236}">
              <a16:creationId xmlns:a16="http://schemas.microsoft.com/office/drawing/2014/main" id="{442F93E4-5911-4AC7-97D2-38D3C46431E1}"/>
            </a:ext>
          </a:extLst>
        </xdr:cNvPr>
        <xdr:cNvPicPr>
          <a:picLocks noChangeAspect="1"/>
        </xdr:cNvPicPr>
      </xdr:nvPicPr>
      <xdr:blipFill>
        <a:blip xmlns:r="http://schemas.openxmlformats.org/officeDocument/2006/relationships" r:embed="rId7"/>
        <a:stretch>
          <a:fillRect/>
        </a:stretch>
      </xdr:blipFill>
      <xdr:spPr>
        <a:xfrm>
          <a:off x="7175046" y="17535525"/>
          <a:ext cx="4310475" cy="1332144"/>
        </a:xfrm>
        <a:prstGeom prst="rect">
          <a:avLst/>
        </a:prstGeom>
      </xdr:spPr>
    </xdr:pic>
    <xdr:clientData/>
  </xdr:twoCellAnchor>
  <xdr:twoCellAnchor editAs="oneCell">
    <xdr:from>
      <xdr:col>10</xdr:col>
      <xdr:colOff>323850</xdr:colOff>
      <xdr:row>78</xdr:row>
      <xdr:rowOff>76201</xdr:rowOff>
    </xdr:from>
    <xdr:to>
      <xdr:col>15</xdr:col>
      <xdr:colOff>529050</xdr:colOff>
      <xdr:row>85</xdr:row>
      <xdr:rowOff>110755</xdr:rowOff>
    </xdr:to>
    <xdr:pic>
      <xdr:nvPicPr>
        <xdr:cNvPr id="9" name="Picture 8">
          <a:extLst>
            <a:ext uri="{FF2B5EF4-FFF2-40B4-BE49-F238E27FC236}">
              <a16:creationId xmlns:a16="http://schemas.microsoft.com/office/drawing/2014/main" id="{51FECE74-C972-45E3-8C4A-44DB8EDC0650}"/>
            </a:ext>
          </a:extLst>
        </xdr:cNvPr>
        <xdr:cNvPicPr>
          <a:picLocks noChangeAspect="1"/>
        </xdr:cNvPicPr>
      </xdr:nvPicPr>
      <xdr:blipFill>
        <a:blip xmlns:r="http://schemas.openxmlformats.org/officeDocument/2006/relationships" r:embed="rId8"/>
        <a:stretch>
          <a:fillRect/>
        </a:stretch>
      </xdr:blipFill>
      <xdr:spPr>
        <a:xfrm>
          <a:off x="8562975" y="19573876"/>
          <a:ext cx="4320000" cy="1482353"/>
        </a:xfrm>
        <a:prstGeom prst="rect">
          <a:avLst/>
        </a:prstGeom>
      </xdr:spPr>
    </xdr:pic>
    <xdr:clientData/>
  </xdr:twoCellAnchor>
  <xdr:twoCellAnchor editAs="oneCell">
    <xdr:from>
      <xdr:col>10</xdr:col>
      <xdr:colOff>545167</xdr:colOff>
      <xdr:row>85</xdr:row>
      <xdr:rowOff>150160</xdr:rowOff>
    </xdr:from>
    <xdr:to>
      <xdr:col>19</xdr:col>
      <xdr:colOff>699104</xdr:colOff>
      <xdr:row>134</xdr:row>
      <xdr:rowOff>149375</xdr:rowOff>
    </xdr:to>
    <xdr:pic>
      <xdr:nvPicPr>
        <xdr:cNvPr id="10" name="Picture 9">
          <a:extLst>
            <a:ext uri="{FF2B5EF4-FFF2-40B4-BE49-F238E27FC236}">
              <a16:creationId xmlns:a16="http://schemas.microsoft.com/office/drawing/2014/main" id="{5405C697-60EB-4B9F-B0E5-74E36A84923E}"/>
            </a:ext>
          </a:extLst>
        </xdr:cNvPr>
        <xdr:cNvPicPr>
          <a:picLocks noChangeAspect="1"/>
        </xdr:cNvPicPr>
      </xdr:nvPicPr>
      <xdr:blipFill>
        <a:blip xmlns:r="http://schemas.openxmlformats.org/officeDocument/2006/relationships" r:embed="rId9"/>
        <a:stretch>
          <a:fillRect/>
        </a:stretch>
      </xdr:blipFill>
      <xdr:spPr>
        <a:xfrm>
          <a:off x="8781491" y="20600895"/>
          <a:ext cx="6989525" cy="2419686"/>
        </a:xfrm>
        <a:prstGeom prst="rect">
          <a:avLst/>
        </a:prstGeom>
      </xdr:spPr>
    </xdr:pic>
    <xdr:clientData/>
  </xdr:twoCellAnchor>
  <xdr:twoCellAnchor editAs="oneCell">
    <xdr:from>
      <xdr:col>9</xdr:col>
      <xdr:colOff>57710</xdr:colOff>
      <xdr:row>141</xdr:row>
      <xdr:rowOff>128868</xdr:rowOff>
    </xdr:from>
    <xdr:to>
      <xdr:col>18</xdr:col>
      <xdr:colOff>384022</xdr:colOff>
      <xdr:row>164</xdr:row>
      <xdr:rowOff>138271</xdr:rowOff>
    </xdr:to>
    <xdr:pic>
      <xdr:nvPicPr>
        <xdr:cNvPr id="11" name="Picture 10">
          <a:extLst>
            <a:ext uri="{FF2B5EF4-FFF2-40B4-BE49-F238E27FC236}">
              <a16:creationId xmlns:a16="http://schemas.microsoft.com/office/drawing/2014/main" id="{B65014EB-3DC6-4E9E-8E12-7EB3CC4746BE}"/>
            </a:ext>
          </a:extLst>
        </xdr:cNvPr>
        <xdr:cNvPicPr>
          <a:picLocks noChangeAspect="1"/>
        </xdr:cNvPicPr>
      </xdr:nvPicPr>
      <xdr:blipFill>
        <a:blip xmlns:r="http://schemas.openxmlformats.org/officeDocument/2006/relationships" r:embed="rId10"/>
        <a:stretch>
          <a:fillRect/>
        </a:stretch>
      </xdr:blipFill>
      <xdr:spPr>
        <a:xfrm>
          <a:off x="7532034" y="23201780"/>
          <a:ext cx="7195517" cy="3640109"/>
        </a:xfrm>
        <a:prstGeom prst="rect">
          <a:avLst/>
        </a:prstGeom>
      </xdr:spPr>
    </xdr:pic>
    <xdr:clientData/>
  </xdr:twoCellAnchor>
  <xdr:twoCellAnchor>
    <xdr:from>
      <xdr:col>0</xdr:col>
      <xdr:colOff>666750</xdr:colOff>
      <xdr:row>279</xdr:row>
      <xdr:rowOff>95250</xdr:rowOff>
    </xdr:from>
    <xdr:to>
      <xdr:col>7</xdr:col>
      <xdr:colOff>309831</xdr:colOff>
      <xdr:row>303</xdr:row>
      <xdr:rowOff>108438</xdr:rowOff>
    </xdr:to>
    <xdr:grpSp>
      <xdr:nvGrpSpPr>
        <xdr:cNvPr id="12" name="Group 11">
          <a:extLst>
            <a:ext uri="{FF2B5EF4-FFF2-40B4-BE49-F238E27FC236}">
              <a16:creationId xmlns:a16="http://schemas.microsoft.com/office/drawing/2014/main" id="{C2637C03-CF6C-4F5A-B6D9-81185FA4B601}"/>
            </a:ext>
          </a:extLst>
        </xdr:cNvPr>
        <xdr:cNvGrpSpPr/>
      </xdr:nvGrpSpPr>
      <xdr:grpSpPr>
        <a:xfrm>
          <a:off x="666750" y="43487837"/>
          <a:ext cx="5225559" cy="4783971"/>
          <a:chOff x="1404566" y="461116"/>
          <a:chExt cx="5224731" cy="4813788"/>
        </a:xfrm>
      </xdr:grpSpPr>
      <xdr:pic>
        <xdr:nvPicPr>
          <xdr:cNvPr id="14" name="Picture 13">
            <a:extLst>
              <a:ext uri="{FF2B5EF4-FFF2-40B4-BE49-F238E27FC236}">
                <a16:creationId xmlns:a16="http://schemas.microsoft.com/office/drawing/2014/main" id="{9380C252-B79A-43F7-8A97-FE338FF24312}"/>
              </a:ext>
            </a:extLst>
          </xdr:cNvPr>
          <xdr:cNvPicPr>
            <a:picLocks noChangeAspect="1"/>
          </xdr:cNvPicPr>
        </xdr:nvPicPr>
        <xdr:blipFill>
          <a:blip xmlns:r="http://schemas.openxmlformats.org/officeDocument/2006/relationships" r:embed="rId11"/>
          <a:stretch>
            <a:fillRect/>
          </a:stretch>
        </xdr:blipFill>
        <xdr:spPr>
          <a:xfrm>
            <a:off x="1404566" y="461116"/>
            <a:ext cx="5095294" cy="4813788"/>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EC7AA118-5880-4E17-B66F-2D3A3C879881}"/>
              </a:ext>
            </a:extLst>
          </xdr:cNvPr>
          <xdr:cNvSpPr/>
        </xdr:nvSpPr>
        <xdr:spPr>
          <a:xfrm>
            <a:off x="2057400" y="723900"/>
            <a:ext cx="2910840" cy="19527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35">
            <a:extLst>
              <a:ext uri="{FF2B5EF4-FFF2-40B4-BE49-F238E27FC236}">
                <a16:creationId xmlns:a16="http://schemas.microsoft.com/office/drawing/2014/main" id="{46B1EAD4-2BD5-46F6-AE4D-A48AE833623A}"/>
              </a:ext>
            </a:extLst>
          </xdr:cNvPr>
          <xdr:cNvSpPr txBox="1"/>
        </xdr:nvSpPr>
        <xdr:spPr>
          <a:xfrm>
            <a:off x="4960570" y="2415004"/>
            <a:ext cx="1668727"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Leela Business Park </a:t>
            </a:r>
          </a:p>
          <a:p>
            <a:r>
              <a:rPr lang="en-US" sz="1400" b="1">
                <a:solidFill>
                  <a:srgbClr val="FF0000"/>
                </a:solidFill>
              </a:rPr>
              <a:t>Phase II</a:t>
            </a:r>
            <a:endParaRPr lang="en-IN" sz="1400" b="1">
              <a:solidFill>
                <a:srgbClr val="FF0000"/>
              </a:solidFill>
            </a:endParaRPr>
          </a:p>
        </xdr:txBody>
      </xdr:sp>
      <xdr:sp macro="" textlink="">
        <xdr:nvSpPr>
          <xdr:cNvPr id="17" name="Rectangle 16">
            <a:extLst>
              <a:ext uri="{FF2B5EF4-FFF2-40B4-BE49-F238E27FC236}">
                <a16:creationId xmlns:a16="http://schemas.microsoft.com/office/drawing/2014/main" id="{6635F610-765E-4BEA-B647-C5B677A79869}"/>
              </a:ext>
            </a:extLst>
          </xdr:cNvPr>
          <xdr:cNvSpPr/>
        </xdr:nvSpPr>
        <xdr:spPr>
          <a:xfrm>
            <a:off x="2049730" y="2868010"/>
            <a:ext cx="4152950" cy="14220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TextBox 36">
            <a:extLst>
              <a:ext uri="{FF2B5EF4-FFF2-40B4-BE49-F238E27FC236}">
                <a16:creationId xmlns:a16="http://schemas.microsoft.com/office/drawing/2014/main" id="{596AA179-567A-48D8-8C31-C57780A0CB28}"/>
              </a:ext>
            </a:extLst>
          </xdr:cNvPr>
          <xdr:cNvSpPr txBox="1"/>
        </xdr:nvSpPr>
        <xdr:spPr>
          <a:xfrm>
            <a:off x="2689860" y="4290060"/>
            <a:ext cx="63991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Phase I</a:t>
            </a:r>
            <a:endParaRPr lang="en-IN" sz="1200" b="1"/>
          </a:p>
        </xdr:txBody>
      </xdr:sp>
    </xdr:grpSp>
    <xdr:clientData/>
  </xdr:twoCellAnchor>
  <xdr:twoCellAnchor editAs="oneCell">
    <xdr:from>
      <xdr:col>2</xdr:col>
      <xdr:colOff>325369</xdr:colOff>
      <xdr:row>304</xdr:row>
      <xdr:rowOff>159517</xdr:rowOff>
    </xdr:from>
    <xdr:to>
      <xdr:col>5</xdr:col>
      <xdr:colOff>436050</xdr:colOff>
      <xdr:row>319</xdr:row>
      <xdr:rowOff>39144</xdr:rowOff>
    </xdr:to>
    <xdr:pic>
      <xdr:nvPicPr>
        <xdr:cNvPr id="13" name="Picture 12">
          <a:extLst>
            <a:ext uri="{FF2B5EF4-FFF2-40B4-BE49-F238E27FC236}">
              <a16:creationId xmlns:a16="http://schemas.microsoft.com/office/drawing/2014/main" id="{80EFECF1-F344-46D5-B793-B5E4DC1A2CAF}"/>
            </a:ext>
          </a:extLst>
        </xdr:cNvPr>
        <xdr:cNvPicPr>
          <a:picLocks noChangeAspect="1"/>
        </xdr:cNvPicPr>
      </xdr:nvPicPr>
      <xdr:blipFill>
        <a:blip xmlns:r="http://schemas.openxmlformats.org/officeDocument/2006/relationships" r:embed="rId12"/>
        <a:stretch>
          <a:fillRect/>
        </a:stretch>
      </xdr:blipFill>
      <xdr:spPr>
        <a:xfrm>
          <a:off x="1887469" y="51118267"/>
          <a:ext cx="2653856" cy="2880000"/>
        </a:xfrm>
        <a:prstGeom prst="rect">
          <a:avLst/>
        </a:prstGeom>
        <a:ln>
          <a:solidFill>
            <a:schemeClr val="tx1"/>
          </a:solidFill>
        </a:ln>
      </xdr:spPr>
    </xdr:pic>
    <xdr:clientData/>
  </xdr:twoCellAnchor>
  <xdr:twoCellAnchor>
    <xdr:from>
      <xdr:col>0</xdr:col>
      <xdr:colOff>685800</xdr:colOff>
      <xdr:row>235</xdr:row>
      <xdr:rowOff>171450</xdr:rowOff>
    </xdr:from>
    <xdr:to>
      <xdr:col>7</xdr:col>
      <xdr:colOff>324215</xdr:colOff>
      <xdr:row>271</xdr:row>
      <xdr:rowOff>43760</xdr:rowOff>
    </xdr:to>
    <xdr:grpSp>
      <xdr:nvGrpSpPr>
        <xdr:cNvPr id="19" name="Group 18">
          <a:extLst>
            <a:ext uri="{FF2B5EF4-FFF2-40B4-BE49-F238E27FC236}">
              <a16:creationId xmlns:a16="http://schemas.microsoft.com/office/drawing/2014/main" id="{6C6D4D05-3AC9-43B8-8FE7-B3D622E930AF}"/>
            </a:ext>
          </a:extLst>
        </xdr:cNvPr>
        <xdr:cNvGrpSpPr/>
      </xdr:nvGrpSpPr>
      <xdr:grpSpPr>
        <a:xfrm>
          <a:off x="685800" y="34825885"/>
          <a:ext cx="5220893" cy="7020201"/>
          <a:chOff x="726602" y="680158"/>
          <a:chExt cx="5220065" cy="7063685"/>
        </a:xfrm>
      </xdr:grpSpPr>
      <xdr:pic>
        <xdr:nvPicPr>
          <xdr:cNvPr id="20" name="Picture 19">
            <a:extLst>
              <a:ext uri="{FF2B5EF4-FFF2-40B4-BE49-F238E27FC236}">
                <a16:creationId xmlns:a16="http://schemas.microsoft.com/office/drawing/2014/main" id="{2A953F7F-CAB4-41B3-AE24-22EB6408BF4A}"/>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26602" y="680158"/>
            <a:ext cx="2517667"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F2674BCD-C6DB-429A-A672-5EDBE5DE4B8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29000" y="680158"/>
            <a:ext cx="2517667"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8935BCAB-DFB8-41BA-8E4D-207670C80E1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47184" y="3428980"/>
            <a:ext cx="2337833" cy="2340000"/>
          </a:xfrm>
          <a:prstGeom prst="rect">
            <a:avLst/>
          </a:prstGeom>
          <a:ln>
            <a:solidFill>
              <a:schemeClr val="tx1"/>
            </a:solidFill>
          </a:ln>
        </xdr:spPr>
      </xdr:pic>
      <xdr:pic>
        <xdr:nvPicPr>
          <xdr:cNvPr id="23" name="Picture 22">
            <a:extLst>
              <a:ext uri="{FF2B5EF4-FFF2-40B4-BE49-F238E27FC236}">
                <a16:creationId xmlns:a16="http://schemas.microsoft.com/office/drawing/2014/main" id="{40D06C43-D40E-422C-B8F4-261CC55CB5E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429000" y="3428980"/>
            <a:ext cx="2337833" cy="2340000"/>
          </a:xfrm>
          <a:prstGeom prst="rect">
            <a:avLst/>
          </a:prstGeom>
          <a:ln>
            <a:solidFill>
              <a:schemeClr val="tx1"/>
            </a:solidFill>
          </a:ln>
        </xdr:spPr>
      </xdr:pic>
      <xdr:pic>
        <xdr:nvPicPr>
          <xdr:cNvPr id="24" name="Picture 23">
            <a:extLst>
              <a:ext uri="{FF2B5EF4-FFF2-40B4-BE49-F238E27FC236}">
                <a16:creationId xmlns:a16="http://schemas.microsoft.com/office/drawing/2014/main" id="{69AB2D8C-F85C-45E2-8326-4FF392E09938}"/>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181082" y="5943843"/>
            <a:ext cx="2388930"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F1CAB69A-9857-4C8C-88BC-2646CC6A97ED}"/>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698749" y="5943843"/>
            <a:ext cx="1798333" cy="1800000"/>
          </a:xfrm>
          <a:prstGeom prst="rect">
            <a:avLst/>
          </a:prstGeom>
          <a:ln>
            <a:solidFill>
              <a:schemeClr val="tx1"/>
            </a:solidFill>
          </a:ln>
        </xdr:spPr>
      </xdr:pic>
    </xdr:grpSp>
    <xdr:clientData/>
  </xdr:twoCellAnchor>
  <xdr:twoCellAnchor>
    <xdr:from>
      <xdr:col>0</xdr:col>
      <xdr:colOff>485775</xdr:colOff>
      <xdr:row>324</xdr:row>
      <xdr:rowOff>28575</xdr:rowOff>
    </xdr:from>
    <xdr:to>
      <xdr:col>7</xdr:col>
      <xdr:colOff>14008</xdr:colOff>
      <xdr:row>349</xdr:row>
      <xdr:rowOff>24031</xdr:rowOff>
    </xdr:to>
    <xdr:grpSp>
      <xdr:nvGrpSpPr>
        <xdr:cNvPr id="26" name="Group 25">
          <a:extLst>
            <a:ext uri="{FF2B5EF4-FFF2-40B4-BE49-F238E27FC236}">
              <a16:creationId xmlns:a16="http://schemas.microsoft.com/office/drawing/2014/main" id="{75F2074F-F3FF-4FF3-8911-BEE6CC57C10E}"/>
            </a:ext>
          </a:extLst>
        </xdr:cNvPr>
        <xdr:cNvGrpSpPr/>
      </xdr:nvGrpSpPr>
      <xdr:grpSpPr>
        <a:xfrm>
          <a:off x="485775" y="52366379"/>
          <a:ext cx="5110711" cy="4965022"/>
          <a:chOff x="874058" y="1215456"/>
          <a:chExt cx="5109883" cy="4996081"/>
        </a:xfrm>
      </xdr:grpSpPr>
      <xdr:grpSp>
        <xdr:nvGrpSpPr>
          <xdr:cNvPr id="27" name="Group 26">
            <a:extLst>
              <a:ext uri="{FF2B5EF4-FFF2-40B4-BE49-F238E27FC236}">
                <a16:creationId xmlns:a16="http://schemas.microsoft.com/office/drawing/2014/main" id="{A8B1BF58-240D-4245-AC87-65E5033BC709}"/>
              </a:ext>
            </a:extLst>
          </xdr:cNvPr>
          <xdr:cNvGrpSpPr/>
        </xdr:nvGrpSpPr>
        <xdr:grpSpPr>
          <a:xfrm>
            <a:off x="874058" y="1215456"/>
            <a:ext cx="5109883" cy="2833822"/>
            <a:chOff x="1057835" y="1380565"/>
            <a:chExt cx="5109883" cy="2833822"/>
          </a:xfrm>
        </xdr:grpSpPr>
        <xdr:pic>
          <xdr:nvPicPr>
            <xdr:cNvPr id="29" name="Picture 28">
              <a:extLst>
                <a:ext uri="{FF2B5EF4-FFF2-40B4-BE49-F238E27FC236}">
                  <a16:creationId xmlns:a16="http://schemas.microsoft.com/office/drawing/2014/main" id="{9BF073AD-C882-465E-963D-A6DF32D7050F}"/>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057835" y="1380565"/>
              <a:ext cx="5109883" cy="2814917"/>
            </a:xfrm>
            <a:prstGeom prst="rect">
              <a:avLst/>
            </a:prstGeom>
            <a:ln>
              <a:solidFill>
                <a:schemeClr val="tx1"/>
              </a:solidFill>
            </a:ln>
          </xdr:spPr>
        </xdr:pic>
        <xdr:sp macro="" textlink="">
          <xdr:nvSpPr>
            <xdr:cNvPr id="30" name="Rectangle 29">
              <a:extLst>
                <a:ext uri="{FF2B5EF4-FFF2-40B4-BE49-F238E27FC236}">
                  <a16:creationId xmlns:a16="http://schemas.microsoft.com/office/drawing/2014/main" id="{4B7A8BA4-9B98-4D54-A794-E8A19FCA2EBD}"/>
                </a:ext>
              </a:extLst>
            </xdr:cNvPr>
            <xdr:cNvSpPr/>
          </xdr:nvSpPr>
          <xdr:spPr>
            <a:xfrm rot="1195794">
              <a:off x="3365433" y="2434613"/>
              <a:ext cx="591308" cy="38123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59">
              <a:extLst>
                <a:ext uri="{FF2B5EF4-FFF2-40B4-BE49-F238E27FC236}">
                  <a16:creationId xmlns:a16="http://schemas.microsoft.com/office/drawing/2014/main" id="{FFACDA92-9BD1-4D8C-B77B-846643E9CB67}"/>
                </a:ext>
              </a:extLst>
            </xdr:cNvPr>
            <xdr:cNvSpPr txBox="1"/>
          </xdr:nvSpPr>
          <xdr:spPr>
            <a:xfrm>
              <a:off x="3899449" y="1978901"/>
              <a:ext cx="2036455"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Leela Business Park</a:t>
              </a:r>
            </a:p>
            <a:p>
              <a:r>
                <a:rPr lang="en-US" b="1">
                  <a:solidFill>
                    <a:srgbClr val="FFFF00"/>
                  </a:solidFill>
                </a:rPr>
                <a:t>Phase II</a:t>
              </a:r>
              <a:endParaRPr lang="en-IN" b="1">
                <a:solidFill>
                  <a:srgbClr val="FFFF00"/>
                </a:solidFill>
              </a:endParaRPr>
            </a:p>
          </xdr:txBody>
        </xdr:sp>
        <xdr:sp macro="" textlink="">
          <xdr:nvSpPr>
            <xdr:cNvPr id="32" name="Rectangle 31">
              <a:extLst>
                <a:ext uri="{FF2B5EF4-FFF2-40B4-BE49-F238E27FC236}">
                  <a16:creationId xmlns:a16="http://schemas.microsoft.com/office/drawing/2014/main" id="{FF3149B1-8649-4520-A09E-8675DDAE7C15}"/>
                </a:ext>
              </a:extLst>
            </xdr:cNvPr>
            <xdr:cNvSpPr/>
          </xdr:nvSpPr>
          <xdr:spPr>
            <a:xfrm rot="1195333">
              <a:off x="3224156" y="2818720"/>
              <a:ext cx="777240" cy="328557"/>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TextBox 61">
              <a:extLst>
                <a:ext uri="{FF2B5EF4-FFF2-40B4-BE49-F238E27FC236}">
                  <a16:creationId xmlns:a16="http://schemas.microsoft.com/office/drawing/2014/main" id="{31CD96D6-AF53-47EE-A663-AFD85540BD63}"/>
                </a:ext>
              </a:extLst>
            </xdr:cNvPr>
            <xdr:cNvSpPr txBox="1"/>
          </xdr:nvSpPr>
          <xdr:spPr>
            <a:xfrm>
              <a:off x="3899449" y="3106413"/>
              <a:ext cx="599844"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C000"/>
                  </a:solidFill>
                </a:rPr>
                <a:t>Phase I</a:t>
              </a:r>
              <a:endParaRPr lang="en-IN" sz="1100" b="1">
                <a:solidFill>
                  <a:srgbClr val="FFC000"/>
                </a:solidFill>
              </a:endParaRPr>
            </a:p>
          </xdr:txBody>
        </xdr:sp>
        <xdr:cxnSp macro="">
          <xdr:nvCxnSpPr>
            <xdr:cNvPr id="34" name="Straight Connector 33">
              <a:extLst>
                <a:ext uri="{FF2B5EF4-FFF2-40B4-BE49-F238E27FC236}">
                  <a16:creationId xmlns:a16="http://schemas.microsoft.com/office/drawing/2014/main" id="{59B67EB0-EA4D-42B2-A33B-E01E38581A49}"/>
                </a:ext>
              </a:extLst>
            </xdr:cNvPr>
            <xdr:cNvCxnSpPr>
              <a:cxnSpLocks/>
            </xdr:cNvCxnSpPr>
          </xdr:nvCxnSpPr>
          <xdr:spPr>
            <a:xfrm>
              <a:off x="1057835" y="2445781"/>
              <a:ext cx="4980694" cy="173079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554D8021-B1AC-4024-8F1E-A606CD6AC4B8}"/>
                </a:ext>
              </a:extLst>
            </xdr:cNvPr>
            <xdr:cNvCxnSpPr>
              <a:cxnSpLocks/>
            </xdr:cNvCxnSpPr>
          </xdr:nvCxnSpPr>
          <xdr:spPr>
            <a:xfrm>
              <a:off x="1057835" y="2606328"/>
              <a:ext cx="4719572" cy="16080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TextBox 130">
              <a:extLst>
                <a:ext uri="{FF2B5EF4-FFF2-40B4-BE49-F238E27FC236}">
                  <a16:creationId xmlns:a16="http://schemas.microsoft.com/office/drawing/2014/main" id="{9AEA57DF-0F78-473E-9D63-A9911E5D3163}"/>
                </a:ext>
              </a:extLst>
            </xdr:cNvPr>
            <xdr:cNvSpPr txBox="1"/>
          </xdr:nvSpPr>
          <xdr:spPr>
            <a:xfrm rot="1148140">
              <a:off x="2461260" y="2886311"/>
              <a:ext cx="825867"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Metro Line</a:t>
              </a:r>
              <a:endParaRPr lang="en-IN" sz="1100" b="1">
                <a:solidFill>
                  <a:srgbClr val="FF0000"/>
                </a:solidFill>
              </a:endParaRPr>
            </a:p>
          </xdr:txBody>
        </xdr:sp>
      </xdr:grpSp>
      <xdr:pic>
        <xdr:nvPicPr>
          <xdr:cNvPr id="28" name="Picture 27">
            <a:extLst>
              <a:ext uri="{FF2B5EF4-FFF2-40B4-BE49-F238E27FC236}">
                <a16:creationId xmlns:a16="http://schemas.microsoft.com/office/drawing/2014/main" id="{E0144DDA-3A97-454B-9611-497791972A57}"/>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606549" y="4250476"/>
            <a:ext cx="3644900" cy="1961061"/>
          </a:xfrm>
          <a:prstGeom prst="rect">
            <a:avLst/>
          </a:prstGeom>
          <a:ln>
            <a:solidFill>
              <a:schemeClr val="tx1"/>
            </a:solidFill>
          </a:ln>
        </xdr:spPr>
      </xdr:pic>
    </xdr:grpSp>
    <xdr:clientData/>
  </xdr:twoCellAnchor>
  <xdr:twoCellAnchor editAs="oneCell">
    <xdr:from>
      <xdr:col>8</xdr:col>
      <xdr:colOff>1126751</xdr:colOff>
      <xdr:row>23</xdr:row>
      <xdr:rowOff>61953</xdr:rowOff>
    </xdr:from>
    <xdr:to>
      <xdr:col>24</xdr:col>
      <xdr:colOff>105014</xdr:colOff>
      <xdr:row>32</xdr:row>
      <xdr:rowOff>243</xdr:rowOff>
    </xdr:to>
    <xdr:pic>
      <xdr:nvPicPr>
        <xdr:cNvPr id="37" name="Picture 36"/>
        <xdr:cNvPicPr>
          <a:picLocks noChangeAspect="1"/>
        </xdr:cNvPicPr>
      </xdr:nvPicPr>
      <xdr:blipFill>
        <a:blip xmlns:r="http://schemas.openxmlformats.org/officeDocument/2006/relationships" r:embed="rId21"/>
        <a:stretch>
          <a:fillRect/>
        </a:stretch>
      </xdr:blipFill>
      <xdr:spPr>
        <a:xfrm>
          <a:off x="7440465" y="5736132"/>
          <a:ext cx="10911728" cy="1772853"/>
        </a:xfrm>
        <a:prstGeom prst="rect">
          <a:avLst/>
        </a:prstGeom>
      </xdr:spPr>
    </xdr:pic>
    <xdr:clientData/>
  </xdr:twoCellAnchor>
  <xdr:twoCellAnchor editAs="oneCell">
    <xdr:from>
      <xdr:col>8</xdr:col>
      <xdr:colOff>1034143</xdr:colOff>
      <xdr:row>142</xdr:row>
      <xdr:rowOff>163286</xdr:rowOff>
    </xdr:from>
    <xdr:to>
      <xdr:col>14</xdr:col>
      <xdr:colOff>696007</xdr:colOff>
      <xdr:row>167</xdr:row>
      <xdr:rowOff>133916</xdr:rowOff>
    </xdr:to>
    <xdr:pic>
      <xdr:nvPicPr>
        <xdr:cNvPr id="38" name="Picture 37"/>
        <xdr:cNvPicPr>
          <a:picLocks noChangeAspect="1"/>
        </xdr:cNvPicPr>
      </xdr:nvPicPr>
      <xdr:blipFill>
        <a:blip xmlns:r="http://schemas.openxmlformats.org/officeDocument/2006/relationships" r:embed="rId22"/>
        <a:stretch>
          <a:fillRect/>
        </a:stretch>
      </xdr:blipFill>
      <xdr:spPr>
        <a:xfrm>
          <a:off x="7347857" y="25418143"/>
          <a:ext cx="4887007" cy="4039164"/>
        </a:xfrm>
        <a:prstGeom prst="rect">
          <a:avLst/>
        </a:prstGeom>
      </xdr:spPr>
    </xdr:pic>
    <xdr:clientData/>
  </xdr:twoCellAnchor>
  <xdr:twoCellAnchor editAs="oneCell">
    <xdr:from>
      <xdr:col>8</xdr:col>
      <xdr:colOff>1131795</xdr:colOff>
      <xdr:row>89</xdr:row>
      <xdr:rowOff>100853</xdr:rowOff>
    </xdr:from>
    <xdr:to>
      <xdr:col>25</xdr:col>
      <xdr:colOff>438680</xdr:colOff>
      <xdr:row>141</xdr:row>
      <xdr:rowOff>179560</xdr:rowOff>
    </xdr:to>
    <xdr:pic>
      <xdr:nvPicPr>
        <xdr:cNvPr id="39" name="Picture 38"/>
        <xdr:cNvPicPr>
          <a:picLocks noChangeAspect="1"/>
        </xdr:cNvPicPr>
      </xdr:nvPicPr>
      <xdr:blipFill>
        <a:blip xmlns:r="http://schemas.openxmlformats.org/officeDocument/2006/relationships" r:embed="rId23"/>
        <a:stretch>
          <a:fillRect/>
        </a:stretch>
      </xdr:blipFill>
      <xdr:spPr>
        <a:xfrm>
          <a:off x="7440707" y="21347206"/>
          <a:ext cx="11812649" cy="1905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squareyards.com/mumbai-residential-property/leela-business-park/119252/project" TargetMode="External"/><Relationship Id="rId1" Type="http://schemas.openxmlformats.org/officeDocument/2006/relationships/hyperlink" Target="https://maps.app.goo.gl/HB2iBATWSLA4KkBR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3"/>
  <sheetViews>
    <sheetView tabSelected="1" view="pageBreakPreview" topLeftCell="A16" zoomScale="115" zoomScaleNormal="100" zoomScaleSheetLayoutView="115" zoomScalePageLayoutView="85" workbookViewId="0">
      <selection activeCell="J21" sqref="J21"/>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42" t="s">
        <v>379</v>
      </c>
      <c r="B1" s="242"/>
      <c r="C1" s="242"/>
      <c r="D1" s="242"/>
      <c r="E1" s="242"/>
      <c r="F1" s="242"/>
      <c r="G1" s="242"/>
      <c r="H1" s="242"/>
    </row>
    <row r="2" spans="1:26" ht="16.5" customHeight="1" x14ac:dyDescent="0.25">
      <c r="A2" s="243" t="s">
        <v>0</v>
      </c>
      <c r="B2" s="243"/>
      <c r="C2" s="243"/>
      <c r="D2" s="243"/>
      <c r="E2" s="243"/>
      <c r="F2" s="243"/>
      <c r="G2" s="243"/>
      <c r="H2" s="243"/>
    </row>
    <row r="3" spans="1:26" x14ac:dyDescent="0.25">
      <c r="A3" s="152" t="s">
        <v>1</v>
      </c>
      <c r="B3" s="152"/>
      <c r="C3" s="152"/>
      <c r="D3" s="152"/>
      <c r="E3" s="152" t="str">
        <f ca="1">TEXT(TODAY(),"DD/MM/YYYY")</f>
        <v>04/07/2025</v>
      </c>
      <c r="F3" s="152"/>
      <c r="G3" s="152"/>
      <c r="H3" s="152"/>
      <c r="K3" s="54" t="s">
        <v>237</v>
      </c>
      <c r="L3" s="52" t="s">
        <v>235</v>
      </c>
      <c r="M3" s="52" t="s">
        <v>240</v>
      </c>
      <c r="N3" s="52" t="s">
        <v>238</v>
      </c>
      <c r="O3" s="52" t="s">
        <v>357</v>
      </c>
      <c r="P3" s="52" t="s">
        <v>382</v>
      </c>
    </row>
    <row r="4" spans="1:26" ht="15" customHeight="1" x14ac:dyDescent="0.25">
      <c r="A4" s="152" t="s">
        <v>234</v>
      </c>
      <c r="B4" s="152"/>
      <c r="C4" s="152"/>
      <c r="D4" s="152"/>
      <c r="E4" s="217" t="s">
        <v>235</v>
      </c>
      <c r="F4" s="217"/>
      <c r="G4" s="217"/>
      <c r="H4" s="217"/>
      <c r="K4" s="51" t="s">
        <v>236</v>
      </c>
      <c r="L4" s="52" t="s">
        <v>172</v>
      </c>
      <c r="M4" s="52" t="s">
        <v>245</v>
      </c>
      <c r="N4" s="52" t="s">
        <v>247</v>
      </c>
      <c r="O4" s="52" t="s">
        <v>343</v>
      </c>
      <c r="P4" s="52" t="s">
        <v>383</v>
      </c>
    </row>
    <row r="5" spans="1:26" ht="15" customHeight="1" x14ac:dyDescent="0.25">
      <c r="A5" s="152" t="s">
        <v>2</v>
      </c>
      <c r="B5" s="152"/>
      <c r="C5" s="152"/>
      <c r="D5" s="152"/>
      <c r="E5" s="217" t="s">
        <v>172</v>
      </c>
      <c r="F5" s="217"/>
      <c r="G5" s="217"/>
      <c r="H5" s="217"/>
      <c r="K5" s="51"/>
      <c r="L5" s="52" t="s">
        <v>242</v>
      </c>
      <c r="M5" s="52" t="s">
        <v>246</v>
      </c>
      <c r="N5" s="52" t="s">
        <v>248</v>
      </c>
      <c r="O5" s="52" t="s">
        <v>344</v>
      </c>
      <c r="P5" s="52"/>
    </row>
    <row r="6" spans="1:26" x14ac:dyDescent="0.25">
      <c r="A6" s="152" t="s">
        <v>3</v>
      </c>
      <c r="B6" s="152"/>
      <c r="C6" s="152"/>
      <c r="D6" s="152"/>
      <c r="E6" s="244">
        <v>45840</v>
      </c>
      <c r="F6" s="152"/>
      <c r="G6" s="152"/>
      <c r="H6" s="152"/>
      <c r="K6" s="51"/>
      <c r="L6" s="52" t="s">
        <v>243</v>
      </c>
      <c r="M6" s="52" t="s">
        <v>355</v>
      </c>
      <c r="N6" s="52"/>
      <c r="O6" s="52" t="s">
        <v>345</v>
      </c>
      <c r="P6" s="52"/>
    </row>
    <row r="7" spans="1:26" ht="16.5" customHeight="1" x14ac:dyDescent="0.25">
      <c r="A7" s="152" t="s">
        <v>4</v>
      </c>
      <c r="B7" s="152"/>
      <c r="C7" s="152"/>
      <c r="D7" s="152"/>
      <c r="E7" s="152" t="s">
        <v>385</v>
      </c>
      <c r="F7" s="152"/>
      <c r="G7" s="152"/>
      <c r="H7" s="152"/>
      <c r="K7" s="51"/>
      <c r="L7" s="52" t="s">
        <v>244</v>
      </c>
      <c r="M7" s="52"/>
      <c r="N7" s="52"/>
      <c r="O7" s="52" t="s">
        <v>345</v>
      </c>
      <c r="P7" s="52"/>
    </row>
    <row r="8" spans="1:26" ht="15" customHeight="1" x14ac:dyDescent="0.25">
      <c r="A8" s="152" t="s">
        <v>5</v>
      </c>
      <c r="B8" s="152"/>
      <c r="C8" s="152"/>
      <c r="D8" s="152"/>
      <c r="E8" s="152" t="str">
        <f>E7</f>
        <v xml:space="preserve">Rockfort Estate Developers Private Limited </v>
      </c>
      <c r="F8" s="152"/>
      <c r="G8" s="152"/>
      <c r="H8" s="152"/>
      <c r="K8" s="51"/>
      <c r="L8" s="52"/>
      <c r="M8" s="52"/>
      <c r="N8" s="52"/>
      <c r="O8" s="52" t="s">
        <v>346</v>
      </c>
      <c r="P8" s="52"/>
    </row>
    <row r="9" spans="1:26" x14ac:dyDescent="0.25">
      <c r="A9" s="152" t="s">
        <v>6</v>
      </c>
      <c r="B9" s="152"/>
      <c r="C9" s="152"/>
      <c r="D9" s="152"/>
      <c r="E9" s="148" t="s">
        <v>384</v>
      </c>
      <c r="F9" s="148"/>
      <c r="G9" s="148"/>
      <c r="H9" s="148"/>
      <c r="K9" s="51"/>
      <c r="L9" s="52"/>
      <c r="M9" s="52"/>
      <c r="N9" s="52"/>
      <c r="O9" s="52" t="s">
        <v>347</v>
      </c>
      <c r="P9" s="52"/>
    </row>
    <row r="10" spans="1:26" x14ac:dyDescent="0.25">
      <c r="A10" s="152" t="s">
        <v>168</v>
      </c>
      <c r="B10" s="152"/>
      <c r="C10" s="152"/>
      <c r="D10" s="152"/>
      <c r="E10" s="152" t="s">
        <v>386</v>
      </c>
      <c r="F10" s="152"/>
      <c r="G10" s="152"/>
      <c r="H10" s="152"/>
      <c r="K10" s="51"/>
      <c r="L10" s="52"/>
      <c r="M10" s="52"/>
      <c r="N10" s="52"/>
      <c r="O10" s="52" t="s">
        <v>348</v>
      </c>
      <c r="P10" s="52"/>
    </row>
    <row r="11" spans="1:26" x14ac:dyDescent="0.25">
      <c r="A11" s="152" t="s">
        <v>169</v>
      </c>
      <c r="B11" s="152"/>
      <c r="C11" s="152"/>
      <c r="D11" s="152"/>
      <c r="E11" s="165" t="s">
        <v>438</v>
      </c>
      <c r="F11" s="165"/>
      <c r="G11" s="165"/>
      <c r="H11" s="165"/>
      <c r="O11" s="52" t="s">
        <v>349</v>
      </c>
    </row>
    <row r="12" spans="1:26" x14ac:dyDescent="0.25">
      <c r="A12" s="152" t="s">
        <v>7</v>
      </c>
      <c r="B12" s="152"/>
      <c r="C12" s="152"/>
      <c r="D12" s="152"/>
      <c r="E12" s="152" t="s">
        <v>119</v>
      </c>
      <c r="F12" s="152"/>
      <c r="G12" s="152"/>
      <c r="H12" s="152"/>
    </row>
    <row r="13" spans="1:26" x14ac:dyDescent="0.25">
      <c r="A13" s="217" t="s">
        <v>173</v>
      </c>
      <c r="B13" s="217"/>
      <c r="C13" s="217"/>
      <c r="D13" s="217"/>
      <c r="E13" s="152" t="s">
        <v>388</v>
      </c>
      <c r="F13" s="152"/>
      <c r="G13" s="152"/>
      <c r="H13" s="152"/>
      <c r="S13" s="52" t="s">
        <v>180</v>
      </c>
      <c r="T13" s="52" t="s">
        <v>189</v>
      </c>
      <c r="U13" s="52" t="s">
        <v>174</v>
      </c>
      <c r="V13" s="52" t="s">
        <v>194</v>
      </c>
      <c r="W13" s="52" t="s">
        <v>212</v>
      </c>
      <c r="X13"/>
      <c r="Y13" t="s">
        <v>194</v>
      </c>
      <c r="Z13" t="e">
        <f ca="1">OFFSET($S$13,1,MATCH($G20,$S$13:$W$13,0)-1,15,1)</f>
        <v>#VALUE!</v>
      </c>
    </row>
    <row r="14" spans="1:26" x14ac:dyDescent="0.25">
      <c r="A14" s="163" t="s">
        <v>280</v>
      </c>
      <c r="B14" s="163"/>
      <c r="C14" s="163"/>
      <c r="D14" s="163"/>
      <c r="E14" s="241" t="s">
        <v>443</v>
      </c>
      <c r="F14" s="241"/>
      <c r="G14" s="241"/>
      <c r="H14" s="241"/>
      <c r="S14" s="52" t="s">
        <v>180</v>
      </c>
      <c r="T14" s="52" t="s">
        <v>187</v>
      </c>
      <c r="U14" s="52" t="s">
        <v>209</v>
      </c>
      <c r="V14" s="52" t="s">
        <v>195</v>
      </c>
      <c r="W14" s="52" t="s">
        <v>213</v>
      </c>
      <c r="X14"/>
      <c r="Y14"/>
      <c r="Z14"/>
    </row>
    <row r="15" spans="1:26" x14ac:dyDescent="0.25">
      <c r="A15" s="163" t="s">
        <v>8</v>
      </c>
      <c r="B15" s="163"/>
      <c r="C15" s="163"/>
      <c r="D15" s="163"/>
      <c r="E15" s="241" t="s">
        <v>389</v>
      </c>
      <c r="F15" s="217"/>
      <c r="G15" s="217"/>
      <c r="H15" s="217"/>
      <c r="I15" s="260" t="e">
        <f ca="1">OFFSET($D$5,1,MATCH($J13,$D$5:$H$5,0)-1,15,1)</f>
        <v>#N/A</v>
      </c>
      <c r="J15" s="261"/>
      <c r="K15" s="261"/>
      <c r="L15" s="261"/>
      <c r="M15" s="261"/>
      <c r="N15" s="261"/>
      <c r="O15" s="261"/>
      <c r="P15" s="261"/>
      <c r="S15" s="52" t="s">
        <v>181</v>
      </c>
      <c r="T15" s="52" t="s">
        <v>188</v>
      </c>
      <c r="U15" s="52" t="s">
        <v>210</v>
      </c>
      <c r="V15" s="52" t="s">
        <v>196</v>
      </c>
      <c r="W15" s="52" t="s">
        <v>226</v>
      </c>
      <c r="X15"/>
      <c r="Y15"/>
      <c r="Z15"/>
    </row>
    <row r="16" spans="1:26" ht="51.75" customHeight="1" x14ac:dyDescent="0.25">
      <c r="A16" s="181" t="s">
        <v>9</v>
      </c>
      <c r="B16" s="181"/>
      <c r="C16" s="165" t="str">
        <f>CONCATENATE((IF(OR(E9="",E9="NA"),"",E9)),", ",(IF(OR(A17="",A17="NA"),"",A17)),".",(IF(OR(C17="",C17="NA"),"",C17)),", near ",(IF(OR(C22="",C22="NA"),"",C22)),", ",(IF(OR(C19="",C19="NA"),"",C19)),", ",(IF(OR(C18="",C18="NA"),"",C18)),", ",(IF(OR(G19="",G19="NA"),"",G19)),", ",(IF(OR(C20="",C20="NA"),"",C20)),", ",(IF(OR(C21="",C21="NA"),"",C21)),", ",(IF(OR(G20="",G20="NA"),"",G20))," - ",(IF(OR(G21="",G21="NA"),"",G21)),".")</f>
        <v>Leela Business Park ­ II, CTS No.1300, 1388/A, 1388/B, 1387A/1 and 1387A/2, near Sunteck Crest, Marol Pipe Line Road, Vijay Nagar Colony, Marol, Andheri East, Andheri, Mumbai - 400059.</v>
      </c>
      <c r="D16" s="165"/>
      <c r="E16" s="165"/>
      <c r="F16" s="165"/>
      <c r="G16" s="165"/>
      <c r="H16" s="165"/>
      <c r="S16" s="52" t="s">
        <v>182</v>
      </c>
      <c r="T16" s="52" t="s">
        <v>190</v>
      </c>
      <c r="U16" s="52" t="s">
        <v>211</v>
      </c>
      <c r="V16" s="52" t="s">
        <v>197</v>
      </c>
      <c r="W16" s="52" t="s">
        <v>214</v>
      </c>
      <c r="X16"/>
      <c r="Y16"/>
      <c r="Z16"/>
    </row>
    <row r="17" spans="1:26" ht="15.75" customHeight="1" x14ac:dyDescent="0.25">
      <c r="A17" s="241" t="s">
        <v>177</v>
      </c>
      <c r="B17" s="241"/>
      <c r="C17" s="165" t="s">
        <v>390</v>
      </c>
      <c r="D17" s="165"/>
      <c r="E17" s="165"/>
      <c r="F17" s="165"/>
      <c r="G17" s="165"/>
      <c r="H17" s="165"/>
      <c r="I17" s="283" t="s">
        <v>439</v>
      </c>
      <c r="J17" s="284"/>
      <c r="K17" s="284"/>
      <c r="S17" s="52" t="s">
        <v>183</v>
      </c>
      <c r="T17" s="52" t="s">
        <v>191</v>
      </c>
      <c r="U17" s="52" t="s">
        <v>174</v>
      </c>
      <c r="V17" s="52" t="s">
        <v>198</v>
      </c>
      <c r="W17" s="52" t="s">
        <v>215</v>
      </c>
      <c r="X17"/>
      <c r="Y17"/>
      <c r="Z17"/>
    </row>
    <row r="18" spans="1:26" ht="15.75" customHeight="1" x14ac:dyDescent="0.25">
      <c r="A18" s="165" t="s">
        <v>164</v>
      </c>
      <c r="B18" s="165"/>
      <c r="C18" s="165" t="s">
        <v>428</v>
      </c>
      <c r="D18" s="165"/>
      <c r="E18" s="165"/>
      <c r="F18" s="165"/>
      <c r="G18" s="165"/>
      <c r="H18" s="165"/>
      <c r="I18" s="283"/>
      <c r="J18" s="284"/>
      <c r="K18" s="284"/>
      <c r="S18" s="52" t="s">
        <v>184</v>
      </c>
      <c r="T18" s="52" t="s">
        <v>189</v>
      </c>
      <c r="U18" s="52"/>
      <c r="V18" s="52" t="s">
        <v>199</v>
      </c>
      <c r="W18" s="52" t="s">
        <v>216</v>
      </c>
      <c r="X18"/>
      <c r="Y18"/>
      <c r="Z18"/>
    </row>
    <row r="19" spans="1:26" x14ac:dyDescent="0.25">
      <c r="A19" s="181" t="s">
        <v>10</v>
      </c>
      <c r="B19" s="181"/>
      <c r="C19" s="165" t="s">
        <v>427</v>
      </c>
      <c r="D19" s="165"/>
      <c r="E19" s="165" t="s">
        <v>69</v>
      </c>
      <c r="F19" s="165"/>
      <c r="G19" s="165" t="s">
        <v>391</v>
      </c>
      <c r="H19" s="165"/>
      <c r="I19" s="283"/>
      <c r="J19" s="284"/>
      <c r="K19" s="284"/>
      <c r="S19" s="52" t="s">
        <v>185</v>
      </c>
      <c r="T19" s="52" t="s">
        <v>192</v>
      </c>
      <c r="U19" s="52"/>
      <c r="V19" s="52" t="s">
        <v>200</v>
      </c>
      <c r="W19" s="52" t="s">
        <v>217</v>
      </c>
      <c r="X19"/>
      <c r="Y19"/>
      <c r="Z19"/>
    </row>
    <row r="20" spans="1:26" x14ac:dyDescent="0.25">
      <c r="A20" s="163" t="s">
        <v>12</v>
      </c>
      <c r="B20" s="163"/>
      <c r="C20" s="165" t="s">
        <v>445</v>
      </c>
      <c r="D20" s="165"/>
      <c r="E20" s="165" t="s">
        <v>11</v>
      </c>
      <c r="F20" s="165"/>
      <c r="G20" s="240" t="s">
        <v>174</v>
      </c>
      <c r="H20" s="240"/>
      <c r="S20" s="52" t="s">
        <v>186</v>
      </c>
      <c r="T20" s="52" t="s">
        <v>193</v>
      </c>
      <c r="U20" s="52"/>
      <c r="V20" s="52" t="s">
        <v>201</v>
      </c>
      <c r="W20" s="52" t="s">
        <v>218</v>
      </c>
      <c r="X20"/>
      <c r="Y20"/>
      <c r="Z20"/>
    </row>
    <row r="21" spans="1:26" x14ac:dyDescent="0.25">
      <c r="A21" s="163" t="s">
        <v>70</v>
      </c>
      <c r="B21" s="163"/>
      <c r="C21" s="165" t="s">
        <v>209</v>
      </c>
      <c r="D21" s="165"/>
      <c r="E21" s="165" t="s">
        <v>13</v>
      </c>
      <c r="F21" s="165"/>
      <c r="G21" s="165">
        <v>400059</v>
      </c>
      <c r="H21" s="165"/>
      <c r="S21" s="52"/>
      <c r="T21" s="52"/>
      <c r="U21" s="52"/>
      <c r="V21" s="52" t="s">
        <v>202</v>
      </c>
      <c r="W21" s="52" t="s">
        <v>219</v>
      </c>
      <c r="X21"/>
      <c r="Y21"/>
      <c r="Z21"/>
    </row>
    <row r="22" spans="1:26" ht="32.25" customHeight="1" x14ac:dyDescent="0.25">
      <c r="A22" s="163" t="s">
        <v>121</v>
      </c>
      <c r="B22" s="163"/>
      <c r="C22" s="165" t="s">
        <v>426</v>
      </c>
      <c r="D22" s="165"/>
      <c r="E22" s="165" t="s">
        <v>14</v>
      </c>
      <c r="F22" s="165"/>
      <c r="G22" s="165" t="s">
        <v>422</v>
      </c>
      <c r="H22" s="165"/>
      <c r="S22" s="52"/>
      <c r="T22" s="52"/>
      <c r="U22" s="52"/>
      <c r="V22" s="52" t="s">
        <v>203</v>
      </c>
      <c r="W22" s="52" t="s">
        <v>220</v>
      </c>
      <c r="X22"/>
      <c r="Y22"/>
      <c r="Z22"/>
    </row>
    <row r="23" spans="1:26" ht="15" customHeight="1" x14ac:dyDescent="0.25">
      <c r="A23" s="181" t="s">
        <v>72</v>
      </c>
      <c r="B23" s="181"/>
      <c r="C23" s="181"/>
      <c r="D23" s="181"/>
      <c r="E23" s="152" t="s">
        <v>15</v>
      </c>
      <c r="F23" s="152"/>
      <c r="G23" s="152"/>
      <c r="H23" s="152"/>
      <c r="S23" s="52"/>
      <c r="T23" s="52"/>
      <c r="U23" s="52"/>
      <c r="V23" s="52" t="s">
        <v>204</v>
      </c>
      <c r="W23" s="52" t="s">
        <v>221</v>
      </c>
      <c r="X23"/>
      <c r="Y23"/>
      <c r="Z23"/>
    </row>
    <row r="24" spans="1:26" ht="18.75" customHeight="1" x14ac:dyDescent="0.25">
      <c r="A24" s="181"/>
      <c r="B24" s="181"/>
      <c r="C24" s="181"/>
      <c r="D24" s="181"/>
      <c r="E24" s="152"/>
      <c r="F24" s="152"/>
      <c r="G24" s="152"/>
      <c r="H24" s="152"/>
      <c r="S24" s="52"/>
      <c r="T24" s="52"/>
      <c r="U24" s="52"/>
      <c r="V24" s="52" t="s">
        <v>205</v>
      </c>
      <c r="W24" s="52" t="s">
        <v>222</v>
      </c>
      <c r="X24"/>
      <c r="Y24"/>
      <c r="Z24"/>
    </row>
    <row r="25" spans="1:26" ht="15" customHeight="1" x14ac:dyDescent="0.25">
      <c r="A25" s="181" t="s">
        <v>16</v>
      </c>
      <c r="B25" s="181"/>
      <c r="C25" s="181"/>
      <c r="D25" s="181"/>
      <c r="E25" s="165" t="s">
        <v>17</v>
      </c>
      <c r="F25" s="165"/>
      <c r="G25" s="165"/>
      <c r="H25" s="165"/>
      <c r="S25" s="52"/>
      <c r="T25" s="52"/>
      <c r="U25" s="52"/>
      <c r="V25" s="52" t="s">
        <v>206</v>
      </c>
      <c r="W25" s="52" t="s">
        <v>223</v>
      </c>
      <c r="X25"/>
      <c r="Y25"/>
      <c r="Z25"/>
    </row>
    <row r="26" spans="1:26" ht="15" customHeight="1" x14ac:dyDescent="0.25">
      <c r="A26" s="163" t="s">
        <v>18</v>
      </c>
      <c r="B26" s="163"/>
      <c r="C26" s="163"/>
      <c r="D26" s="163"/>
      <c r="E26" s="165" t="str">
        <f>IF(AND(G20="Mumbai"),"Upper Class","Middle Class")</f>
        <v>Upper Class</v>
      </c>
      <c r="F26" s="165"/>
      <c r="G26" s="165"/>
      <c r="H26" s="165"/>
      <c r="S26" s="52"/>
      <c r="T26" s="52"/>
      <c r="U26" s="52"/>
      <c r="V26" s="52" t="s">
        <v>207</v>
      </c>
      <c r="W26" s="52" t="s">
        <v>224</v>
      </c>
      <c r="X26"/>
      <c r="Y26"/>
      <c r="Z26"/>
    </row>
    <row r="27" spans="1:26" x14ac:dyDescent="0.25">
      <c r="A27" s="163" t="s">
        <v>19</v>
      </c>
      <c r="B27" s="163"/>
      <c r="C27" s="163"/>
      <c r="D27" s="163"/>
      <c r="E27" s="165" t="s">
        <v>20</v>
      </c>
      <c r="F27" s="165"/>
      <c r="G27" s="165"/>
      <c r="H27" s="165"/>
      <c r="S27" s="52"/>
      <c r="T27" s="52"/>
      <c r="U27" s="52"/>
      <c r="V27" s="52" t="s">
        <v>208</v>
      </c>
      <c r="W27" s="52" t="s">
        <v>225</v>
      </c>
      <c r="X27"/>
      <c r="Y27"/>
      <c r="Z27"/>
    </row>
    <row r="28" spans="1:26" ht="15.75" customHeight="1" x14ac:dyDescent="0.25">
      <c r="A28" s="163" t="s">
        <v>21</v>
      </c>
      <c r="B28" s="163"/>
      <c r="C28" s="163"/>
      <c r="D28" s="163"/>
      <c r="E28" s="165" t="str">
        <f>IF(AND(G20="Mumbai"),"Developed","Developing")</f>
        <v>Developed</v>
      </c>
      <c r="F28" s="165"/>
      <c r="G28" s="165"/>
      <c r="H28" s="165"/>
    </row>
    <row r="29" spans="1:26" x14ac:dyDescent="0.25">
      <c r="A29" s="163" t="s">
        <v>22</v>
      </c>
      <c r="B29" s="163"/>
      <c r="C29" s="163"/>
      <c r="D29" s="163"/>
      <c r="E29" s="165" t="s">
        <v>23</v>
      </c>
      <c r="F29" s="165"/>
      <c r="G29" s="165"/>
      <c r="H29" s="165"/>
    </row>
    <row r="30" spans="1:26" ht="15.75" customHeight="1" x14ac:dyDescent="0.25">
      <c r="A30" s="163" t="s">
        <v>77</v>
      </c>
      <c r="B30" s="163"/>
      <c r="C30" s="163"/>
      <c r="D30" s="163"/>
      <c r="E30" s="165" t="s">
        <v>78</v>
      </c>
      <c r="F30" s="165"/>
      <c r="G30" s="165"/>
      <c r="H30" s="165"/>
    </row>
    <row r="31" spans="1:26" ht="15" customHeight="1" x14ac:dyDescent="0.25">
      <c r="A31" s="163" t="s">
        <v>30</v>
      </c>
      <c r="B31" s="163"/>
      <c r="C31" s="163"/>
      <c r="D31" s="163"/>
      <c r="E31" s="16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Commercial</v>
      </c>
      <c r="F31" s="165"/>
      <c r="G31" s="165"/>
      <c r="H31" s="165"/>
    </row>
    <row r="32" spans="1:26" ht="15.75" customHeight="1" x14ac:dyDescent="0.25">
      <c r="A32" s="163" t="s">
        <v>89</v>
      </c>
      <c r="B32" s="163"/>
      <c r="C32" s="163"/>
      <c r="D32" s="163"/>
      <c r="E32" s="165" t="s">
        <v>31</v>
      </c>
      <c r="F32" s="165"/>
      <c r="G32" s="165"/>
      <c r="H32" s="165"/>
    </row>
    <row r="33" spans="1:19" s="22" customFormat="1" x14ac:dyDescent="0.25">
      <c r="A33" s="236" t="s">
        <v>90</v>
      </c>
      <c r="B33" s="236"/>
      <c r="C33" s="233" t="s">
        <v>175</v>
      </c>
      <c r="D33" s="234"/>
      <c r="E33" s="235"/>
      <c r="F33" s="233" t="s">
        <v>29</v>
      </c>
      <c r="G33" s="234"/>
      <c r="H33" s="235"/>
      <c r="S33" s="22" t="e">
        <f ca="1">OFFSET($S$13,1,MATCH($G20,$S$13:$W$13,0)-1,15,1)</f>
        <v>#VALUE!</v>
      </c>
    </row>
    <row r="34" spans="1:19" s="22" customFormat="1" x14ac:dyDescent="0.25">
      <c r="A34" s="232" t="s">
        <v>24</v>
      </c>
      <c r="B34" s="232" t="s">
        <v>28</v>
      </c>
      <c r="C34" s="183" t="s">
        <v>398</v>
      </c>
      <c r="D34" s="184"/>
      <c r="E34" s="185"/>
      <c r="F34" s="237" t="s">
        <v>399</v>
      </c>
      <c r="G34" s="238"/>
      <c r="H34" s="239"/>
    </row>
    <row r="35" spans="1:19" x14ac:dyDescent="0.25">
      <c r="A35" s="232" t="s">
        <v>25</v>
      </c>
      <c r="B35" s="232" t="s">
        <v>28</v>
      </c>
      <c r="C35" s="183" t="s">
        <v>395</v>
      </c>
      <c r="D35" s="184"/>
      <c r="E35" s="185"/>
      <c r="F35" s="183" t="s">
        <v>400</v>
      </c>
      <c r="G35" s="184"/>
      <c r="H35" s="185"/>
    </row>
    <row r="36" spans="1:19" s="22" customFormat="1" x14ac:dyDescent="0.25">
      <c r="A36" s="232" t="s">
        <v>27</v>
      </c>
      <c r="B36" s="232" t="s">
        <v>28</v>
      </c>
      <c r="C36" s="183" t="s">
        <v>394</v>
      </c>
      <c r="D36" s="184"/>
      <c r="E36" s="185"/>
      <c r="F36" s="183" t="s">
        <v>401</v>
      </c>
      <c r="G36" s="184"/>
      <c r="H36" s="185"/>
    </row>
    <row r="37" spans="1:19" x14ac:dyDescent="0.25">
      <c r="A37" s="232" t="s">
        <v>26</v>
      </c>
      <c r="B37" s="232" t="s">
        <v>28</v>
      </c>
      <c r="C37" s="183" t="s">
        <v>396</v>
      </c>
      <c r="D37" s="184"/>
      <c r="E37" s="185"/>
      <c r="F37" s="183" t="s">
        <v>397</v>
      </c>
      <c r="G37" s="184"/>
      <c r="H37" s="185"/>
    </row>
    <row r="38" spans="1:19" x14ac:dyDescent="0.25">
      <c r="A38" s="163" t="s">
        <v>281</v>
      </c>
      <c r="B38" s="163"/>
      <c r="C38" s="163"/>
      <c r="D38" s="163"/>
      <c r="E38" s="163"/>
      <c r="F38" s="163"/>
      <c r="G38" s="163"/>
      <c r="H38" s="163"/>
    </row>
    <row r="39" spans="1:19" ht="15.75" customHeight="1" x14ac:dyDescent="0.25">
      <c r="A39" s="163" t="s">
        <v>166</v>
      </c>
      <c r="B39" s="163"/>
      <c r="C39" s="193" t="s">
        <v>425</v>
      </c>
      <c r="D39" s="193"/>
      <c r="E39" s="193"/>
      <c r="F39" s="193"/>
      <c r="G39" s="193"/>
      <c r="H39" s="193"/>
    </row>
    <row r="40" spans="1:19" x14ac:dyDescent="0.25">
      <c r="A40" s="163" t="s">
        <v>163</v>
      </c>
      <c r="B40" s="163"/>
      <c r="C40" s="164" t="s">
        <v>392</v>
      </c>
      <c r="D40" s="165"/>
      <c r="E40" s="165"/>
      <c r="F40" s="165"/>
      <c r="G40" s="165"/>
      <c r="H40" s="165"/>
    </row>
    <row r="41" spans="1:19" x14ac:dyDescent="0.25">
      <c r="A41" s="193" t="s">
        <v>32</v>
      </c>
      <c r="B41" s="193"/>
      <c r="C41" s="193"/>
      <c r="D41" s="193"/>
      <c r="E41" s="193"/>
      <c r="F41" s="193"/>
      <c r="G41" s="193"/>
      <c r="H41" s="193"/>
    </row>
    <row r="42" spans="1:19" x14ac:dyDescent="0.25">
      <c r="A42" s="163" t="s">
        <v>33</v>
      </c>
      <c r="B42" s="163"/>
      <c r="C42" s="163"/>
      <c r="D42" s="163"/>
      <c r="E42" s="213">
        <v>11710.44</v>
      </c>
      <c r="F42" s="213"/>
      <c r="G42" s="213"/>
      <c r="H42" s="213"/>
    </row>
    <row r="43" spans="1:19" x14ac:dyDescent="0.25">
      <c r="A43" s="163" t="s">
        <v>34</v>
      </c>
      <c r="B43" s="163"/>
      <c r="C43" s="163"/>
      <c r="D43" s="163"/>
      <c r="E43" s="215">
        <v>1</v>
      </c>
      <c r="F43" s="215"/>
      <c r="G43" s="215"/>
      <c r="H43" s="215"/>
    </row>
    <row r="44" spans="1:19" x14ac:dyDescent="0.25">
      <c r="A44" s="163" t="s">
        <v>35</v>
      </c>
      <c r="B44" s="163"/>
      <c r="C44" s="163"/>
      <c r="D44" s="163"/>
      <c r="E44" s="215">
        <f>E46/E42-E43</f>
        <v>8.4150552840029702E-2</v>
      </c>
      <c r="F44" s="215"/>
      <c r="G44" s="215"/>
      <c r="H44" s="215"/>
    </row>
    <row r="45" spans="1:19" x14ac:dyDescent="0.25">
      <c r="A45" s="163" t="s">
        <v>36</v>
      </c>
      <c r="B45" s="163"/>
      <c r="C45" s="163"/>
      <c r="D45" s="163"/>
      <c r="E45" s="215">
        <f>E43+E44</f>
        <v>1.0841505528400297</v>
      </c>
      <c r="F45" s="215"/>
      <c r="G45" s="215"/>
      <c r="H45" s="215"/>
    </row>
    <row r="46" spans="1:19" x14ac:dyDescent="0.25">
      <c r="A46" s="163" t="s">
        <v>88</v>
      </c>
      <c r="B46" s="163"/>
      <c r="C46" s="163"/>
      <c r="D46" s="163"/>
      <c r="E46" s="216">
        <v>12695.88</v>
      </c>
      <c r="F46" s="216"/>
      <c r="G46" s="216"/>
      <c r="H46" s="216"/>
    </row>
    <row r="47" spans="1:19" x14ac:dyDescent="0.25">
      <c r="A47" s="152" t="s">
        <v>37</v>
      </c>
      <c r="B47" s="152"/>
      <c r="C47" s="152"/>
      <c r="D47" s="152"/>
      <c r="E47" s="217" t="s">
        <v>119</v>
      </c>
      <c r="F47" s="217"/>
      <c r="G47" s="217"/>
      <c r="H47" s="217"/>
    </row>
    <row r="48" spans="1:19" x14ac:dyDescent="0.25">
      <c r="A48" s="193" t="s">
        <v>38</v>
      </c>
      <c r="B48" s="193"/>
      <c r="C48" s="193"/>
      <c r="D48" s="193"/>
      <c r="E48" s="193"/>
      <c r="F48" s="193"/>
      <c r="G48" s="193"/>
      <c r="H48" s="193"/>
    </row>
    <row r="49" spans="1:24" ht="33.75" customHeight="1" x14ac:dyDescent="0.25">
      <c r="A49" s="186" t="s">
        <v>153</v>
      </c>
      <c r="B49" s="188"/>
      <c r="C49" s="220" t="s">
        <v>256</v>
      </c>
      <c r="D49" s="221"/>
      <c r="E49" s="221"/>
      <c r="F49" s="221"/>
      <c r="G49" s="221"/>
      <c r="H49" s="222"/>
      <c r="R49" t="s">
        <v>254</v>
      </c>
      <c r="S49" s="55" t="s">
        <v>174</v>
      </c>
      <c r="T49" s="55" t="s">
        <v>180</v>
      </c>
      <c r="U49" s="55" t="s">
        <v>194</v>
      </c>
      <c r="V49" s="55" t="s">
        <v>189</v>
      </c>
    </row>
    <row r="50" spans="1:24" ht="30.75" customHeight="1" x14ac:dyDescent="0.25">
      <c r="A50" s="186" t="s">
        <v>39</v>
      </c>
      <c r="B50" s="188"/>
      <c r="C50" s="186" t="s">
        <v>393</v>
      </c>
      <c r="D50" s="187"/>
      <c r="E50" s="188"/>
      <c r="F50" s="18" t="s">
        <v>40</v>
      </c>
      <c r="G50" s="189">
        <v>45764</v>
      </c>
      <c r="H50" s="190"/>
      <c r="R50"/>
      <c r="S50" s="55" t="s">
        <v>255</v>
      </c>
      <c r="T50" s="55" t="s">
        <v>260</v>
      </c>
      <c r="U50" s="55" t="s">
        <v>271</v>
      </c>
      <c r="V50" s="55" t="s">
        <v>276</v>
      </c>
    </row>
    <row r="51" spans="1:24" ht="30.75" customHeight="1" x14ac:dyDescent="0.25">
      <c r="A51" s="186" t="s">
        <v>41</v>
      </c>
      <c r="B51" s="188"/>
      <c r="C51" s="171" t="str">
        <f>C50</f>
        <v>P-4588/2020/(1300 And Other)/K/E Ward/MAROL/337/4/Amend</v>
      </c>
      <c r="D51" s="172"/>
      <c r="E51" s="173"/>
      <c r="F51" s="106" t="s">
        <v>40</v>
      </c>
      <c r="G51" s="191">
        <f>G50</f>
        <v>45764</v>
      </c>
      <c r="H51" s="192"/>
      <c r="R51"/>
      <c r="S51" s="55" t="s">
        <v>256</v>
      </c>
      <c r="T51" s="55" t="s">
        <v>358</v>
      </c>
      <c r="U51" s="55" t="s">
        <v>269</v>
      </c>
      <c r="V51" s="55" t="s">
        <v>277</v>
      </c>
    </row>
    <row r="52" spans="1:24" s="23" customFormat="1" ht="15.75" customHeight="1" x14ac:dyDescent="0.25">
      <c r="A52" s="197" t="s">
        <v>157</v>
      </c>
      <c r="B52" s="198"/>
      <c r="C52" s="203" t="s">
        <v>402</v>
      </c>
      <c r="D52" s="204"/>
      <c r="E52" s="205"/>
      <c r="F52" s="106" t="s">
        <v>40</v>
      </c>
      <c r="G52" s="191">
        <v>44574</v>
      </c>
      <c r="H52" s="192"/>
      <c r="I52" s="22" t="str">
        <f ca="1">IF(G52&gt;EDATE(E3,-48),"NO REMARK","CC REMARK FOR CC")</f>
        <v>NO REMARK</v>
      </c>
      <c r="J52" s="76"/>
      <c r="R52"/>
      <c r="S52" s="55" t="s">
        <v>257</v>
      </c>
      <c r="T52" s="55" t="s">
        <v>262</v>
      </c>
      <c r="U52" s="55" t="s">
        <v>259</v>
      </c>
      <c r="V52" s="55" t="s">
        <v>278</v>
      </c>
    </row>
    <row r="53" spans="1:24" s="23" customFormat="1" ht="33.75" customHeight="1" x14ac:dyDescent="0.25">
      <c r="A53" s="199"/>
      <c r="B53" s="200"/>
      <c r="C53" s="206"/>
      <c r="D53" s="207"/>
      <c r="E53" s="208"/>
      <c r="F53" s="106" t="s">
        <v>120</v>
      </c>
      <c r="G53" s="191">
        <v>45669</v>
      </c>
      <c r="H53" s="173"/>
      <c r="I53" s="96" t="s">
        <v>403</v>
      </c>
      <c r="R53"/>
      <c r="S53" s="55" t="s">
        <v>258</v>
      </c>
      <c r="T53" s="55" t="s">
        <v>265</v>
      </c>
      <c r="U53" s="55" t="s">
        <v>272</v>
      </c>
      <c r="V53" s="72" t="s">
        <v>351</v>
      </c>
    </row>
    <row r="54" spans="1:24" s="23" customFormat="1" ht="51" customHeight="1" x14ac:dyDescent="0.25">
      <c r="A54" s="201"/>
      <c r="B54" s="202"/>
      <c r="C54" s="171" t="s">
        <v>430</v>
      </c>
      <c r="D54" s="172"/>
      <c r="E54" s="172"/>
      <c r="F54" s="172"/>
      <c r="G54" s="172"/>
      <c r="H54" s="173"/>
      <c r="R54"/>
      <c r="S54" s="55"/>
      <c r="T54" s="55"/>
      <c r="U54" s="55"/>
      <c r="V54" s="72"/>
    </row>
    <row r="55" spans="1:24" s="23" customFormat="1" ht="32.25" customHeight="1" x14ac:dyDescent="0.25">
      <c r="A55" s="209" t="s">
        <v>282</v>
      </c>
      <c r="B55" s="210"/>
      <c r="C55" s="171" t="s">
        <v>432</v>
      </c>
      <c r="D55" s="172"/>
      <c r="E55" s="173"/>
      <c r="F55" s="106" t="s">
        <v>40</v>
      </c>
      <c r="G55" s="191">
        <v>45818</v>
      </c>
      <c r="H55" s="192"/>
      <c r="K55" s="77">
        <f>EDATE(G52,-48)</f>
        <v>43113</v>
      </c>
      <c r="L55" s="23" t="str">
        <f ca="1">IF(G52&gt;EDATE(E3,-48),"NO REMARK","CC REMARK FOR CC")</f>
        <v>NO REMARK</v>
      </c>
      <c r="R55"/>
      <c r="S55" s="55" t="s">
        <v>257</v>
      </c>
      <c r="T55" s="55" t="s">
        <v>262</v>
      </c>
      <c r="U55" s="55" t="s">
        <v>259</v>
      </c>
      <c r="V55" s="55" t="s">
        <v>278</v>
      </c>
    </row>
    <row r="56" spans="1:24" s="23" customFormat="1" x14ac:dyDescent="0.25">
      <c r="A56" s="211"/>
      <c r="B56" s="212"/>
      <c r="C56" s="194" t="s">
        <v>433</v>
      </c>
      <c r="D56" s="195"/>
      <c r="E56" s="195"/>
      <c r="F56" s="195"/>
      <c r="G56" s="195"/>
      <c r="H56" s="196"/>
      <c r="R56"/>
      <c r="S56" s="55" t="s">
        <v>259</v>
      </c>
      <c r="T56" s="55" t="s">
        <v>263</v>
      </c>
      <c r="U56" s="55" t="s">
        <v>273</v>
      </c>
      <c r="V56" s="73"/>
      <c r="W56" s="21"/>
      <c r="X56" s="21"/>
    </row>
    <row r="57" spans="1:24" s="23" customFormat="1" x14ac:dyDescent="0.25">
      <c r="A57" s="209" t="s">
        <v>283</v>
      </c>
      <c r="B57" s="210"/>
      <c r="C57" s="186" t="s">
        <v>404</v>
      </c>
      <c r="D57" s="187"/>
      <c r="E57" s="188"/>
      <c r="F57" s="18" t="s">
        <v>40</v>
      </c>
      <c r="G57" s="189">
        <v>43921</v>
      </c>
      <c r="H57" s="190"/>
      <c r="R57"/>
      <c r="S57" s="73"/>
      <c r="T57" s="55" t="s">
        <v>264</v>
      </c>
      <c r="U57" s="55" t="s">
        <v>274</v>
      </c>
      <c r="V57" s="73"/>
      <c r="W57" s="21"/>
      <c r="X57" s="21"/>
    </row>
    <row r="58" spans="1:24" s="23" customFormat="1" ht="51.75" customHeight="1" x14ac:dyDescent="0.25">
      <c r="A58" s="211"/>
      <c r="B58" s="212"/>
      <c r="C58" s="186" t="s">
        <v>431</v>
      </c>
      <c r="D58" s="187"/>
      <c r="E58" s="187"/>
      <c r="F58" s="187"/>
      <c r="G58" s="187"/>
      <c r="H58" s="188"/>
      <c r="R58"/>
      <c r="S58" s="73"/>
      <c r="T58" s="55" t="s">
        <v>266</v>
      </c>
      <c r="U58" s="55" t="s">
        <v>275</v>
      </c>
      <c r="V58" s="73"/>
      <c r="W58" s="21"/>
      <c r="X58" s="21"/>
    </row>
    <row r="59" spans="1:24" s="23" customFormat="1" ht="15.75" customHeight="1" x14ac:dyDescent="0.25">
      <c r="A59" s="203" t="s">
        <v>353</v>
      </c>
      <c r="B59" s="205"/>
      <c r="C59" s="203" t="s">
        <v>405</v>
      </c>
      <c r="D59" s="204"/>
      <c r="E59" s="205"/>
      <c r="F59" s="106" t="s">
        <v>40</v>
      </c>
      <c r="G59" s="191">
        <v>43614</v>
      </c>
      <c r="H59" s="192"/>
      <c r="R59"/>
      <c r="S59" s="73"/>
      <c r="T59" s="55" t="s">
        <v>267</v>
      </c>
      <c r="U59" s="73" t="s">
        <v>297</v>
      </c>
      <c r="V59" s="73"/>
      <c r="W59" s="21"/>
      <c r="X59" s="21"/>
    </row>
    <row r="60" spans="1:24" s="23" customFormat="1" ht="33.75" customHeight="1" x14ac:dyDescent="0.25">
      <c r="A60" s="223"/>
      <c r="B60" s="231"/>
      <c r="C60" s="206"/>
      <c r="D60" s="207"/>
      <c r="E60" s="208"/>
      <c r="F60" s="106" t="s">
        <v>354</v>
      </c>
      <c r="G60" s="191">
        <v>46535</v>
      </c>
      <c r="H60" s="192"/>
      <c r="R60"/>
      <c r="S60" s="73"/>
      <c r="T60" s="55" t="s">
        <v>268</v>
      </c>
      <c r="U60" s="73"/>
      <c r="V60" s="73"/>
      <c r="W60" s="21"/>
      <c r="X60" s="21"/>
    </row>
    <row r="61" spans="1:24" s="23" customFormat="1" ht="33.75" customHeight="1" x14ac:dyDescent="0.25">
      <c r="A61" s="206"/>
      <c r="B61" s="208"/>
      <c r="C61" s="171" t="s">
        <v>406</v>
      </c>
      <c r="D61" s="172"/>
      <c r="E61" s="172"/>
      <c r="F61" s="172"/>
      <c r="G61" s="172"/>
      <c r="H61" s="173"/>
      <c r="I61" s="108">
        <f>57.13-17.56</f>
        <v>39.570000000000007</v>
      </c>
      <c r="R61"/>
      <c r="S61" s="73"/>
      <c r="T61" s="55"/>
      <c r="U61" s="73"/>
      <c r="V61" s="73"/>
      <c r="W61" s="21"/>
      <c r="X61" s="21"/>
    </row>
    <row r="62" spans="1:24" x14ac:dyDescent="0.25">
      <c r="A62" s="263" t="s">
        <v>42</v>
      </c>
      <c r="B62" s="264"/>
      <c r="C62" s="263" t="s">
        <v>102</v>
      </c>
      <c r="D62" s="265"/>
      <c r="E62" s="264"/>
      <c r="F62" s="107" t="s">
        <v>40</v>
      </c>
      <c r="G62" s="267" t="s">
        <v>28</v>
      </c>
      <c r="H62" s="268"/>
      <c r="R62"/>
      <c r="S62" s="73"/>
      <c r="T62" s="55" t="s">
        <v>270</v>
      </c>
      <c r="U62" s="73"/>
      <c r="V62" s="73"/>
    </row>
    <row r="63" spans="1:24" x14ac:dyDescent="0.25">
      <c r="A63" s="228" t="s">
        <v>44</v>
      </c>
      <c r="B63" s="228"/>
      <c r="C63" s="228"/>
      <c r="D63" s="228"/>
      <c r="E63" s="228"/>
      <c r="F63" s="228"/>
      <c r="G63" s="228"/>
      <c r="H63" s="228"/>
      <c r="S63" s="73"/>
      <c r="T63" s="55" t="s">
        <v>279</v>
      </c>
      <c r="U63" s="73"/>
      <c r="V63" s="73"/>
    </row>
    <row r="64" spans="1:24" x14ac:dyDescent="0.25">
      <c r="A64" s="181" t="s">
        <v>87</v>
      </c>
      <c r="B64" s="181"/>
      <c r="C64" s="181"/>
      <c r="D64" s="152">
        <f>E46</f>
        <v>12695.88</v>
      </c>
      <c r="E64" s="152"/>
      <c r="F64" s="152"/>
      <c r="G64" s="152"/>
      <c r="H64" s="152"/>
      <c r="R64"/>
    </row>
    <row r="65" spans="1:19" x14ac:dyDescent="0.25">
      <c r="A65" s="165" t="s">
        <v>45</v>
      </c>
      <c r="B65" s="152"/>
      <c r="C65" s="152"/>
      <c r="D65" s="152" t="s">
        <v>417</v>
      </c>
      <c r="E65" s="152"/>
      <c r="F65" s="152"/>
      <c r="G65" s="152"/>
      <c r="H65" s="152"/>
      <c r="I65" s="24"/>
      <c r="R65"/>
    </row>
    <row r="66" spans="1:19" x14ac:dyDescent="0.25">
      <c r="A66" s="203" t="s">
        <v>46</v>
      </c>
      <c r="B66" s="204"/>
      <c r="C66" s="205"/>
      <c r="D66" s="218" t="s">
        <v>436</v>
      </c>
      <c r="E66" s="219"/>
      <c r="F66" s="219"/>
      <c r="G66" s="219"/>
      <c r="H66" s="219"/>
      <c r="I66" s="279" t="s">
        <v>437</v>
      </c>
      <c r="J66" s="280"/>
      <c r="K66" s="280"/>
      <c r="L66" s="280"/>
      <c r="M66" s="280"/>
      <c r="R66"/>
    </row>
    <row r="67" spans="1:19" ht="15.75" customHeight="1" x14ac:dyDescent="0.25">
      <c r="A67" s="203" t="s">
        <v>85</v>
      </c>
      <c r="B67" s="204"/>
      <c r="C67" s="204"/>
      <c r="D67" s="165" t="s">
        <v>413</v>
      </c>
      <c r="E67" s="152"/>
      <c r="F67" s="152"/>
      <c r="G67" s="152"/>
      <c r="H67" s="152"/>
      <c r="I67" s="281"/>
      <c r="J67" s="282"/>
      <c r="K67" s="282"/>
      <c r="L67" s="282"/>
      <c r="M67" s="282"/>
      <c r="R67"/>
    </row>
    <row r="68" spans="1:19" ht="15.75" hidden="1" customHeight="1" x14ac:dyDescent="0.25">
      <c r="A68" s="223"/>
      <c r="B68" s="224"/>
      <c r="C68" s="224"/>
      <c r="D68" s="225" t="s">
        <v>298</v>
      </c>
      <c r="E68" s="226"/>
      <c r="F68" s="226"/>
      <c r="G68" s="226"/>
      <c r="H68" s="227"/>
      <c r="I68" s="281"/>
      <c r="J68" s="282"/>
      <c r="K68" s="282"/>
      <c r="L68" s="282"/>
      <c r="M68" s="282"/>
      <c r="R68"/>
    </row>
    <row r="69" spans="1:19" ht="15.75" hidden="1" customHeight="1" x14ac:dyDescent="0.25">
      <c r="A69" s="206"/>
      <c r="B69" s="207"/>
      <c r="C69" s="207"/>
      <c r="D69" s="270" t="s">
        <v>170</v>
      </c>
      <c r="E69" s="271"/>
      <c r="F69" s="271"/>
      <c r="G69" s="271"/>
      <c r="H69" s="272"/>
      <c r="I69" s="281"/>
      <c r="J69" s="282"/>
      <c r="K69" s="282"/>
      <c r="L69" s="282"/>
      <c r="M69" s="282"/>
      <c r="S69"/>
    </row>
    <row r="70" spans="1:19" ht="15.75" customHeight="1" x14ac:dyDescent="0.25">
      <c r="A70" s="163" t="s">
        <v>43</v>
      </c>
      <c r="B70" s="163"/>
      <c r="C70" s="163"/>
      <c r="D70" s="182" t="s">
        <v>387</v>
      </c>
      <c r="E70" s="182"/>
      <c r="F70" s="182"/>
      <c r="G70" s="182"/>
      <c r="H70" s="182"/>
      <c r="I70" s="281"/>
      <c r="J70" s="282"/>
      <c r="K70" s="282"/>
      <c r="L70" s="282"/>
      <c r="M70" s="282"/>
      <c r="N70" s="24"/>
      <c r="S70"/>
    </row>
    <row r="71" spans="1:19" ht="15.75" customHeight="1" x14ac:dyDescent="0.25">
      <c r="A71" s="163" t="s">
        <v>83</v>
      </c>
      <c r="B71" s="163"/>
      <c r="C71" s="163"/>
      <c r="D71" s="214" t="str">
        <f>(IF(G62="NA","60 Years After Completion",IF(G62&lt;&gt;"NA",""&amp;60-ROUNDDOWN((E3-G62)/360,0)&amp;" Years"," ")))</f>
        <v>60 Years After Completion</v>
      </c>
      <c r="E71" s="214"/>
      <c r="F71" s="214"/>
      <c r="G71" s="214"/>
      <c r="H71" s="214"/>
      <c r="N71" s="24"/>
      <c r="S71"/>
    </row>
    <row r="72" spans="1:19" ht="15.75" customHeight="1" x14ac:dyDescent="0.25">
      <c r="A72" s="163" t="s">
        <v>84</v>
      </c>
      <c r="B72" s="163"/>
      <c r="C72" s="163"/>
      <c r="D72" s="181" t="s">
        <v>23</v>
      </c>
      <c r="E72" s="181"/>
      <c r="F72" s="181"/>
      <c r="G72" s="181"/>
      <c r="H72" s="181"/>
      <c r="J72" s="25"/>
      <c r="K72" s="25"/>
      <c r="S72"/>
    </row>
    <row r="73" spans="1:19" x14ac:dyDescent="0.25">
      <c r="A73" s="217" t="s">
        <v>420</v>
      </c>
      <c r="B73" s="217"/>
      <c r="C73" s="217"/>
      <c r="D73" s="165" t="s">
        <v>419</v>
      </c>
      <c r="E73" s="181"/>
      <c r="F73" s="181"/>
      <c r="G73" s="181"/>
      <c r="H73" s="181"/>
      <c r="I73" s="105" t="s">
        <v>421</v>
      </c>
      <c r="S73"/>
    </row>
    <row r="74" spans="1:19" x14ac:dyDescent="0.25">
      <c r="A74" s="181" t="s">
        <v>149</v>
      </c>
      <c r="B74" s="181"/>
      <c r="C74" s="181"/>
      <c r="D74" s="181" t="s">
        <v>28</v>
      </c>
      <c r="E74" s="181"/>
      <c r="F74" s="181"/>
      <c r="G74" s="181"/>
      <c r="H74" s="181"/>
      <c r="I74" s="26"/>
      <c r="J74" s="26"/>
      <c r="K74" s="26"/>
      <c r="L74" s="26"/>
      <c r="M74" s="26"/>
      <c r="N74" s="26"/>
    </row>
    <row r="75" spans="1:19" ht="15.75" customHeight="1" x14ac:dyDescent="0.25">
      <c r="A75" s="230" t="s">
        <v>82</v>
      </c>
      <c r="B75" s="230"/>
      <c r="C75" s="230"/>
      <c r="D75" s="218" t="str">
        <f ca="1">(IF(G81&gt;95%,"Nothing",IF(G81&gt;0%,"Cement, Aggregate, Steel, etc",IF(G81=0%,"Work not yet Started"))))</f>
        <v>Cement, Aggregate, Steel, etc</v>
      </c>
      <c r="E75" s="218"/>
      <c r="F75" s="218"/>
      <c r="G75" s="218"/>
      <c r="H75" s="218"/>
      <c r="J75" s="25"/>
      <c r="S75"/>
    </row>
    <row r="76" spans="1:19" ht="33.75" customHeight="1" thickBot="1" x14ac:dyDescent="0.3">
      <c r="A76" s="229" t="s">
        <v>115</v>
      </c>
      <c r="B76" s="229"/>
      <c r="C76" s="229"/>
      <c r="D76" s="218" t="str">
        <f ca="1">(IF(D75="Nothing","Yes",IF(D75="Cement, Aggregate, Steel, etc","Under Construction",IF(D75="Work not yet Started","Work not yet Started"))))</f>
        <v>Under Construction</v>
      </c>
      <c r="E76" s="218"/>
      <c r="F76" s="218" t="str">
        <f ca="1">(IF(D75="Nothing","Yes",IF(D75="Cement, Aggregate, Steel, etc","Under Construction",IF(D75="Work not yet Started","Work not yet Started"))))</f>
        <v>Under Construction</v>
      </c>
      <c r="G76" s="218"/>
      <c r="H76" s="218"/>
      <c r="S76"/>
    </row>
    <row r="77" spans="1:19" ht="15.75" customHeight="1" x14ac:dyDescent="0.25">
      <c r="A77" s="142" t="s">
        <v>139</v>
      </c>
      <c r="B77" s="143"/>
      <c r="C77" s="144" t="str">
        <f>D67</f>
        <v>B + G + 2P + 1 to 10th Floor</v>
      </c>
      <c r="D77" s="145"/>
      <c r="E77" s="145"/>
      <c r="F77" s="145"/>
      <c r="G77" s="145"/>
      <c r="H77" s="146"/>
      <c r="I77" s="47" t="str">
        <f ca="1">IF(D90=100%,"All work Completed. Possession granted to the Building.",IF(D89=100%,"All work Completed, Waiting for OC",I78&amp;""&amp;I79&amp;""&amp;J78&amp;""&amp;J77&amp;" "&amp;J79))</f>
        <v xml:space="preserve">Excavation Completed, Footing work is process </v>
      </c>
      <c r="J77" s="48"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16" t="s">
        <v>141</v>
      </c>
      <c r="B78" s="45">
        <v>1</v>
      </c>
      <c r="C78" s="45" t="s">
        <v>68</v>
      </c>
      <c r="D78" s="45">
        <v>1</v>
      </c>
      <c r="E78" s="45" t="s">
        <v>67</v>
      </c>
      <c r="F78" s="103">
        <v>2</v>
      </c>
      <c r="G78" s="46" t="s">
        <v>76</v>
      </c>
      <c r="H78" s="17">
        <f ca="1">--TRIM(RIGHT(SUBSTITUTE(LEFT(C77,_xlfn.AGGREGATE(16,6,FIND({0,1,2,3,4,5,6,7,8,9},C77,ROW(INDIRECT("1:"&amp;LEN(C77)))),1))," ",REPT(" ",LEN(C77))),LEN(C77)))</f>
        <v>10</v>
      </c>
      <c r="I78" s="49" t="str">
        <f ca="1">IF(D81=100%,"Excavation","")&amp;IF(D82=100%,", Plinth","")&amp;IF(D83=100%,", RCC Slab","")&amp;IF(D84=100%,", Brickwork","")&amp;IF(D85=100%,", Internal Plaster","")&amp;IF(D86=100%,", External Plaster","")&amp;IF(D87=100%,", Flooring","")&amp;IF(D88=100%,", Painting","")&amp;IF(D89=100%,", Building common Amenities","")</f>
        <v>Excavation</v>
      </c>
      <c r="J78" s="50"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Footing work is process</v>
      </c>
      <c r="S78"/>
    </row>
    <row r="79" spans="1:19" ht="19.5" customHeight="1" x14ac:dyDescent="0.25">
      <c r="A79" s="147" t="s">
        <v>86</v>
      </c>
      <c r="B79" s="148"/>
      <c r="C79" s="149" t="str">
        <f ca="1">I77</f>
        <v xml:space="preserve">Excavation Completed, Footing work is process </v>
      </c>
      <c r="D79" s="149"/>
      <c r="E79" s="149"/>
      <c r="F79" s="149"/>
      <c r="G79" s="149"/>
      <c r="H79" s="150"/>
      <c r="I79" s="49" t="str">
        <f ca="1">IF(I78&lt;&gt;""," Completed","")</f>
        <v xml:space="preserve"> Completed</v>
      </c>
      <c r="J79" s="50" t="str">
        <f ca="1">IF(J77&lt;&gt;"","Completed","")</f>
        <v/>
      </c>
      <c r="S79"/>
    </row>
    <row r="80" spans="1:19" ht="15.75" customHeight="1" x14ac:dyDescent="0.25">
      <c r="A80" s="109" t="s">
        <v>47</v>
      </c>
      <c r="B80" s="110"/>
      <c r="C80" s="42" t="s">
        <v>138</v>
      </c>
      <c r="D80" s="42" t="s">
        <v>79</v>
      </c>
      <c r="E80" s="110" t="s">
        <v>81</v>
      </c>
      <c r="F80" s="110"/>
      <c r="G80" s="110" t="s">
        <v>80</v>
      </c>
      <c r="H80" s="151"/>
      <c r="I80" s="13" t="s">
        <v>140</v>
      </c>
      <c r="J80" s="27">
        <f ca="1">H78*25%</f>
        <v>2.5</v>
      </c>
      <c r="S80"/>
    </row>
    <row r="81" spans="1:19" x14ac:dyDescent="0.25">
      <c r="A81" s="109" t="s">
        <v>127</v>
      </c>
      <c r="B81" s="110"/>
      <c r="C81" s="97">
        <f ca="1">J82</f>
        <v>10</v>
      </c>
      <c r="D81" s="19">
        <f ca="1">((100/H78)*C81)/100</f>
        <v>1</v>
      </c>
      <c r="E81" s="125">
        <f ca="1">(((C82/H78*10)+(40/(D78+F78+H78)*C83)+(7.5/(H78)*C84)+(7.5/(H78)*C85)+(10/H78*C86)+(10/H78*C87)+(5/H78*C88)+(5/H78*C89)+(5/H78*C90))/100)</f>
        <v>2.5000000000000001E-2</v>
      </c>
      <c r="F81" s="126"/>
      <c r="G81" s="125">
        <f ca="1">((((C81/H78)*20)+((C82/H78)*25)+(30/(H78+F78+D78)*C83)+(5/H78*C84)+(5/H78*C85)+(5/H78*C86)+(5/H78*C87)+(0/H78*C88)+(0/H78*C89)+(5/H78*C90))/100)</f>
        <v>0.26250000000000001</v>
      </c>
      <c r="H81" s="131"/>
      <c r="I81" s="13" t="s">
        <v>97</v>
      </c>
      <c r="J81" s="28">
        <f ca="1">H78*50%</f>
        <v>5</v>
      </c>
    </row>
    <row r="82" spans="1:19" x14ac:dyDescent="0.25">
      <c r="A82" s="109" t="s">
        <v>48</v>
      </c>
      <c r="B82" s="110"/>
      <c r="C82" s="104">
        <f ca="1">J83</f>
        <v>2.5</v>
      </c>
      <c r="D82" s="19">
        <f ca="1">((100/H78)*C82)/100</f>
        <v>0.25</v>
      </c>
      <c r="E82" s="127"/>
      <c r="F82" s="128"/>
      <c r="G82" s="127"/>
      <c r="H82" s="132"/>
      <c r="I82" s="13" t="s">
        <v>98</v>
      </c>
      <c r="J82" s="28">
        <f ca="1">H78</f>
        <v>10</v>
      </c>
      <c r="L82" s="93"/>
      <c r="S82"/>
    </row>
    <row r="83" spans="1:19" ht="15.75" customHeight="1" x14ac:dyDescent="0.25">
      <c r="A83" s="109" t="s">
        <v>128</v>
      </c>
      <c r="B83" s="110"/>
      <c r="C83" s="42">
        <v>0</v>
      </c>
      <c r="D83" s="19">
        <f ca="1">((100/(D78+F78+H78))*C83)/100</f>
        <v>0</v>
      </c>
      <c r="E83" s="127"/>
      <c r="F83" s="128"/>
      <c r="G83" s="127"/>
      <c r="H83" s="132"/>
      <c r="I83" s="13" t="s">
        <v>99</v>
      </c>
      <c r="J83" s="29">
        <f ca="1">(IF(B78&gt;1,(H78/(B78+2)),H78/4))</f>
        <v>2.5</v>
      </c>
      <c r="S83"/>
    </row>
    <row r="84" spans="1:19" ht="15.75" customHeight="1" x14ac:dyDescent="0.25">
      <c r="A84" s="109" t="s">
        <v>135</v>
      </c>
      <c r="B84" s="110" t="s">
        <v>129</v>
      </c>
      <c r="C84" s="42">
        <v>0</v>
      </c>
      <c r="D84" s="19">
        <f ca="1">((100/H78)*C84)/100</f>
        <v>0</v>
      </c>
      <c r="E84" s="127"/>
      <c r="F84" s="128"/>
      <c r="G84" s="127"/>
      <c r="H84" s="132"/>
      <c r="I84" s="13" t="s">
        <v>100</v>
      </c>
      <c r="J84" s="29">
        <f ca="1">(IF(B78&gt;1,(H78/(B78+2)+J83),H78/4+J83))</f>
        <v>5</v>
      </c>
    </row>
    <row r="85" spans="1:19" ht="15.75" customHeight="1" x14ac:dyDescent="0.25">
      <c r="A85" s="109" t="s">
        <v>136</v>
      </c>
      <c r="B85" s="110" t="s">
        <v>129</v>
      </c>
      <c r="C85" s="42">
        <v>0</v>
      </c>
      <c r="D85" s="19">
        <f ca="1">((100/H78)*C85)/100</f>
        <v>0</v>
      </c>
      <c r="E85" s="127"/>
      <c r="F85" s="128"/>
      <c r="G85" s="127"/>
      <c r="H85" s="132"/>
      <c r="I85" s="13" t="s">
        <v>147</v>
      </c>
      <c r="J85" s="29">
        <f>(IF(B78&gt;1,(H78/(B78+2)+J84),0))</f>
        <v>0</v>
      </c>
    </row>
    <row r="86" spans="1:19" ht="15" customHeight="1" x14ac:dyDescent="0.25">
      <c r="A86" s="109" t="s">
        <v>134</v>
      </c>
      <c r="B86" s="110" t="s">
        <v>131</v>
      </c>
      <c r="C86" s="42">
        <v>0</v>
      </c>
      <c r="D86" s="19">
        <f ca="1">((100/(H78))*C86)/100</f>
        <v>0</v>
      </c>
      <c r="E86" s="127"/>
      <c r="F86" s="128"/>
      <c r="G86" s="127"/>
      <c r="H86" s="132"/>
      <c r="I86" s="13" t="s">
        <v>142</v>
      </c>
      <c r="J86" s="29">
        <f>(IF(B78&gt;2,(H78/(B78+2)+J85),0))</f>
        <v>0</v>
      </c>
    </row>
    <row r="87" spans="1:19" ht="15.75" customHeight="1" x14ac:dyDescent="0.25">
      <c r="A87" s="109" t="s">
        <v>130</v>
      </c>
      <c r="B87" s="110" t="s">
        <v>130</v>
      </c>
      <c r="C87" s="42">
        <v>0</v>
      </c>
      <c r="D87" s="19">
        <f ca="1">((100/H78)*C87)/100</f>
        <v>0</v>
      </c>
      <c r="E87" s="127"/>
      <c r="F87" s="128"/>
      <c r="G87" s="127"/>
      <c r="H87" s="132"/>
      <c r="I87" s="13" t="s">
        <v>143</v>
      </c>
      <c r="J87" s="30">
        <f>(IF(B78&gt;3,(H78/(B78+2)+J86),0))</f>
        <v>0</v>
      </c>
    </row>
    <row r="88" spans="1:19" ht="15.75" customHeight="1" x14ac:dyDescent="0.25">
      <c r="A88" s="109" t="s">
        <v>137</v>
      </c>
      <c r="B88" s="110"/>
      <c r="C88" s="42">
        <v>0</v>
      </c>
      <c r="D88" s="19">
        <f ca="1">((100/H78)*C88)/100</f>
        <v>0</v>
      </c>
      <c r="E88" s="127"/>
      <c r="F88" s="128"/>
      <c r="G88" s="127"/>
      <c r="H88" s="132"/>
      <c r="I88" s="13" t="s">
        <v>144</v>
      </c>
      <c r="J88" s="29">
        <f>(IF(B78&gt;4,(H78/(B78+2)+J87),0))</f>
        <v>0</v>
      </c>
    </row>
    <row r="89" spans="1:19" ht="15.75" customHeight="1" x14ac:dyDescent="0.25">
      <c r="A89" s="109" t="s">
        <v>132</v>
      </c>
      <c r="B89" s="110" t="s">
        <v>132</v>
      </c>
      <c r="C89" s="42">
        <v>0</v>
      </c>
      <c r="D89" s="19">
        <f ca="1">((100/(H78))*C89)/100</f>
        <v>0</v>
      </c>
      <c r="E89" s="127"/>
      <c r="F89" s="128"/>
      <c r="G89" s="127"/>
      <c r="H89" s="132"/>
      <c r="I89" s="13" t="s">
        <v>148</v>
      </c>
      <c r="J89" s="29">
        <f ca="1">(IF(B78=1,(H78/(B78+3)+J84),IF(B78=0,(H78/4+J84),IF(B78&gt;1,0))))</f>
        <v>7.5</v>
      </c>
    </row>
    <row r="90" spans="1:19" ht="16.5" thickBot="1" x14ac:dyDescent="0.3">
      <c r="A90" s="116" t="s">
        <v>133</v>
      </c>
      <c r="B90" s="117"/>
      <c r="C90" s="43">
        <v>0</v>
      </c>
      <c r="D90" s="20">
        <f ca="1">((100/(H78))*C90)/100</f>
        <v>0</v>
      </c>
      <c r="E90" s="129"/>
      <c r="F90" s="130"/>
      <c r="G90" s="129"/>
      <c r="H90" s="133"/>
      <c r="I90" s="15" t="s">
        <v>101</v>
      </c>
      <c r="J90" s="31">
        <f ca="1">(IF(B78&gt;1.5,(H78/(B78+2)+J84+MAX(0,J85-J84)+MAX(0,J86-J85)+MAX(0,J87-J86)+MAX(0,J88-J87)+MAX(0,J89-J88)),IF(B78=1,(H78/(B78+3)+J89),IF(B78=0,H78/4+J89))))</f>
        <v>10</v>
      </c>
    </row>
    <row r="91" spans="1:19" ht="15.75" hidden="1" customHeight="1" x14ac:dyDescent="0.25">
      <c r="A91" s="142" t="s">
        <v>139</v>
      </c>
      <c r="B91" s="143"/>
      <c r="C91" s="144" t="str">
        <f>D68</f>
        <v>B Wing = 1B + G + 1st to 19th Floor</v>
      </c>
      <c r="D91" s="145"/>
      <c r="E91" s="145"/>
      <c r="F91" s="145"/>
      <c r="G91" s="145"/>
      <c r="H91" s="146"/>
      <c r="I91" s="47" t="str">
        <f ca="1">IF(D104=100%,"All work Completed. Possession granted to the Building.",IF(D103=100%,"All work Completed, Waiting for OC",I92&amp;""&amp;I93&amp;""&amp;J92&amp;""&amp;J91&amp;" "&amp;J93))</f>
        <v xml:space="preserve">Excavation, Plinth Completed </v>
      </c>
      <c r="J91" s="48"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hidden="1" x14ac:dyDescent="0.25">
      <c r="A92" s="16" t="s">
        <v>141</v>
      </c>
      <c r="B92" s="45">
        <f>IF(AND(ISNUMBER(SEARCH("1B",C91))),1,IF(AND(ISNUMBER(SEARCH("2B",C91))),2,IF(AND(ISNUMBER(SEARCH("3B",C91))),3,IF(AND(ISNUMBER(SEARCH("4B",C91))),4,IF(ISNUMBER(SEARCH("5B",C91)),5,0)))))</f>
        <v>1</v>
      </c>
      <c r="C92" s="45" t="s">
        <v>68</v>
      </c>
      <c r="D92" s="45">
        <v>1</v>
      </c>
      <c r="E92" s="45" t="s">
        <v>67</v>
      </c>
      <c r="F92" s="14">
        <v>0</v>
      </c>
      <c r="G92" s="46" t="s">
        <v>76</v>
      </c>
      <c r="H92" s="17">
        <f ca="1">--TRIM(RIGHT(SUBSTITUTE(LEFT(C91,_xlfn.AGGREGATE(16,6,FIND({0,1,2,3,4,5,6,7,8,9},C91,ROW(INDIRECT("1:"&amp;LEN(C91)))),1))," ",REPT(" ",LEN(C91))),LEN(C91)))</f>
        <v>19</v>
      </c>
      <c r="I92" s="49" t="str">
        <f ca="1">IF(D95=100%,"Excavation","")&amp;IF(D96=100%,", Plinth","")&amp;IF(D97=100%,", RCC Slab","")&amp;IF(D98=100%,", Brickwork","")&amp;IF(D99=100%,", Internal Plaster","")&amp;IF(D100=100%,", External Plaster","")&amp;IF(D101=100%,", Flooring","")&amp;IF(D102=100%,", Painting","")&amp;IF(D103=100%,", Building common Amenities","")</f>
        <v>Excavation, Plinth</v>
      </c>
      <c r="J92" s="50"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6.75" hidden="1" customHeight="1" x14ac:dyDescent="0.25">
      <c r="A93" s="147" t="s">
        <v>86</v>
      </c>
      <c r="B93" s="148"/>
      <c r="C93" s="149" t="str">
        <f ca="1">I91</f>
        <v xml:space="preserve">Excavation, Plinth Completed </v>
      </c>
      <c r="D93" s="149"/>
      <c r="E93" s="149"/>
      <c r="F93" s="149"/>
      <c r="G93" s="149"/>
      <c r="H93" s="150"/>
      <c r="I93" s="49" t="str">
        <f ca="1">IF(I92&lt;&gt;""," Completed","")</f>
        <v xml:space="preserve"> Completed</v>
      </c>
      <c r="J93" s="50" t="str">
        <f ca="1">IF(J91&lt;&gt;"","Completed","")</f>
        <v/>
      </c>
      <c r="S93"/>
    </row>
    <row r="94" spans="1:19" ht="15.75" hidden="1" customHeight="1" x14ac:dyDescent="0.25">
      <c r="A94" s="109" t="s">
        <v>47</v>
      </c>
      <c r="B94" s="110"/>
      <c r="C94" s="42" t="s">
        <v>138</v>
      </c>
      <c r="D94" s="42" t="s">
        <v>79</v>
      </c>
      <c r="E94" s="110" t="s">
        <v>81</v>
      </c>
      <c r="F94" s="110"/>
      <c r="G94" s="110" t="s">
        <v>80</v>
      </c>
      <c r="H94" s="151"/>
      <c r="I94" s="13" t="s">
        <v>140</v>
      </c>
      <c r="J94" s="27">
        <f ca="1">H92*25%</f>
        <v>4.75</v>
      </c>
      <c r="S94"/>
    </row>
    <row r="95" spans="1:19" hidden="1" x14ac:dyDescent="0.25">
      <c r="A95" s="109" t="s">
        <v>127</v>
      </c>
      <c r="B95" s="110"/>
      <c r="C95" s="58">
        <f ca="1">J96</f>
        <v>19</v>
      </c>
      <c r="D95" s="19">
        <f ca="1">((100/H92)*C95)/100</f>
        <v>1</v>
      </c>
      <c r="E95" s="125">
        <f ca="1">(((C96/H92*10)+(40/(D92+F92+H92)*C97)+(7.5/(H92)*C98)+(7.5/(H92)*C99)+(10/H92*C100)+(10/H92*C101)+(5/H92*C102)+(5/H92*C103)+(5/H92*C104))/100)</f>
        <v>0.1</v>
      </c>
      <c r="F95" s="126"/>
      <c r="G95" s="125">
        <f ca="1">((((C95/H92)*20)+((C96/H92)*25)+(30/(H92+F92+D92)*C97)+(5/H92*C98)+(5/H92*C99)+(5/H92*C100)+(5/H92*C101)+(0/H92*C102)+(0/H92*C103)+(5/H92*C104))/100)</f>
        <v>0.45</v>
      </c>
      <c r="H95" s="131"/>
      <c r="I95" s="13" t="s">
        <v>97</v>
      </c>
      <c r="J95" s="28">
        <f ca="1">H92*50%</f>
        <v>9.5</v>
      </c>
    </row>
    <row r="96" spans="1:19" hidden="1" x14ac:dyDescent="0.25">
      <c r="A96" s="109" t="s">
        <v>48</v>
      </c>
      <c r="B96" s="110"/>
      <c r="C96" s="42">
        <f ca="1">J104</f>
        <v>19</v>
      </c>
      <c r="D96" s="19">
        <f ca="1">((100/H92)*C96)/100</f>
        <v>1</v>
      </c>
      <c r="E96" s="127"/>
      <c r="F96" s="128"/>
      <c r="G96" s="127"/>
      <c r="H96" s="132"/>
      <c r="I96" s="13" t="s">
        <v>98</v>
      </c>
      <c r="J96" s="28">
        <f ca="1">H92</f>
        <v>19</v>
      </c>
      <c r="S96"/>
    </row>
    <row r="97" spans="1:19" ht="15.75" hidden="1" customHeight="1" x14ac:dyDescent="0.25">
      <c r="A97" s="109" t="s">
        <v>128</v>
      </c>
      <c r="B97" s="110"/>
      <c r="C97" s="42">
        <v>0</v>
      </c>
      <c r="D97" s="19">
        <f ca="1">((100/(D92+F92+H92))*C97)/100</f>
        <v>0</v>
      </c>
      <c r="E97" s="127"/>
      <c r="F97" s="128"/>
      <c r="G97" s="127"/>
      <c r="H97" s="132"/>
      <c r="I97" s="13" t="s">
        <v>99</v>
      </c>
      <c r="J97" s="29">
        <f ca="1">(IF(B92&gt;1,(H92/(B92+2)),H92/4))</f>
        <v>4.75</v>
      </c>
      <c r="S97"/>
    </row>
    <row r="98" spans="1:19" ht="15.75" hidden="1" customHeight="1" x14ac:dyDescent="0.25">
      <c r="A98" s="109" t="s">
        <v>135</v>
      </c>
      <c r="B98" s="110" t="s">
        <v>129</v>
      </c>
      <c r="C98" s="42">
        <v>0</v>
      </c>
      <c r="D98" s="19">
        <f ca="1">((100/H92)*C98)/100</f>
        <v>0</v>
      </c>
      <c r="E98" s="127"/>
      <c r="F98" s="128"/>
      <c r="G98" s="127"/>
      <c r="H98" s="132"/>
      <c r="I98" s="13" t="s">
        <v>100</v>
      </c>
      <c r="J98" s="29">
        <f ca="1">(IF(B92&gt;1,(H92/(B92+2)+J97),H92/4+J97))</f>
        <v>9.5</v>
      </c>
    </row>
    <row r="99" spans="1:19" ht="15.75" hidden="1" customHeight="1" x14ac:dyDescent="0.25">
      <c r="A99" s="109" t="s">
        <v>136</v>
      </c>
      <c r="B99" s="110" t="s">
        <v>129</v>
      </c>
      <c r="C99" s="42">
        <v>0</v>
      </c>
      <c r="D99" s="19">
        <f ca="1">((100/H92)*C99)/100</f>
        <v>0</v>
      </c>
      <c r="E99" s="127"/>
      <c r="F99" s="128"/>
      <c r="G99" s="127"/>
      <c r="H99" s="132"/>
      <c r="I99" s="13" t="s">
        <v>147</v>
      </c>
      <c r="J99" s="29">
        <f>(IF(B92&gt;1,(H92/(B92+2)+J98),0))</f>
        <v>0</v>
      </c>
    </row>
    <row r="100" spans="1:19" ht="15" hidden="1" customHeight="1" x14ac:dyDescent="0.25">
      <c r="A100" s="109" t="s">
        <v>134</v>
      </c>
      <c r="B100" s="110" t="s">
        <v>131</v>
      </c>
      <c r="C100" s="42">
        <v>0</v>
      </c>
      <c r="D100" s="19">
        <f ca="1">((100/(H92))*C100)/100</f>
        <v>0</v>
      </c>
      <c r="E100" s="127"/>
      <c r="F100" s="128"/>
      <c r="G100" s="127"/>
      <c r="H100" s="132"/>
      <c r="I100" s="13" t="s">
        <v>142</v>
      </c>
      <c r="J100" s="29">
        <f>(IF(B92&gt;2,(H92/(B92+2)+J99),0))</f>
        <v>0</v>
      </c>
    </row>
    <row r="101" spans="1:19" ht="15.75" hidden="1" customHeight="1" x14ac:dyDescent="0.25">
      <c r="A101" s="109" t="s">
        <v>130</v>
      </c>
      <c r="B101" s="110" t="s">
        <v>130</v>
      </c>
      <c r="C101" s="42">
        <v>0</v>
      </c>
      <c r="D101" s="19">
        <f ca="1">((100/H92)*C101)/100</f>
        <v>0</v>
      </c>
      <c r="E101" s="127"/>
      <c r="F101" s="128"/>
      <c r="G101" s="127"/>
      <c r="H101" s="132"/>
      <c r="I101" s="13" t="s">
        <v>143</v>
      </c>
      <c r="J101" s="30">
        <f>(IF(B92&gt;3,(H92/(B92+2)+J100),0))</f>
        <v>0</v>
      </c>
    </row>
    <row r="102" spans="1:19" ht="15.75" hidden="1" customHeight="1" x14ac:dyDescent="0.25">
      <c r="A102" s="109" t="s">
        <v>137</v>
      </c>
      <c r="B102" s="110"/>
      <c r="C102" s="42">
        <v>0</v>
      </c>
      <c r="D102" s="19">
        <f ca="1">((100/H92)*C102)/100</f>
        <v>0</v>
      </c>
      <c r="E102" s="127"/>
      <c r="F102" s="128"/>
      <c r="G102" s="127"/>
      <c r="H102" s="132"/>
      <c r="I102" s="13" t="s">
        <v>144</v>
      </c>
      <c r="J102" s="29">
        <f>(IF(B92&gt;4,(H92/(B92+2)+J101),0))</f>
        <v>0</v>
      </c>
    </row>
    <row r="103" spans="1:19" ht="15.75" hidden="1" customHeight="1" x14ac:dyDescent="0.25">
      <c r="A103" s="109" t="s">
        <v>132</v>
      </c>
      <c r="B103" s="110" t="s">
        <v>132</v>
      </c>
      <c r="C103" s="42">
        <v>0</v>
      </c>
      <c r="D103" s="19">
        <f ca="1">((100/(H92))*C103)/100</f>
        <v>0</v>
      </c>
      <c r="E103" s="127"/>
      <c r="F103" s="128"/>
      <c r="G103" s="127"/>
      <c r="H103" s="132"/>
      <c r="I103" s="13" t="s">
        <v>148</v>
      </c>
      <c r="J103" s="29">
        <f ca="1">(IF(B92=1,(H92/(B92+3)+J98),IF(B92=0,(H92/4+J98),IF(B92&gt;1,0))))</f>
        <v>14.25</v>
      </c>
    </row>
    <row r="104" spans="1:19" ht="16.5" hidden="1" thickBot="1" x14ac:dyDescent="0.3">
      <c r="A104" s="116" t="s">
        <v>133</v>
      </c>
      <c r="B104" s="117"/>
      <c r="C104" s="43">
        <v>0</v>
      </c>
      <c r="D104" s="20">
        <f ca="1">((100/(H92))*C104)/100</f>
        <v>0</v>
      </c>
      <c r="E104" s="129"/>
      <c r="F104" s="130"/>
      <c r="G104" s="129"/>
      <c r="H104" s="133"/>
      <c r="I104" s="15" t="s">
        <v>101</v>
      </c>
      <c r="J104" s="31">
        <f ca="1">(IF(B92&gt;1.5,(H92/(B92+2)+J98+MAX(0,J99-J98)+MAX(0,J100-J99)+MAX(0,J101-J100)+MAX(0,J102-J101)+MAX(0,J103-J102)),IF(B92=1,(H92/(B92+3)+J103),IF(B92=0,H92/4+J103))))</f>
        <v>19</v>
      </c>
    </row>
    <row r="105" spans="1:19" ht="15.75" hidden="1" customHeight="1" x14ac:dyDescent="0.25">
      <c r="A105" s="142" t="s">
        <v>139</v>
      </c>
      <c r="B105" s="143"/>
      <c r="C105" s="144" t="str">
        <f>D69</f>
        <v>C Wing = 1B + G + 1st to 20th Floor</v>
      </c>
      <c r="D105" s="145"/>
      <c r="E105" s="145"/>
      <c r="F105" s="145"/>
      <c r="G105" s="145"/>
      <c r="H105" s="146"/>
      <c r="I105" s="47" t="str">
        <f ca="1">IF(D118=100%,"All work Completed. Possession granted to the Building.",IF(D117=100%,"All work Completed, Waiting for OC",I106&amp;""&amp;I107&amp;""&amp;J106&amp;""&amp;J105&amp;" "&amp;J107))</f>
        <v xml:space="preserve">Excavation, Plinth Completed </v>
      </c>
      <c r="J105" s="48"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25">
      <c r="A106" s="16" t="s">
        <v>141</v>
      </c>
      <c r="B106" s="45">
        <f>IF(AND(ISNUMBER(SEARCH("1B",C105))),1,IF(AND(ISNUMBER(SEARCH("2B",C105))),2,IF(AND(ISNUMBER(SEARCH("3B",C105))),3,IF(AND(ISNUMBER(SEARCH("4B",C105))),4,IF(ISNUMBER(SEARCH("5B",C105)),5,0)))))</f>
        <v>1</v>
      </c>
      <c r="C106" s="45" t="s">
        <v>68</v>
      </c>
      <c r="D106" s="45">
        <v>1</v>
      </c>
      <c r="E106" s="45" t="s">
        <v>67</v>
      </c>
      <c r="F106" s="14">
        <v>0</v>
      </c>
      <c r="G106" s="46" t="s">
        <v>76</v>
      </c>
      <c r="H106" s="17">
        <f ca="1">--TRIM(RIGHT(SUBSTITUTE(LEFT(C105,_xlfn.AGGREGATE(16,6,FIND({0,1,2,3,4,5,6,7,8,9},C105,ROW(INDIRECT("1:"&amp;LEN(C105)))),1))," ",REPT(" ",LEN(C105))),LEN(C105)))</f>
        <v>20</v>
      </c>
      <c r="I106" s="49" t="str">
        <f ca="1">IF(D109=100%,"Excavation","")&amp;IF(D110=100%,", Plinth","")&amp;IF(D111=100%,", RCC Slab","")&amp;IF(D112=100%,", Brickwork","")&amp;IF(D113=100%,", Internal Plaster","")&amp;IF(D114=100%,", External Plaster","")&amp;IF(D115=100%,", Flooring","")&amp;IF(D116=100%,", Painting","")&amp;IF(D117=100%,", Building common Amenities","")</f>
        <v>Excavation, Plinth</v>
      </c>
      <c r="J106" s="50"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25">
      <c r="A107" s="147" t="s">
        <v>86</v>
      </c>
      <c r="B107" s="148"/>
      <c r="C107" s="149" t="str">
        <f ca="1">I105</f>
        <v xml:space="preserve">Excavation, Plinth Completed </v>
      </c>
      <c r="D107" s="149"/>
      <c r="E107" s="149"/>
      <c r="F107" s="149"/>
      <c r="G107" s="149"/>
      <c r="H107" s="150"/>
      <c r="I107" s="49" t="str">
        <f ca="1">IF(I106&lt;&gt;""," Completed","")</f>
        <v xml:space="preserve"> Completed</v>
      </c>
      <c r="J107" s="50" t="str">
        <f ca="1">IF(J105&lt;&gt;"","Completed","")</f>
        <v/>
      </c>
      <c r="S107"/>
    </row>
    <row r="108" spans="1:19" ht="15.75" hidden="1" customHeight="1" x14ac:dyDescent="0.25">
      <c r="A108" s="109" t="s">
        <v>47</v>
      </c>
      <c r="B108" s="110"/>
      <c r="C108" s="42" t="s">
        <v>138</v>
      </c>
      <c r="D108" s="42" t="s">
        <v>79</v>
      </c>
      <c r="E108" s="110" t="s">
        <v>81</v>
      </c>
      <c r="F108" s="110"/>
      <c r="G108" s="110" t="s">
        <v>80</v>
      </c>
      <c r="H108" s="151"/>
      <c r="I108" s="13" t="s">
        <v>140</v>
      </c>
      <c r="J108" s="27">
        <f ca="1">H106*25%</f>
        <v>5</v>
      </c>
      <c r="S108"/>
    </row>
    <row r="109" spans="1:19" hidden="1" x14ac:dyDescent="0.25">
      <c r="A109" s="109" t="s">
        <v>127</v>
      </c>
      <c r="B109" s="110"/>
      <c r="C109" s="58">
        <f ca="1">J110</f>
        <v>20</v>
      </c>
      <c r="D109" s="19">
        <f ca="1">((100/H106)*C109)/100</f>
        <v>1</v>
      </c>
      <c r="E109" s="125">
        <f ca="1">(((C110/H106*10)+(40/(D106+F106+H106)*C111)+(7.5/(H106)*C112)+(7.5/(H106)*C113)+(10/H106*C114)+(10/H106*C115)+(5/H106*C116)+(5/H106*C117)+(5/H106*C118))/100)</f>
        <v>0.1</v>
      </c>
      <c r="F109" s="126"/>
      <c r="G109" s="125">
        <f ca="1">((((C109/H106)*20)+((C110/H106)*25)+(30/(H106+F106+D106)*C111)+(5/H106*C112)+(5/H106*C113)+(5/H106*C114)+(5/H106*C115)+(0/H106*C116)+(0/H106*C117)+(5/H106*C118))/100)</f>
        <v>0.45</v>
      </c>
      <c r="H109" s="131"/>
      <c r="I109" s="13" t="s">
        <v>97</v>
      </c>
      <c r="J109" s="28">
        <f ca="1">H106*50%</f>
        <v>10</v>
      </c>
    </row>
    <row r="110" spans="1:19" hidden="1" x14ac:dyDescent="0.25">
      <c r="A110" s="109" t="s">
        <v>48</v>
      </c>
      <c r="B110" s="110"/>
      <c r="C110" s="42">
        <f ca="1">J118</f>
        <v>20</v>
      </c>
      <c r="D110" s="19">
        <f ca="1">((100/H106)*C110)/100</f>
        <v>1</v>
      </c>
      <c r="E110" s="127"/>
      <c r="F110" s="128"/>
      <c r="G110" s="127"/>
      <c r="H110" s="132"/>
      <c r="I110" s="13" t="s">
        <v>98</v>
      </c>
      <c r="J110" s="28">
        <f ca="1">H106</f>
        <v>20</v>
      </c>
      <c r="S110"/>
    </row>
    <row r="111" spans="1:19" ht="15.75" hidden="1" customHeight="1" x14ac:dyDescent="0.25">
      <c r="A111" s="109" t="s">
        <v>128</v>
      </c>
      <c r="B111" s="110"/>
      <c r="C111" s="42">
        <v>0</v>
      </c>
      <c r="D111" s="19">
        <f ca="1">((100/(D106+F106+H106))*C111)/100</f>
        <v>0</v>
      </c>
      <c r="E111" s="127"/>
      <c r="F111" s="128"/>
      <c r="G111" s="127"/>
      <c r="H111" s="132"/>
      <c r="I111" s="13" t="s">
        <v>99</v>
      </c>
      <c r="J111" s="29">
        <f ca="1">(IF(B106&gt;1,(H106/(B106+2)),H106/4))</f>
        <v>5</v>
      </c>
      <c r="S111"/>
    </row>
    <row r="112" spans="1:19" ht="15.75" hidden="1" customHeight="1" x14ac:dyDescent="0.25">
      <c r="A112" s="109" t="s">
        <v>135</v>
      </c>
      <c r="B112" s="110" t="s">
        <v>129</v>
      </c>
      <c r="C112" s="42">
        <v>0</v>
      </c>
      <c r="D112" s="19">
        <f ca="1">((100/H106)*C112)/100</f>
        <v>0</v>
      </c>
      <c r="E112" s="127"/>
      <c r="F112" s="128"/>
      <c r="G112" s="127"/>
      <c r="H112" s="132"/>
      <c r="I112" s="13" t="s">
        <v>100</v>
      </c>
      <c r="J112" s="29">
        <f ca="1">(IF(B106&gt;1,(H106/(B106+2)+J111),H106/4+J111))</f>
        <v>10</v>
      </c>
    </row>
    <row r="113" spans="1:22" ht="15.75" hidden="1" customHeight="1" x14ac:dyDescent="0.25">
      <c r="A113" s="109" t="s">
        <v>136</v>
      </c>
      <c r="B113" s="110" t="s">
        <v>129</v>
      </c>
      <c r="C113" s="42">
        <v>0</v>
      </c>
      <c r="D113" s="19">
        <f ca="1">((100/H106)*C113)/100</f>
        <v>0</v>
      </c>
      <c r="E113" s="127"/>
      <c r="F113" s="128"/>
      <c r="G113" s="127"/>
      <c r="H113" s="132"/>
      <c r="I113" s="13" t="s">
        <v>147</v>
      </c>
      <c r="J113" s="29">
        <f>(IF(B106&gt;1,(H106/(B106+2)+J112),0))</f>
        <v>0</v>
      </c>
    </row>
    <row r="114" spans="1:22" ht="15" hidden="1" customHeight="1" x14ac:dyDescent="0.25">
      <c r="A114" s="109" t="s">
        <v>134</v>
      </c>
      <c r="B114" s="110" t="s">
        <v>131</v>
      </c>
      <c r="C114" s="42">
        <v>0</v>
      </c>
      <c r="D114" s="19">
        <f ca="1">((100/(H106))*C114)/100</f>
        <v>0</v>
      </c>
      <c r="E114" s="127"/>
      <c r="F114" s="128"/>
      <c r="G114" s="127"/>
      <c r="H114" s="132"/>
      <c r="I114" s="13" t="s">
        <v>142</v>
      </c>
      <c r="J114" s="29">
        <f>(IF(B106&gt;2,(H106/(B106+2)+J113),0))</f>
        <v>0</v>
      </c>
    </row>
    <row r="115" spans="1:22" ht="15.75" hidden="1" customHeight="1" x14ac:dyDescent="0.25">
      <c r="A115" s="109" t="s">
        <v>130</v>
      </c>
      <c r="B115" s="110" t="s">
        <v>130</v>
      </c>
      <c r="C115" s="42">
        <v>0</v>
      </c>
      <c r="D115" s="19">
        <f ca="1">((100/H106)*C115)/100</f>
        <v>0</v>
      </c>
      <c r="E115" s="127"/>
      <c r="F115" s="128"/>
      <c r="G115" s="127"/>
      <c r="H115" s="132"/>
      <c r="I115" s="13" t="s">
        <v>143</v>
      </c>
      <c r="J115" s="30">
        <f>(IF(B106&gt;3,(H106/(B106+2)+J114),0))</f>
        <v>0</v>
      </c>
    </row>
    <row r="116" spans="1:22" ht="15.75" hidden="1" customHeight="1" x14ac:dyDescent="0.25">
      <c r="A116" s="109" t="s">
        <v>137</v>
      </c>
      <c r="B116" s="110"/>
      <c r="C116" s="42">
        <v>0</v>
      </c>
      <c r="D116" s="19">
        <f ca="1">((100/H106)*C116)/100</f>
        <v>0</v>
      </c>
      <c r="E116" s="127"/>
      <c r="F116" s="128"/>
      <c r="G116" s="127"/>
      <c r="H116" s="132"/>
      <c r="I116" s="13" t="s">
        <v>144</v>
      </c>
      <c r="J116" s="29">
        <f>(IF(B106&gt;4,(H106/(B106+2)+J115),0))</f>
        <v>0</v>
      </c>
    </row>
    <row r="117" spans="1:22" ht="15.75" hidden="1" customHeight="1" x14ac:dyDescent="0.25">
      <c r="A117" s="109" t="s">
        <v>132</v>
      </c>
      <c r="B117" s="110" t="s">
        <v>132</v>
      </c>
      <c r="C117" s="42">
        <v>0</v>
      </c>
      <c r="D117" s="19">
        <f ca="1">((100/(H106))*C117)/100</f>
        <v>0</v>
      </c>
      <c r="E117" s="127"/>
      <c r="F117" s="128"/>
      <c r="G117" s="127"/>
      <c r="H117" s="132"/>
      <c r="I117" s="13" t="s">
        <v>148</v>
      </c>
      <c r="J117" s="29">
        <f ca="1">(IF(B106=1,(H106/(B106+3)+J112),IF(B106=0,(H106/4+J112),IF(B106&gt;1,0))))</f>
        <v>15</v>
      </c>
    </row>
    <row r="118" spans="1:22" ht="16.5" hidden="1" thickBot="1" x14ac:dyDescent="0.3">
      <c r="A118" s="116" t="s">
        <v>133</v>
      </c>
      <c r="B118" s="117"/>
      <c r="C118" s="43">
        <v>0</v>
      </c>
      <c r="D118" s="20">
        <f ca="1">((100/(H106))*C118)/100</f>
        <v>0</v>
      </c>
      <c r="E118" s="129"/>
      <c r="F118" s="130"/>
      <c r="G118" s="129"/>
      <c r="H118" s="133"/>
      <c r="I118" s="15" t="s">
        <v>101</v>
      </c>
      <c r="J118" s="31">
        <f ca="1">(IF(B106&gt;1.5,(H106/(B106+2)+J112+MAX(0,J113-J112)+MAX(0,J114-J113)+MAX(0,J115-J114)+MAX(0,J116-J115)+MAX(0,J117-J116)),IF(B106=1,(H106/(B106+3)+J117),IF(B106=0,H106/4+J117))))</f>
        <v>20</v>
      </c>
    </row>
    <row r="119" spans="1:22" x14ac:dyDescent="0.25">
      <c r="A119" s="251" t="s">
        <v>159</v>
      </c>
      <c r="B119" s="251"/>
      <c r="C119" s="251"/>
      <c r="D119" s="251"/>
      <c r="E119" s="251"/>
      <c r="F119" s="252" t="s">
        <v>162</v>
      </c>
      <c r="G119" s="252"/>
      <c r="H119" s="252"/>
      <c r="R119" t="s">
        <v>254</v>
      </c>
      <c r="S119" t="s">
        <v>174</v>
      </c>
      <c r="T119" t="s">
        <v>180</v>
      </c>
      <c r="U119" t="s">
        <v>194</v>
      </c>
      <c r="V119" t="s">
        <v>189</v>
      </c>
    </row>
    <row r="120" spans="1:22" x14ac:dyDescent="0.25">
      <c r="A120" s="152" t="s">
        <v>161</v>
      </c>
      <c r="B120" s="152"/>
      <c r="C120" s="152"/>
      <c r="D120" s="152"/>
      <c r="E120" s="152"/>
      <c r="F120" s="179">
        <v>20000</v>
      </c>
      <c r="G120" s="179"/>
      <c r="H120" s="179"/>
      <c r="R120"/>
      <c r="S120">
        <v>800000</v>
      </c>
      <c r="T120">
        <v>150000</v>
      </c>
      <c r="U120">
        <v>100000</v>
      </c>
      <c r="V120">
        <v>100000</v>
      </c>
    </row>
    <row r="121" spans="1:22" hidden="1" x14ac:dyDescent="0.25">
      <c r="A121" s="152" t="s">
        <v>160</v>
      </c>
      <c r="B121" s="152"/>
      <c r="C121" s="152"/>
      <c r="D121" s="152"/>
      <c r="E121" s="152"/>
      <c r="F121" s="179"/>
      <c r="G121" s="179"/>
      <c r="H121" s="179"/>
      <c r="R121"/>
      <c r="S121">
        <v>900000</v>
      </c>
      <c r="T121">
        <v>200000</v>
      </c>
      <c r="U121">
        <v>150000</v>
      </c>
      <c r="V121">
        <v>150000</v>
      </c>
    </row>
    <row r="122" spans="1:22" hidden="1" x14ac:dyDescent="0.25">
      <c r="A122" s="152" t="s">
        <v>161</v>
      </c>
      <c r="B122" s="152"/>
      <c r="C122" s="152"/>
      <c r="D122" s="152"/>
      <c r="E122" s="152"/>
      <c r="F122" s="179"/>
      <c r="G122" s="179"/>
      <c r="H122" s="179"/>
      <c r="R122"/>
      <c r="S122">
        <v>1000000</v>
      </c>
      <c r="T122">
        <v>250000</v>
      </c>
      <c r="U122">
        <v>200000</v>
      </c>
      <c r="V122">
        <v>200000</v>
      </c>
    </row>
    <row r="123" spans="1:22" s="32" customFormat="1" hidden="1" x14ac:dyDescent="0.25">
      <c r="A123" s="152" t="s">
        <v>176</v>
      </c>
      <c r="B123" s="152"/>
      <c r="C123" s="152"/>
      <c r="D123" s="152"/>
      <c r="E123" s="152"/>
      <c r="F123" s="179"/>
      <c r="G123" s="179"/>
      <c r="H123" s="179"/>
      <c r="R123"/>
      <c r="S123">
        <v>1100000</v>
      </c>
      <c r="T123">
        <v>300000</v>
      </c>
      <c r="U123">
        <v>250000</v>
      </c>
      <c r="V123" s="23">
        <v>250000</v>
      </c>
    </row>
    <row r="124" spans="1:22" s="32" customFormat="1" hidden="1" x14ac:dyDescent="0.25">
      <c r="A124" s="152" t="s">
        <v>91</v>
      </c>
      <c r="B124" s="152"/>
      <c r="C124" s="152"/>
      <c r="D124" s="152"/>
      <c r="E124" s="152"/>
      <c r="F124" s="179"/>
      <c r="G124" s="179"/>
      <c r="H124" s="179"/>
      <c r="R124"/>
      <c r="S124">
        <v>1200000</v>
      </c>
      <c r="T124">
        <v>350000</v>
      </c>
      <c r="U124">
        <v>300000</v>
      </c>
      <c r="V124">
        <v>300000</v>
      </c>
    </row>
    <row r="125" spans="1:22" s="32" customFormat="1" hidden="1" x14ac:dyDescent="0.25">
      <c r="A125" s="152" t="s">
        <v>92</v>
      </c>
      <c r="B125" s="152"/>
      <c r="C125" s="152"/>
      <c r="D125" s="152"/>
      <c r="E125" s="152"/>
      <c r="F125" s="179"/>
      <c r="G125" s="179"/>
      <c r="H125" s="179"/>
      <c r="R125"/>
      <c r="S125">
        <v>1300000</v>
      </c>
      <c r="T125">
        <v>400000</v>
      </c>
      <c r="U125">
        <v>350000</v>
      </c>
      <c r="V125" s="23">
        <v>400000</v>
      </c>
    </row>
    <row r="126" spans="1:22" s="32" customFormat="1" hidden="1" x14ac:dyDescent="0.25">
      <c r="A126" s="152" t="s">
        <v>93</v>
      </c>
      <c r="B126" s="152"/>
      <c r="C126" s="152"/>
      <c r="D126" s="152"/>
      <c r="E126" s="152"/>
      <c r="F126" s="179"/>
      <c r="G126" s="179"/>
      <c r="H126" s="179"/>
      <c r="R126"/>
      <c r="S126">
        <v>1400000</v>
      </c>
      <c r="T126">
        <v>500000</v>
      </c>
      <c r="U126">
        <v>400000</v>
      </c>
      <c r="V126"/>
    </row>
    <row r="127" spans="1:22" s="32" customFormat="1" hidden="1" x14ac:dyDescent="0.25">
      <c r="A127" s="152" t="s">
        <v>94</v>
      </c>
      <c r="B127" s="152"/>
      <c r="C127" s="152"/>
      <c r="D127" s="152"/>
      <c r="E127" s="152"/>
      <c r="F127" s="179"/>
      <c r="G127" s="179"/>
      <c r="H127" s="179"/>
      <c r="R127"/>
      <c r="S127">
        <v>1500000</v>
      </c>
      <c r="T127">
        <v>600000</v>
      </c>
      <c r="U127">
        <v>500000</v>
      </c>
      <c r="V127" s="23"/>
    </row>
    <row r="128" spans="1:22" s="32" customFormat="1" hidden="1" x14ac:dyDescent="0.25">
      <c r="A128" s="152" t="s">
        <v>95</v>
      </c>
      <c r="B128" s="152"/>
      <c r="C128" s="152"/>
      <c r="D128" s="152"/>
      <c r="E128" s="152"/>
      <c r="F128" s="179"/>
      <c r="G128" s="179"/>
      <c r="H128" s="179"/>
      <c r="R128"/>
      <c r="S128">
        <v>1600000</v>
      </c>
      <c r="T128">
        <v>700000</v>
      </c>
      <c r="U128">
        <v>600000</v>
      </c>
      <c r="V128"/>
    </row>
    <row r="129" spans="1:22" s="32" customFormat="1" hidden="1" x14ac:dyDescent="0.25">
      <c r="A129" s="152" t="s">
        <v>96</v>
      </c>
      <c r="B129" s="152"/>
      <c r="C129" s="152"/>
      <c r="D129" s="152"/>
      <c r="E129" s="152"/>
      <c r="F129" s="179"/>
      <c r="G129" s="179"/>
      <c r="H129" s="179"/>
      <c r="R129"/>
      <c r="S129">
        <v>1700000</v>
      </c>
      <c r="T129">
        <v>800000</v>
      </c>
      <c r="U129"/>
      <c r="V129" s="23"/>
    </row>
    <row r="130" spans="1:22" x14ac:dyDescent="0.25">
      <c r="A130" s="152" t="s">
        <v>49</v>
      </c>
      <c r="B130" s="152"/>
      <c r="C130" s="152"/>
      <c r="D130" s="152"/>
      <c r="E130" s="152"/>
      <c r="F130" s="179">
        <v>1000000</v>
      </c>
      <c r="G130" s="179"/>
      <c r="H130" s="179"/>
      <c r="R130"/>
      <c r="S130">
        <v>1800000</v>
      </c>
      <c r="T130">
        <v>900000</v>
      </c>
      <c r="U130"/>
    </row>
    <row r="131" spans="1:22" s="33" customFormat="1" x14ac:dyDescent="0.25">
      <c r="A131" s="148" t="s">
        <v>50</v>
      </c>
      <c r="B131" s="148"/>
      <c r="C131" s="148"/>
      <c r="D131" s="148"/>
      <c r="E131" s="148"/>
      <c r="F131" s="179">
        <f>F120*0.8</f>
        <v>16000</v>
      </c>
      <c r="G131" s="179"/>
      <c r="H131" s="179"/>
      <c r="R131" s="21"/>
      <c r="S131" s="21"/>
      <c r="T131">
        <v>1000000</v>
      </c>
      <c r="U131"/>
      <c r="V131" s="21"/>
    </row>
    <row r="132" spans="1:22" s="34" customFormat="1" ht="15.75" customHeight="1" x14ac:dyDescent="0.25">
      <c r="A132" s="248" t="s">
        <v>71</v>
      </c>
      <c r="B132" s="248"/>
      <c r="C132" s="248"/>
      <c r="D132" s="248"/>
      <c r="E132" s="248"/>
      <c r="F132" s="248"/>
      <c r="G132" s="248"/>
      <c r="H132" s="248"/>
      <c r="R132"/>
      <c r="S132" s="21"/>
      <c r="T132"/>
      <c r="U132"/>
      <c r="V132" s="21"/>
    </row>
    <row r="133" spans="1:22" s="34" customFormat="1" x14ac:dyDescent="0.25">
      <c r="A133" s="250" t="s">
        <v>51</v>
      </c>
      <c r="B133" s="250"/>
      <c r="C133" s="158" t="s">
        <v>74</v>
      </c>
      <c r="D133" s="158"/>
      <c r="E133" s="266" t="s">
        <v>52</v>
      </c>
      <c r="F133" s="266"/>
      <c r="G133" s="250" t="s">
        <v>53</v>
      </c>
      <c r="H133" s="250"/>
      <c r="R133"/>
      <c r="S133" s="21"/>
      <c r="T133"/>
      <c r="U133" s="21"/>
      <c r="V133" s="21"/>
    </row>
    <row r="134" spans="1:22" s="34" customFormat="1" x14ac:dyDescent="0.25">
      <c r="A134" s="159" t="s">
        <v>411</v>
      </c>
      <c r="B134" s="159"/>
      <c r="C134" s="166">
        <f>COUNT(D157:D160)+COUNT(D162:D170)+COUNT(D172:D175)</f>
        <v>17</v>
      </c>
      <c r="D134" s="160"/>
      <c r="E134" s="166">
        <f t="shared" ref="E134" si="0">SUM(F157:F160)+SUM(F162:F170)+SUM(F172:F175)</f>
        <v>96752.478794399998</v>
      </c>
      <c r="F134" s="160"/>
      <c r="G134" s="166">
        <f t="shared" ref="G134" si="1">SUM(H157:H160)+SUM(H162:H170)+SUM(H172:H175)</f>
        <v>145128.7181916</v>
      </c>
      <c r="H134" s="160"/>
      <c r="R134"/>
      <c r="S134" s="21"/>
      <c r="T134"/>
      <c r="U134" s="21"/>
      <c r="V134" s="21"/>
    </row>
    <row r="135" spans="1:22" s="34" customFormat="1" x14ac:dyDescent="0.25">
      <c r="A135" s="156" t="s">
        <v>152</v>
      </c>
      <c r="B135" s="156"/>
      <c r="C135" s="157">
        <f>C134</f>
        <v>17</v>
      </c>
      <c r="D135" s="158"/>
      <c r="E135" s="157">
        <f>E134</f>
        <v>96752.478794399998</v>
      </c>
      <c r="F135" s="158"/>
      <c r="G135" s="157">
        <f>G134</f>
        <v>145128.7181916</v>
      </c>
      <c r="H135" s="158"/>
      <c r="R135"/>
      <c r="S135" s="21"/>
      <c r="T135"/>
      <c r="U135" s="21"/>
      <c r="V135" s="21"/>
    </row>
    <row r="136" spans="1:22" s="34" customFormat="1" hidden="1" x14ac:dyDescent="0.25">
      <c r="A136" s="156" t="s">
        <v>66</v>
      </c>
      <c r="B136" s="156"/>
      <c r="C136" s="156"/>
      <c r="D136" s="156"/>
      <c r="E136" s="156"/>
      <c r="F136" s="156"/>
      <c r="G136" s="156"/>
      <c r="H136" s="156"/>
      <c r="T136"/>
    </row>
    <row r="137" spans="1:22" s="34" customFormat="1" ht="15.75" hidden="1" customHeight="1" x14ac:dyDescent="0.25">
      <c r="A137" s="250" t="s">
        <v>51</v>
      </c>
      <c r="B137" s="250"/>
      <c r="C137" s="158" t="s">
        <v>74</v>
      </c>
      <c r="D137" s="158"/>
      <c r="E137" s="266" t="s">
        <v>52</v>
      </c>
      <c r="F137" s="266"/>
      <c r="G137" s="250" t="s">
        <v>53</v>
      </c>
      <c r="H137" s="250"/>
      <c r="T137"/>
    </row>
    <row r="138" spans="1:22" s="34" customFormat="1" hidden="1" x14ac:dyDescent="0.25">
      <c r="A138" s="159"/>
      <c r="B138" s="159"/>
      <c r="C138" s="160"/>
      <c r="D138" s="160"/>
      <c r="E138" s="161"/>
      <c r="F138" s="161"/>
      <c r="G138" s="141"/>
      <c r="H138" s="141"/>
      <c r="T138"/>
    </row>
    <row r="139" spans="1:22" s="34" customFormat="1" hidden="1" x14ac:dyDescent="0.25">
      <c r="A139" s="159"/>
      <c r="B139" s="159"/>
      <c r="C139" s="160"/>
      <c r="D139" s="160"/>
      <c r="E139" s="161"/>
      <c r="F139" s="161"/>
      <c r="G139" s="141"/>
      <c r="H139" s="141"/>
      <c r="T139"/>
    </row>
    <row r="140" spans="1:22" s="34" customFormat="1" ht="16.5" hidden="1" thickBot="1" x14ac:dyDescent="0.3">
      <c r="A140" s="153" t="s">
        <v>152</v>
      </c>
      <c r="B140" s="153"/>
      <c r="C140" s="254"/>
      <c r="D140" s="254"/>
      <c r="E140" s="154"/>
      <c r="F140" s="154"/>
      <c r="G140" s="155"/>
      <c r="H140" s="155"/>
      <c r="T140"/>
    </row>
    <row r="141" spans="1:22" s="34" customFormat="1" ht="16.5" hidden="1" thickBot="1" x14ac:dyDescent="0.3">
      <c r="A141" s="258" t="s">
        <v>167</v>
      </c>
      <c r="B141" s="259"/>
      <c r="C141" s="134">
        <f>C135+C140</f>
        <v>17</v>
      </c>
      <c r="D141" s="134"/>
      <c r="E141" s="180">
        <f>E135+E140</f>
        <v>96752.478794399998</v>
      </c>
      <c r="F141" s="180"/>
      <c r="G141" s="169">
        <f>G135+G140</f>
        <v>145128.7181916</v>
      </c>
      <c r="H141" s="170"/>
      <c r="T141"/>
    </row>
    <row r="142" spans="1:22" s="33" customFormat="1" x14ac:dyDescent="0.25">
      <c r="A142" s="274" t="s">
        <v>356</v>
      </c>
      <c r="B142" s="274"/>
      <c r="C142" s="274"/>
      <c r="D142" s="274"/>
      <c r="E142" s="274"/>
      <c r="F142" s="274"/>
      <c r="G142" s="274"/>
      <c r="H142" s="274"/>
      <c r="T142" s="34"/>
    </row>
    <row r="143" spans="1:22" x14ac:dyDescent="0.25">
      <c r="A143" s="262" t="s">
        <v>434</v>
      </c>
      <c r="B143" s="262"/>
      <c r="C143" s="262"/>
      <c r="D143" s="262"/>
      <c r="E143" s="262"/>
      <c r="F143" s="262"/>
      <c r="G143" s="262"/>
      <c r="H143" s="262"/>
      <c r="T143" s="34"/>
    </row>
    <row r="144" spans="1:22" ht="47.25" customHeight="1" x14ac:dyDescent="0.25">
      <c r="A144" s="118" t="s">
        <v>440</v>
      </c>
      <c r="B144" s="139" t="s">
        <v>441</v>
      </c>
      <c r="C144" s="118" t="s">
        <v>54</v>
      </c>
      <c r="D144" s="139" t="s">
        <v>233</v>
      </c>
      <c r="E144" s="177" t="s">
        <v>158</v>
      </c>
      <c r="F144" s="118" t="s">
        <v>55</v>
      </c>
      <c r="G144" s="167" t="s">
        <v>56</v>
      </c>
      <c r="H144" s="101" t="s">
        <v>150</v>
      </c>
      <c r="I144" s="99">
        <v>10.763999999999999</v>
      </c>
      <c r="J144" s="99"/>
      <c r="T144" s="34"/>
    </row>
    <row r="145" spans="1:20" s="36" customFormat="1" x14ac:dyDescent="0.25">
      <c r="A145" s="119"/>
      <c r="B145" s="140"/>
      <c r="C145" s="119"/>
      <c r="D145" s="140"/>
      <c r="E145" s="178"/>
      <c r="F145" s="119"/>
      <c r="G145" s="168"/>
      <c r="H145" s="102">
        <v>0.5</v>
      </c>
      <c r="T145" s="34"/>
    </row>
    <row r="146" spans="1:20" s="95" customFormat="1" x14ac:dyDescent="0.25">
      <c r="A146" s="174" t="s">
        <v>407</v>
      </c>
      <c r="B146" s="175"/>
      <c r="C146" s="175"/>
      <c r="D146" s="175"/>
      <c r="E146" s="175"/>
      <c r="F146" s="175"/>
      <c r="G146" s="175"/>
      <c r="H146" s="176"/>
      <c r="J146" s="35"/>
      <c r="T146" s="34"/>
    </row>
    <row r="147" spans="1:20" s="95" customFormat="1" x14ac:dyDescent="0.25">
      <c r="A147" s="174" t="s">
        <v>408</v>
      </c>
      <c r="B147" s="175"/>
      <c r="C147" s="175"/>
      <c r="D147" s="175"/>
      <c r="E147" s="175"/>
      <c r="F147" s="175"/>
      <c r="G147" s="175"/>
      <c r="H147" s="176"/>
      <c r="J147" s="35"/>
      <c r="T147" s="34"/>
    </row>
    <row r="148" spans="1:20" s="95" customFormat="1" ht="15.75" hidden="1" customHeight="1" x14ac:dyDescent="0.25">
      <c r="A148" s="277">
        <v>1</v>
      </c>
      <c r="B148" s="278"/>
      <c r="C148" s="94" t="s">
        <v>409</v>
      </c>
      <c r="D148" s="94">
        <v>0</v>
      </c>
      <c r="E148" s="94">
        <v>0</v>
      </c>
      <c r="F148" s="94">
        <f>D148+(IF(E148&lt;201,E148,IF(E148&lt;301,E148/2,E148/3)))</f>
        <v>0</v>
      </c>
      <c r="G148" s="94">
        <v>0</v>
      </c>
      <c r="H148" s="94">
        <f>(F148+(IF(G148&lt;101,G148,IF(G148&lt;201,G148/2,IF(G148&lt;=301,G148/3,G148/4)))))*(($H$145)+1)</f>
        <v>0</v>
      </c>
      <c r="I148" s="35"/>
      <c r="L148" s="162"/>
      <c r="M148" s="162"/>
      <c r="N148" s="35"/>
      <c r="T148" s="34"/>
    </row>
    <row r="149" spans="1:20" s="95" customFormat="1" ht="15.75" hidden="1" customHeight="1" x14ac:dyDescent="0.25">
      <c r="A149" s="277">
        <f>A148+1</f>
        <v>2</v>
      </c>
      <c r="B149" s="278"/>
      <c r="C149" s="94" t="s">
        <v>409</v>
      </c>
      <c r="D149" s="94"/>
      <c r="E149" s="94">
        <v>0</v>
      </c>
      <c r="F149" s="94">
        <f>D149+(IF(E149&lt;201,E149,IF(E149&lt;301,E149/2,E149/3)))</f>
        <v>0</v>
      </c>
      <c r="G149" s="94">
        <v>0</v>
      </c>
      <c r="H149" s="94">
        <f>(F149+(IF(G149&lt;101,G149,IF(G149&lt;201,G149/2,IF(G149&lt;=301,G149/3,G149/4)))))*(($H$145)+1)</f>
        <v>0</v>
      </c>
      <c r="I149" s="35"/>
      <c r="L149" s="162"/>
      <c r="M149" s="162"/>
      <c r="N149" s="35"/>
      <c r="T149" s="33"/>
    </row>
    <row r="150" spans="1:20" s="95" customFormat="1" ht="15.75" hidden="1" customHeight="1" x14ac:dyDescent="0.25">
      <c r="A150" s="277">
        <f>A149+1</f>
        <v>3</v>
      </c>
      <c r="B150" s="278"/>
      <c r="C150" s="94" t="s">
        <v>409</v>
      </c>
      <c r="D150" s="94"/>
      <c r="E150" s="94">
        <v>0</v>
      </c>
      <c r="F150" s="94">
        <f>D150+(IF(E150&lt;201,E150,IF(E150&lt;301,E150/2,E150/3)))</f>
        <v>0</v>
      </c>
      <c r="G150" s="94">
        <v>0</v>
      </c>
      <c r="H150" s="94">
        <f>(F150+(IF(G150&lt;101,G150,IF(G150&lt;201,G150/2,IF(G150&lt;=301,G150/3,G150/4)))))*(($H$145)+1)</f>
        <v>0</v>
      </c>
      <c r="I150" s="35"/>
      <c r="L150" s="162"/>
      <c r="M150" s="162"/>
      <c r="N150" s="35"/>
      <c r="T150" s="21"/>
    </row>
    <row r="151" spans="1:20" s="95" customFormat="1" ht="15.75" hidden="1" customHeight="1" x14ac:dyDescent="0.25">
      <c r="A151" s="277">
        <f>A150+1</f>
        <v>4</v>
      </c>
      <c r="B151" s="278"/>
      <c r="C151" s="94" t="s">
        <v>409</v>
      </c>
      <c r="D151" s="94"/>
      <c r="E151" s="94">
        <v>0</v>
      </c>
      <c r="F151" s="94">
        <f>D151+(IF(E151&lt;201,E151,IF(E151&lt;301,E151/2,E151/3)))</f>
        <v>0</v>
      </c>
      <c r="G151" s="94">
        <v>0</v>
      </c>
      <c r="H151" s="94">
        <f>(F151+(IF(G151&lt;101,G151,IF(G151&lt;201,G151/2,IF(G151&lt;=301,G151/3,G151/4)))))*(($H$145)+1)</f>
        <v>0</v>
      </c>
      <c r="I151" s="35"/>
      <c r="L151" s="162"/>
      <c r="M151" s="162"/>
      <c r="N151" s="35"/>
      <c r="T151" s="21"/>
    </row>
    <row r="152" spans="1:20" s="95" customFormat="1" ht="15.75" hidden="1" customHeight="1" x14ac:dyDescent="0.25">
      <c r="A152" s="277">
        <f t="shared" ref="A152:A154" si="2">A151+1</f>
        <v>5</v>
      </c>
      <c r="B152" s="278"/>
      <c r="C152" s="94" t="s">
        <v>409</v>
      </c>
      <c r="D152" s="94"/>
      <c r="E152" s="94">
        <v>0</v>
      </c>
      <c r="F152" s="94">
        <f t="shared" ref="F152:F154" si="3">D152+(IF(E152&lt;201,E152,IF(E152&lt;301,E152/2,E152/3)))</f>
        <v>0</v>
      </c>
      <c r="G152" s="94">
        <v>0</v>
      </c>
      <c r="H152" s="94">
        <f t="shared" ref="H152:H154" si="4">(F152+(IF(G152&lt;101,G152,IF(G152&lt;201,G152/2,IF(G152&lt;=301,G152/3,G152/4)))))*(($H$145)+1)</f>
        <v>0</v>
      </c>
      <c r="I152" s="35"/>
      <c r="L152" s="162"/>
      <c r="M152" s="162"/>
      <c r="N152" s="35"/>
      <c r="T152" s="21"/>
    </row>
    <row r="153" spans="1:20" s="95" customFormat="1" ht="15.75" hidden="1" customHeight="1" x14ac:dyDescent="0.25">
      <c r="A153" s="277">
        <f t="shared" si="2"/>
        <v>6</v>
      </c>
      <c r="B153" s="278"/>
      <c r="C153" s="94" t="s">
        <v>409</v>
      </c>
      <c r="D153" s="94"/>
      <c r="E153" s="94">
        <v>0</v>
      </c>
      <c r="F153" s="94">
        <f t="shared" si="3"/>
        <v>0</v>
      </c>
      <c r="G153" s="94">
        <v>0</v>
      </c>
      <c r="H153" s="94">
        <f t="shared" si="4"/>
        <v>0</v>
      </c>
      <c r="I153" s="35"/>
      <c r="L153" s="162"/>
      <c r="M153" s="162"/>
      <c r="N153" s="35"/>
      <c r="T153" s="21"/>
    </row>
    <row r="154" spans="1:20" s="95" customFormat="1" ht="15.75" hidden="1" customHeight="1" x14ac:dyDescent="0.25">
      <c r="A154" s="277">
        <f t="shared" si="2"/>
        <v>7</v>
      </c>
      <c r="B154" s="278"/>
      <c r="C154" s="94" t="s">
        <v>409</v>
      </c>
      <c r="D154" s="94"/>
      <c r="E154" s="94">
        <v>0</v>
      </c>
      <c r="F154" s="94">
        <f t="shared" si="3"/>
        <v>0</v>
      </c>
      <c r="G154" s="94">
        <v>0</v>
      </c>
      <c r="H154" s="94">
        <f t="shared" si="4"/>
        <v>0</v>
      </c>
      <c r="I154" s="35"/>
      <c r="L154" s="162"/>
      <c r="M154" s="162"/>
      <c r="N154" s="35"/>
      <c r="T154" s="21"/>
    </row>
    <row r="155" spans="1:20" s="95" customFormat="1" x14ac:dyDescent="0.25">
      <c r="A155" s="174" t="s">
        <v>410</v>
      </c>
      <c r="B155" s="175"/>
      <c r="C155" s="175"/>
      <c r="D155" s="175"/>
      <c r="E155" s="175"/>
      <c r="F155" s="175"/>
      <c r="G155" s="175"/>
      <c r="H155" s="176"/>
      <c r="J155" s="35"/>
      <c r="T155" s="34"/>
    </row>
    <row r="156" spans="1:20" s="36" customFormat="1" x14ac:dyDescent="0.25">
      <c r="A156" s="174" t="s">
        <v>435</v>
      </c>
      <c r="B156" s="175"/>
      <c r="C156" s="175"/>
      <c r="D156" s="175"/>
      <c r="E156" s="175"/>
      <c r="F156" s="175"/>
      <c r="G156" s="175"/>
      <c r="H156" s="176"/>
      <c r="J156" s="35"/>
      <c r="T156" s="34"/>
    </row>
    <row r="157" spans="1:20" s="36" customFormat="1" ht="15.75" customHeight="1" x14ac:dyDescent="0.25">
      <c r="A157" s="111">
        <v>1</v>
      </c>
      <c r="B157" s="112"/>
      <c r="C157" s="41" t="s">
        <v>411</v>
      </c>
      <c r="D157" s="99">
        <f>((24.17+25.25)/2*1.78+(13.82+23.77)/2*16.4+(17.38+22.95)/2*9.18+5.15*4+2.48*1.68+2.48*2.4+1.35*1.2+1.8*1.5+4.58*1.9+1.8*1.88+1.83*1.75+1.83*2.03+1.05*0.83+1.5+2.58*1.15+1.05*1.05+1.5)*10.764</f>
        <v>6451.0729451999987</v>
      </c>
      <c r="E157" s="41">
        <v>0</v>
      </c>
      <c r="F157" s="41">
        <f>D157+(IF(E157&lt;201,E157,IF(E157&lt;301,E157/2,E157/3)))</f>
        <v>6451.0729451999987</v>
      </c>
      <c r="G157" s="41">
        <v>0</v>
      </c>
      <c r="H157" s="41">
        <f>(F157+(IF(G157&lt;101,G157,IF(G157&lt;201,G157/2,IF(G157&lt;=301,G157/3,G157/4)))))*(($H$145)+1)</f>
        <v>9676.6094177999985</v>
      </c>
      <c r="I157" s="35"/>
      <c r="L157" s="162"/>
      <c r="M157" s="162"/>
      <c r="N157" s="35"/>
      <c r="T157" s="34"/>
    </row>
    <row r="158" spans="1:20" s="36" customFormat="1" ht="15.75" customHeight="1" x14ac:dyDescent="0.25">
      <c r="A158" s="111">
        <f>A157+1</f>
        <v>2</v>
      </c>
      <c r="B158" s="112"/>
      <c r="C158" s="94" t="s">
        <v>411</v>
      </c>
      <c r="D158" s="99">
        <f>(15.73*13.72+24.48*24.7+5.15*4+2.68*1.7+2.4*2.38+1.4*2.38+1.15*1.35+1.53*0.8+1.85+1.5*3+2.15*1.03+2.6*2.15+2.88*2.08+1.05*0.55+1.35+1.5+1.5+2.7*2+2.58*1.75+1.35*1.2+2.05*1.5+2.8*1.78+19.68*0.88+2.63*0.9)*10.764</f>
        <v>9922.2541236000015</v>
      </c>
      <c r="E158" s="41">
        <v>0</v>
      </c>
      <c r="F158" s="41">
        <f>D158+(IF(E158&lt;201,E158,IF(E158&lt;301,E158/2,E158/3)))</f>
        <v>9922.2541236000015</v>
      </c>
      <c r="G158" s="41">
        <v>0</v>
      </c>
      <c r="H158" s="41">
        <f>(F158+(IF(G158&lt;101,G158,IF(G158&lt;201,G158/2,IF(G158&lt;=301,G158/3,G158/4)))))*(($H$145)+1)</f>
        <v>14883.381185400001</v>
      </c>
      <c r="I158" s="35"/>
      <c r="L158" s="162"/>
      <c r="M158" s="162"/>
      <c r="N158" s="35"/>
      <c r="T158" s="33"/>
    </row>
    <row r="159" spans="1:20" s="36" customFormat="1" ht="15.75" customHeight="1" x14ac:dyDescent="0.25">
      <c r="A159" s="111">
        <f>A158+1</f>
        <v>3</v>
      </c>
      <c r="B159" s="112"/>
      <c r="C159" s="94" t="s">
        <v>411</v>
      </c>
      <c r="D159" s="99">
        <f>(24.48*16.36+6.2*5.69+1.4*4.9+2.25*11.94+10.58*12.03+3.05*2+1.98*2.08+1.5+1.5+2.45*2+2.4*2.08+1.35*1.2+3.15*4+1.35*1.2+1.8*1.5)*10.764</f>
        <v>6871.9916304000008</v>
      </c>
      <c r="E159" s="41">
        <v>0</v>
      </c>
      <c r="F159" s="41">
        <f>D159+(IF(E159&lt;201,E159,IF(E159&lt;301,E159/2,E159/3)))</f>
        <v>6871.9916304000008</v>
      </c>
      <c r="G159" s="41">
        <v>0</v>
      </c>
      <c r="H159" s="41">
        <f>(F159+(IF(G159&lt;101,G159,IF(G159&lt;201,G159/2,IF(G159&lt;=301,G159/3,G159/4)))))*(($H$145)+1)</f>
        <v>10307.987445600002</v>
      </c>
      <c r="I159" s="35"/>
      <c r="L159" s="162"/>
      <c r="M159" s="162"/>
      <c r="N159" s="35"/>
      <c r="T159" s="21"/>
    </row>
    <row r="160" spans="1:20" s="36" customFormat="1" ht="15.75" customHeight="1" x14ac:dyDescent="0.25">
      <c r="A160" s="111">
        <f>A159+1</f>
        <v>4</v>
      </c>
      <c r="B160" s="112"/>
      <c r="C160" s="94" t="s">
        <v>411</v>
      </c>
      <c r="D160" s="99">
        <f>((25.34+26.42)/2*1.78+(26.02+27.93)/2*3.14+26.68*3.34+22.33*6.3+20.83*1.8+21.78*11.95+6.95*11.8+8.57*12.03+3.05*2+1.98*2.08+1.5+1.5+3.05*2+1.7*2.23+1.5+1.5+2.45*2+2.4*2.08+1.35*1.2+1.25*3.19+2.33*1.5)*10.764</f>
        <v>9564.1810523999993</v>
      </c>
      <c r="E160" s="41">
        <v>0</v>
      </c>
      <c r="F160" s="41">
        <f>D160+(IF(E160&lt;201,E160,IF(E160&lt;301,E160/2,E160/3)))</f>
        <v>9564.1810523999993</v>
      </c>
      <c r="G160" s="41">
        <v>0</v>
      </c>
      <c r="H160" s="41">
        <f>(F160+(IF(G160&lt;101,G160,IF(G160&lt;201,G160/2,IF(G160&lt;=301,G160/3,G160/4)))))*(($H$145)+1)</f>
        <v>14346.271578599999</v>
      </c>
      <c r="I160" s="35"/>
      <c r="L160" s="162"/>
      <c r="M160" s="162"/>
      <c r="N160" s="35"/>
      <c r="T160" s="21"/>
    </row>
    <row r="161" spans="1:20" s="95" customFormat="1" x14ac:dyDescent="0.25">
      <c r="A161" s="174" t="s">
        <v>117</v>
      </c>
      <c r="B161" s="175"/>
      <c r="C161" s="175"/>
      <c r="D161" s="175"/>
      <c r="E161" s="175"/>
      <c r="F161" s="175"/>
      <c r="G161" s="175"/>
      <c r="H161" s="176"/>
      <c r="J161" s="35"/>
      <c r="T161" s="34"/>
    </row>
    <row r="162" spans="1:20" s="95" customFormat="1" ht="15.75" customHeight="1" x14ac:dyDescent="0.25">
      <c r="A162" s="111">
        <v>1</v>
      </c>
      <c r="B162" s="112"/>
      <c r="C162" s="94" t="s">
        <v>411</v>
      </c>
      <c r="D162" s="99">
        <f>((22.8+28.34)/2*9.12+(12.14+15.31)/2*5.22)*10.764</f>
        <v>3281.3289755999995</v>
      </c>
      <c r="E162" s="94">
        <v>0</v>
      </c>
      <c r="F162" s="94">
        <f>D162+(IF(E162&lt;201,E162,IF(E162&lt;301,E162/2,E162/3)))</f>
        <v>3281.3289755999995</v>
      </c>
      <c r="G162" s="94">
        <v>0</v>
      </c>
      <c r="H162" s="94">
        <f>(F162+(IF(G162&lt;101,G162,IF(G162&lt;201,G162/2,IF(G162&lt;=301,G162/3,G162/4)))))*(($H$145)+1)</f>
        <v>4921.9934633999992</v>
      </c>
      <c r="I162" s="35"/>
      <c r="L162" s="162"/>
      <c r="M162" s="162"/>
      <c r="N162" s="35"/>
      <c r="T162" s="34"/>
    </row>
    <row r="163" spans="1:20" s="95" customFormat="1" ht="15.75" customHeight="1" x14ac:dyDescent="0.25">
      <c r="A163" s="111">
        <f>A162+1</f>
        <v>2</v>
      </c>
      <c r="B163" s="112"/>
      <c r="C163" s="94" t="s">
        <v>411</v>
      </c>
      <c r="D163" s="99">
        <f>(22.83*15.98+6.25*9.12)*10.764</f>
        <v>4540.5070775999993</v>
      </c>
      <c r="E163" s="94">
        <v>0</v>
      </c>
      <c r="F163" s="94">
        <f>D163+(IF(E163&lt;201,E163,IF(E163&lt;301,E163/2,E163/3)))</f>
        <v>4540.5070775999993</v>
      </c>
      <c r="G163" s="94">
        <v>0</v>
      </c>
      <c r="H163" s="94">
        <f>(F163+(IF(G163&lt;101,G163,IF(G163&lt;201,G163/2,IF(G163&lt;=301,G163/3,G163/4)))))*(($H$145)+1)</f>
        <v>6810.760616399999</v>
      </c>
      <c r="I163" s="35"/>
      <c r="L163" s="162"/>
      <c r="M163" s="162"/>
      <c r="N163" s="35"/>
      <c r="T163" s="33"/>
    </row>
    <row r="164" spans="1:20" s="95" customFormat="1" ht="15.75" customHeight="1" x14ac:dyDescent="0.25">
      <c r="A164" s="111">
        <f>A163+1</f>
        <v>3</v>
      </c>
      <c r="B164" s="112"/>
      <c r="C164" s="94" t="s">
        <v>411</v>
      </c>
      <c r="D164" s="99">
        <f>(18.03*9.47+4.8*8.57+16.48*1.65+2.65*0.9)*10.764</f>
        <v>2599.0442244000001</v>
      </c>
      <c r="E164" s="94">
        <v>0</v>
      </c>
      <c r="F164" s="94">
        <f>D164+(IF(E164&lt;201,E164,IF(E164&lt;301,E164/2,E164/3)))</f>
        <v>2599.0442244000001</v>
      </c>
      <c r="G164" s="94">
        <v>0</v>
      </c>
      <c r="H164" s="94">
        <f>(F164+(IF(G164&lt;101,G164,IF(G164&lt;201,G164/2,IF(G164&lt;=301,G164/3,G164/4)))))*(($H$145)+1)</f>
        <v>3898.5663365999999</v>
      </c>
      <c r="I164" s="35"/>
      <c r="L164" s="162"/>
      <c r="M164" s="162"/>
      <c r="N164" s="35"/>
      <c r="T164" s="21"/>
    </row>
    <row r="165" spans="1:20" s="95" customFormat="1" ht="15.75" customHeight="1" x14ac:dyDescent="0.25">
      <c r="A165" s="111">
        <f t="shared" ref="A165:A170" si="5">A164+1</f>
        <v>4</v>
      </c>
      <c r="B165" s="112"/>
      <c r="C165" s="94" t="s">
        <v>411</v>
      </c>
      <c r="D165" s="99">
        <f>(18.03*10.13+4.8*5.23+16.48*1.45+2.5*0.8)*10.764</f>
        <v>2514.9429396</v>
      </c>
      <c r="E165" s="94">
        <v>0</v>
      </c>
      <c r="F165" s="94">
        <f t="shared" ref="F165:F168" si="6">D165+(IF(E165&lt;201,E165,IF(E165&lt;301,E165/2,E165/3)))</f>
        <v>2514.9429396</v>
      </c>
      <c r="G165" s="94">
        <v>0</v>
      </c>
      <c r="H165" s="94">
        <f t="shared" ref="H165:H168" si="7">(F165+(IF(G165&lt;101,G165,IF(G165&lt;201,G165/2,IF(G165&lt;=301,G165/3,G165/4)))))*(($H$145)+1)</f>
        <v>3772.4144094000003</v>
      </c>
      <c r="I165" s="35"/>
      <c r="L165" s="162"/>
      <c r="M165" s="162"/>
      <c r="N165" s="35"/>
      <c r="T165" s="21"/>
    </row>
    <row r="166" spans="1:20" s="95" customFormat="1" ht="15.75" customHeight="1" x14ac:dyDescent="0.25">
      <c r="A166" s="111">
        <f t="shared" si="5"/>
        <v>5</v>
      </c>
      <c r="B166" s="112"/>
      <c r="C166" s="94" t="s">
        <v>411</v>
      </c>
      <c r="D166" s="99">
        <f>(22.83*9.45+2.92*2.85)*10.764</f>
        <v>2411.8410419999996</v>
      </c>
      <c r="E166" s="94">
        <v>0</v>
      </c>
      <c r="F166" s="94">
        <f t="shared" si="6"/>
        <v>2411.8410419999996</v>
      </c>
      <c r="G166" s="94">
        <v>0</v>
      </c>
      <c r="H166" s="94">
        <f t="shared" si="7"/>
        <v>3617.7615629999991</v>
      </c>
      <c r="I166" s="35"/>
      <c r="L166" s="162"/>
      <c r="M166" s="162"/>
      <c r="N166" s="35"/>
      <c r="T166" s="21"/>
    </row>
    <row r="167" spans="1:20" s="95" customFormat="1" ht="15.75" customHeight="1" x14ac:dyDescent="0.25">
      <c r="A167" s="111">
        <f t="shared" si="5"/>
        <v>6</v>
      </c>
      <c r="B167" s="112"/>
      <c r="C167" s="94" t="s">
        <v>411</v>
      </c>
      <c r="D167" s="99">
        <f>(25.9*7.08+8.15*10.08)*10.764</f>
        <v>2858.100336</v>
      </c>
      <c r="E167" s="94">
        <v>0</v>
      </c>
      <c r="F167" s="94">
        <f t="shared" si="6"/>
        <v>2858.100336</v>
      </c>
      <c r="G167" s="94">
        <v>0</v>
      </c>
      <c r="H167" s="94">
        <f t="shared" si="7"/>
        <v>4287.1505040000002</v>
      </c>
      <c r="I167" s="35"/>
      <c r="L167" s="162"/>
      <c r="M167" s="162"/>
      <c r="N167" s="35"/>
      <c r="T167" s="21"/>
    </row>
    <row r="168" spans="1:20" s="95" customFormat="1" ht="15.75" customHeight="1" x14ac:dyDescent="0.25">
      <c r="A168" s="111">
        <f t="shared" si="5"/>
        <v>7</v>
      </c>
      <c r="B168" s="112"/>
      <c r="C168" s="94" t="s">
        <v>411</v>
      </c>
      <c r="D168" s="99">
        <f>(11.23*10.08+20.13*12.1+6.95*11.8+19.18*1.65+20.68*2.76)*10.764</f>
        <v>5678.0659727999991</v>
      </c>
      <c r="E168" s="94">
        <v>0</v>
      </c>
      <c r="F168" s="94">
        <f t="shared" si="6"/>
        <v>5678.0659727999991</v>
      </c>
      <c r="G168" s="94">
        <v>0</v>
      </c>
      <c r="H168" s="94">
        <f t="shared" si="7"/>
        <v>8517.0989591999987</v>
      </c>
      <c r="I168" s="35"/>
      <c r="L168" s="162"/>
      <c r="M168" s="162"/>
      <c r="N168" s="35"/>
      <c r="T168" s="21"/>
    </row>
    <row r="169" spans="1:20" s="95" customFormat="1" ht="15.75" customHeight="1" x14ac:dyDescent="0.25">
      <c r="A169" s="111">
        <f t="shared" si="5"/>
        <v>8</v>
      </c>
      <c r="B169" s="112"/>
      <c r="C169" s="94" t="s">
        <v>411</v>
      </c>
      <c r="D169" s="99">
        <f>(20.68*6.73+(23.99+26.28)/2*3.76+4.35*3.34+1.25*3.19)*10.764</f>
        <v>2714.6861819999995</v>
      </c>
      <c r="E169" s="94">
        <v>0</v>
      </c>
      <c r="F169" s="94">
        <f>D169+(IF(E169&lt;201,E169,IF(E169&lt;301,E169/2,E169/3)))</f>
        <v>2714.6861819999995</v>
      </c>
      <c r="G169" s="94">
        <v>0</v>
      </c>
      <c r="H169" s="94">
        <f>(F169+(IF(G169&lt;101,G169,IF(G169&lt;201,G169/2,IF(G169&lt;=301,G169/3,G169/4)))))*(($H$145)+1)</f>
        <v>4072.0292729999992</v>
      </c>
      <c r="I169" s="35"/>
      <c r="L169" s="162"/>
      <c r="M169" s="162"/>
      <c r="N169" s="35"/>
      <c r="T169" s="21"/>
    </row>
    <row r="170" spans="1:20" s="95" customFormat="1" ht="15.75" customHeight="1" x14ac:dyDescent="0.25">
      <c r="A170" s="111">
        <f t="shared" si="5"/>
        <v>9</v>
      </c>
      <c r="B170" s="112"/>
      <c r="C170" s="94" t="s">
        <v>411</v>
      </c>
      <c r="D170" s="99">
        <f>((15.4+23.9)/2*14.01)*10.764</f>
        <v>2963.2915259999995</v>
      </c>
      <c r="E170" s="94">
        <v>0</v>
      </c>
      <c r="F170" s="94">
        <f>D170+(IF(E170&lt;201,E170,IF(E170&lt;301,E170/2,E170/3)))</f>
        <v>2963.2915259999995</v>
      </c>
      <c r="G170" s="94">
        <v>0</v>
      </c>
      <c r="H170" s="94">
        <f>(F170+(IF(G170&lt;101,G170,IF(G170&lt;201,G170/2,IF(G170&lt;=301,G170/3,G170/4)))))*(($H$145)+1)</f>
        <v>4444.9372889999995</v>
      </c>
      <c r="I170" s="35"/>
      <c r="L170" s="162"/>
      <c r="M170" s="162"/>
      <c r="N170" s="35"/>
      <c r="T170" s="21"/>
    </row>
    <row r="171" spans="1:20" s="95" customFormat="1" x14ac:dyDescent="0.25">
      <c r="A171" s="174" t="s">
        <v>412</v>
      </c>
      <c r="B171" s="175"/>
      <c r="C171" s="175"/>
      <c r="D171" s="175"/>
      <c r="E171" s="175"/>
      <c r="F171" s="175"/>
      <c r="G171" s="175"/>
      <c r="H171" s="176"/>
      <c r="J171" s="35"/>
      <c r="T171" s="34"/>
    </row>
    <row r="172" spans="1:20" s="95" customFormat="1" ht="15.75" customHeight="1" x14ac:dyDescent="0.25">
      <c r="A172" s="111">
        <v>1</v>
      </c>
      <c r="B172" s="112"/>
      <c r="C172" s="94" t="s">
        <v>411</v>
      </c>
      <c r="D172" s="99">
        <f>((17.83+24.55)/2*11.08+(14.98+23.77)/2*14.5+(24.17+25.25)/2*1.78+1.8*1.5+5.15*4+1.35*1.2+2.4*2.08+2.45*2+3.05*2+1.98*2.08+1.5+1.5+3.05*2+1.7*2.23+1.5+1.5)*10.764</f>
        <v>6680.4387156000003</v>
      </c>
      <c r="E172" s="94">
        <v>0</v>
      </c>
      <c r="F172" s="94">
        <f>D172+(IF(E172&lt;201,E172,IF(E172&lt;301,E172/2,E172/3)))</f>
        <v>6680.4387156000003</v>
      </c>
      <c r="G172" s="94">
        <v>0</v>
      </c>
      <c r="H172" s="94">
        <f>(F172+(IF(G172&lt;101,G172,IF(G172&lt;201,G172/2,IF(G172&lt;=301,G172/3,G172/4)))))*(($H$145)+1)</f>
        <v>10020.6580734</v>
      </c>
      <c r="I172" s="35"/>
      <c r="L172" s="162"/>
      <c r="M172" s="162"/>
      <c r="N172" s="35"/>
      <c r="T172" s="34"/>
    </row>
    <row r="173" spans="1:20" s="95" customFormat="1" ht="15.75" customHeight="1" x14ac:dyDescent="0.25">
      <c r="A173" s="111">
        <f>A172+1</f>
        <v>2</v>
      </c>
      <c r="B173" s="112"/>
      <c r="C173" s="94" t="s">
        <v>411</v>
      </c>
      <c r="D173" s="99">
        <f>(18.53*1.78+18.13*14.5+6.35*13.63+34.05*11.08+(1.55+2.65)*0.9+2.05*1.5+5.15*4+1.35*1.2+2.4*2.08+2.45*2+3.05*2+1.98*2.08+1.5+1.5+3.05*2+1.7*2.23+1.5+1.5)*10.764</f>
        <v>8877.8167451999998</v>
      </c>
      <c r="E173" s="94">
        <v>0</v>
      </c>
      <c r="F173" s="94">
        <f>D173+(IF(E173&lt;201,E173,IF(E173&lt;301,E173/2,E173/3)))</f>
        <v>8877.8167451999998</v>
      </c>
      <c r="G173" s="94">
        <v>0</v>
      </c>
      <c r="H173" s="94">
        <f>(F173+(IF(G173&lt;101,G173,IF(G173&lt;201,G173/2,IF(G173&lt;=301,G173/3,G173/4)))))*(($H$145)+1)</f>
        <v>13316.725117800001</v>
      </c>
      <c r="I173" s="35"/>
      <c r="L173" s="162"/>
      <c r="M173" s="162"/>
      <c r="N173" s="35"/>
      <c r="T173" s="33"/>
    </row>
    <row r="174" spans="1:20" s="95" customFormat="1" ht="15.75" customHeight="1" x14ac:dyDescent="0.25">
      <c r="A174" s="111">
        <f>A173+1</f>
        <v>3</v>
      </c>
      <c r="B174" s="112"/>
      <c r="C174" s="94" t="s">
        <v>411</v>
      </c>
      <c r="D174" s="99">
        <f>(18.53*1.78+18.13*4.48+24.48*22.05+1.55*4.9+2.5*0.8+9.58*12.03+1.8*1.5+3.15*4+1.35*1.2+2.4*2.08+2.45*2+3.05*2+1.98*2.08+1.5+1.5+3.05*2+1.7*2.23+1.5+1.5)*10.764</f>
        <v>8952.9957504000013</v>
      </c>
      <c r="E174" s="94">
        <v>0</v>
      </c>
      <c r="F174" s="94">
        <f>D174+(IF(E174&lt;201,E174,IF(E174&lt;301,E174/2,E174/3)))</f>
        <v>8952.9957504000013</v>
      </c>
      <c r="G174" s="94">
        <v>0</v>
      </c>
      <c r="H174" s="94">
        <f>(F174+(IF(G174&lt;101,G174,IF(G174&lt;201,G174/2,IF(G174&lt;=301,G174/3,G174/4)))))*(($H$145)+1)</f>
        <v>13429.493625600002</v>
      </c>
      <c r="I174" s="35"/>
      <c r="L174" s="162"/>
      <c r="M174" s="162"/>
      <c r="N174" s="35"/>
      <c r="T174" s="21"/>
    </row>
    <row r="175" spans="1:20" s="95" customFormat="1" ht="15.75" customHeight="1" x14ac:dyDescent="0.25">
      <c r="A175" s="111">
        <f t="shared" ref="A175" si="8">A174+1</f>
        <v>4</v>
      </c>
      <c r="B175" s="112"/>
      <c r="C175" s="94" t="s">
        <v>411</v>
      </c>
      <c r="D175" s="99">
        <f>((25.17+26.24)/2*1.78+(26.02+27.93)/2*3.14+22.33*9.64+4.35*3.34+2.33*1.5+5.15*4+1.35*1.2+20.83*1.85+21.78*11.9+9.58*12.03+6.95*11.8+2.4*2.08+2.45*2+3.05*2+1.98*2.08+1.5+1.5+3.05*2+1.7*2.23+1.5+1.5)*10.764</f>
        <v>9869.9195555999995</v>
      </c>
      <c r="E175" s="94">
        <v>0</v>
      </c>
      <c r="F175" s="94">
        <f t="shared" ref="F175" si="9">D175+(IF(E175&lt;201,E175,IF(E175&lt;301,E175/2,E175/3)))</f>
        <v>9869.9195555999995</v>
      </c>
      <c r="G175" s="94">
        <v>0</v>
      </c>
      <c r="H175" s="94">
        <f t="shared" ref="H175" si="10">(F175+(IF(G175&lt;101,G175,IF(G175&lt;201,G175/2,IF(G175&lt;=301,G175/3,G175/4)))))*(($H$145)+1)</f>
        <v>14804.8793334</v>
      </c>
      <c r="I175" s="35"/>
      <c r="L175" s="162"/>
      <c r="M175" s="162"/>
      <c r="N175" s="35"/>
      <c r="T175" s="21"/>
    </row>
    <row r="176" spans="1:20" s="36" customFormat="1" x14ac:dyDescent="0.25">
      <c r="A176" s="111"/>
      <c r="B176" s="269"/>
      <c r="C176" s="269"/>
      <c r="D176" s="269"/>
      <c r="E176" s="269"/>
      <c r="F176" s="269"/>
      <c r="G176" s="269"/>
      <c r="H176" s="112"/>
      <c r="I176" s="35"/>
      <c r="N176" s="35"/>
    </row>
    <row r="177" spans="1:20" ht="47.25" hidden="1" customHeight="1" x14ac:dyDescent="0.25">
      <c r="A177" s="275" t="s">
        <v>118</v>
      </c>
      <c r="B177" s="120" t="s">
        <v>178</v>
      </c>
      <c r="C177" s="118" t="s">
        <v>54</v>
      </c>
      <c r="D177" s="120" t="s">
        <v>376</v>
      </c>
      <c r="E177" s="120" t="s">
        <v>232</v>
      </c>
      <c r="F177" s="118" t="s">
        <v>55</v>
      </c>
      <c r="G177" s="167" t="s">
        <v>56</v>
      </c>
      <c r="H177" s="62" t="s">
        <v>150</v>
      </c>
      <c r="I177" s="35"/>
      <c r="T177" s="36"/>
    </row>
    <row r="178" spans="1:20" s="36" customFormat="1" hidden="1" x14ac:dyDescent="0.25">
      <c r="A178" s="276"/>
      <c r="B178" s="121"/>
      <c r="C178" s="119"/>
      <c r="D178" s="121"/>
      <c r="E178" s="121"/>
      <c r="F178" s="119"/>
      <c r="G178" s="168"/>
      <c r="H178" s="53">
        <v>0.45</v>
      </c>
      <c r="I178" s="35"/>
    </row>
    <row r="179" spans="1:20" s="36" customFormat="1" hidden="1" x14ac:dyDescent="0.25">
      <c r="A179" s="174" t="s">
        <v>116</v>
      </c>
      <c r="B179" s="175"/>
      <c r="C179" s="175"/>
      <c r="D179" s="175"/>
      <c r="E179" s="175"/>
      <c r="F179" s="175"/>
      <c r="G179" s="175"/>
      <c r="H179" s="176"/>
      <c r="J179" s="35"/>
    </row>
    <row r="180" spans="1:20" s="36" customFormat="1" ht="15.75" hidden="1" customHeight="1" x14ac:dyDescent="0.25">
      <c r="A180" s="111">
        <v>1</v>
      </c>
      <c r="B180" s="112"/>
      <c r="C180" s="41"/>
      <c r="D180" s="41"/>
      <c r="E180" s="41">
        <v>0</v>
      </c>
      <c r="F180" s="41">
        <f>D180+E180</f>
        <v>0</v>
      </c>
      <c r="G180" s="41">
        <v>0</v>
      </c>
      <c r="H180" s="41">
        <f>F180*(($H$178)+1)+(IF(G180&lt;101,G180,IF(G180&lt;201,G180/2,IF(G180&lt;=301,G180/3,G180/4))))</f>
        <v>0</v>
      </c>
      <c r="I180" s="35"/>
      <c r="L180" s="162"/>
      <c r="M180" s="162"/>
      <c r="N180" s="35"/>
    </row>
    <row r="181" spans="1:20" s="36" customFormat="1" ht="15.75" hidden="1" customHeight="1" x14ac:dyDescent="0.25">
      <c r="A181" s="111">
        <f>A180+1</f>
        <v>2</v>
      </c>
      <c r="B181" s="112"/>
      <c r="C181" s="41"/>
      <c r="D181" s="41"/>
      <c r="E181" s="41">
        <v>0</v>
      </c>
      <c r="F181" s="41">
        <f>D181+E181</f>
        <v>0</v>
      </c>
      <c r="G181" s="41">
        <v>0</v>
      </c>
      <c r="H181" s="41">
        <f>F181*(($H$178)+1)+(IF(G181&lt;101,G181,IF(G181&lt;201,G181/2,IF(G181&lt;=301,G181/3,G181/4))))</f>
        <v>0</v>
      </c>
      <c r="I181" s="35"/>
      <c r="L181" s="162"/>
      <c r="M181" s="162"/>
      <c r="N181" s="35"/>
    </row>
    <row r="182" spans="1:20" s="36" customFormat="1" ht="15.75" hidden="1" customHeight="1" x14ac:dyDescent="0.25">
      <c r="A182" s="111">
        <f>A181+1</f>
        <v>3</v>
      </c>
      <c r="B182" s="112"/>
      <c r="C182" s="41"/>
      <c r="D182" s="41"/>
      <c r="E182" s="41">
        <v>0</v>
      </c>
      <c r="F182" s="41">
        <f>D182+E182</f>
        <v>0</v>
      </c>
      <c r="G182" s="41">
        <v>0</v>
      </c>
      <c r="H182" s="41">
        <f>F182*(($H$178)+1)+(IF(G182&lt;101,G182,IF(G182&lt;201,G182/2,IF(G182&lt;=301,G182/3,G182/4))))</f>
        <v>0</v>
      </c>
      <c r="I182" s="35"/>
      <c r="L182" s="162"/>
      <c r="M182" s="162"/>
      <c r="N182" s="35"/>
    </row>
    <row r="183" spans="1:20" s="36" customFormat="1" ht="15.75" hidden="1" customHeight="1" x14ac:dyDescent="0.25">
      <c r="A183" s="111">
        <f>A182+1</f>
        <v>4</v>
      </c>
      <c r="B183" s="112"/>
      <c r="C183" s="41"/>
      <c r="D183" s="41"/>
      <c r="E183" s="41">
        <v>0</v>
      </c>
      <c r="F183" s="41">
        <f>D183+E183</f>
        <v>0</v>
      </c>
      <c r="G183" s="41">
        <v>0</v>
      </c>
      <c r="H183" s="41">
        <f>F183*(($H$178)+1)+(IF(G183&lt;101,G183,IF(G183&lt;201,G183/2,IF(G183&lt;=301,G183/3,G183/4))))</f>
        <v>0</v>
      </c>
      <c r="I183" s="35"/>
      <c r="L183" s="162"/>
      <c r="M183" s="162"/>
      <c r="N183" s="35"/>
      <c r="T183" s="21"/>
    </row>
    <row r="184" spans="1:20" s="36" customFormat="1" hidden="1" x14ac:dyDescent="0.25">
      <c r="A184" s="249" t="s">
        <v>117</v>
      </c>
      <c r="B184" s="249"/>
      <c r="C184" s="249"/>
      <c r="D184" s="249"/>
      <c r="E184" s="249"/>
      <c r="F184" s="249"/>
      <c r="G184" s="249"/>
      <c r="H184" s="249"/>
      <c r="I184" s="35"/>
      <c r="L184" s="162"/>
      <c r="M184" s="162"/>
    </row>
    <row r="185" spans="1:20" s="36" customFormat="1" hidden="1" x14ac:dyDescent="0.25">
      <c r="A185" s="138">
        <f>LEFT(A184,SUM(LEN(A184)-LEN(SUBSTITUTE(A184,{"0","1","2","3","4","5","6","7","8","9"},""))))*100+1</f>
        <v>201</v>
      </c>
      <c r="B185" s="138"/>
      <c r="C185" s="41"/>
      <c r="D185" s="41"/>
      <c r="E185" s="41">
        <v>0</v>
      </c>
      <c r="F185" s="41">
        <f>D185+E185</f>
        <v>0</v>
      </c>
      <c r="G185" s="41">
        <v>0</v>
      </c>
      <c r="H185" s="41">
        <f>F185*(($H$178)+1)+(IF(G185&lt;101,G185,IF(G185&lt;201,G185/2,IF(G185&lt;=301,G185/3,G185/4))))</f>
        <v>0</v>
      </c>
      <c r="I185" s="35"/>
      <c r="N185" s="35"/>
    </row>
    <row r="186" spans="1:20" s="36" customFormat="1" hidden="1" x14ac:dyDescent="0.25">
      <c r="A186" s="138">
        <f>A185+1</f>
        <v>202</v>
      </c>
      <c r="B186" s="138"/>
      <c r="C186" s="41"/>
      <c r="D186" s="41"/>
      <c r="E186" s="41">
        <v>0</v>
      </c>
      <c r="F186" s="41">
        <f>D186+E186</f>
        <v>0</v>
      </c>
      <c r="G186" s="41">
        <v>0</v>
      </c>
      <c r="H186" s="41">
        <f>F186*(($H$178)+1)+(IF(G186&lt;101,G186,IF(G186&lt;201,G186/2,IF(G186&lt;=301,G186/3,G186/4))))</f>
        <v>0</v>
      </c>
      <c r="I186" s="35"/>
      <c r="N186" s="35"/>
    </row>
    <row r="187" spans="1:20" s="36" customFormat="1" hidden="1" x14ac:dyDescent="0.25">
      <c r="A187" s="138">
        <f>A186+1</f>
        <v>203</v>
      </c>
      <c r="B187" s="138"/>
      <c r="C187" s="41"/>
      <c r="D187" s="41"/>
      <c r="E187" s="41">
        <v>0</v>
      </c>
      <c r="F187" s="41">
        <f>D187+E187</f>
        <v>0</v>
      </c>
      <c r="G187" s="41">
        <v>0</v>
      </c>
      <c r="H187" s="41">
        <f>F187*(($H$178)+1)+(IF(G187&lt;101,G187,IF(G187&lt;201,G187/2,IF(G187&lt;=301,G187/3,G187/4))))</f>
        <v>0</v>
      </c>
      <c r="I187" s="35"/>
      <c r="N187" s="35"/>
    </row>
    <row r="188" spans="1:20" s="36" customFormat="1" hidden="1" x14ac:dyDescent="0.25">
      <c r="A188" s="138">
        <f>A187+1</f>
        <v>204</v>
      </c>
      <c r="B188" s="138"/>
      <c r="C188" s="41"/>
      <c r="D188" s="41"/>
      <c r="E188" s="41">
        <v>0</v>
      </c>
      <c r="F188" s="41">
        <f>D188+E188</f>
        <v>0</v>
      </c>
      <c r="G188" s="41">
        <v>0</v>
      </c>
      <c r="H188" s="41">
        <f>F188*(($H$178)+1)+(IF(G188&lt;101,G188,IF(G188&lt;201,G188/2,IF(G188&lt;=301,G188/3,G188/4))))</f>
        <v>0</v>
      </c>
      <c r="I188" s="35"/>
      <c r="N188" s="35"/>
    </row>
    <row r="189" spans="1:20" s="36" customFormat="1" hidden="1" x14ac:dyDescent="0.25">
      <c r="A189" s="138">
        <f>A188+1</f>
        <v>205</v>
      </c>
      <c r="B189" s="138"/>
      <c r="C189" s="41"/>
      <c r="D189" s="41"/>
      <c r="E189" s="41">
        <v>0</v>
      </c>
      <c r="F189" s="41">
        <f>D189+E189</f>
        <v>0</v>
      </c>
      <c r="G189" s="41">
        <v>0</v>
      </c>
      <c r="H189" s="41">
        <f>F189*(($H$178)+1)+(IF(G189&lt;101,G189,IF(G189&lt;201,G189/2,IF(G189&lt;=301,G189/3,G189/4))))</f>
        <v>0</v>
      </c>
      <c r="I189" s="35"/>
      <c r="N189" s="35"/>
    </row>
    <row r="190" spans="1:20" s="36" customFormat="1" ht="15.75" hidden="1" customHeight="1" x14ac:dyDescent="0.25">
      <c r="A190" s="174" t="s">
        <v>151</v>
      </c>
      <c r="B190" s="175"/>
      <c r="C190" s="175"/>
      <c r="D190" s="175"/>
      <c r="E190" s="175"/>
      <c r="F190" s="175"/>
      <c r="G190" s="175"/>
      <c r="H190" s="176"/>
      <c r="I190" s="35"/>
    </row>
    <row r="191" spans="1:20" s="36" customFormat="1" ht="15.75" hidden="1" customHeight="1" x14ac:dyDescent="0.25">
      <c r="A191" s="111"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301 ,.., 1501</v>
      </c>
      <c r="B191" s="112"/>
      <c r="C191" s="41"/>
      <c r="D191" s="41"/>
      <c r="E191" s="41">
        <v>0</v>
      </c>
      <c r="F191" s="41">
        <f>D191+E191</f>
        <v>0</v>
      </c>
      <c r="G191" s="41">
        <v>0</v>
      </c>
      <c r="H191" s="41">
        <f>F191*(($H$178)+1)+(IF(G191&lt;101,G191,IF(G191&lt;201,G191/2,IF(G191&lt;=301,G191/3,G191/4))))</f>
        <v>0</v>
      </c>
      <c r="I191" s="35"/>
    </row>
    <row r="192" spans="1:20" s="36" customFormat="1" ht="15.75" hidden="1" customHeight="1" x14ac:dyDescent="0.25">
      <c r="A192" s="111"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302 ,.., 1502</v>
      </c>
      <c r="B192" s="112"/>
      <c r="C192" s="41"/>
      <c r="D192" s="41"/>
      <c r="E192" s="41">
        <v>0</v>
      </c>
      <c r="F192" s="41">
        <f>D192+E192</f>
        <v>0</v>
      </c>
      <c r="G192" s="41">
        <v>0</v>
      </c>
      <c r="H192" s="41">
        <f>F192*(($H$178)+1)+(IF(G192&lt;101,G192,IF(G192&lt;201,G192/2,IF(G192&lt;=301,G192/3,G192/4))))</f>
        <v>0</v>
      </c>
      <c r="I192" s="35"/>
    </row>
    <row r="193" spans="1:20" s="36" customFormat="1" ht="15.75" hidden="1" customHeight="1" x14ac:dyDescent="0.25">
      <c r="A193" s="11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303 ,.., 1503</v>
      </c>
      <c r="B193" s="112"/>
      <c r="C193" s="41"/>
      <c r="D193" s="41"/>
      <c r="E193" s="41">
        <v>0</v>
      </c>
      <c r="F193" s="41">
        <f>D193+E193</f>
        <v>0</v>
      </c>
      <c r="G193" s="41">
        <v>0</v>
      </c>
      <c r="H193" s="41">
        <f>F193*(($H$178)+1)+(IF(G193&lt;101,G193,IF(G193&lt;201,G193/2,IF(G193&lt;=301,G193/3,G193/4))))</f>
        <v>0</v>
      </c>
      <c r="I193" s="35"/>
    </row>
    <row r="194" spans="1:20" s="36" customFormat="1" ht="15.75" hidden="1" customHeight="1" x14ac:dyDescent="0.25">
      <c r="A194" s="111"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304 ,.., 1504</v>
      </c>
      <c r="B194" s="112"/>
      <c r="C194" s="41"/>
      <c r="D194" s="41"/>
      <c r="E194" s="41">
        <v>0</v>
      </c>
      <c r="F194" s="41">
        <f>D194+E194</f>
        <v>0</v>
      </c>
      <c r="G194" s="41">
        <v>0</v>
      </c>
      <c r="H194" s="41">
        <f>F194*(($H$178)+1)+(IF(G194&lt;101,G194,IF(G194&lt;201,G194/2,IF(G194&lt;=301,G194/3,G194/4))))</f>
        <v>0</v>
      </c>
      <c r="I194" s="35"/>
    </row>
    <row r="195" spans="1:20" s="36" customFormat="1" ht="15.75" hidden="1" customHeight="1" x14ac:dyDescent="0.25">
      <c r="A195" s="111"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305 ,.., 1505</v>
      </c>
      <c r="B195" s="112"/>
      <c r="C195" s="41"/>
      <c r="D195" s="41"/>
      <c r="E195" s="41">
        <v>0</v>
      </c>
      <c r="F195" s="41">
        <f>D195+E195</f>
        <v>0</v>
      </c>
      <c r="G195" s="41">
        <v>0</v>
      </c>
      <c r="H195" s="41">
        <f>F195*(($H$178)+1)+(IF(G195&lt;101,G195,IF(G195&lt;201,G195/2,IF(G195&lt;=301,G195/3,G195/4))))</f>
        <v>0</v>
      </c>
      <c r="I195" s="35"/>
    </row>
    <row r="196" spans="1:20" s="36" customFormat="1" hidden="1" x14ac:dyDescent="0.25">
      <c r="A196" s="174" t="s">
        <v>145</v>
      </c>
      <c r="B196" s="175"/>
      <c r="C196" s="175"/>
      <c r="D196" s="175"/>
      <c r="E196" s="175"/>
      <c r="F196" s="175"/>
      <c r="G196" s="175"/>
      <c r="H196" s="176"/>
      <c r="I196" s="35"/>
    </row>
    <row r="197" spans="1:20" s="36" customFormat="1" ht="15.75" hidden="1" customHeight="1" x14ac:dyDescent="0.25">
      <c r="A197" s="111"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201 to 501</v>
      </c>
      <c r="B197" s="112"/>
      <c r="C197" s="41"/>
      <c r="D197" s="41"/>
      <c r="E197" s="41">
        <v>0</v>
      </c>
      <c r="F197" s="41">
        <f>D197+E197</f>
        <v>0</v>
      </c>
      <c r="G197" s="41">
        <v>0</v>
      </c>
      <c r="H197" s="41">
        <f>F197*(($H$178)+1)+(IF(G197&lt;101,G197,IF(G197&lt;201,G197/2,IF(G197&lt;=301,G197/3,G197/4))))</f>
        <v>0</v>
      </c>
      <c r="I197" s="35"/>
    </row>
    <row r="198" spans="1:20" s="36" customFormat="1" ht="15.75" hidden="1" customHeight="1" x14ac:dyDescent="0.25">
      <c r="A198" s="111"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202 to 502</v>
      </c>
      <c r="B198" s="112"/>
      <c r="C198" s="41"/>
      <c r="D198" s="41"/>
      <c r="E198" s="41">
        <v>0</v>
      </c>
      <c r="F198" s="41">
        <f>D198+E198</f>
        <v>0</v>
      </c>
      <c r="G198" s="41">
        <v>0</v>
      </c>
      <c r="H198" s="41">
        <f>F198*(($H$178)+1)+(IF(G198&lt;101,G198,IF(G198&lt;201,G198/2,IF(G198&lt;=301,G198/3,G198/4))))</f>
        <v>0</v>
      </c>
      <c r="I198" s="35"/>
    </row>
    <row r="199" spans="1:20" s="36" customFormat="1" ht="15.75" hidden="1" customHeight="1" x14ac:dyDescent="0.25">
      <c r="A199" s="111"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203 to 503</v>
      </c>
      <c r="B199" s="112"/>
      <c r="C199" s="41"/>
      <c r="D199" s="41"/>
      <c r="E199" s="41">
        <v>0</v>
      </c>
      <c r="F199" s="41">
        <f>D199+E199</f>
        <v>0</v>
      </c>
      <c r="G199" s="41">
        <v>0</v>
      </c>
      <c r="H199" s="41">
        <f>F199*(($H$178)+1)+(IF(G199&lt;101,G199,IF(G199&lt;201,G199/2,IF(G199&lt;=301,G199/3,G199/4))))</f>
        <v>0</v>
      </c>
      <c r="I199" s="35"/>
    </row>
    <row r="200" spans="1:20" s="36" customFormat="1" ht="15.75" hidden="1" customHeight="1" x14ac:dyDescent="0.25">
      <c r="A200" s="111"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204 to 504</v>
      </c>
      <c r="B200" s="112"/>
      <c r="C200" s="41"/>
      <c r="D200" s="41"/>
      <c r="E200" s="41">
        <v>0</v>
      </c>
      <c r="F200" s="41">
        <f>D200+E200</f>
        <v>0</v>
      </c>
      <c r="G200" s="41">
        <v>0</v>
      </c>
      <c r="H200" s="41">
        <f>F200*(($H$178)+1)+(IF(G200&lt;101,G200,IF(G200&lt;201,G200/2,IF(G200&lt;=301,G200/3,G200/4))))</f>
        <v>0</v>
      </c>
      <c r="I200" s="35"/>
    </row>
    <row r="201" spans="1:20" s="36" customFormat="1" ht="15.75" hidden="1" customHeight="1" x14ac:dyDescent="0.25">
      <c r="A201" s="111"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205 to 505</v>
      </c>
      <c r="B201" s="112"/>
      <c r="C201" s="41"/>
      <c r="D201" s="41"/>
      <c r="E201" s="41">
        <v>0</v>
      </c>
      <c r="F201" s="41">
        <f>D201+E201</f>
        <v>0</v>
      </c>
      <c r="G201" s="41">
        <v>0</v>
      </c>
      <c r="H201" s="41">
        <f>F201*(($H$178)+1)+(IF(G201&lt;101,G201,IF(G201&lt;201,G201/2,IF(G201&lt;=301,G201/3,G201/4))))</f>
        <v>0</v>
      </c>
      <c r="I201" s="35"/>
    </row>
    <row r="202" spans="1:20" s="36" customFormat="1" hidden="1" x14ac:dyDescent="0.25">
      <c r="A202" s="174" t="s">
        <v>146</v>
      </c>
      <c r="B202" s="175"/>
      <c r="C202" s="175"/>
      <c r="D202" s="175"/>
      <c r="E202" s="175"/>
      <c r="F202" s="175"/>
      <c r="G202" s="175"/>
      <c r="H202" s="176"/>
      <c r="I202" s="35"/>
    </row>
    <row r="203" spans="1:20" s="36" customFormat="1" ht="15.75" hidden="1" customHeight="1" x14ac:dyDescent="0.25">
      <c r="A203" s="111"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&amp; 501</v>
      </c>
      <c r="B203" s="112"/>
      <c r="C203" s="41"/>
      <c r="D203" s="41"/>
      <c r="E203" s="41">
        <v>0</v>
      </c>
      <c r="F203" s="41">
        <f>D203+E203</f>
        <v>0</v>
      </c>
      <c r="G203" s="41">
        <v>0</v>
      </c>
      <c r="H203" s="41">
        <f>F203*(($H$178)+1)+(IF(G203&lt;101,G203,IF(G203&lt;201,G203/2,IF(G203&lt;=301,G203/3,G203/4))))</f>
        <v>0</v>
      </c>
      <c r="I203" s="35"/>
    </row>
    <row r="204" spans="1:20" s="36" customFormat="1" ht="15.75" hidden="1" customHeight="1" x14ac:dyDescent="0.25">
      <c r="A204" s="111"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&amp; 502</v>
      </c>
      <c r="B204" s="112"/>
      <c r="C204" s="41"/>
      <c r="D204" s="41"/>
      <c r="E204" s="41">
        <v>0</v>
      </c>
      <c r="F204" s="41">
        <f>D204+E204</f>
        <v>0</v>
      </c>
      <c r="G204" s="41">
        <v>0</v>
      </c>
      <c r="H204" s="41">
        <f>F204*(($H$178)+1)+(IF(G204&lt;101,G204,IF(G204&lt;201,G204/2,IF(G204&lt;=301,G204/3,G204/4))))</f>
        <v>0</v>
      </c>
      <c r="I204" s="35"/>
    </row>
    <row r="205" spans="1:20" s="36" customFormat="1" ht="15.75" hidden="1" customHeight="1" x14ac:dyDescent="0.25">
      <c r="A205" s="111"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&amp; 503</v>
      </c>
      <c r="B205" s="112"/>
      <c r="C205" s="41"/>
      <c r="D205" s="41"/>
      <c r="E205" s="41">
        <v>0</v>
      </c>
      <c r="F205" s="41">
        <f>D205+E205</f>
        <v>0</v>
      </c>
      <c r="G205" s="41">
        <v>0</v>
      </c>
      <c r="H205" s="41">
        <f>F205*(($H$178)+1)+(IF(G205&lt;101,G205,IF(G205&lt;201,G205/2,IF(G205&lt;=301,G205/3,G205/4))))</f>
        <v>0</v>
      </c>
      <c r="I205" s="35"/>
    </row>
    <row r="206" spans="1:20" s="36" customFormat="1" ht="15.75" hidden="1" customHeight="1" x14ac:dyDescent="0.25">
      <c r="A206" s="111"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&amp; 504</v>
      </c>
      <c r="B206" s="112"/>
      <c r="C206" s="41"/>
      <c r="D206" s="41"/>
      <c r="E206" s="41">
        <v>0</v>
      </c>
      <c r="F206" s="41">
        <f>D206+E206</f>
        <v>0</v>
      </c>
      <c r="G206" s="41">
        <v>0</v>
      </c>
      <c r="H206" s="41">
        <f>F206*(($H$178)+1)+(IF(G206&lt;101,G206,IF(G206&lt;201,G206/2,IF(G206&lt;=301,G206/3,G206/4))))</f>
        <v>0</v>
      </c>
      <c r="I206" s="35"/>
    </row>
    <row r="207" spans="1:20" s="36" customFormat="1" ht="15.75" hidden="1" customHeight="1" x14ac:dyDescent="0.25">
      <c r="A207" s="111"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&amp; 505</v>
      </c>
      <c r="B207" s="112"/>
      <c r="C207" s="41"/>
      <c r="D207" s="41"/>
      <c r="E207" s="41">
        <v>0</v>
      </c>
      <c r="F207" s="41">
        <f>D207+E207</f>
        <v>0</v>
      </c>
      <c r="G207" s="41">
        <v>0</v>
      </c>
      <c r="H207" s="41">
        <f>F207*(($H$178)+1)+(IF(G207&lt;101,G207,IF(G207&lt;201,G207/2,IF(G207&lt;=301,G207/3,G207/4))))</f>
        <v>0</v>
      </c>
      <c r="I207" s="35"/>
    </row>
    <row r="208" spans="1:20" s="34" customFormat="1" x14ac:dyDescent="0.25">
      <c r="A208" s="273" t="s">
        <v>64</v>
      </c>
      <c r="B208" s="273"/>
      <c r="C208" s="273"/>
      <c r="D208" s="273"/>
      <c r="E208" s="273"/>
      <c r="F208" s="273"/>
      <c r="G208" s="273"/>
      <c r="H208" s="273"/>
      <c r="T208" s="36"/>
    </row>
    <row r="209" spans="1:20" s="34" customFormat="1" x14ac:dyDescent="0.25">
      <c r="A209" s="44" t="s">
        <v>155</v>
      </c>
      <c r="B209" s="122" t="s">
        <v>416</v>
      </c>
      <c r="C209" s="123"/>
      <c r="D209" s="123"/>
      <c r="E209" s="123"/>
      <c r="F209" s="123"/>
      <c r="G209" s="123"/>
      <c r="H209" s="124"/>
      <c r="T209" s="36"/>
    </row>
    <row r="210" spans="1:20" s="34" customFormat="1" x14ac:dyDescent="0.25">
      <c r="A210" s="44" t="s">
        <v>155</v>
      </c>
      <c r="B210" s="122" t="str">
        <f>(IF(H144="Saleable area Loading :","We have considered Saleable area of Commercial as per our Calculation.","We considered Saleable area of Commercial as per Builder area Sheet."))</f>
        <v>We have considered Saleable area of Commercial as per our Calculation.</v>
      </c>
      <c r="C210" s="123"/>
      <c r="D210" s="123"/>
      <c r="E210" s="123"/>
      <c r="F210" s="123"/>
      <c r="G210" s="123"/>
      <c r="H210" s="124"/>
      <c r="T210" s="36"/>
    </row>
    <row r="211" spans="1:20" s="34" customFormat="1" x14ac:dyDescent="0.25">
      <c r="A211" s="44" t="s">
        <v>155</v>
      </c>
      <c r="B211" s="135" t="s">
        <v>122</v>
      </c>
      <c r="C211" s="136"/>
      <c r="D211" s="136"/>
      <c r="E211" s="136"/>
      <c r="F211" s="136"/>
      <c r="G211" s="136"/>
      <c r="H211" s="137"/>
      <c r="T211" s="36"/>
    </row>
    <row r="212" spans="1:20" s="34" customFormat="1" x14ac:dyDescent="0.25">
      <c r="A212" s="44" t="s">
        <v>155</v>
      </c>
      <c r="B212" s="122" t="s">
        <v>424</v>
      </c>
      <c r="C212" s="123"/>
      <c r="D212" s="123"/>
      <c r="E212" s="123"/>
      <c r="F212" s="123"/>
      <c r="G212" s="123"/>
      <c r="H212" s="124"/>
      <c r="T212" s="36"/>
    </row>
    <row r="213" spans="1:20" s="34" customFormat="1" x14ac:dyDescent="0.25">
      <c r="A213" s="44" t="s">
        <v>155</v>
      </c>
      <c r="B213" s="135" t="s">
        <v>154</v>
      </c>
      <c r="C213" s="136"/>
      <c r="D213" s="136"/>
      <c r="E213" s="136"/>
      <c r="F213" s="136"/>
      <c r="G213" s="136"/>
      <c r="H213" s="137"/>
    </row>
    <row r="214" spans="1:20" s="34" customFormat="1" x14ac:dyDescent="0.25">
      <c r="A214" s="44" t="s">
        <v>155</v>
      </c>
      <c r="B214" s="135" t="s">
        <v>123</v>
      </c>
      <c r="C214" s="136"/>
      <c r="D214" s="136"/>
      <c r="E214" s="136"/>
      <c r="F214" s="136"/>
      <c r="G214" s="136"/>
      <c r="H214" s="137"/>
    </row>
    <row r="215" spans="1:20" s="34" customFormat="1" ht="34.5" customHeight="1" x14ac:dyDescent="0.25">
      <c r="A215" s="44" t="s">
        <v>155</v>
      </c>
      <c r="B215" s="122" t="s">
        <v>156</v>
      </c>
      <c r="C215" s="123"/>
      <c r="D215" s="123"/>
      <c r="E215" s="123"/>
      <c r="F215" s="123"/>
      <c r="G215" s="123"/>
      <c r="H215" s="124"/>
    </row>
    <row r="216" spans="1:20" s="34" customFormat="1" x14ac:dyDescent="0.25">
      <c r="A216" s="44" t="s">
        <v>155</v>
      </c>
      <c r="B216" s="135" t="s">
        <v>124</v>
      </c>
      <c r="C216" s="136"/>
      <c r="D216" s="136"/>
      <c r="E216" s="136"/>
      <c r="F216" s="136"/>
      <c r="G216" s="136"/>
      <c r="H216" s="137"/>
    </row>
    <row r="217" spans="1:20" s="34" customFormat="1" x14ac:dyDescent="0.25">
      <c r="A217" s="98" t="s">
        <v>155</v>
      </c>
      <c r="B217" s="122" t="s">
        <v>442</v>
      </c>
      <c r="C217" s="123"/>
      <c r="D217" s="123"/>
      <c r="E217" s="123"/>
      <c r="F217" s="123"/>
      <c r="G217" s="123"/>
      <c r="H217" s="124"/>
    </row>
    <row r="218" spans="1:20" s="34" customFormat="1" x14ac:dyDescent="0.25">
      <c r="A218" s="98" t="s">
        <v>155</v>
      </c>
      <c r="B218" s="122" t="s">
        <v>423</v>
      </c>
      <c r="C218" s="123"/>
      <c r="D218" s="123"/>
      <c r="E218" s="123"/>
      <c r="F218" s="123"/>
      <c r="G218" s="123"/>
      <c r="H218" s="124"/>
    </row>
    <row r="219" spans="1:20" s="34" customFormat="1" x14ac:dyDescent="0.25">
      <c r="A219" s="44" t="s">
        <v>155</v>
      </c>
      <c r="B219" s="113" t="s">
        <v>414</v>
      </c>
      <c r="C219" s="114"/>
      <c r="D219" s="114"/>
      <c r="E219" s="114"/>
      <c r="F219" s="114"/>
      <c r="G219" s="114"/>
      <c r="H219" s="115"/>
    </row>
    <row r="220" spans="1:20" s="34" customFormat="1" x14ac:dyDescent="0.25">
      <c r="A220" s="100" t="s">
        <v>155</v>
      </c>
      <c r="B220" s="113" t="s">
        <v>429</v>
      </c>
      <c r="C220" s="114"/>
      <c r="D220" s="114"/>
      <c r="E220" s="114"/>
      <c r="F220" s="114"/>
      <c r="G220" s="114"/>
      <c r="H220" s="115"/>
    </row>
    <row r="221" spans="1:20" s="34" customFormat="1" hidden="1" x14ac:dyDescent="0.25">
      <c r="A221" s="44" t="s">
        <v>155</v>
      </c>
      <c r="B221" s="255" t="str">
        <f ca="1">IF(G52&gt;EDATE(E3,-48),"NO REMARK FOR CC","REMARK FOR CC")</f>
        <v>NO REMARK FOR CC</v>
      </c>
      <c r="C221" s="256"/>
      <c r="D221" s="256"/>
      <c r="E221" s="256"/>
      <c r="F221" s="256"/>
      <c r="G221" s="256"/>
      <c r="H221" s="257"/>
    </row>
    <row r="222" spans="1:20" ht="35.25" customHeight="1" x14ac:dyDescent="0.25">
      <c r="A222" s="44" t="s">
        <v>155</v>
      </c>
      <c r="B222" s="113" t="s">
        <v>444</v>
      </c>
      <c r="C222" s="114"/>
      <c r="D222" s="114"/>
      <c r="E222" s="114"/>
      <c r="F222" s="114"/>
      <c r="G222" s="114"/>
      <c r="H222" s="115"/>
      <c r="T222" s="34"/>
    </row>
    <row r="223" spans="1:20" x14ac:dyDescent="0.25">
      <c r="A223" s="228" t="s">
        <v>57</v>
      </c>
      <c r="B223" s="228"/>
      <c r="C223" s="228"/>
      <c r="D223" s="228"/>
      <c r="E223" s="228"/>
      <c r="F223" s="228"/>
      <c r="G223" s="228"/>
      <c r="H223" s="228"/>
      <c r="T223" s="34"/>
    </row>
    <row r="224" spans="1:20" ht="15.75" customHeight="1" x14ac:dyDescent="0.25">
      <c r="A224" s="163" t="s">
        <v>58</v>
      </c>
      <c r="B224" s="163"/>
      <c r="C224" s="163"/>
      <c r="D224" s="163"/>
      <c r="E224" s="163"/>
      <c r="F224" s="163"/>
      <c r="G224" s="163"/>
      <c r="H224" s="163"/>
      <c r="T224" s="34"/>
    </row>
    <row r="225" spans="1:20" x14ac:dyDescent="0.25">
      <c r="A225" s="253" t="s">
        <v>59</v>
      </c>
      <c r="B225" s="253"/>
      <c r="C225" s="253"/>
      <c r="D225" s="253"/>
      <c r="E225" s="253"/>
      <c r="F225" s="253"/>
      <c r="G225" s="253"/>
      <c r="H225" s="253"/>
      <c r="T225" s="34"/>
    </row>
    <row r="226" spans="1:20" x14ac:dyDescent="0.25">
      <c r="A226" s="163" t="s">
        <v>60</v>
      </c>
      <c r="B226" s="163"/>
      <c r="C226" s="163"/>
      <c r="D226" s="163"/>
      <c r="E226" s="163"/>
      <c r="F226" s="163"/>
      <c r="G226" s="163"/>
      <c r="H226" s="163"/>
      <c r="T226" s="34"/>
    </row>
    <row r="227" spans="1:20" x14ac:dyDescent="0.25">
      <c r="A227" s="163" t="s">
        <v>61</v>
      </c>
      <c r="B227" s="163"/>
      <c r="C227" s="163"/>
      <c r="D227" s="163"/>
      <c r="E227" s="163"/>
      <c r="F227" s="163"/>
      <c r="G227" s="163"/>
      <c r="H227" s="163"/>
      <c r="T227" s="34"/>
    </row>
    <row r="228" spans="1:20" x14ac:dyDescent="0.25">
      <c r="A228" s="163" t="s">
        <v>125</v>
      </c>
      <c r="B228" s="163"/>
      <c r="C228" s="163"/>
      <c r="D228" s="163"/>
      <c r="E228" s="163"/>
      <c r="F228" s="163"/>
      <c r="G228" s="163"/>
      <c r="H228" s="163"/>
    </row>
    <row r="229" spans="1:20" x14ac:dyDescent="0.25">
      <c r="A229" s="181" t="s">
        <v>126</v>
      </c>
      <c r="B229" s="181"/>
      <c r="C229" s="181"/>
      <c r="D229" s="181"/>
      <c r="E229" s="181"/>
      <c r="F229" s="181"/>
      <c r="G229" s="181"/>
      <c r="H229" s="181"/>
    </row>
    <row r="230" spans="1:20" x14ac:dyDescent="0.25">
      <c r="A230" s="246" t="s">
        <v>73</v>
      </c>
      <c r="B230" s="246"/>
      <c r="C230" s="246" t="s">
        <v>418</v>
      </c>
      <c r="D230" s="246"/>
      <c r="E230" s="246" t="s">
        <v>103</v>
      </c>
      <c r="F230" s="246"/>
      <c r="G230" s="247" t="s">
        <v>415</v>
      </c>
      <c r="H230" s="247"/>
    </row>
    <row r="231" spans="1:20" x14ac:dyDescent="0.25">
      <c r="A231" s="245" t="s">
        <v>75</v>
      </c>
      <c r="B231" s="245"/>
      <c r="C231" s="245"/>
      <c r="D231" s="245"/>
      <c r="E231" s="245"/>
      <c r="F231" s="245"/>
      <c r="G231" s="245"/>
      <c r="H231" s="245"/>
    </row>
    <row r="232" spans="1:20" x14ac:dyDescent="0.25">
      <c r="A232" s="245"/>
      <c r="B232" s="245"/>
      <c r="C232" s="245"/>
      <c r="D232" s="245"/>
      <c r="E232" s="245"/>
      <c r="F232" s="245"/>
      <c r="G232" s="245"/>
      <c r="H232" s="245"/>
    </row>
    <row r="233" spans="1:20" x14ac:dyDescent="0.25">
      <c r="A233" s="245"/>
      <c r="B233" s="245"/>
      <c r="C233" s="245"/>
      <c r="D233" s="245"/>
      <c r="E233" s="245"/>
      <c r="F233" s="245"/>
      <c r="G233" s="245"/>
      <c r="H233" s="245"/>
    </row>
    <row r="234" spans="1:20" x14ac:dyDescent="0.25">
      <c r="A234" s="245"/>
      <c r="B234" s="245"/>
      <c r="C234" s="245"/>
      <c r="D234" s="245"/>
      <c r="E234" s="245"/>
      <c r="F234" s="245"/>
      <c r="G234" s="245"/>
      <c r="H234" s="245"/>
    </row>
    <row r="235" spans="1:20" x14ac:dyDescent="0.25">
      <c r="A235" s="37" t="s">
        <v>62</v>
      </c>
      <c r="B235" s="38"/>
      <c r="C235" s="38"/>
      <c r="D235" s="37" t="str">
        <f>E9</f>
        <v>Leela Business Park ­ II</v>
      </c>
      <c r="F235" s="38"/>
      <c r="G235" s="38"/>
      <c r="H235" s="38"/>
    </row>
    <row r="236" spans="1:20" x14ac:dyDescent="0.25">
      <c r="A236" s="38"/>
      <c r="B236" s="38"/>
      <c r="C236" s="38"/>
      <c r="D236" s="38"/>
      <c r="E236" s="38"/>
      <c r="F236" s="38"/>
      <c r="G236" s="38"/>
      <c r="H236" s="38"/>
    </row>
    <row r="237" spans="1:20" ht="15" customHeight="1" x14ac:dyDescent="0.25">
      <c r="A237" s="38"/>
      <c r="B237" s="38"/>
      <c r="C237" s="38"/>
      <c r="D237" s="38"/>
      <c r="E237" s="38"/>
      <c r="F237" s="38"/>
      <c r="G237" s="38"/>
      <c r="H237" s="38"/>
    </row>
    <row r="279" spans="1:1" x14ac:dyDescent="0.25">
      <c r="A279" s="40" t="s">
        <v>165</v>
      </c>
    </row>
    <row r="323" spans="1:1" x14ac:dyDescent="0.25">
      <c r="A323" s="40" t="s">
        <v>63</v>
      </c>
    </row>
  </sheetData>
  <mergeCells count="408">
    <mergeCell ref="I66:M70"/>
    <mergeCell ref="I17:K19"/>
    <mergeCell ref="A175:B175"/>
    <mergeCell ref="L175:M175"/>
    <mergeCell ref="A161:H161"/>
    <mergeCell ref="A162:B162"/>
    <mergeCell ref="L162:M162"/>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A170:B170"/>
    <mergeCell ref="L170:M170"/>
    <mergeCell ref="L173:M173"/>
    <mergeCell ref="A174:B174"/>
    <mergeCell ref="A153:B153"/>
    <mergeCell ref="L153:M153"/>
    <mergeCell ref="A154:B154"/>
    <mergeCell ref="L154:M154"/>
    <mergeCell ref="A155:H155"/>
    <mergeCell ref="A171:H171"/>
    <mergeCell ref="A172:B172"/>
    <mergeCell ref="L172:M172"/>
    <mergeCell ref="L174:M174"/>
    <mergeCell ref="L148:M148"/>
    <mergeCell ref="A149:B149"/>
    <mergeCell ref="L149:M149"/>
    <mergeCell ref="A150:B150"/>
    <mergeCell ref="L150:M150"/>
    <mergeCell ref="A151:B151"/>
    <mergeCell ref="L151:M151"/>
    <mergeCell ref="A152:B152"/>
    <mergeCell ref="L152:M152"/>
    <mergeCell ref="D69:H69"/>
    <mergeCell ref="A208:H208"/>
    <mergeCell ref="A200:B200"/>
    <mergeCell ref="A201:B201"/>
    <mergeCell ref="A196:H196"/>
    <mergeCell ref="A190:H190"/>
    <mergeCell ref="A205:B205"/>
    <mergeCell ref="A202:H202"/>
    <mergeCell ref="A74:C74"/>
    <mergeCell ref="D75:H75"/>
    <mergeCell ref="A81:B81"/>
    <mergeCell ref="G80:H80"/>
    <mergeCell ref="A89:B89"/>
    <mergeCell ref="A90:B90"/>
    <mergeCell ref="A85:B85"/>
    <mergeCell ref="A84:B84"/>
    <mergeCell ref="E80:F80"/>
    <mergeCell ref="A82:B82"/>
    <mergeCell ref="E137:F137"/>
    <mergeCell ref="A142:H142"/>
    <mergeCell ref="A177:A178"/>
    <mergeCell ref="F177:F178"/>
    <mergeCell ref="A148:B148"/>
    <mergeCell ref="A173:B173"/>
    <mergeCell ref="A87:B87"/>
    <mergeCell ref="I15:P15"/>
    <mergeCell ref="F129:H129"/>
    <mergeCell ref="F127:H127"/>
    <mergeCell ref="A192:B192"/>
    <mergeCell ref="A143:H143"/>
    <mergeCell ref="G133:H133"/>
    <mergeCell ref="A128:E128"/>
    <mergeCell ref="A158:B158"/>
    <mergeCell ref="A62:B62"/>
    <mergeCell ref="C62:E62"/>
    <mergeCell ref="D64:H64"/>
    <mergeCell ref="F128:H128"/>
    <mergeCell ref="E133:F133"/>
    <mergeCell ref="A133:B133"/>
    <mergeCell ref="C137:D137"/>
    <mergeCell ref="D74:H74"/>
    <mergeCell ref="D65:H65"/>
    <mergeCell ref="G62:H62"/>
    <mergeCell ref="A55:B56"/>
    <mergeCell ref="A176:H176"/>
    <mergeCell ref="A103:B103"/>
    <mergeCell ref="A86:B86"/>
    <mergeCell ref="A50:B50"/>
    <mergeCell ref="A99:B99"/>
    <mergeCell ref="A101:B101"/>
    <mergeCell ref="F120:H120"/>
    <mergeCell ref="G134:H134"/>
    <mergeCell ref="A104:B104"/>
    <mergeCell ref="F126:H126"/>
    <mergeCell ref="C133:D133"/>
    <mergeCell ref="C140:D140"/>
    <mergeCell ref="A179:H179"/>
    <mergeCell ref="F122:H122"/>
    <mergeCell ref="A126:E126"/>
    <mergeCell ref="A141:B141"/>
    <mergeCell ref="A125:E125"/>
    <mergeCell ref="F125:H125"/>
    <mergeCell ref="A146:H146"/>
    <mergeCell ref="A147:H147"/>
    <mergeCell ref="A228:H228"/>
    <mergeCell ref="A225:H225"/>
    <mergeCell ref="A185:B185"/>
    <mergeCell ref="A137:B137"/>
    <mergeCell ref="D177:D178"/>
    <mergeCell ref="E177:E178"/>
    <mergeCell ref="A194:B194"/>
    <mergeCell ref="B212:H212"/>
    <mergeCell ref="A203:B203"/>
    <mergeCell ref="A204:B204"/>
    <mergeCell ref="A207:B207"/>
    <mergeCell ref="B221:H221"/>
    <mergeCell ref="A224:H224"/>
    <mergeCell ref="B220:H220"/>
    <mergeCell ref="A11:D11"/>
    <mergeCell ref="E11:H11"/>
    <mergeCell ref="A23:D24"/>
    <mergeCell ref="A127:E127"/>
    <mergeCell ref="A231:H234"/>
    <mergeCell ref="A230:B230"/>
    <mergeCell ref="E230:F230"/>
    <mergeCell ref="C230:D230"/>
    <mergeCell ref="G230:H230"/>
    <mergeCell ref="A132:H132"/>
    <mergeCell ref="A130:E130"/>
    <mergeCell ref="F130:H130"/>
    <mergeCell ref="A131:E131"/>
    <mergeCell ref="F131:H131"/>
    <mergeCell ref="A184:H184"/>
    <mergeCell ref="A138:B138"/>
    <mergeCell ref="A193:B193"/>
    <mergeCell ref="A134:B134"/>
    <mergeCell ref="A226:H226"/>
    <mergeCell ref="A136:H136"/>
    <mergeCell ref="A229:H229"/>
    <mergeCell ref="A227:H227"/>
    <mergeCell ref="A223:H223"/>
    <mergeCell ref="G137:H13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59:B61"/>
    <mergeCell ref="C61:H61"/>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77:B77"/>
    <mergeCell ref="C77:H77"/>
    <mergeCell ref="A72:C72"/>
    <mergeCell ref="D72:H72"/>
    <mergeCell ref="C79:H79"/>
    <mergeCell ref="A73:C73"/>
    <mergeCell ref="D73:H73"/>
    <mergeCell ref="A76:C76"/>
    <mergeCell ref="D76:H76"/>
    <mergeCell ref="A75:C75"/>
    <mergeCell ref="A41:H41"/>
    <mergeCell ref="A80:B80"/>
    <mergeCell ref="A46:D46"/>
    <mergeCell ref="A47:D47"/>
    <mergeCell ref="D71:H71"/>
    <mergeCell ref="A44:D44"/>
    <mergeCell ref="E44:H44"/>
    <mergeCell ref="E45:H45"/>
    <mergeCell ref="E46:H46"/>
    <mergeCell ref="E47:H47"/>
    <mergeCell ref="C58:H58"/>
    <mergeCell ref="A48:H48"/>
    <mergeCell ref="D66:H66"/>
    <mergeCell ref="A66:C66"/>
    <mergeCell ref="A45:D45"/>
    <mergeCell ref="A49:B49"/>
    <mergeCell ref="C49:H49"/>
    <mergeCell ref="A67:C69"/>
    <mergeCell ref="D67:H67"/>
    <mergeCell ref="D68:H68"/>
    <mergeCell ref="G53:H53"/>
    <mergeCell ref="G52:H52"/>
    <mergeCell ref="A63:H63"/>
    <mergeCell ref="A79:B79"/>
    <mergeCell ref="A64:C64"/>
    <mergeCell ref="A70:C70"/>
    <mergeCell ref="A71:C71"/>
    <mergeCell ref="D70:H70"/>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G60:H60"/>
    <mergeCell ref="E42:H42"/>
    <mergeCell ref="A38:H38"/>
    <mergeCell ref="L160:M160"/>
    <mergeCell ref="L159:M159"/>
    <mergeCell ref="L158:M158"/>
    <mergeCell ref="L157:M157"/>
    <mergeCell ref="A88:B88"/>
    <mergeCell ref="C138:D138"/>
    <mergeCell ref="E138:F138"/>
    <mergeCell ref="G138:H138"/>
    <mergeCell ref="A120:E120"/>
    <mergeCell ref="A91:B91"/>
    <mergeCell ref="C91:H91"/>
    <mergeCell ref="A156:H156"/>
    <mergeCell ref="E144:E145"/>
    <mergeCell ref="A95:B95"/>
    <mergeCell ref="C93:H93"/>
    <mergeCell ref="A96:B96"/>
    <mergeCell ref="A97:B97"/>
    <mergeCell ref="G95:H104"/>
    <mergeCell ref="A98:B98"/>
    <mergeCell ref="F121:H121"/>
    <mergeCell ref="A121:E121"/>
    <mergeCell ref="E141:F141"/>
    <mergeCell ref="A93:B93"/>
    <mergeCell ref="L184:M184"/>
    <mergeCell ref="A189:B189"/>
    <mergeCell ref="A186:B186"/>
    <mergeCell ref="A187:B187"/>
    <mergeCell ref="A197:B197"/>
    <mergeCell ref="A40:B40"/>
    <mergeCell ref="C40:H40"/>
    <mergeCell ref="F144:F145"/>
    <mergeCell ref="C134:D134"/>
    <mergeCell ref="E134:F134"/>
    <mergeCell ref="B144:B145"/>
    <mergeCell ref="A144:A145"/>
    <mergeCell ref="C177:C178"/>
    <mergeCell ref="G177:G178"/>
    <mergeCell ref="L183:M183"/>
    <mergeCell ref="L180:M180"/>
    <mergeCell ref="A181:B181"/>
    <mergeCell ref="G141:H141"/>
    <mergeCell ref="L181:M181"/>
    <mergeCell ref="A182:B182"/>
    <mergeCell ref="L182:M182"/>
    <mergeCell ref="A113:B113"/>
    <mergeCell ref="A116:B116"/>
    <mergeCell ref="C54:H54"/>
    <mergeCell ref="B219:H219"/>
    <mergeCell ref="A124:E124"/>
    <mergeCell ref="A140:B140"/>
    <mergeCell ref="E140:F140"/>
    <mergeCell ref="A129:E129"/>
    <mergeCell ref="G140:H140"/>
    <mergeCell ref="A135:B135"/>
    <mergeCell ref="C135:D135"/>
    <mergeCell ref="E135:F135"/>
    <mergeCell ref="G135:H135"/>
    <mergeCell ref="A139:B139"/>
    <mergeCell ref="C139:D139"/>
    <mergeCell ref="E139:F139"/>
    <mergeCell ref="B216:H216"/>
    <mergeCell ref="B214:H214"/>
    <mergeCell ref="A157:B157"/>
    <mergeCell ref="A195:B195"/>
    <mergeCell ref="A183:B183"/>
    <mergeCell ref="B215:H215"/>
    <mergeCell ref="G144:G145"/>
    <mergeCell ref="A198:B198"/>
    <mergeCell ref="A206:B206"/>
    <mergeCell ref="B209:H209"/>
    <mergeCell ref="B211:H211"/>
    <mergeCell ref="A107:B107"/>
    <mergeCell ref="C107:H107"/>
    <mergeCell ref="A108:B108"/>
    <mergeCell ref="E108:F108"/>
    <mergeCell ref="G108:H108"/>
    <mergeCell ref="B218:H218"/>
    <mergeCell ref="B217:H217"/>
    <mergeCell ref="A83:B83"/>
    <mergeCell ref="E81:F90"/>
    <mergeCell ref="G81:H90"/>
    <mergeCell ref="A100:B100"/>
    <mergeCell ref="G94:H94"/>
    <mergeCell ref="A94:B94"/>
    <mergeCell ref="E94:F94"/>
    <mergeCell ref="E95:F104"/>
    <mergeCell ref="A122:E122"/>
    <mergeCell ref="A119:E119"/>
    <mergeCell ref="F123:H123"/>
    <mergeCell ref="A123:E123"/>
    <mergeCell ref="F119:H119"/>
    <mergeCell ref="F124:H124"/>
    <mergeCell ref="A180:B180"/>
    <mergeCell ref="A160:B160"/>
    <mergeCell ref="A159:B159"/>
    <mergeCell ref="A102:B102"/>
    <mergeCell ref="A191:B191"/>
    <mergeCell ref="B222:H222"/>
    <mergeCell ref="A118:B118"/>
    <mergeCell ref="C144:C145"/>
    <mergeCell ref="B177:B178"/>
    <mergeCell ref="B210:H210"/>
    <mergeCell ref="A109:B109"/>
    <mergeCell ref="E109:F118"/>
    <mergeCell ref="G109:H118"/>
    <mergeCell ref="A110:B110"/>
    <mergeCell ref="A111:B111"/>
    <mergeCell ref="A112:B112"/>
    <mergeCell ref="A114:B114"/>
    <mergeCell ref="A115:B115"/>
    <mergeCell ref="A117:B117"/>
    <mergeCell ref="C141:D141"/>
    <mergeCell ref="B213:H213"/>
    <mergeCell ref="A199:B199"/>
    <mergeCell ref="A188:B188"/>
    <mergeCell ref="D144:D145"/>
    <mergeCell ref="G139:H139"/>
    <mergeCell ref="A105:B105"/>
    <mergeCell ref="C105:H105"/>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30:H230">
      <formula1>"Kunal Kadam,Pranita Mhatre,Shruti Fule,Pooja Kawale,Gaurav Panchal,Shruti Tathare, Dipti Gothawade,Saurav Panse, Sachin Sawant"</formula1>
    </dataValidation>
    <dataValidation type="list" allowBlank="1" showInputMessage="1" showErrorMessage="1" sqref="F119:H119">
      <formula1>"On Saleable Area,On Builtup Area,On Carpet Area,On Plot Area"</formula1>
    </dataValidation>
    <dataValidation type="list" allowBlank="1" showInputMessage="1" showErrorMessage="1" sqref="F130:H130">
      <formula1>OFFSET($S$119,1,MATCH($G20,$S$119:$W$119,0)-1,15,1)</formula1>
    </dataValidation>
    <dataValidation type="list" allowBlank="1" showInputMessage="1" showErrorMessage="1" sqref="B144:B145">
      <formula1>"Shop/Office No. (Sale Plan),Sale / Rehab,Sale / Mhada"</formula1>
    </dataValidation>
    <dataValidation type="list" allowBlank="1" showInputMessage="1" showErrorMessage="1" sqref="B177:B17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7:E178">
      <formula1>"Fungible area,Balcony Area,Chajja Area,Cornice Area,AP Area,WS Area"</formula1>
    </dataValidation>
    <dataValidation type="list" allowBlank="1" showInputMessage="1" showErrorMessage="1" sqref="H178 H14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H177">
      <formula1>"Saleable area Loading :,Builder Saleable Area"</formula1>
    </dataValidation>
    <dataValidation type="list" allowBlank="1" showInputMessage="1" showErrorMessage="1" sqref="D144:D145">
      <formula1>"Carpet area,RERA Carpet area"</formula1>
    </dataValidation>
    <dataValidation type="list" allowBlank="1" showInputMessage="1" showErrorMessage="1" sqref="D177:D178">
      <formula1>"Carpet Area,Carpet + Encl Balcony Area,RERA Carpet area"</formula1>
    </dataValidation>
  </dataValidations>
  <hyperlinks>
    <hyperlink ref="C40" r:id="rId1"/>
    <hyperlink ref="I73"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3" manualBreakCount="3">
    <brk id="234" max="7" man="1"/>
    <brk id="278" max="7" man="1"/>
    <brk id="322"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5" t="s">
        <v>104</v>
      </c>
      <c r="C3" s="285"/>
      <c r="D3" s="285"/>
      <c r="E3" s="285"/>
      <c r="F3" s="285"/>
      <c r="G3" s="285"/>
      <c r="H3" s="285"/>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179</v>
      </c>
      <c r="E4" s="52" t="s">
        <v>189</v>
      </c>
      <c r="F4" s="52" t="s">
        <v>174</v>
      </c>
      <c r="G4" s="52" t="s">
        <v>194</v>
      </c>
      <c r="H4" s="52" t="s">
        <v>212</v>
      </c>
      <c r="J4" t="s">
        <v>194</v>
      </c>
      <c r="K4" t="s">
        <v>210</v>
      </c>
    </row>
    <row r="5" spans="2:11" x14ac:dyDescent="0.25">
      <c r="B5" s="51"/>
      <c r="C5" s="51"/>
      <c r="D5" s="52" t="s">
        <v>180</v>
      </c>
      <c r="E5" s="52" t="s">
        <v>187</v>
      </c>
      <c r="F5" s="52" t="s">
        <v>209</v>
      </c>
      <c r="G5" s="52" t="s">
        <v>195</v>
      </c>
      <c r="H5" s="52" t="s">
        <v>213</v>
      </c>
    </row>
    <row r="6" spans="2:11" x14ac:dyDescent="0.25">
      <c r="B6" s="51"/>
      <c r="C6" s="51"/>
      <c r="D6" s="52" t="s">
        <v>181</v>
      </c>
      <c r="E6" s="52" t="s">
        <v>188</v>
      </c>
      <c r="F6" s="52" t="s">
        <v>210</v>
      </c>
      <c r="G6" s="52" t="s">
        <v>196</v>
      </c>
      <c r="H6" s="52" t="s">
        <v>226</v>
      </c>
    </row>
    <row r="7" spans="2:11" x14ac:dyDescent="0.25">
      <c r="B7" s="51"/>
      <c r="C7" s="51"/>
      <c r="D7" s="52" t="s">
        <v>182</v>
      </c>
      <c r="E7" s="52" t="s">
        <v>190</v>
      </c>
      <c r="F7" s="52" t="s">
        <v>211</v>
      </c>
      <c r="G7" s="52" t="s">
        <v>197</v>
      </c>
      <c r="H7" s="52" t="s">
        <v>214</v>
      </c>
    </row>
    <row r="8" spans="2:11" x14ac:dyDescent="0.25">
      <c r="B8" s="51"/>
      <c r="C8" s="51"/>
      <c r="D8" s="52" t="s">
        <v>183</v>
      </c>
      <c r="E8" s="52" t="s">
        <v>191</v>
      </c>
      <c r="F8" s="52"/>
      <c r="G8" s="52" t="s">
        <v>198</v>
      </c>
      <c r="H8" s="52" t="s">
        <v>215</v>
      </c>
    </row>
    <row r="9" spans="2:11" x14ac:dyDescent="0.25">
      <c r="B9" s="51"/>
      <c r="C9" s="51"/>
      <c r="D9" s="52" t="s">
        <v>184</v>
      </c>
      <c r="E9" s="52" t="s">
        <v>189</v>
      </c>
      <c r="F9" s="52"/>
      <c r="G9" s="52" t="s">
        <v>199</v>
      </c>
      <c r="H9" s="52" t="s">
        <v>216</v>
      </c>
    </row>
    <row r="10" spans="2:11" x14ac:dyDescent="0.25">
      <c r="B10" s="51"/>
      <c r="C10" s="51"/>
      <c r="D10" s="52" t="s">
        <v>185</v>
      </c>
      <c r="E10" s="52" t="s">
        <v>192</v>
      </c>
      <c r="F10" s="52"/>
      <c r="G10" s="52" t="s">
        <v>200</v>
      </c>
      <c r="H10" s="52" t="s">
        <v>217</v>
      </c>
    </row>
    <row r="11" spans="2:11" x14ac:dyDescent="0.25">
      <c r="B11" s="51"/>
      <c r="C11" s="51"/>
      <c r="D11" s="52" t="s">
        <v>186</v>
      </c>
      <c r="E11" s="52" t="s">
        <v>193</v>
      </c>
      <c r="F11" s="52"/>
      <c r="G11" s="52" t="s">
        <v>201</v>
      </c>
      <c r="H11" s="52" t="s">
        <v>218</v>
      </c>
    </row>
    <row r="12" spans="2:11" x14ac:dyDescent="0.25">
      <c r="B12" s="51"/>
      <c r="C12" s="51"/>
      <c r="D12" s="52"/>
      <c r="E12" s="52"/>
      <c r="F12" s="52"/>
      <c r="G12" s="52" t="s">
        <v>202</v>
      </c>
      <c r="H12" s="52" t="s">
        <v>219</v>
      </c>
    </row>
    <row r="13" spans="2:11" x14ac:dyDescent="0.25">
      <c r="B13" s="51"/>
      <c r="C13" s="51"/>
      <c r="D13" s="52"/>
      <c r="E13" s="52"/>
      <c r="F13" s="52"/>
      <c r="G13" s="52" t="s">
        <v>203</v>
      </c>
      <c r="H13" s="52" t="s">
        <v>220</v>
      </c>
    </row>
    <row r="14" spans="2:11" x14ac:dyDescent="0.25">
      <c r="B14" s="51"/>
      <c r="C14" s="51"/>
      <c r="D14" s="52"/>
      <c r="E14" s="52"/>
      <c r="F14" s="52"/>
      <c r="G14" s="52" t="s">
        <v>204</v>
      </c>
      <c r="H14" s="52" t="s">
        <v>221</v>
      </c>
    </row>
    <row r="15" spans="2:11" x14ac:dyDescent="0.25">
      <c r="B15" s="51"/>
      <c r="C15" s="51"/>
      <c r="D15" s="52"/>
      <c r="E15" s="52"/>
      <c r="F15" s="52"/>
      <c r="G15" s="52" t="s">
        <v>205</v>
      </c>
      <c r="H15" s="52" t="s">
        <v>222</v>
      </c>
    </row>
    <row r="16" spans="2:11" x14ac:dyDescent="0.25">
      <c r="B16" s="51"/>
      <c r="C16" s="51"/>
      <c r="D16" s="52"/>
      <c r="E16" s="52"/>
      <c r="F16" s="52"/>
      <c r="G16" s="52" t="s">
        <v>206</v>
      </c>
      <c r="H16" s="52" t="s">
        <v>223</v>
      </c>
    </row>
    <row r="17" spans="2:8" x14ac:dyDescent="0.25">
      <c r="B17" s="51"/>
      <c r="C17" s="51"/>
      <c r="D17" s="52"/>
      <c r="E17" s="52"/>
      <c r="F17" s="52"/>
      <c r="G17" s="52" t="s">
        <v>207</v>
      </c>
      <c r="H17" s="52" t="s">
        <v>224</v>
      </c>
    </row>
    <row r="18" spans="2:8" x14ac:dyDescent="0.25">
      <c r="B18" s="51"/>
      <c r="C18" s="51"/>
      <c r="D18" s="52"/>
      <c r="E18" s="52"/>
      <c r="F18" s="52"/>
      <c r="G18" s="52" t="s">
        <v>208</v>
      </c>
      <c r="H18" s="52" t="s">
        <v>225</v>
      </c>
    </row>
    <row r="24" spans="2:8" x14ac:dyDescent="0.25">
      <c r="C24" t="s">
        <v>171</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171</v>
      </c>
    </row>
    <row r="33" spans="3:11" x14ac:dyDescent="0.25">
      <c r="J33">
        <v>1</v>
      </c>
      <c r="K33">
        <v>2</v>
      </c>
    </row>
    <row r="34" spans="3:11" x14ac:dyDescent="0.25">
      <c r="C34" s="54" t="s">
        <v>237</v>
      </c>
      <c r="D34" s="52" t="s">
        <v>235</v>
      </c>
      <c r="E34" s="52" t="s">
        <v>240</v>
      </c>
      <c r="F34" s="52" t="s">
        <v>238</v>
      </c>
      <c r="G34" s="52" t="s">
        <v>239</v>
      </c>
      <c r="H34" s="52" t="s">
        <v>241</v>
      </c>
      <c r="J34" t="s">
        <v>194</v>
      </c>
      <c r="K34" t="s">
        <v>210</v>
      </c>
    </row>
    <row r="35" spans="3:11" x14ac:dyDescent="0.25">
      <c r="C35" s="51" t="s">
        <v>236</v>
      </c>
      <c r="D35" s="52" t="s">
        <v>172</v>
      </c>
      <c r="E35" s="52" t="s">
        <v>245</v>
      </c>
      <c r="F35" s="52" t="s">
        <v>247</v>
      </c>
      <c r="G35" s="52" t="s">
        <v>249</v>
      </c>
      <c r="H35" s="52"/>
    </row>
    <row r="36" spans="3:11" x14ac:dyDescent="0.25">
      <c r="C36" s="51"/>
      <c r="D36" s="52" t="s">
        <v>242</v>
      </c>
      <c r="E36" s="52" t="s">
        <v>246</v>
      </c>
      <c r="F36" s="52" t="s">
        <v>248</v>
      </c>
      <c r="G36" s="52" t="s">
        <v>250</v>
      </c>
      <c r="H36" s="52"/>
    </row>
    <row r="37" spans="3:11" x14ac:dyDescent="0.25">
      <c r="C37" s="51"/>
      <c r="D37" s="52" t="s">
        <v>243</v>
      </c>
      <c r="E37" s="52"/>
      <c r="F37" s="52"/>
      <c r="G37" s="52" t="s">
        <v>251</v>
      </c>
      <c r="H37" s="52"/>
    </row>
    <row r="38" spans="3:11" x14ac:dyDescent="0.25">
      <c r="C38" s="51"/>
      <c r="D38" s="52" t="s">
        <v>244</v>
      </c>
      <c r="E38" s="52"/>
      <c r="F38" s="52"/>
      <c r="G38" s="52" t="s">
        <v>251</v>
      </c>
      <c r="H38" s="52"/>
    </row>
    <row r="39" spans="3:11" x14ac:dyDescent="0.25">
      <c r="C39" s="51"/>
      <c r="D39" s="52"/>
      <c r="E39" s="52"/>
      <c r="F39" s="52"/>
      <c r="G39" s="52" t="s">
        <v>252</v>
      </c>
      <c r="H39" s="52"/>
    </row>
    <row r="40" spans="3:11" x14ac:dyDescent="0.25">
      <c r="C40" s="51"/>
      <c r="D40" s="52"/>
      <c r="E40" s="52"/>
      <c r="F40" s="52"/>
      <c r="G40" s="52" t="s">
        <v>253</v>
      </c>
      <c r="H40" s="52"/>
    </row>
    <row r="41" spans="3:11" x14ac:dyDescent="0.25">
      <c r="C41" s="51"/>
      <c r="D41" s="52"/>
      <c r="E41" s="52"/>
      <c r="F41" s="52"/>
      <c r="G41" s="52"/>
      <c r="H41" s="52"/>
    </row>
    <row r="43" spans="3:11" x14ac:dyDescent="0.25">
      <c r="C43" t="s">
        <v>254</v>
      </c>
    </row>
    <row r="44" spans="3:11" x14ac:dyDescent="0.25">
      <c r="C44" t="s">
        <v>174</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3"/>
  <sheetViews>
    <sheetView topLeftCell="A38" zoomScale="85" zoomScaleNormal="85" workbookViewId="0">
      <selection activeCell="C51" sqref="C51"/>
    </sheetView>
  </sheetViews>
  <sheetFormatPr defaultRowHeight="15" x14ac:dyDescent="0.25"/>
  <cols>
    <col min="2" max="2" width="3" bestFit="1" customWidth="1"/>
    <col min="3" max="3" width="155.28515625" customWidth="1"/>
  </cols>
  <sheetData>
    <row r="2" spans="2:3" ht="15" customHeight="1" x14ac:dyDescent="0.25">
      <c r="B2" s="55">
        <v>1</v>
      </c>
      <c r="C2" s="57" t="s">
        <v>284</v>
      </c>
    </row>
    <row r="3" spans="2:3" x14ac:dyDescent="0.25">
      <c r="B3" s="55">
        <v>2</v>
      </c>
      <c r="C3" s="56" t="s">
        <v>285</v>
      </c>
    </row>
    <row r="4" spans="2:3" x14ac:dyDescent="0.25">
      <c r="B4" s="55">
        <v>3</v>
      </c>
      <c r="C4" s="55" t="s">
        <v>286</v>
      </c>
    </row>
    <row r="5" spans="2:3" x14ac:dyDescent="0.25">
      <c r="B5" s="55">
        <v>4</v>
      </c>
      <c r="C5" s="56" t="s">
        <v>287</v>
      </c>
    </row>
    <row r="6" spans="2:3" x14ac:dyDescent="0.25">
      <c r="B6" s="55">
        <v>5</v>
      </c>
      <c r="C6" s="55" t="s">
        <v>288</v>
      </c>
    </row>
    <row r="7" spans="2:3" ht="30" x14ac:dyDescent="0.25">
      <c r="B7" s="55">
        <v>6</v>
      </c>
      <c r="C7" s="56" t="s">
        <v>289</v>
      </c>
    </row>
    <row r="8" spans="2:3" ht="75" x14ac:dyDescent="0.25">
      <c r="B8" s="55">
        <v>7</v>
      </c>
      <c r="C8" s="56" t="s">
        <v>290</v>
      </c>
    </row>
    <row r="9" spans="2:3" x14ac:dyDescent="0.25">
      <c r="B9" s="55">
        <v>8</v>
      </c>
      <c r="C9" s="55" t="s">
        <v>291</v>
      </c>
    </row>
    <row r="10" spans="2:3" x14ac:dyDescent="0.25">
      <c r="B10" s="55">
        <v>9</v>
      </c>
      <c r="C10" s="55" t="s">
        <v>292</v>
      </c>
    </row>
    <row r="11" spans="2:3" x14ac:dyDescent="0.25">
      <c r="B11" s="55">
        <v>10</v>
      </c>
      <c r="C11" s="55" t="s">
        <v>293</v>
      </c>
    </row>
    <row r="12" spans="2:3" x14ac:dyDescent="0.25">
      <c r="B12" s="55">
        <v>11</v>
      </c>
      <c r="C12" s="55" t="s">
        <v>294</v>
      </c>
    </row>
    <row r="13" spans="2:3" x14ac:dyDescent="0.25">
      <c r="B13" s="55">
        <v>12</v>
      </c>
      <c r="C13" s="55" t="s">
        <v>295</v>
      </c>
    </row>
    <row r="14" spans="2:3" x14ac:dyDescent="0.25">
      <c r="B14" s="55">
        <v>13</v>
      </c>
      <c r="C14" s="55" t="s">
        <v>296</v>
      </c>
    </row>
    <row r="15" spans="2:3" x14ac:dyDescent="0.25">
      <c r="B15" s="55">
        <v>14</v>
      </c>
      <c r="C15" s="55" t="s">
        <v>286</v>
      </c>
    </row>
    <row r="16" spans="2:3" x14ac:dyDescent="0.25">
      <c r="B16" s="55">
        <v>15</v>
      </c>
      <c r="C16" s="55" t="s">
        <v>299</v>
      </c>
    </row>
    <row r="17" spans="2:3" x14ac:dyDescent="0.25">
      <c r="B17" s="75">
        <v>16</v>
      </c>
      <c r="C17" s="61" t="s">
        <v>300</v>
      </c>
    </row>
    <row r="18" spans="2:3" x14ac:dyDescent="0.25">
      <c r="B18" s="60">
        <v>17</v>
      </c>
      <c r="C18" s="61" t="s">
        <v>301</v>
      </c>
    </row>
    <row r="19" spans="2:3" x14ac:dyDescent="0.25">
      <c r="B19" s="59">
        <v>18</v>
      </c>
      <c r="C19" s="55" t="s">
        <v>302</v>
      </c>
    </row>
    <row r="20" spans="2:3" x14ac:dyDescent="0.25">
      <c r="B20" s="60">
        <v>19</v>
      </c>
      <c r="C20" s="55" t="s">
        <v>338</v>
      </c>
    </row>
    <row r="21" spans="2:3" x14ac:dyDescent="0.25">
      <c r="B21" s="55">
        <v>20</v>
      </c>
      <c r="C21" s="55" t="s">
        <v>303</v>
      </c>
    </row>
    <row r="22" spans="2:3" x14ac:dyDescent="0.25">
      <c r="B22" s="60">
        <v>21</v>
      </c>
      <c r="C22" s="55" t="s">
        <v>302</v>
      </c>
    </row>
    <row r="23" spans="2:3" s="70" customFormat="1" ht="29.25" customHeight="1" x14ac:dyDescent="0.25">
      <c r="B23" s="69">
        <v>22</v>
      </c>
      <c r="C23" s="57" t="s">
        <v>330</v>
      </c>
    </row>
    <row r="24" spans="2:3" s="70" customFormat="1" ht="30.75" customHeight="1" x14ac:dyDescent="0.25">
      <c r="B24" s="71">
        <v>23</v>
      </c>
      <c r="C24" s="57" t="s">
        <v>331</v>
      </c>
    </row>
    <row r="25" spans="2:3" x14ac:dyDescent="0.25">
      <c r="B25" s="55">
        <v>24</v>
      </c>
      <c r="C25" s="55" t="s">
        <v>334</v>
      </c>
    </row>
    <row r="26" spans="2:3" x14ac:dyDescent="0.25">
      <c r="B26" s="60">
        <v>25</v>
      </c>
      <c r="C26" s="55" t="s">
        <v>332</v>
      </c>
    </row>
    <row r="27" spans="2:3" x14ac:dyDescent="0.25">
      <c r="B27" s="71">
        <v>26</v>
      </c>
      <c r="C27" s="55" t="s">
        <v>333</v>
      </c>
    </row>
    <row r="28" spans="2:3" x14ac:dyDescent="0.25">
      <c r="B28" s="60">
        <v>27</v>
      </c>
      <c r="C28" s="55" t="s">
        <v>335</v>
      </c>
    </row>
    <row r="29" spans="2:3" ht="60" x14ac:dyDescent="0.25">
      <c r="B29" s="74">
        <v>28</v>
      </c>
      <c r="C29" s="56" t="s">
        <v>336</v>
      </c>
    </row>
    <row r="30" spans="2:3" x14ac:dyDescent="0.25">
      <c r="B30" s="71">
        <v>29</v>
      </c>
      <c r="C30" s="55" t="s">
        <v>337</v>
      </c>
    </row>
    <row r="31" spans="2:3" ht="30" x14ac:dyDescent="0.25">
      <c r="B31" s="71">
        <v>30</v>
      </c>
      <c r="C31" s="56" t="s">
        <v>339</v>
      </c>
    </row>
    <row r="32" spans="2:3" x14ac:dyDescent="0.25">
      <c r="B32" s="71">
        <v>31</v>
      </c>
      <c r="C32" s="55" t="s">
        <v>340</v>
      </c>
    </row>
    <row r="33" spans="2:4" x14ac:dyDescent="0.25">
      <c r="B33" s="71">
        <v>32</v>
      </c>
      <c r="C33" s="55" t="s">
        <v>341</v>
      </c>
    </row>
    <row r="34" spans="2:4" ht="36.75" customHeight="1" x14ac:dyDescent="0.25">
      <c r="B34" s="71">
        <v>33</v>
      </c>
      <c r="C34" s="61" t="s">
        <v>342</v>
      </c>
    </row>
    <row r="35" spans="2:4" x14ac:dyDescent="0.25">
      <c r="B35" s="69">
        <v>34</v>
      </c>
      <c r="C35" s="55" t="s">
        <v>350</v>
      </c>
    </row>
    <row r="36" spans="2:4" ht="60" x14ac:dyDescent="0.25">
      <c r="B36" s="69">
        <v>35</v>
      </c>
      <c r="C36" s="56" t="s">
        <v>352</v>
      </c>
    </row>
    <row r="37" spans="2:4" x14ac:dyDescent="0.25">
      <c r="B37" s="55">
        <v>36</v>
      </c>
      <c r="C37" s="56" t="s">
        <v>363</v>
      </c>
    </row>
    <row r="38" spans="2:4" x14ac:dyDescent="0.25">
      <c r="B38" s="55">
        <f t="shared" ref="B38:B44" si="0">B37+1</f>
        <v>37</v>
      </c>
      <c r="C38" s="55" t="s">
        <v>359</v>
      </c>
    </row>
    <row r="39" spans="2:4" x14ac:dyDescent="0.25">
      <c r="B39" s="55">
        <f t="shared" si="0"/>
        <v>38</v>
      </c>
      <c r="C39" s="55" t="s">
        <v>360</v>
      </c>
    </row>
    <row r="40" spans="2:4" x14ac:dyDescent="0.25">
      <c r="B40" s="55">
        <f t="shared" si="0"/>
        <v>39</v>
      </c>
      <c r="C40" s="55" t="s">
        <v>361</v>
      </c>
    </row>
    <row r="41" spans="2:4" x14ac:dyDescent="0.25">
      <c r="B41" s="55">
        <f t="shared" si="0"/>
        <v>40</v>
      </c>
      <c r="C41" s="55" t="s">
        <v>362</v>
      </c>
    </row>
    <row r="42" spans="2:4" ht="30.75" thickBot="1" x14ac:dyDescent="0.3">
      <c r="B42" s="78">
        <f t="shared" si="0"/>
        <v>41</v>
      </c>
      <c r="C42" s="79" t="s">
        <v>364</v>
      </c>
    </row>
    <row r="43" spans="2:4" ht="30" x14ac:dyDescent="0.25">
      <c r="B43" s="82">
        <f t="shared" si="0"/>
        <v>42</v>
      </c>
      <c r="C43" s="87" t="s">
        <v>369</v>
      </c>
      <c r="D43" t="s">
        <v>370</v>
      </c>
    </row>
    <row r="44" spans="2:4" ht="15.75" thickBot="1" x14ac:dyDescent="0.3">
      <c r="B44" s="84">
        <f t="shared" si="0"/>
        <v>43</v>
      </c>
      <c r="C44" s="86" t="s">
        <v>365</v>
      </c>
    </row>
    <row r="45" spans="2:4" ht="15.75" thickBot="1" x14ac:dyDescent="0.3">
      <c r="B45" s="80">
        <f t="shared" ref="B45:B53" si="1">B44+1</f>
        <v>44</v>
      </c>
      <c r="C45" s="81" t="s">
        <v>366</v>
      </c>
    </row>
    <row r="46" spans="2:4" ht="30" x14ac:dyDescent="0.25">
      <c r="B46" s="82">
        <f t="shared" si="1"/>
        <v>45</v>
      </c>
      <c r="C46" s="83" t="s">
        <v>367</v>
      </c>
    </row>
    <row r="47" spans="2:4" ht="15.75" thickBot="1" x14ac:dyDescent="0.3">
      <c r="B47" s="84">
        <f t="shared" si="1"/>
        <v>46</v>
      </c>
      <c r="C47" s="85" t="s">
        <v>368</v>
      </c>
    </row>
    <row r="48" spans="2:4" x14ac:dyDescent="0.25">
      <c r="B48" s="88">
        <f t="shared" si="1"/>
        <v>47</v>
      </c>
      <c r="C48" s="89" t="s">
        <v>371</v>
      </c>
    </row>
    <row r="49" spans="2:4" x14ac:dyDescent="0.25">
      <c r="B49" s="88">
        <f t="shared" si="1"/>
        <v>48</v>
      </c>
      <c r="C49" s="89" t="s">
        <v>372</v>
      </c>
    </row>
    <row r="50" spans="2:4" x14ac:dyDescent="0.25">
      <c r="B50" s="88">
        <f t="shared" si="1"/>
        <v>49</v>
      </c>
      <c r="C50" s="89" t="s">
        <v>374</v>
      </c>
      <c r="D50" t="s">
        <v>373</v>
      </c>
    </row>
    <row r="51" spans="2:4" ht="30" x14ac:dyDescent="0.25">
      <c r="B51" s="90">
        <f t="shared" si="1"/>
        <v>50</v>
      </c>
      <c r="C51" s="91" t="s">
        <v>375</v>
      </c>
    </row>
    <row r="52" spans="2:4" x14ac:dyDescent="0.25">
      <c r="B52" s="90">
        <f t="shared" si="1"/>
        <v>51</v>
      </c>
      <c r="C52" s="92" t="s">
        <v>377</v>
      </c>
      <c r="D52" t="s">
        <v>378</v>
      </c>
    </row>
    <row r="53" spans="2:4" x14ac:dyDescent="0.25">
      <c r="B53" s="90">
        <f t="shared" si="1"/>
        <v>52</v>
      </c>
      <c r="C53" s="92" t="s">
        <v>380</v>
      </c>
      <c r="D53" t="s">
        <v>381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1"/>
    <col min="2" max="2" width="12.28515625" style="51" customWidth="1"/>
    <col min="3" max="16384" width="9.140625" style="51"/>
  </cols>
  <sheetData>
    <row r="2" spans="1:12" x14ac:dyDescent="0.25">
      <c r="B2" s="63" t="s">
        <v>304</v>
      </c>
      <c r="C2" s="286"/>
      <c r="D2" s="286"/>
    </row>
    <row r="3" spans="1:12" x14ac:dyDescent="0.25">
      <c r="D3" s="64"/>
      <c r="E3" s="64"/>
      <c r="F3" s="64"/>
      <c r="G3" s="64"/>
      <c r="H3" s="64"/>
      <c r="I3" s="64"/>
    </row>
    <row r="4" spans="1:12" x14ac:dyDescent="0.25">
      <c r="A4" s="63" t="s">
        <v>65</v>
      </c>
      <c r="B4" s="65" t="s">
        <v>305</v>
      </c>
      <c r="C4" s="287" t="s">
        <v>306</v>
      </c>
      <c r="D4" s="287"/>
      <c r="E4" s="287"/>
      <c r="F4" s="65"/>
      <c r="G4" s="288" t="s">
        <v>307</v>
      </c>
      <c r="H4" s="288"/>
      <c r="I4" s="288"/>
      <c r="J4" s="289" t="s">
        <v>308</v>
      </c>
      <c r="K4" s="289"/>
      <c r="L4" s="289"/>
    </row>
    <row r="5" spans="1:12" x14ac:dyDescent="0.25">
      <c r="A5" s="63"/>
      <c r="B5" s="65"/>
      <c r="C5" s="65" t="s">
        <v>309</v>
      </c>
      <c r="D5" s="65" t="s">
        <v>310</v>
      </c>
      <c r="E5" s="65" t="s">
        <v>311</v>
      </c>
      <c r="F5" s="65"/>
      <c r="G5" s="65" t="s">
        <v>309</v>
      </c>
      <c r="H5" s="65" t="s">
        <v>310</v>
      </c>
      <c r="I5" s="65" t="s">
        <v>311</v>
      </c>
      <c r="J5" s="65" t="s">
        <v>309</v>
      </c>
      <c r="K5" s="65" t="s">
        <v>310</v>
      </c>
      <c r="L5" s="65" t="s">
        <v>311</v>
      </c>
    </row>
    <row r="6" spans="1:12" x14ac:dyDescent="0.25">
      <c r="B6" s="52" t="s">
        <v>312</v>
      </c>
      <c r="C6" s="52"/>
      <c r="D6" s="52"/>
      <c r="E6" s="52">
        <f>C6*D6</f>
        <v>0</v>
      </c>
      <c r="F6" s="52" t="s">
        <v>329</v>
      </c>
      <c r="G6" s="52"/>
      <c r="H6" s="52"/>
      <c r="I6" s="52">
        <f>G6*H6</f>
        <v>0</v>
      </c>
      <c r="J6" s="52"/>
      <c r="K6" s="52"/>
      <c r="L6" s="52">
        <f>J6*K6</f>
        <v>0</v>
      </c>
    </row>
    <row r="7" spans="1:12" x14ac:dyDescent="0.25">
      <c r="B7" s="52"/>
      <c r="C7" s="52"/>
      <c r="D7" s="52"/>
      <c r="E7" s="52">
        <f t="shared" ref="E7:E41" si="0">C7*D7</f>
        <v>0</v>
      </c>
      <c r="F7" s="52" t="s">
        <v>329</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313</v>
      </c>
      <c r="G9" s="52"/>
      <c r="H9" s="52"/>
      <c r="I9" s="52">
        <f t="shared" si="1"/>
        <v>0</v>
      </c>
      <c r="J9" s="52"/>
      <c r="K9" s="52"/>
      <c r="L9" s="52">
        <f t="shared" si="2"/>
        <v>0</v>
      </c>
    </row>
    <row r="10" spans="1:12" x14ac:dyDescent="0.25">
      <c r="B10" s="52" t="s">
        <v>314</v>
      </c>
      <c r="C10" s="52"/>
      <c r="D10" s="52"/>
      <c r="E10" s="52">
        <f t="shared" si="0"/>
        <v>0</v>
      </c>
      <c r="F10" s="52" t="s">
        <v>313</v>
      </c>
      <c r="G10" s="52"/>
      <c r="H10" s="52"/>
      <c r="I10" s="52">
        <f t="shared" si="1"/>
        <v>0</v>
      </c>
      <c r="J10" s="52"/>
      <c r="K10" s="52"/>
      <c r="L10" s="52">
        <f t="shared" si="2"/>
        <v>0</v>
      </c>
    </row>
    <row r="11" spans="1:12" x14ac:dyDescent="0.25">
      <c r="B11" s="52"/>
      <c r="C11" s="52"/>
      <c r="D11" s="52"/>
      <c r="E11" s="52">
        <f t="shared" si="0"/>
        <v>0</v>
      </c>
      <c r="F11" s="52" t="s">
        <v>315</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316</v>
      </c>
      <c r="C14" s="52"/>
      <c r="D14" s="52"/>
      <c r="E14" s="52">
        <f t="shared" si="0"/>
        <v>0</v>
      </c>
      <c r="F14" s="52" t="s">
        <v>313</v>
      </c>
      <c r="G14" s="52"/>
      <c r="H14" s="52"/>
      <c r="I14" s="52">
        <f t="shared" si="1"/>
        <v>0</v>
      </c>
      <c r="J14" s="52"/>
      <c r="K14" s="52"/>
      <c r="L14" s="52">
        <f t="shared" si="2"/>
        <v>0</v>
      </c>
    </row>
    <row r="15" spans="1:12" x14ac:dyDescent="0.25">
      <c r="B15" s="52"/>
      <c r="C15" s="52"/>
      <c r="D15" s="52"/>
      <c r="E15" s="52">
        <f t="shared" si="0"/>
        <v>0</v>
      </c>
      <c r="F15" s="52" t="s">
        <v>315</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317</v>
      </c>
      <c r="C18" s="52"/>
      <c r="D18" s="52"/>
      <c r="E18" s="52">
        <f t="shared" si="0"/>
        <v>0</v>
      </c>
      <c r="F18" s="52" t="s">
        <v>313</v>
      </c>
      <c r="G18" s="52"/>
      <c r="H18" s="52"/>
      <c r="I18" s="52">
        <f t="shared" si="1"/>
        <v>0</v>
      </c>
      <c r="J18" s="52"/>
      <c r="K18" s="52"/>
      <c r="L18" s="52">
        <f t="shared" si="2"/>
        <v>0</v>
      </c>
    </row>
    <row r="19" spans="2:12" x14ac:dyDescent="0.25">
      <c r="B19" s="52"/>
      <c r="C19" s="52"/>
      <c r="D19" s="52"/>
      <c r="E19" s="52">
        <f t="shared" si="0"/>
        <v>0</v>
      </c>
      <c r="F19" s="52" t="s">
        <v>315</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318</v>
      </c>
      <c r="C21" s="52"/>
      <c r="D21" s="52"/>
      <c r="E21" s="52">
        <f t="shared" si="0"/>
        <v>0</v>
      </c>
      <c r="F21" s="52" t="s">
        <v>313</v>
      </c>
      <c r="G21" s="52"/>
      <c r="H21" s="52"/>
      <c r="I21" s="52">
        <f t="shared" si="1"/>
        <v>0</v>
      </c>
      <c r="J21" s="52"/>
      <c r="K21" s="52"/>
      <c r="L21" s="52">
        <f t="shared" si="2"/>
        <v>0</v>
      </c>
    </row>
    <row r="22" spans="2:12" x14ac:dyDescent="0.25">
      <c r="B22" s="52"/>
      <c r="C22" s="52"/>
      <c r="D22" s="52"/>
      <c r="E22" s="52">
        <f t="shared" si="0"/>
        <v>0</v>
      </c>
      <c r="F22" s="52" t="s">
        <v>315</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319</v>
      </c>
      <c r="C24" s="52"/>
      <c r="D24" s="52"/>
      <c r="E24" s="52">
        <f t="shared" si="0"/>
        <v>0</v>
      </c>
      <c r="F24" s="52" t="s">
        <v>320</v>
      </c>
      <c r="G24" s="52"/>
      <c r="H24" s="52"/>
      <c r="I24" s="52">
        <f t="shared" si="1"/>
        <v>0</v>
      </c>
      <c r="J24" s="52"/>
      <c r="K24" s="52"/>
      <c r="L24" s="52">
        <f t="shared" si="2"/>
        <v>0</v>
      </c>
    </row>
    <row r="25" spans="2:12" x14ac:dyDescent="0.25">
      <c r="B25" s="52"/>
      <c r="C25" s="52"/>
      <c r="D25" s="52"/>
      <c r="E25" s="52">
        <f>C25*D25</f>
        <v>0</v>
      </c>
      <c r="F25" s="52" t="s">
        <v>320</v>
      </c>
      <c r="G25" s="52"/>
      <c r="H25" s="52"/>
      <c r="I25" s="52">
        <f>G25*H25</f>
        <v>0</v>
      </c>
      <c r="J25" s="52"/>
      <c r="K25" s="52"/>
      <c r="L25" s="52">
        <f>J25*K25</f>
        <v>0</v>
      </c>
    </row>
    <row r="26" spans="2:12" x14ac:dyDescent="0.25">
      <c r="B26" s="52"/>
      <c r="C26" s="52"/>
      <c r="D26" s="52"/>
      <c r="E26" s="52">
        <f>C26*D26</f>
        <v>0</v>
      </c>
      <c r="F26" s="52" t="s">
        <v>320</v>
      </c>
      <c r="G26" s="52"/>
      <c r="H26" s="52"/>
      <c r="I26" s="52">
        <f>G26*H26</f>
        <v>0</v>
      </c>
      <c r="J26" s="52"/>
      <c r="K26" s="52"/>
      <c r="L26" s="52">
        <f>J26*K26</f>
        <v>0</v>
      </c>
    </row>
    <row r="27" spans="2:12" x14ac:dyDescent="0.25">
      <c r="B27" s="52"/>
      <c r="C27" s="52"/>
      <c r="D27" s="52"/>
      <c r="E27" s="52">
        <f>C27*D27</f>
        <v>0</v>
      </c>
      <c r="F27" s="52" t="s">
        <v>320</v>
      </c>
      <c r="G27" s="52"/>
      <c r="H27" s="52"/>
      <c r="I27" s="52">
        <f>G27*H27</f>
        <v>0</v>
      </c>
      <c r="J27" s="52"/>
      <c r="K27" s="52"/>
      <c r="L27" s="52">
        <f>J27*K27</f>
        <v>0</v>
      </c>
    </row>
    <row r="28" spans="2:12" x14ac:dyDescent="0.25">
      <c r="B28" s="52" t="s">
        <v>321</v>
      </c>
      <c r="C28" s="52"/>
      <c r="D28" s="52"/>
      <c r="E28" s="52">
        <f t="shared" si="0"/>
        <v>0</v>
      </c>
      <c r="F28" s="52" t="s">
        <v>320</v>
      </c>
      <c r="G28" s="52"/>
      <c r="H28" s="52"/>
      <c r="I28" s="52">
        <f t="shared" si="1"/>
        <v>0</v>
      </c>
      <c r="J28" s="52"/>
      <c r="K28" s="52"/>
      <c r="L28" s="52">
        <f t="shared" si="2"/>
        <v>0</v>
      </c>
    </row>
    <row r="29" spans="2:12" x14ac:dyDescent="0.25">
      <c r="B29" s="52" t="s">
        <v>322</v>
      </c>
      <c r="C29" s="52"/>
      <c r="D29" s="52"/>
      <c r="E29" s="52">
        <f t="shared" si="0"/>
        <v>0</v>
      </c>
      <c r="F29" s="52" t="s">
        <v>320</v>
      </c>
      <c r="G29" s="52"/>
      <c r="H29" s="52"/>
      <c r="I29" s="52">
        <f t="shared" si="1"/>
        <v>0</v>
      </c>
      <c r="J29" s="52"/>
      <c r="K29" s="52"/>
      <c r="L29" s="52">
        <f t="shared" si="2"/>
        <v>0</v>
      </c>
    </row>
    <row r="30" spans="2:12" x14ac:dyDescent="0.25">
      <c r="B30" s="52" t="s">
        <v>326</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323</v>
      </c>
      <c r="C33" s="52"/>
      <c r="D33" s="52"/>
      <c r="E33" s="52">
        <f t="shared" si="0"/>
        <v>0</v>
      </c>
      <c r="F33" s="52"/>
      <c r="G33" s="52"/>
      <c r="H33" s="52"/>
      <c r="I33" s="52">
        <f t="shared" si="1"/>
        <v>0</v>
      </c>
      <c r="J33" s="52"/>
      <c r="K33" s="52"/>
      <c r="L33" s="52">
        <f t="shared" si="2"/>
        <v>0</v>
      </c>
    </row>
    <row r="34" spans="2:12" x14ac:dyDescent="0.25">
      <c r="B34" s="52" t="s">
        <v>327</v>
      </c>
      <c r="C34" s="52"/>
      <c r="D34" s="52"/>
      <c r="E34" s="52">
        <f t="shared" si="0"/>
        <v>0</v>
      </c>
      <c r="F34" s="52"/>
      <c r="G34" s="52"/>
      <c r="H34" s="52"/>
      <c r="I34" s="52">
        <f t="shared" si="1"/>
        <v>0</v>
      </c>
      <c r="J34" s="52"/>
      <c r="K34" s="52"/>
      <c r="L34" s="52">
        <f t="shared" si="2"/>
        <v>0</v>
      </c>
    </row>
    <row r="35" spans="2:12" x14ac:dyDescent="0.25">
      <c r="B35" s="52" t="s">
        <v>324</v>
      </c>
      <c r="C35" s="52"/>
      <c r="D35" s="52"/>
      <c r="E35" s="52">
        <f t="shared" si="0"/>
        <v>0</v>
      </c>
      <c r="F35" s="52"/>
      <c r="G35" s="52"/>
      <c r="H35" s="52"/>
      <c r="I35" s="52">
        <f t="shared" si="1"/>
        <v>0</v>
      </c>
      <c r="J35" s="52"/>
      <c r="K35" s="52"/>
      <c r="L35" s="52">
        <f t="shared" si="2"/>
        <v>0</v>
      </c>
    </row>
    <row r="36" spans="2:12" x14ac:dyDescent="0.25">
      <c r="B36" s="52" t="s">
        <v>325</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328</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152</v>
      </c>
      <c r="C42" s="52"/>
      <c r="D42" s="52">
        <f>E42*10.764</f>
        <v>0</v>
      </c>
      <c r="E42" s="68">
        <f>SUM(E6:E41)</f>
        <v>0</v>
      </c>
      <c r="F42" s="52"/>
      <c r="G42" s="52"/>
      <c r="H42" s="52">
        <f>I42*10.764</f>
        <v>0</v>
      </c>
      <c r="I42" s="67">
        <f>SUM(I6:I41)</f>
        <v>0</v>
      </c>
      <c r="J42" s="52"/>
      <c r="K42" s="52">
        <f>L42*10.764</f>
        <v>0</v>
      </c>
      <c r="L42" s="66">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2025-07-04T07:35:06Z</cp:lastPrinted>
  <dcterms:created xsi:type="dcterms:W3CDTF">2019-07-16T09:29:46Z</dcterms:created>
  <dcterms:modified xsi:type="dcterms:W3CDTF">2025-07-04T07:37:23Z</dcterms:modified>
</cp:coreProperties>
</file>