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0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73" i="1" l="1"/>
  <c r="C66" i="1" l="1"/>
  <c r="D104" i="1"/>
  <c r="B142" i="1" l="1"/>
  <c r="D120" i="1" l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G113" i="1"/>
  <c r="D113" i="1"/>
  <c r="F113" i="1" s="1"/>
  <c r="D129" i="1" l="1"/>
  <c r="F129" i="1" s="1"/>
  <c r="D128" i="1"/>
  <c r="F128" i="1" s="1"/>
  <c r="D127" i="1"/>
  <c r="F127" i="1" s="1"/>
  <c r="D126" i="1"/>
  <c r="F126" i="1" s="1"/>
  <c r="D125" i="1"/>
  <c r="F125" i="1" s="1"/>
  <c r="D124" i="1"/>
  <c r="F124" i="1" s="1"/>
  <c r="D123" i="1"/>
  <c r="F123" i="1" s="1"/>
  <c r="D122" i="1"/>
  <c r="F122" i="1" l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1" i="1"/>
  <c r="F131" i="1" s="1"/>
  <c r="D111" i="1"/>
  <c r="D110" i="1"/>
  <c r="D109" i="1"/>
  <c r="D108" i="1"/>
  <c r="D107" i="1"/>
  <c r="D106" i="1"/>
  <c r="D105" i="1"/>
  <c r="J104" i="1"/>
  <c r="C97" i="1" l="1"/>
  <c r="E97" i="1"/>
  <c r="C96" i="1"/>
  <c r="C98" i="1" s="1"/>
  <c r="E96" i="1"/>
  <c r="E98" i="1" s="1"/>
  <c r="G97" i="1"/>
  <c r="F104" i="1"/>
  <c r="E43" i="1" l="1"/>
  <c r="E44" i="1" s="1"/>
  <c r="C15" i="1" l="1"/>
  <c r="E30" i="1" l="1"/>
  <c r="F105" i="1" l="1"/>
  <c r="F106" i="1"/>
  <c r="F107" i="1"/>
  <c r="G104" i="1"/>
  <c r="F93" i="1" l="1"/>
  <c r="B141" i="1" l="1"/>
  <c r="F111" i="1" l="1"/>
  <c r="F109" i="1"/>
  <c r="F108" i="1"/>
  <c r="F110" i="1"/>
  <c r="G96" i="1" l="1"/>
  <c r="G98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3" i="1"/>
  <c r="G131" i="1"/>
  <c r="G122" i="1"/>
  <c r="B67" i="1"/>
  <c r="G50" i="1"/>
  <c r="G51" i="1" s="1"/>
  <c r="C51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<sst xmlns="http://schemas.openxmlformats.org/spreadsheetml/2006/main" count="318" uniqueCount="226">
  <si>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</si>
  <si>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</si>
  <si>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</si>
  <si>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</si>
  <si>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</si>
  <si>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</si>
  <si>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</si>
  <si>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</si>
  <si>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</si>
  <si>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</si>
  <si>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</si>
  <si>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</si>
  <si>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</si>
  <si>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</si>
  <si>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</si>
  <si>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</si>
  <si>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</si>
  <si>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</si>
  <si>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</si>
  <si>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</si>
  <si>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</si>
  <si>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</si>
  <si>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</si>
  <si>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</si>
  <si>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</si>
  <si>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</si>
  <si>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</si>
  <si>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</si>
  <si>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</si>
  <si>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</si>
  <si>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</si>
  <si>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</si>
  <si>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</si>
  <si>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</si>
  <si>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</si>
  <si>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</si>
  <si>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</si>
  <si>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</si>
  <si>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</si>
  <si>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</si>
  <si>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</si>
  <si>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</si>
  <si>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</si>
  <si>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</si>
  <si>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</si>
  <si>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</si>
  <si>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</si>
  <si>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</si>
  <si>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</si>
  <si>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</si>
  <si>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</si>
  <si>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</si>
  <si>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</si>
  <si>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</si>
  <si>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</si>
  <si>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</si>
  <si>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</si>
  <si>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</si>
  <si>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</si>
  <si>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</si>
  <si>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</si>
  <si>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</si>
  <si>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</si>
  <si>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</si>
  <si>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</si>
  <si>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</si>
  <si>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</si>
  <si>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</si>
  <si>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</si>
  <si>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</si>
  <si>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</si>
  <si>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</si>
  <si>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</si>
  <si>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</si>
  <si>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</si>
  <si>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</si>
  <si>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</si>
  <si>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</si>
  <si>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</si>
  <si>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</si>
  <si>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</si>
  <si>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</si>
  <si>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</si>
  <si>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</si>
  <si>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</si>
  <si>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</si>
  <si>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</si>
  <si>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</si>
  <si>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</si>
  <si>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</si>
  <si>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</si>
  <si>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</si>
  <si>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</si>
  <si>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</si>
  <si>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</si>
  <si>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</si>
  <si>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</si>
  <si>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</si>
  <si>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</si>
  <si>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</si>
  <si>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</si>
  <si>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</si>
  <si>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</si>
  <si>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</si>
  <si>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</si>
  <si>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</si>
  <si>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</si>
  <si>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</si>
  <si>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</si>
  <si>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</si>
  <si>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</si>
  <si>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</si>
  <si>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</si>
  <si>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</si>
  <si>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</si>
  <si>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</si>
  <si>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</si>
  <si>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</si>
  <si>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</si>
  <si>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</si>
  <si>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</si>
  <si>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</si>
  <si>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</si>
  <si>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</si>
  <si>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</si>
  <si>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</si>
  <si>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</si>
  <si>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</si>
  <si>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</si>
  <si>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</si>
  <si>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</si>
  <si>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</si>
  <si>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</si>
  <si>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</si>
  <si>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</si>
  <si>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</si>
  <si>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</si>
  <si>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</si>
  <si>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</si>
  <si>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</si>
  <si>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</si>
  <si>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</si>
  <si>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</si>
  <si>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</si>
  <si>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</si>
  <si>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</si>
  <si>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</si>
  <si>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</si>
  <si>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</si>
  <si>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</si>
  <si>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</si>
  <si>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</si>
  <si>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</si>
  <si>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</si>
  <si>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</si>
  <si>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</si>
  <si>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</si>
  <si>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</si>
  <si>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</si>
  <si>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</si>
  <si>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</si>
  <si>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</si>
  <si>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</si>
  <si>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</si>
  <si>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</si>
  <si>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</si>
  <si>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</si>
  <si>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</si>
  <si>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</si>
  <si>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</si>
  <si>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>Floor Rise Rate from    Floor</t>
  </si>
  <si>
    <t>P51700049723</t>
  </si>
  <si>
    <t>Axis Badlapur</t>
  </si>
  <si>
    <t>Regency Nirman Ltd.</t>
  </si>
  <si>
    <t>Regency Onyx</t>
  </si>
  <si>
    <t xml:space="preserve">Kalyan-Dombivli Municipal Corporation (KDMC)
</t>
  </si>
  <si>
    <t>As per RERA - 30/06/2025</t>
  </si>
  <si>
    <t>Ground Floor For Lobby, Parking, Meter room &amp; Society Office</t>
  </si>
  <si>
    <t>Mhada</t>
  </si>
  <si>
    <t>1BHK</t>
  </si>
  <si>
    <t xml:space="preserve">1. Vitrified tiles flooring 2. Granite Kitchen Platform 3. Decorative
Enternace etc.
</t>
  </si>
  <si>
    <t>Golavli</t>
  </si>
  <si>
    <t>Thane</t>
  </si>
  <si>
    <t xml:space="preserve">Kalyan
</t>
  </si>
  <si>
    <t>19.206526, 73.116224</t>
  </si>
  <si>
    <t>https://goo.gl/maps/pGYqSxS14NGiW9Rv8</t>
  </si>
  <si>
    <t>Narayana E-Techno School &amp; Jr. College</t>
  </si>
  <si>
    <t>3.8 KM from Dombivali Railway Station</t>
  </si>
  <si>
    <t>Survey No</t>
  </si>
  <si>
    <t>52, Hissa No 13B</t>
  </si>
  <si>
    <t>Approved Plans, CC, Cost Sheet</t>
  </si>
  <si>
    <t>Open Plot</t>
  </si>
  <si>
    <t>Narayana School &amp; Jr. College</t>
  </si>
  <si>
    <t>Internal Road</t>
  </si>
  <si>
    <t xml:space="preserve">13th, 18th, 23rd &amp; 28th Floor ( Part Refugee Area) </t>
  </si>
  <si>
    <t>Ramakrishna Multitrading Company</t>
  </si>
  <si>
    <t>We considered Gross carpet area = Net carpet + Balcony + D.B Area.</t>
  </si>
  <si>
    <t>Dombivali East</t>
  </si>
  <si>
    <t>Plot No 55</t>
  </si>
  <si>
    <t>Other Plot</t>
  </si>
  <si>
    <t>KDMC/TPD/BP/27Village/2021-22/13/28</t>
  </si>
  <si>
    <t>Stilt + 1st to 11th (Mhada) + 12th to 30th Floor (Sale)</t>
  </si>
  <si>
    <t xml:space="preserve">8th Floor ( Part Refuge Area) </t>
  </si>
  <si>
    <t>Sale / Mhada</t>
  </si>
  <si>
    <t>Sale</t>
  </si>
  <si>
    <t>1st to 7th &amp; 9th to 11th Floor</t>
  </si>
  <si>
    <t xml:space="preserve">12th, 14th to 17th, 19th to 22nd, 24th to 27th, 29th &amp; 30th Floor </t>
  </si>
  <si>
    <t>Mhada Flats</t>
  </si>
  <si>
    <t>Sale Flats</t>
  </si>
  <si>
    <t>Mhada Flats - 88, Sale Flats - 152</t>
  </si>
  <si>
    <t xml:space="preserve">G + 1st to 30th Floor
</t>
  </si>
  <si>
    <t>G + 1st to 30th Floor</t>
  </si>
  <si>
    <t>6200 TO 7350</t>
  </si>
  <si>
    <t>Rushikesh</t>
  </si>
  <si>
    <t>Verbal</t>
  </si>
  <si>
    <t>Recommended Rates / Other charges of the Property have been revised on 30/01/2024.</t>
  </si>
  <si>
    <t>Ms. Geeta 9107171050</t>
  </si>
  <si>
    <t>Sachin Sawant</t>
  </si>
  <si>
    <t>Ms. Rajashree 9107171050</t>
  </si>
  <si>
    <t>KDMCC/FO/2025/APL/00161
Approved upto : Gr/St + 1st to 30th Floor</t>
  </si>
  <si>
    <t>OC Received but One lift installation work &amp; finishing work is in process (Labour found).</t>
  </si>
  <si>
    <t>We have updated OC (On 02/07/2025).</t>
  </si>
  <si>
    <t>provided by bank officials on mail</t>
  </si>
  <si>
    <t>Pooja</t>
  </si>
  <si>
    <t>Krishna</t>
  </si>
  <si>
    <t>Regency Anantam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</si>
</sst>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19" xfId="0" applyFont="1" applyBorder="1"/>
    <xf numFmtId="0" fontId="25" fillId="0" borderId="3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3" borderId="0" xfId="1" applyFont="1" applyFill="1"/>
    <xf numFmtId="14" fontId="7" fillId="3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8" fillId="0" borderId="10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10" fillId="0" borderId="2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4" fontId="8" fillId="0" borderId="4" xfId="1" applyNumberFormat="1" applyFont="1" applyBorder="1" applyAlignment="1" applyProtection="1">
      <alignment horizontal="left" vertical="top"/>
      <protection locked="0"/>
    </xf>
    <xf numFmtId="0" fontId="24" fillId="2" borderId="9" xfId="0" applyFont="1" applyFill="1" applyBorder="1"/>
    <xf numFmtId="0" fontId="25" fillId="0" borderId="5" xfId="0" applyFont="1" applyBorder="1"/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207</xdr:row>
      <xdr:rowOff>0</xdr:rowOff>
    </xdr:from>
    <xdr:to>
      <xdr:col>6</xdr:col>
      <xdr:colOff>410886</xdr:colOff>
      <xdr:row>224</xdr:row>
      <xdr:rowOff>91574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0150" y="44348400"/>
          <a:ext cx="4487586" cy="34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396240</xdr:colOff>
      <xdr:row>225</xdr:row>
      <xdr:rowOff>47873</xdr:rowOff>
    </xdr:from>
    <xdr:to>
      <xdr:col>6</xdr:col>
      <xdr:colOff>426126</xdr:colOff>
      <xdr:row>241</xdr:row>
      <xdr:rowOff>87473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1100" y="44030513"/>
          <a:ext cx="4289466" cy="32095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304800</xdr:colOff>
      <xdr:row>249</xdr:row>
      <xdr:rowOff>0</xdr:rowOff>
    </xdr:from>
    <xdr:to>
      <xdr:col>6</xdr:col>
      <xdr:colOff>479016</xdr:colOff>
      <xdr:row>264</xdr:row>
      <xdr:rowOff>59625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3950" y="53149500"/>
          <a:ext cx="4631916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304800</xdr:colOff>
      <xdr:row>265</xdr:row>
      <xdr:rowOff>25547</xdr:rowOff>
    </xdr:from>
    <xdr:to>
      <xdr:col>6</xdr:col>
      <xdr:colOff>479016</xdr:colOff>
      <xdr:row>279</xdr:row>
      <xdr:rowOff>181649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660" y="51932987"/>
          <a:ext cx="4433796" cy="29297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736490</xdr:colOff>
      <xdr:row>271</xdr:row>
      <xdr:rowOff>39278</xdr:rowOff>
    </xdr:from>
    <xdr:to>
      <xdr:col>4</xdr:col>
      <xdr:colOff>36402</xdr:colOff>
      <xdr:row>273</xdr:row>
      <xdr:rowOff>185010</xdr:rowOff>
    </xdr:to>
    <xdr:sp macro="" textlink="">
      <xdr:nvSpPr>
        <xdr:cNvPr id="12" name="Rectangle 11"/>
        <xdr:cNvSpPr/>
      </xdr:nvSpPr>
      <xdr:spPr>
        <a:xfrm rot="726540">
          <a:off x="3212990" y="53135438"/>
          <a:ext cx="267652" cy="541972"/>
        </a:xfrm>
        <a:prstGeom prst="rect">
          <a:avLst/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8</xdr:col>
      <xdr:colOff>857250</xdr:colOff>
      <xdr:row>66</xdr:row>
      <xdr:rowOff>51955</xdr:rowOff>
    </xdr:from>
    <xdr:to>
      <xdr:col>16</xdr:col>
      <xdr:colOff>122682</xdr:colOff>
      <xdr:row>99</xdr:row>
      <xdr:rowOff>285046</xdr:rowOff>
    </xdr:to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1476" t="18250" r="4389" b="10250"/>
        <a:stretch/>
      </xdr:blipFill>
      <xdr:spPr>
        <a:xfrm>
          <a:off x="7230341" y="14884978"/>
          <a:ext cx="5742432" cy="5230368"/>
        </a:xfrm>
        <a:prstGeom prst="rect">
          <a:avLst/>
        </a:prstGeom>
      </xdr:spPr>
    </xdr:pic>
    <xdr:clientData/>
  </xdr:twoCellAnchor>
  <xdr:twoCellAnchor>
    <xdr:from>
      <xdr:col>8</xdr:col>
      <xdr:colOff>676548</xdr:colOff>
      <xdr:row>162</xdr:row>
      <xdr:rowOff>110491</xdr:rowOff>
    </xdr:from>
    <xdr:to>
      <xdr:col>15</xdr:col>
      <xdr:colOff>590006</xdr:colOff>
      <xdr:row>196</xdr:row>
      <xdr:rowOff>148590</xdr:rowOff>
    </xdr:to>
    <xdr:grpSp>
      <xdr:nvGrpSpPr>
        <xdr:cNvPr id="24" name="Group 23"/>
        <xdr:cNvGrpSpPr/>
      </xdr:nvGrpSpPr>
      <xdr:grpSpPr>
        <a:xfrm>
          <a:off x="7369448" y="33403541"/>
          <a:ext cx="5882458" cy="6724649"/>
          <a:chOff x="279399" y="137160"/>
          <a:chExt cx="6008277" cy="7920000"/>
        </a:xfrm>
      </xdr:grpSpPr>
      <xdr:grpSp>
        <xdr:nvGrpSpPr>
          <xdr:cNvPr id="25" name="Group 24"/>
          <xdr:cNvGrpSpPr/>
        </xdr:nvGrpSpPr>
        <xdr:grpSpPr>
          <a:xfrm>
            <a:off x="279399" y="137160"/>
            <a:ext cx="6008277" cy="5220000"/>
            <a:chOff x="279399" y="137160"/>
            <a:chExt cx="6008277" cy="5220000"/>
          </a:xfrm>
        </xdr:grpSpPr>
        <xdr:pic>
          <xdr:nvPicPr>
            <xdr:cNvPr id="29" name="Picture 28"/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91770" y="1371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/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399" y="137160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/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91770" y="2837160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6" name="Group 25"/>
          <xdr:cNvGrpSpPr/>
        </xdr:nvGrpSpPr>
        <xdr:grpSpPr>
          <a:xfrm>
            <a:off x="1290844" y="5537160"/>
            <a:ext cx="3985386" cy="2520000"/>
            <a:chOff x="2302290" y="5537160"/>
            <a:chExt cx="3985386" cy="2520000"/>
          </a:xfrm>
        </xdr:grpSpPr>
        <xdr:pic>
          <xdr:nvPicPr>
            <xdr:cNvPr id="27" name="Picture 26"/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02290" y="5537160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/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99645" y="55371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133350</xdr:colOff>
      <xdr:row>163</xdr:row>
      <xdr:rowOff>101600</xdr:rowOff>
    </xdr:from>
    <xdr:to>
      <xdr:col>7</xdr:col>
      <xdr:colOff>583472</xdr:colOff>
      <xdr:row>201</xdr:row>
      <xdr:rowOff>129468</xdr:rowOff>
    </xdr:to>
    <xdr:grpSp>
      <xdr:nvGrpSpPr>
        <xdr:cNvPr id="2" name="Group 1"/>
        <xdr:cNvGrpSpPr/>
      </xdr:nvGrpSpPr>
      <xdr:grpSpPr>
        <a:xfrm>
          <a:off x="133350" y="33591500"/>
          <a:ext cx="6406422" cy="7501818"/>
          <a:chOff x="133350" y="33591500"/>
          <a:chExt cx="6406422" cy="7501818"/>
        </a:xfrm>
      </xdr:grpSpPr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3437" y="3929331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5487" y="33591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7438" y="3929331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2698" y="33591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36442409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0561" y="36442409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7772" y="36442409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9909" y="335915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GYqSxS14NGiW9Rv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24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6" width="11.7265625" style="37" customWidth="1"/>
    <col min="7" max="7" width="11.453125" style="37" customWidth="1"/>
    <col min="8" max="8" width="10.54296875" style="37" customWidth="1"/>
    <col min="9" max="9" width="17.453125" style="18" customWidth="1"/>
    <col min="10" max="10" width="11.453125" style="18" customWidth="1"/>
    <col min="11" max="11" width="11.8164062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16" t="s">
        <v>163</v>
      </c>
      <c r="B1" s="116"/>
      <c r="C1" s="116"/>
      <c r="D1" s="116"/>
      <c r="E1" s="116"/>
      <c r="F1" s="116"/>
      <c r="G1" s="116"/>
      <c r="H1" s="116"/>
    </row>
    <row r="2" spans="1:8" ht="16.5" customHeight="1" x14ac:dyDescent="0.3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35">
      <c r="A3" s="98" t="s">
        <v>1</v>
      </c>
      <c r="B3" s="98"/>
      <c r="C3" s="98"/>
      <c r="D3" s="98"/>
      <c r="E3" s="98" t="str">
        <f ca="1">TEXT(TODAY(),"DD/MM/YYYY")</f>
        <v>02/07/2025</v>
      </c>
      <c r="F3" s="98"/>
      <c r="G3" s="98"/>
      <c r="H3" s="98"/>
    </row>
    <row r="4" spans="1:8" ht="15" customHeight="1" x14ac:dyDescent="0.35">
      <c r="A4" s="98" t="s">
        <v>2</v>
      </c>
      <c r="B4" s="98"/>
      <c r="C4" s="98"/>
      <c r="D4" s="98"/>
      <c r="E4" s="98" t="s">
        <v>172</v>
      </c>
      <c r="F4" s="98"/>
      <c r="G4" s="98"/>
      <c r="H4" s="98"/>
    </row>
    <row r="5" spans="1:8" x14ac:dyDescent="0.35">
      <c r="A5" s="98" t="s">
        <v>3</v>
      </c>
      <c r="B5" s="98"/>
      <c r="C5" s="98"/>
      <c r="D5" s="98"/>
      <c r="E5" s="121">
        <v>45840</v>
      </c>
      <c r="F5" s="98"/>
      <c r="G5" s="98"/>
      <c r="H5" s="98"/>
    </row>
    <row r="6" spans="1:8" ht="16.5" customHeight="1" x14ac:dyDescent="0.35">
      <c r="A6" s="98" t="s">
        <v>4</v>
      </c>
      <c r="B6" s="98"/>
      <c r="C6" s="98"/>
      <c r="D6" s="98"/>
      <c r="E6" s="98" t="s">
        <v>173</v>
      </c>
      <c r="F6" s="98"/>
      <c r="G6" s="98"/>
      <c r="H6" s="98"/>
    </row>
    <row r="7" spans="1:8" ht="15" customHeight="1" x14ac:dyDescent="0.35">
      <c r="A7" s="98" t="s">
        <v>5</v>
      </c>
      <c r="B7" s="98"/>
      <c r="C7" s="98"/>
      <c r="D7" s="98"/>
      <c r="E7" s="98" t="str">
        <f>E6</f>
        <v>Regency Nirman Ltd.</v>
      </c>
      <c r="F7" s="98"/>
      <c r="G7" s="98"/>
      <c r="H7" s="98"/>
    </row>
    <row r="8" spans="1:8" x14ac:dyDescent="0.35">
      <c r="A8" s="98" t="s">
        <v>6</v>
      </c>
      <c r="B8" s="98"/>
      <c r="C8" s="98"/>
      <c r="D8" s="98"/>
      <c r="E8" s="87" t="s">
        <v>174</v>
      </c>
      <c r="F8" s="87"/>
      <c r="G8" s="87"/>
      <c r="H8" s="87"/>
    </row>
    <row r="9" spans="1:8" x14ac:dyDescent="0.35">
      <c r="A9" s="98" t="s">
        <v>166</v>
      </c>
      <c r="B9" s="98"/>
      <c r="C9" s="98"/>
      <c r="D9" s="98"/>
      <c r="E9" s="118" t="s">
        <v>216</v>
      </c>
      <c r="F9" s="119"/>
      <c r="G9" s="119"/>
      <c r="H9" s="120"/>
    </row>
    <row r="10" spans="1:8" x14ac:dyDescent="0.35">
      <c r="A10" s="98" t="s">
        <v>167</v>
      </c>
      <c r="B10" s="98"/>
      <c r="C10" s="98"/>
      <c r="D10" s="98"/>
      <c r="E10" s="98" t="s">
        <v>218</v>
      </c>
      <c r="F10" s="98"/>
      <c r="G10" s="98"/>
      <c r="H10" s="98"/>
    </row>
    <row r="11" spans="1:8" x14ac:dyDescent="0.35">
      <c r="A11" s="98" t="s">
        <v>7</v>
      </c>
      <c r="B11" s="98"/>
      <c r="C11" s="98"/>
      <c r="D11" s="98"/>
      <c r="E11" s="98" t="s">
        <v>120</v>
      </c>
      <c r="F11" s="98"/>
      <c r="G11" s="98"/>
      <c r="H11" s="98"/>
    </row>
    <row r="12" spans="1:8" x14ac:dyDescent="0.35">
      <c r="A12" s="98" t="s">
        <v>168</v>
      </c>
      <c r="B12" s="98"/>
      <c r="C12" s="98"/>
      <c r="D12" s="98"/>
      <c r="E12" s="98" t="s">
        <v>29</v>
      </c>
      <c r="F12" s="98"/>
      <c r="G12" s="98"/>
      <c r="H12" s="98"/>
    </row>
    <row r="13" spans="1:8" x14ac:dyDescent="0.35">
      <c r="A13" s="56" t="s">
        <v>8</v>
      </c>
      <c r="B13" s="56"/>
      <c r="C13" s="56"/>
      <c r="D13" s="56"/>
      <c r="E13" s="58" t="s">
        <v>190</v>
      </c>
      <c r="F13" s="58"/>
      <c r="G13" s="58"/>
      <c r="H13" s="58"/>
    </row>
    <row r="14" spans="1:8" x14ac:dyDescent="0.35">
      <c r="A14" s="56" t="s">
        <v>9</v>
      </c>
      <c r="B14" s="56"/>
      <c r="C14" s="56"/>
      <c r="D14" s="56"/>
      <c r="E14" s="58" t="s">
        <v>171</v>
      </c>
      <c r="F14" s="98"/>
      <c r="G14" s="98"/>
      <c r="H14" s="98"/>
    </row>
    <row r="15" spans="1:8" ht="48.75" customHeight="1" x14ac:dyDescent="0.35">
      <c r="A15" s="75" t="s">
        <v>10</v>
      </c>
      <c r="B15" s="75"/>
      <c r="C15" s="7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Regency Onyx, Survey No.52, Hissa No 13B, near Narayana E-Techno School &amp; Jr. College, Regency Anantam road, , Golavli, Dombivali East, Kalyan
, Thane - 421306.</v>
      </c>
      <c r="D15" s="75"/>
      <c r="E15" s="75"/>
      <c r="F15" s="75"/>
      <c r="G15" s="75"/>
      <c r="H15" s="75"/>
    </row>
    <row r="16" spans="1:8" x14ac:dyDescent="0.35">
      <c r="A16" s="58" t="s">
        <v>188</v>
      </c>
      <c r="B16" s="58"/>
      <c r="C16" s="58" t="s">
        <v>189</v>
      </c>
      <c r="D16" s="58"/>
      <c r="E16" s="58"/>
      <c r="F16" s="58"/>
      <c r="G16" s="58"/>
      <c r="H16" s="58"/>
    </row>
    <row r="17" spans="1:8" ht="15.75" customHeight="1" x14ac:dyDescent="0.35">
      <c r="A17" s="58" t="s">
        <v>161</v>
      </c>
      <c r="B17" s="58"/>
      <c r="C17" s="58" t="s">
        <v>29</v>
      </c>
      <c r="D17" s="58"/>
      <c r="E17" s="58"/>
      <c r="F17" s="58"/>
      <c r="G17" s="58"/>
      <c r="H17" s="58"/>
    </row>
    <row r="18" spans="1:8" ht="15.75" customHeight="1" x14ac:dyDescent="0.35">
      <c r="A18" s="75" t="s">
        <v>11</v>
      </c>
      <c r="B18" s="75"/>
      <c r="C18" s="98" t="s">
        <v>225</v>
      </c>
      <c r="D18" s="98"/>
      <c r="E18" s="75" t="s">
        <v>73</v>
      </c>
      <c r="F18" s="75"/>
      <c r="G18" s="58" t="s">
        <v>181</v>
      </c>
      <c r="H18" s="58"/>
    </row>
    <row r="19" spans="1:8" x14ac:dyDescent="0.35">
      <c r="A19" s="56" t="s">
        <v>13</v>
      </c>
      <c r="B19" s="56"/>
      <c r="C19" s="58" t="s">
        <v>197</v>
      </c>
      <c r="D19" s="58"/>
      <c r="E19" s="75" t="s">
        <v>12</v>
      </c>
      <c r="F19" s="75"/>
      <c r="G19" s="110" t="s">
        <v>182</v>
      </c>
      <c r="H19" s="110"/>
    </row>
    <row r="20" spans="1:8" x14ac:dyDescent="0.35">
      <c r="A20" s="56" t="s">
        <v>74</v>
      </c>
      <c r="B20" s="56"/>
      <c r="C20" s="58" t="s">
        <v>183</v>
      </c>
      <c r="D20" s="58"/>
      <c r="E20" s="75" t="s">
        <v>14</v>
      </c>
      <c r="F20" s="75"/>
      <c r="G20" s="111">
        <v>421306</v>
      </c>
      <c r="H20" s="111"/>
    </row>
    <row r="21" spans="1:8" ht="32.25" customHeight="1" x14ac:dyDescent="0.35">
      <c r="A21" s="56" t="s">
        <v>121</v>
      </c>
      <c r="B21" s="56"/>
      <c r="C21" s="58" t="s">
        <v>186</v>
      </c>
      <c r="D21" s="58"/>
      <c r="E21" s="75" t="s">
        <v>15</v>
      </c>
      <c r="F21" s="75"/>
      <c r="G21" s="58" t="s">
        <v>187</v>
      </c>
      <c r="H21" s="58"/>
    </row>
    <row r="22" spans="1:8" ht="15" customHeight="1" x14ac:dyDescent="0.35">
      <c r="A22" s="75" t="s">
        <v>76</v>
      </c>
      <c r="B22" s="75"/>
      <c r="C22" s="75"/>
      <c r="D22" s="75"/>
      <c r="E22" s="98" t="s">
        <v>16</v>
      </c>
      <c r="F22" s="98"/>
      <c r="G22" s="98"/>
      <c r="H22" s="98"/>
    </row>
    <row r="23" spans="1:8" ht="18.75" customHeight="1" x14ac:dyDescent="0.35">
      <c r="A23" s="75"/>
      <c r="B23" s="75"/>
      <c r="C23" s="75"/>
      <c r="D23" s="75"/>
      <c r="E23" s="98"/>
      <c r="F23" s="98"/>
      <c r="G23" s="98"/>
      <c r="H23" s="98"/>
    </row>
    <row r="24" spans="1:8" ht="15" customHeight="1" x14ac:dyDescent="0.35">
      <c r="A24" s="75" t="s">
        <v>17</v>
      </c>
      <c r="B24" s="75"/>
      <c r="C24" s="75"/>
      <c r="D24" s="75"/>
      <c r="E24" s="58" t="s">
        <v>18</v>
      </c>
      <c r="F24" s="58"/>
      <c r="G24" s="58"/>
      <c r="H24" s="58"/>
    </row>
    <row r="25" spans="1:8" ht="15" customHeight="1" x14ac:dyDescent="0.35">
      <c r="A25" s="56" t="s">
        <v>19</v>
      </c>
      <c r="B25" s="56"/>
      <c r="C25" s="56"/>
      <c r="D25" s="56"/>
      <c r="E25" s="58" t="str">
        <f>IF(AND(G19="Mumbai"),"Upper Class","Middle Class")</f>
        <v>Middle Class</v>
      </c>
      <c r="F25" s="58"/>
      <c r="G25" s="58"/>
      <c r="H25" s="58"/>
    </row>
    <row r="26" spans="1:8" x14ac:dyDescent="0.35">
      <c r="A26" s="56" t="s">
        <v>20</v>
      </c>
      <c r="B26" s="56"/>
      <c r="C26" s="56"/>
      <c r="D26" s="56"/>
      <c r="E26" s="58" t="s">
        <v>21</v>
      </c>
      <c r="F26" s="58"/>
      <c r="G26" s="58"/>
      <c r="H26" s="58"/>
    </row>
    <row r="27" spans="1:8" ht="15.75" customHeight="1" x14ac:dyDescent="0.35">
      <c r="A27" s="56" t="s">
        <v>22</v>
      </c>
      <c r="B27" s="56"/>
      <c r="C27" s="56"/>
      <c r="D27" s="56"/>
      <c r="E27" s="58" t="str">
        <f>IF(AND(G19="Mumbai"),"Developed","Developing")</f>
        <v>Developing</v>
      </c>
      <c r="F27" s="58"/>
      <c r="G27" s="58"/>
      <c r="H27" s="58"/>
    </row>
    <row r="28" spans="1:8" x14ac:dyDescent="0.35">
      <c r="A28" s="56" t="s">
        <v>23</v>
      </c>
      <c r="B28" s="56"/>
      <c r="C28" s="56"/>
      <c r="D28" s="56"/>
      <c r="E28" s="58" t="s">
        <v>24</v>
      </c>
      <c r="F28" s="58"/>
      <c r="G28" s="58"/>
      <c r="H28" s="58"/>
    </row>
    <row r="29" spans="1:8" ht="15.75" customHeight="1" x14ac:dyDescent="0.35">
      <c r="A29" s="56" t="s">
        <v>81</v>
      </c>
      <c r="B29" s="56"/>
      <c r="C29" s="56"/>
      <c r="D29" s="56"/>
      <c r="E29" s="58" t="s">
        <v>82</v>
      </c>
      <c r="F29" s="58"/>
      <c r="G29" s="58"/>
      <c r="H29" s="58"/>
    </row>
    <row r="30" spans="1:8" ht="15" customHeight="1" x14ac:dyDescent="0.35">
      <c r="A30" s="56" t="s">
        <v>32</v>
      </c>
      <c r="B30" s="56"/>
      <c r="C30" s="56"/>
      <c r="D30" s="56"/>
      <c r="E30" s="5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58"/>
      <c r="G30" s="58"/>
      <c r="H30" s="58"/>
    </row>
    <row r="31" spans="1:8" ht="15.75" customHeight="1" x14ac:dyDescent="0.35">
      <c r="A31" s="56" t="s">
        <v>93</v>
      </c>
      <c r="B31" s="56"/>
      <c r="C31" s="56"/>
      <c r="D31" s="56"/>
      <c r="E31" s="58" t="s">
        <v>33</v>
      </c>
      <c r="F31" s="58"/>
      <c r="G31" s="58"/>
      <c r="H31" s="58"/>
    </row>
    <row r="32" spans="1:8" s="19" customFormat="1" x14ac:dyDescent="0.35">
      <c r="A32" s="109" t="s">
        <v>94</v>
      </c>
      <c r="B32" s="109"/>
      <c r="C32" s="106" t="s">
        <v>169</v>
      </c>
      <c r="D32" s="107"/>
      <c r="E32" s="108"/>
      <c r="F32" s="106" t="s">
        <v>30</v>
      </c>
      <c r="G32" s="107"/>
      <c r="H32" s="108"/>
    </row>
    <row r="33" spans="1:8" s="19" customFormat="1" x14ac:dyDescent="0.35">
      <c r="A33" s="89" t="s">
        <v>25</v>
      </c>
      <c r="B33" s="89" t="s">
        <v>29</v>
      </c>
      <c r="C33" s="90" t="s">
        <v>199</v>
      </c>
      <c r="D33" s="91"/>
      <c r="E33" s="92"/>
      <c r="F33" s="90" t="s">
        <v>195</v>
      </c>
      <c r="G33" s="91"/>
      <c r="H33" s="92"/>
    </row>
    <row r="34" spans="1:8" x14ac:dyDescent="0.35">
      <c r="A34" s="89" t="s">
        <v>26</v>
      </c>
      <c r="B34" s="89" t="s">
        <v>29</v>
      </c>
      <c r="C34" s="90" t="s">
        <v>198</v>
      </c>
      <c r="D34" s="91"/>
      <c r="E34" s="92"/>
      <c r="F34" s="90" t="s">
        <v>193</v>
      </c>
      <c r="G34" s="91"/>
      <c r="H34" s="92"/>
    </row>
    <row r="35" spans="1:8" s="19" customFormat="1" x14ac:dyDescent="0.35">
      <c r="A35" s="89" t="s">
        <v>28</v>
      </c>
      <c r="B35" s="89" t="s">
        <v>29</v>
      </c>
      <c r="C35" s="90" t="s">
        <v>199</v>
      </c>
      <c r="D35" s="91"/>
      <c r="E35" s="92"/>
      <c r="F35" s="90" t="s">
        <v>192</v>
      </c>
      <c r="G35" s="91"/>
      <c r="H35" s="92"/>
    </row>
    <row r="36" spans="1:8" x14ac:dyDescent="0.35">
      <c r="A36" s="89" t="s">
        <v>27</v>
      </c>
      <c r="B36" s="89" t="s">
        <v>29</v>
      </c>
      <c r="C36" s="90" t="s">
        <v>199</v>
      </c>
      <c r="D36" s="91"/>
      <c r="E36" s="92"/>
      <c r="F36" s="90" t="s">
        <v>191</v>
      </c>
      <c r="G36" s="91"/>
      <c r="H36" s="92"/>
    </row>
    <row r="37" spans="1:8" x14ac:dyDescent="0.35">
      <c r="A37" s="56" t="s">
        <v>31</v>
      </c>
      <c r="B37" s="56"/>
      <c r="C37" s="56"/>
      <c r="D37" s="56"/>
      <c r="E37" s="56"/>
      <c r="F37" s="56"/>
      <c r="G37" s="56"/>
      <c r="H37" s="56"/>
    </row>
    <row r="38" spans="1:8" ht="15.75" customHeight="1" x14ac:dyDescent="0.35">
      <c r="A38" s="56" t="s">
        <v>164</v>
      </c>
      <c r="B38" s="56"/>
      <c r="C38" s="86" t="s">
        <v>184</v>
      </c>
      <c r="D38" s="86"/>
      <c r="E38" s="86"/>
      <c r="F38" s="86"/>
      <c r="G38" s="86"/>
      <c r="H38" s="86"/>
    </row>
    <row r="39" spans="1:8" x14ac:dyDescent="0.35">
      <c r="A39" s="56" t="s">
        <v>160</v>
      </c>
      <c r="B39" s="56"/>
      <c r="C39" s="57" t="s">
        <v>185</v>
      </c>
      <c r="D39" s="58"/>
      <c r="E39" s="58"/>
      <c r="F39" s="58"/>
      <c r="G39" s="58"/>
      <c r="H39" s="58"/>
    </row>
    <row r="40" spans="1:8" x14ac:dyDescent="0.35">
      <c r="A40" s="86" t="s">
        <v>34</v>
      </c>
      <c r="B40" s="86"/>
      <c r="C40" s="86"/>
      <c r="D40" s="86"/>
      <c r="E40" s="86"/>
      <c r="F40" s="86"/>
      <c r="G40" s="86"/>
      <c r="H40" s="86"/>
    </row>
    <row r="41" spans="1:8" x14ac:dyDescent="0.35">
      <c r="A41" s="56" t="s">
        <v>35</v>
      </c>
      <c r="B41" s="56"/>
      <c r="C41" s="56"/>
      <c r="D41" s="56"/>
      <c r="E41" s="93">
        <v>3609.88</v>
      </c>
      <c r="F41" s="93"/>
      <c r="G41" s="93"/>
      <c r="H41" s="93"/>
    </row>
    <row r="42" spans="1:8" x14ac:dyDescent="0.35">
      <c r="A42" s="56" t="s">
        <v>36</v>
      </c>
      <c r="B42" s="56"/>
      <c r="C42" s="56"/>
      <c r="D42" s="56"/>
      <c r="E42" s="96">
        <v>1.1000000000000001</v>
      </c>
      <c r="F42" s="96"/>
      <c r="G42" s="96"/>
      <c r="H42" s="96"/>
    </row>
    <row r="43" spans="1:8" x14ac:dyDescent="0.35">
      <c r="A43" s="56" t="s">
        <v>37</v>
      </c>
      <c r="B43" s="56"/>
      <c r="C43" s="56"/>
      <c r="D43" s="56"/>
      <c r="E43" s="96">
        <f>E45/E41-E42</f>
        <v>1.7672532050926901</v>
      </c>
      <c r="F43" s="96"/>
      <c r="G43" s="96"/>
      <c r="H43" s="96"/>
    </row>
    <row r="44" spans="1:8" x14ac:dyDescent="0.35">
      <c r="A44" s="56" t="s">
        <v>38</v>
      </c>
      <c r="B44" s="56"/>
      <c r="C44" s="56"/>
      <c r="D44" s="56"/>
      <c r="E44" s="96">
        <f>E42+E43</f>
        <v>2.8672532050926902</v>
      </c>
      <c r="F44" s="96"/>
      <c r="G44" s="96"/>
      <c r="H44" s="96"/>
    </row>
    <row r="45" spans="1:8" x14ac:dyDescent="0.35">
      <c r="A45" s="56" t="s">
        <v>92</v>
      </c>
      <c r="B45" s="56"/>
      <c r="C45" s="56"/>
      <c r="D45" s="56"/>
      <c r="E45" s="97">
        <v>10350.44</v>
      </c>
      <c r="F45" s="97"/>
      <c r="G45" s="97"/>
      <c r="H45" s="97"/>
    </row>
    <row r="46" spans="1:8" x14ac:dyDescent="0.35">
      <c r="A46" s="98" t="s">
        <v>39</v>
      </c>
      <c r="B46" s="98"/>
      <c r="C46" s="98"/>
      <c r="D46" s="98"/>
      <c r="E46" s="98" t="s">
        <v>120</v>
      </c>
      <c r="F46" s="98"/>
      <c r="G46" s="98"/>
      <c r="H46" s="98"/>
    </row>
    <row r="47" spans="1:8" x14ac:dyDescent="0.35">
      <c r="A47" s="86" t="s">
        <v>40</v>
      </c>
      <c r="B47" s="86"/>
      <c r="C47" s="86"/>
      <c r="D47" s="86"/>
      <c r="E47" s="86"/>
      <c r="F47" s="86"/>
      <c r="G47" s="86"/>
      <c r="H47" s="86"/>
    </row>
    <row r="48" spans="1:8" ht="33.75" customHeight="1" x14ac:dyDescent="0.35">
      <c r="A48" s="62" t="s">
        <v>149</v>
      </c>
      <c r="B48" s="63"/>
      <c r="C48" s="64" t="s">
        <v>175</v>
      </c>
      <c r="D48" s="65"/>
      <c r="E48" s="65"/>
      <c r="F48" s="65"/>
      <c r="G48" s="65"/>
      <c r="H48" s="66"/>
    </row>
    <row r="49" spans="1:14" x14ac:dyDescent="0.35">
      <c r="A49" s="62" t="s">
        <v>41</v>
      </c>
      <c r="B49" s="63"/>
      <c r="C49" s="103" t="s">
        <v>200</v>
      </c>
      <c r="D49" s="104"/>
      <c r="E49" s="105"/>
      <c r="F49" s="16" t="s">
        <v>42</v>
      </c>
      <c r="G49" s="129">
        <v>45029</v>
      </c>
      <c r="H49" s="63"/>
    </row>
    <row r="50" spans="1:14" x14ac:dyDescent="0.35">
      <c r="A50" s="62" t="s">
        <v>43</v>
      </c>
      <c r="B50" s="63"/>
      <c r="C50" s="103" t="str">
        <f>C49</f>
        <v>KDMC/TPD/BP/27Village/2021-22/13/28</v>
      </c>
      <c r="D50" s="104"/>
      <c r="E50" s="105"/>
      <c r="F50" s="16" t="s">
        <v>42</v>
      </c>
      <c r="G50" s="129">
        <f>G49</f>
        <v>45029</v>
      </c>
      <c r="H50" s="130"/>
    </row>
    <row r="51" spans="1:14" s="20" customFormat="1" x14ac:dyDescent="0.35">
      <c r="A51" s="135" t="s">
        <v>153</v>
      </c>
      <c r="B51" s="136"/>
      <c r="C51" s="103" t="str">
        <f>C50</f>
        <v>KDMC/TPD/BP/27Village/2021-22/13/28</v>
      </c>
      <c r="D51" s="104"/>
      <c r="E51" s="105"/>
      <c r="F51" s="16" t="s">
        <v>42</v>
      </c>
      <c r="G51" s="129">
        <f>G50</f>
        <v>45029</v>
      </c>
      <c r="H51" s="130"/>
    </row>
    <row r="52" spans="1:14" s="20" customFormat="1" x14ac:dyDescent="0.35">
      <c r="A52" s="137"/>
      <c r="B52" s="138"/>
      <c r="C52" s="129" t="s">
        <v>201</v>
      </c>
      <c r="D52" s="139"/>
      <c r="E52" s="139"/>
      <c r="F52" s="139"/>
      <c r="G52" s="139"/>
      <c r="H52" s="63"/>
    </row>
    <row r="53" spans="1:14" ht="46.5" customHeight="1" x14ac:dyDescent="0.35">
      <c r="A53" s="131" t="s">
        <v>44</v>
      </c>
      <c r="B53" s="132"/>
      <c r="C53" s="131" t="s">
        <v>219</v>
      </c>
      <c r="D53" s="133"/>
      <c r="E53" s="132"/>
      <c r="F53" s="41" t="s">
        <v>42</v>
      </c>
      <c r="G53" s="154">
        <v>45835</v>
      </c>
      <c r="H53" s="134"/>
    </row>
    <row r="54" spans="1:14" x14ac:dyDescent="0.35">
      <c r="A54" s="124" t="s">
        <v>46</v>
      </c>
      <c r="B54" s="124"/>
      <c r="C54" s="124"/>
      <c r="D54" s="124"/>
      <c r="E54" s="124"/>
      <c r="F54" s="124"/>
      <c r="G54" s="124"/>
      <c r="H54" s="124"/>
    </row>
    <row r="55" spans="1:14" x14ac:dyDescent="0.35">
      <c r="A55" s="75" t="s">
        <v>91</v>
      </c>
      <c r="B55" s="75"/>
      <c r="C55" s="75"/>
      <c r="D55" s="56">
        <v>3609.88</v>
      </c>
      <c r="E55" s="56"/>
      <c r="F55" s="56"/>
      <c r="G55" s="56"/>
      <c r="H55" s="56"/>
    </row>
    <row r="56" spans="1:14" x14ac:dyDescent="0.35">
      <c r="A56" s="58" t="s">
        <v>47</v>
      </c>
      <c r="B56" s="98"/>
      <c r="C56" s="98"/>
      <c r="D56" s="98" t="s">
        <v>209</v>
      </c>
      <c r="E56" s="98"/>
      <c r="F56" s="98"/>
      <c r="G56" s="98"/>
      <c r="H56" s="98"/>
      <c r="I56" s="21"/>
    </row>
    <row r="57" spans="1:14" x14ac:dyDescent="0.35">
      <c r="A57" s="100" t="s">
        <v>48</v>
      </c>
      <c r="B57" s="101"/>
      <c r="C57" s="102"/>
      <c r="D57" s="84" t="s">
        <v>210</v>
      </c>
      <c r="E57" s="99"/>
      <c r="F57" s="99"/>
      <c r="G57" s="99"/>
      <c r="H57" s="99"/>
    </row>
    <row r="58" spans="1:14" ht="15.75" customHeight="1" x14ac:dyDescent="0.35">
      <c r="A58" s="100" t="s">
        <v>89</v>
      </c>
      <c r="B58" s="101"/>
      <c r="C58" s="101"/>
      <c r="D58" s="118" t="s">
        <v>211</v>
      </c>
      <c r="E58" s="119"/>
      <c r="F58" s="119"/>
      <c r="G58" s="119"/>
      <c r="H58" s="120"/>
    </row>
    <row r="59" spans="1:14" ht="15.75" customHeight="1" x14ac:dyDescent="0.35">
      <c r="A59" s="56" t="s">
        <v>45</v>
      </c>
      <c r="B59" s="56"/>
      <c r="C59" s="56"/>
      <c r="D59" s="94" t="s">
        <v>176</v>
      </c>
      <c r="E59" s="94"/>
      <c r="F59" s="94"/>
      <c r="G59" s="94"/>
      <c r="H59" s="94"/>
      <c r="J59" s="22"/>
      <c r="K59" s="21"/>
      <c r="N59" s="21"/>
    </row>
    <row r="60" spans="1:14" ht="15.75" customHeight="1" x14ac:dyDescent="0.35">
      <c r="A60" s="56" t="s">
        <v>87</v>
      </c>
      <c r="B60" s="56"/>
      <c r="C60" s="56"/>
      <c r="D60" s="95" t="str">
        <f ca="1">(IF(G53="NA","60 Years After Completion",IF(G53&lt;&gt;"NA",""&amp;60-ROUNDDOWN((E3-G53)/360,0)&amp;" Years"," ")))</f>
        <v>60 Years</v>
      </c>
      <c r="E60" s="95"/>
      <c r="F60" s="95"/>
      <c r="G60" s="95"/>
      <c r="H60" s="95"/>
      <c r="N60" s="21"/>
    </row>
    <row r="61" spans="1:14" ht="15.75" customHeight="1" x14ac:dyDescent="0.35">
      <c r="A61" s="56" t="s">
        <v>88</v>
      </c>
      <c r="B61" s="56"/>
      <c r="C61" s="56"/>
      <c r="D61" s="75" t="s">
        <v>24</v>
      </c>
      <c r="E61" s="75"/>
      <c r="F61" s="75"/>
      <c r="G61" s="75"/>
      <c r="H61" s="75"/>
      <c r="J61" s="23"/>
      <c r="K61" s="23"/>
    </row>
    <row r="62" spans="1:14" ht="31" customHeight="1" x14ac:dyDescent="0.35">
      <c r="A62" s="56" t="s">
        <v>75</v>
      </c>
      <c r="B62" s="56"/>
      <c r="C62" s="56"/>
      <c r="D62" s="58" t="s">
        <v>180</v>
      </c>
      <c r="E62" s="75"/>
      <c r="F62" s="75"/>
      <c r="G62" s="75"/>
      <c r="H62" s="75"/>
    </row>
    <row r="63" spans="1:14" x14ac:dyDescent="0.35">
      <c r="A63" s="75" t="s">
        <v>147</v>
      </c>
      <c r="B63" s="75"/>
      <c r="C63" s="75"/>
      <c r="D63" s="75" t="s">
        <v>29</v>
      </c>
      <c r="E63" s="75"/>
      <c r="F63" s="75"/>
      <c r="G63" s="75"/>
      <c r="H63" s="75"/>
      <c r="I63" s="24"/>
      <c r="J63" s="24"/>
      <c r="K63" s="24"/>
      <c r="L63" s="24"/>
      <c r="M63" s="24"/>
      <c r="N63" s="24"/>
    </row>
    <row r="64" spans="1:14" ht="15.75" customHeight="1" x14ac:dyDescent="0.35">
      <c r="A64" s="85" t="s">
        <v>86</v>
      </c>
      <c r="B64" s="85"/>
      <c r="C64" s="85"/>
      <c r="D64" s="84" t="str">
        <f ca="1">(IF(G70&gt;95%,"Nothing",IF(G70&gt;0%,"Cement, Aggregate, Steel, etc",IF(G70=0%,"Work not yet Started"))))</f>
        <v>Nothing</v>
      </c>
      <c r="E64" s="84"/>
      <c r="F64" s="84"/>
      <c r="G64" s="84"/>
      <c r="H64" s="84"/>
      <c r="J64" s="23"/>
    </row>
    <row r="65" spans="1:10" ht="33.75" customHeight="1" thickBot="1" x14ac:dyDescent="0.4">
      <c r="A65" s="75" t="s">
        <v>118</v>
      </c>
      <c r="B65" s="75"/>
      <c r="C65" s="75"/>
      <c r="D65" s="58" t="str">
        <f ca="1">(IF(D64="Nothing","Yes",IF(D64="Cement, Aggregate, Steel, etc","Under Construction",IF(D64="Work not yet Started","Work not yet Started"))))</f>
        <v>Yes</v>
      </c>
      <c r="E65" s="58"/>
      <c r="F65" s="58" t="str">
        <f ca="1">(IF(D64="Nothing","Yes",IF(D64="Cement, Aggregate, Steel, etc","Under Construction",IF(D64="Work not yet Started","Work not yet Started"))))</f>
        <v>Yes</v>
      </c>
      <c r="G65" s="58"/>
      <c r="H65" s="58"/>
    </row>
    <row r="66" spans="1:10" ht="15.75" customHeight="1" x14ac:dyDescent="0.35">
      <c r="A66" s="157" t="s">
        <v>139</v>
      </c>
      <c r="B66" s="157"/>
      <c r="C66" s="157" t="str">
        <f>D58</f>
        <v>G + 1st to 30th Floor</v>
      </c>
      <c r="D66" s="157"/>
      <c r="E66" s="157"/>
      <c r="F66" s="157"/>
      <c r="G66" s="157"/>
      <c r="H66" s="157"/>
      <c r="I66" s="155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Flooring, Painting Completed, Finishing upto 17 Floor, Possession upto 10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Finishing upto 17 Floor, Possession upto 10 Floor</v>
      </c>
    </row>
    <row r="67" spans="1:10" x14ac:dyDescent="0.35">
      <c r="A67" s="46" t="s">
        <v>141</v>
      </c>
      <c r="B67" s="46">
        <f>IF(AND(ISNUMBER(SEARCH("1B",C66))),1,IF(AND(ISNUMBER(SEARCH("2B",C66))),2,IF(AND(ISNUMBER(SEARCH("3B",C66))),3,IF(AND(ISNUMBER(SEARCH("4B",C66))),4,IF(ISNUMBER(SEARCH("5B",C66)),5,0)))))</f>
        <v>0</v>
      </c>
      <c r="C67" s="46" t="s">
        <v>72</v>
      </c>
      <c r="D67" s="46">
        <v>1</v>
      </c>
      <c r="E67" s="46" t="s">
        <v>71</v>
      </c>
      <c r="F67" s="46">
        <v>0</v>
      </c>
      <c r="G67" s="43" t="s">
        <v>80</v>
      </c>
      <c r="H67" s="46">
        <f ca="1">--TRIM(RIGHT(SUBSTITUTE(LEFT(C66,_xlfn.AGGREGATE(16,6,FIND({0,1,2,3,4,5,6,7,8,9},C66,ROW(INDIRECT("1:"&amp;LEN(C66)))),1))," ",REPT(" ",LEN(C66))),LEN(C66)))</f>
        <v>30</v>
      </c>
      <c r="I67" s="15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</v>
      </c>
      <c r="J67" s="45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6" customHeight="1" x14ac:dyDescent="0.35">
      <c r="A68" s="87" t="s">
        <v>90</v>
      </c>
      <c r="B68" s="87"/>
      <c r="C68" s="88" t="str">
        <f ca="1">I66</f>
        <v>Excavation, Plinth, RCC Slab, Brickwork, Internal Plaster, External Plaster, Flooring, Painting Completed, Finishing upto 17 Floor, Possession upto 10 Floor Completed</v>
      </c>
      <c r="D68" s="88"/>
      <c r="E68" s="88"/>
      <c r="F68" s="88"/>
      <c r="G68" s="88"/>
      <c r="H68" s="88"/>
      <c r="I68" s="156" t="str">
        <f ca="1">IF(I67&lt;&gt;""," Completed","")</f>
        <v xml:space="preserve"> Completed</v>
      </c>
      <c r="J68" s="45" t="str">
        <f ca="1">IF(J66&lt;&gt;"","Completed","")</f>
        <v>Completed</v>
      </c>
    </row>
    <row r="69" spans="1:10" ht="15.75" customHeight="1" x14ac:dyDescent="0.35">
      <c r="A69" s="74" t="s">
        <v>49</v>
      </c>
      <c r="B69" s="74"/>
      <c r="C69" s="54" t="s">
        <v>138</v>
      </c>
      <c r="D69" s="54" t="s">
        <v>83</v>
      </c>
      <c r="E69" s="74" t="s">
        <v>85</v>
      </c>
      <c r="F69" s="74"/>
      <c r="G69" s="74" t="s">
        <v>84</v>
      </c>
      <c r="H69" s="74"/>
      <c r="I69" s="14" t="s">
        <v>140</v>
      </c>
      <c r="J69" s="25">
        <f ca="1">H67*25%</f>
        <v>7.5</v>
      </c>
    </row>
    <row r="70" spans="1:10" x14ac:dyDescent="0.35">
      <c r="A70" s="74" t="s">
        <v>127</v>
      </c>
      <c r="B70" s="74"/>
      <c r="C70" s="54">
        <f ca="1">J71</f>
        <v>30</v>
      </c>
      <c r="D70" s="17">
        <f ca="1">((100/H67)*C70)/100</f>
        <v>1</v>
      </c>
      <c r="E70" s="158">
        <f ca="1">(((C71/H67*10)+(40/(D67+F67+H67)*C72)+(7.5/(H67)*C73)+(7.5/(H67)*C74)+(10/H67*C75)+(10/H67*C76)+(5/H67*C77)+(5/H67*C78)+(5/H67*C79))/100)</f>
        <v>0.94499999999999995</v>
      </c>
      <c r="F70" s="158"/>
      <c r="G70" s="158">
        <f ca="1">((((C70/H67)*20)+((C71/H67)*25)+(30/(H67+F67+D67)*C72)+(5/H67*C73)+(5/H67*C74)+(5/H67*C75)+(5/H67*C76)+(0/H67*C77)+(0/H67*C78)+(5/H67*C79))/100)</f>
        <v>0.96666666666666667</v>
      </c>
      <c r="H70" s="158"/>
      <c r="I70" s="14" t="s">
        <v>101</v>
      </c>
      <c r="J70" s="26">
        <f ca="1">H67*50%</f>
        <v>15</v>
      </c>
    </row>
    <row r="71" spans="1:10" x14ac:dyDescent="0.35">
      <c r="A71" s="74" t="s">
        <v>50</v>
      </c>
      <c r="B71" s="74"/>
      <c r="C71" s="54">
        <f ca="1">J79</f>
        <v>30</v>
      </c>
      <c r="D71" s="17">
        <f ca="1">((100/H67)*C71)/100</f>
        <v>1</v>
      </c>
      <c r="E71" s="158"/>
      <c r="F71" s="158"/>
      <c r="G71" s="158"/>
      <c r="H71" s="158"/>
      <c r="I71" s="14" t="s">
        <v>102</v>
      </c>
      <c r="J71" s="26">
        <f ca="1">H67</f>
        <v>30</v>
      </c>
    </row>
    <row r="72" spans="1:10" ht="15.75" customHeight="1" x14ac:dyDescent="0.35">
      <c r="A72" s="74" t="s">
        <v>128</v>
      </c>
      <c r="B72" s="74"/>
      <c r="C72" s="54">
        <v>31</v>
      </c>
      <c r="D72" s="17">
        <f ca="1">((100/(D67+F67+H67))*C72)/100</f>
        <v>1</v>
      </c>
      <c r="E72" s="158"/>
      <c r="F72" s="158"/>
      <c r="G72" s="158"/>
      <c r="H72" s="158"/>
      <c r="I72" s="14" t="s">
        <v>103</v>
      </c>
      <c r="J72" s="27">
        <f ca="1">(IF(B67&gt;1,(H67/(B67+2)),H67/4))</f>
        <v>7.5</v>
      </c>
    </row>
    <row r="73" spans="1:10" ht="15.75" customHeight="1" x14ac:dyDescent="0.35">
      <c r="A73" s="74" t="s">
        <v>135</v>
      </c>
      <c r="B73" s="74" t="s">
        <v>129</v>
      </c>
      <c r="C73" s="54">
        <f>C72-1</f>
        <v>30</v>
      </c>
      <c r="D73" s="17">
        <f ca="1">((100/H67)*C73)/100</f>
        <v>1</v>
      </c>
      <c r="E73" s="158"/>
      <c r="F73" s="158"/>
      <c r="G73" s="158"/>
      <c r="H73" s="158"/>
      <c r="I73" s="14" t="s">
        <v>104</v>
      </c>
      <c r="J73" s="27">
        <f ca="1">(IF(B67&gt;1,(H67/(B67+2)+J72),H67/4+J72))</f>
        <v>15</v>
      </c>
    </row>
    <row r="74" spans="1:10" ht="15.75" customHeight="1" x14ac:dyDescent="0.35">
      <c r="A74" s="74" t="s">
        <v>136</v>
      </c>
      <c r="B74" s="74" t="s">
        <v>129</v>
      </c>
      <c r="C74" s="51">
        <v>30</v>
      </c>
      <c r="D74" s="17">
        <f ca="1">((100/H67)*C74)/100</f>
        <v>1</v>
      </c>
      <c r="E74" s="158"/>
      <c r="F74" s="158"/>
      <c r="G74" s="158"/>
      <c r="H74" s="158"/>
      <c r="I74" s="14" t="s">
        <v>145</v>
      </c>
      <c r="J74" s="27">
        <f>(IF(B67&gt;1,(H67/(B67+2)+J73),0))</f>
        <v>0</v>
      </c>
    </row>
    <row r="75" spans="1:10" ht="15" customHeight="1" x14ac:dyDescent="0.35">
      <c r="A75" s="74" t="s">
        <v>134</v>
      </c>
      <c r="B75" s="74" t="s">
        <v>131</v>
      </c>
      <c r="C75" s="51">
        <v>30</v>
      </c>
      <c r="D75" s="17">
        <f ca="1">((100/(H67))*C75)/100</f>
        <v>1</v>
      </c>
      <c r="E75" s="158"/>
      <c r="F75" s="158"/>
      <c r="G75" s="158"/>
      <c r="H75" s="158"/>
      <c r="I75" s="14" t="s">
        <v>142</v>
      </c>
      <c r="J75" s="27">
        <f>(IF(B67&gt;2,(H67/(B67+2)+J74),0))</f>
        <v>0</v>
      </c>
    </row>
    <row r="76" spans="1:10" ht="15.75" customHeight="1" x14ac:dyDescent="0.35">
      <c r="A76" s="74" t="s">
        <v>130</v>
      </c>
      <c r="B76" s="74" t="s">
        <v>130</v>
      </c>
      <c r="C76" s="51">
        <v>30</v>
      </c>
      <c r="D76" s="17">
        <f ca="1">((100/H67)*C76)/100</f>
        <v>1</v>
      </c>
      <c r="E76" s="158"/>
      <c r="F76" s="158"/>
      <c r="G76" s="158"/>
      <c r="H76" s="158"/>
      <c r="I76" s="14" t="s">
        <v>143</v>
      </c>
      <c r="J76" s="28">
        <f>(IF(B67&gt;3,(H67/(B67+2)+J75),0))</f>
        <v>0</v>
      </c>
    </row>
    <row r="77" spans="1:10" ht="15.75" customHeight="1" x14ac:dyDescent="0.35">
      <c r="A77" s="74" t="s">
        <v>137</v>
      </c>
      <c r="B77" s="74"/>
      <c r="C77" s="51">
        <v>30</v>
      </c>
      <c r="D77" s="17">
        <f ca="1">((100/H67)*C77)/100</f>
        <v>1</v>
      </c>
      <c r="E77" s="158"/>
      <c r="F77" s="158"/>
      <c r="G77" s="158"/>
      <c r="H77" s="158"/>
      <c r="I77" s="14" t="s">
        <v>144</v>
      </c>
      <c r="J77" s="27">
        <f>(IF(B67&gt;4,(H67/(B67+2)+J76),0))</f>
        <v>0</v>
      </c>
    </row>
    <row r="78" spans="1:10" ht="15.75" customHeight="1" x14ac:dyDescent="0.35">
      <c r="A78" s="74" t="s">
        <v>132</v>
      </c>
      <c r="B78" s="74" t="s">
        <v>132</v>
      </c>
      <c r="C78" s="51">
        <v>17</v>
      </c>
      <c r="D78" s="17">
        <f ca="1">((100/(H67))*C78)/100</f>
        <v>0.56666666666666676</v>
      </c>
      <c r="E78" s="158"/>
      <c r="F78" s="158"/>
      <c r="G78" s="158"/>
      <c r="H78" s="158"/>
      <c r="I78" s="14" t="s">
        <v>146</v>
      </c>
      <c r="J78" s="27">
        <f ca="1">(IF(B67=1,(H67/(B67+3)+J73),IF(B67=0,(H67/4+J73),IF(B67&gt;1,0))))</f>
        <v>22.5</v>
      </c>
    </row>
    <row r="79" spans="1:10" ht="16" thickBot="1" x14ac:dyDescent="0.4">
      <c r="A79" s="74" t="s">
        <v>133</v>
      </c>
      <c r="B79" s="74"/>
      <c r="C79" s="54">
        <v>10</v>
      </c>
      <c r="D79" s="17">
        <f ca="1">((100/(H67))*C79)/100</f>
        <v>0.33333333333333337</v>
      </c>
      <c r="E79" s="158"/>
      <c r="F79" s="158"/>
      <c r="G79" s="158"/>
      <c r="H79" s="158"/>
      <c r="I79" s="15" t="s">
        <v>105</v>
      </c>
      <c r="J79" s="29">
        <f ca="1">(IF(B67&gt;1.5,(H67/(B67+2)+J73+MAX(0,J74-J73)+MAX(0,J75-J74)+MAX(0,J76-J75)+MAX(0,J77-J76)+MAX(0,J78-J77)),IF(B67=1,(H67/(B67+3)+J78),IF(B67=0,H67/4+J78))))</f>
        <v>30</v>
      </c>
    </row>
    <row r="80" spans="1:10" x14ac:dyDescent="0.35">
      <c r="A80" s="77" t="s">
        <v>154</v>
      </c>
      <c r="B80" s="77"/>
      <c r="C80" s="77"/>
      <c r="D80" s="77"/>
      <c r="E80" s="77"/>
      <c r="F80" s="79" t="s">
        <v>158</v>
      </c>
      <c r="G80" s="79"/>
      <c r="H80" s="79"/>
    </row>
    <row r="81" spans="1:12" x14ac:dyDescent="0.35">
      <c r="A81" s="56" t="s">
        <v>156</v>
      </c>
      <c r="B81" s="56"/>
      <c r="C81" s="56"/>
      <c r="D81" s="56"/>
      <c r="E81" s="56"/>
      <c r="F81" s="67">
        <v>7350</v>
      </c>
      <c r="G81" s="67"/>
      <c r="H81" s="67"/>
      <c r="I81" s="52" t="s">
        <v>212</v>
      </c>
      <c r="J81" s="52" t="s">
        <v>213</v>
      </c>
      <c r="K81" s="53">
        <v>45321</v>
      </c>
      <c r="L81" s="52" t="s">
        <v>214</v>
      </c>
    </row>
    <row r="82" spans="1:12" hidden="1" x14ac:dyDescent="0.35">
      <c r="A82" s="56" t="s">
        <v>155</v>
      </c>
      <c r="B82" s="56"/>
      <c r="C82" s="56"/>
      <c r="D82" s="56"/>
      <c r="E82" s="56"/>
      <c r="F82" s="67"/>
      <c r="G82" s="67"/>
      <c r="H82" s="67"/>
    </row>
    <row r="83" spans="1:12" hidden="1" x14ac:dyDescent="0.35">
      <c r="A83" s="56" t="s">
        <v>157</v>
      </c>
      <c r="B83" s="56"/>
      <c r="C83" s="56"/>
      <c r="D83" s="56"/>
      <c r="E83" s="56"/>
      <c r="F83" s="67"/>
      <c r="G83" s="67"/>
      <c r="H83" s="67"/>
    </row>
    <row r="84" spans="1:12" s="30" customFormat="1" hidden="1" x14ac:dyDescent="0.3">
      <c r="A84" s="56" t="s">
        <v>170</v>
      </c>
      <c r="B84" s="56"/>
      <c r="C84" s="56"/>
      <c r="D84" s="56"/>
      <c r="E84" s="56"/>
      <c r="F84" s="67"/>
      <c r="G84" s="67"/>
      <c r="H84" s="67"/>
    </row>
    <row r="85" spans="1:12" s="30" customFormat="1" hidden="1" x14ac:dyDescent="0.3">
      <c r="A85" s="56" t="s">
        <v>95</v>
      </c>
      <c r="B85" s="56"/>
      <c r="C85" s="56"/>
      <c r="D85" s="56"/>
      <c r="E85" s="56"/>
      <c r="F85" s="67"/>
      <c r="G85" s="67"/>
      <c r="H85" s="67"/>
    </row>
    <row r="86" spans="1:12" s="30" customFormat="1" hidden="1" x14ac:dyDescent="0.3">
      <c r="A86" s="56" t="s">
        <v>96</v>
      </c>
      <c r="B86" s="56"/>
      <c r="C86" s="56"/>
      <c r="D86" s="56"/>
      <c r="E86" s="56"/>
      <c r="F86" s="67"/>
      <c r="G86" s="67"/>
      <c r="H86" s="67"/>
    </row>
    <row r="87" spans="1:12" s="30" customFormat="1" hidden="1" x14ac:dyDescent="0.3">
      <c r="A87" s="56" t="s">
        <v>159</v>
      </c>
      <c r="B87" s="56"/>
      <c r="C87" s="56"/>
      <c r="D87" s="56"/>
      <c r="E87" s="56"/>
      <c r="F87" s="67"/>
      <c r="G87" s="67"/>
      <c r="H87" s="67"/>
    </row>
    <row r="88" spans="1:12" s="30" customFormat="1" hidden="1" x14ac:dyDescent="0.3">
      <c r="A88" s="56" t="s">
        <v>97</v>
      </c>
      <c r="B88" s="56"/>
      <c r="C88" s="56"/>
      <c r="D88" s="56"/>
      <c r="E88" s="56"/>
      <c r="F88" s="67"/>
      <c r="G88" s="67"/>
      <c r="H88" s="67"/>
    </row>
    <row r="89" spans="1:12" s="30" customFormat="1" hidden="1" x14ac:dyDescent="0.3">
      <c r="A89" s="56" t="s">
        <v>98</v>
      </c>
      <c r="B89" s="56"/>
      <c r="C89" s="56"/>
      <c r="D89" s="56"/>
      <c r="E89" s="56"/>
      <c r="F89" s="67"/>
      <c r="G89" s="67"/>
      <c r="H89" s="67"/>
    </row>
    <row r="90" spans="1:12" s="30" customFormat="1" hidden="1" x14ac:dyDescent="0.3">
      <c r="A90" s="56" t="s">
        <v>99</v>
      </c>
      <c r="B90" s="56"/>
      <c r="C90" s="56"/>
      <c r="D90" s="56"/>
      <c r="E90" s="56"/>
      <c r="F90" s="67"/>
      <c r="G90" s="67"/>
      <c r="H90" s="67"/>
    </row>
    <row r="91" spans="1:12" s="30" customFormat="1" hidden="1" x14ac:dyDescent="0.3">
      <c r="A91" s="56" t="s">
        <v>100</v>
      </c>
      <c r="B91" s="56"/>
      <c r="C91" s="56"/>
      <c r="D91" s="56"/>
      <c r="E91" s="56"/>
      <c r="F91" s="67"/>
      <c r="G91" s="67"/>
      <c r="H91" s="67"/>
    </row>
    <row r="92" spans="1:12" x14ac:dyDescent="0.35">
      <c r="A92" s="56" t="s">
        <v>51</v>
      </c>
      <c r="B92" s="56"/>
      <c r="C92" s="56"/>
      <c r="D92" s="56"/>
      <c r="E92" s="56"/>
      <c r="F92" s="67">
        <v>500000</v>
      </c>
      <c r="G92" s="67"/>
      <c r="H92" s="67"/>
    </row>
    <row r="93" spans="1:12" s="31" customFormat="1" x14ac:dyDescent="0.35">
      <c r="A93" s="86" t="s">
        <v>52</v>
      </c>
      <c r="B93" s="86"/>
      <c r="C93" s="86"/>
      <c r="D93" s="86"/>
      <c r="E93" s="86"/>
      <c r="F93" s="67">
        <f>F81*0.8</f>
        <v>5880</v>
      </c>
      <c r="G93" s="67"/>
      <c r="H93" s="67"/>
    </row>
    <row r="94" spans="1:12" s="32" customFormat="1" x14ac:dyDescent="0.35">
      <c r="A94" s="123" t="s">
        <v>70</v>
      </c>
      <c r="B94" s="123"/>
      <c r="C94" s="123"/>
      <c r="D94" s="123"/>
      <c r="E94" s="123"/>
      <c r="F94" s="123"/>
      <c r="G94" s="123"/>
      <c r="H94" s="123"/>
    </row>
    <row r="95" spans="1:12" s="32" customFormat="1" ht="15.75" customHeight="1" x14ac:dyDescent="0.35">
      <c r="A95" s="113" t="s">
        <v>53</v>
      </c>
      <c r="B95" s="113"/>
      <c r="C95" s="78" t="s">
        <v>78</v>
      </c>
      <c r="D95" s="78"/>
      <c r="E95" s="83" t="s">
        <v>54</v>
      </c>
      <c r="F95" s="83"/>
      <c r="G95" s="113" t="s">
        <v>55</v>
      </c>
      <c r="H95" s="113"/>
    </row>
    <row r="96" spans="1:12" s="32" customFormat="1" x14ac:dyDescent="0.35">
      <c r="A96" s="80" t="s">
        <v>207</v>
      </c>
      <c r="B96" s="80"/>
      <c r="C96" s="81">
        <f>COUNT(D104:D111)*10+COUNT(D113:D120)</f>
        <v>88</v>
      </c>
      <c r="D96" s="81"/>
      <c r="E96" s="82">
        <f>SUM(D104:D111)*10+SUM(D113:D120)</f>
        <v>43130.005248000001</v>
      </c>
      <c r="F96" s="82"/>
      <c r="G96" s="82">
        <f>SUM(F104:F111)*10+SUM(F113:F120)</f>
        <v>64695.00787199998</v>
      </c>
      <c r="H96" s="82"/>
    </row>
    <row r="97" spans="1:14" s="32" customFormat="1" ht="16" thickBot="1" x14ac:dyDescent="0.4">
      <c r="A97" s="80" t="s">
        <v>208</v>
      </c>
      <c r="B97" s="80"/>
      <c r="C97" s="81">
        <f>COUNT(D122:D129)*4+COUNT(D131:D138)*15</f>
        <v>152</v>
      </c>
      <c r="D97" s="81"/>
      <c r="E97" s="82">
        <f>SUM(D122:D129)*4+SUM(D131:D138)*15</f>
        <v>74497.281791999994</v>
      </c>
      <c r="F97" s="82"/>
      <c r="G97" s="82">
        <f>SUM(F122:F129)*4+SUM(F131:F138)*15</f>
        <v>111745.92268799996</v>
      </c>
      <c r="H97" s="82"/>
    </row>
    <row r="98" spans="1:14" s="32" customFormat="1" ht="16" thickBot="1" x14ac:dyDescent="0.4">
      <c r="A98" s="114" t="s">
        <v>165</v>
      </c>
      <c r="B98" s="115"/>
      <c r="C98" s="125">
        <f>SUM(C96:C97)</f>
        <v>240</v>
      </c>
      <c r="D98" s="125"/>
      <c r="E98" s="112">
        <f>SUM(E96:E97)</f>
        <v>117627.28704</v>
      </c>
      <c r="F98" s="112"/>
      <c r="G98" s="112">
        <f>SUM(G96:G97)</f>
        <v>176440.93055999995</v>
      </c>
      <c r="H98" s="112"/>
    </row>
    <row r="99" spans="1:14" s="31" customFormat="1" x14ac:dyDescent="0.35">
      <c r="A99" s="79" t="s">
        <v>56</v>
      </c>
      <c r="B99" s="79"/>
      <c r="C99" s="79"/>
      <c r="D99" s="79"/>
      <c r="E99" s="79"/>
      <c r="F99" s="79"/>
      <c r="G99" s="79"/>
      <c r="H99" s="79"/>
    </row>
    <row r="100" spans="1:14" ht="47.25" customHeight="1" x14ac:dyDescent="0.35">
      <c r="A100" s="69" t="s">
        <v>119</v>
      </c>
      <c r="B100" s="69" t="s">
        <v>203</v>
      </c>
      <c r="C100" s="141" t="s">
        <v>57</v>
      </c>
      <c r="D100" s="141" t="s">
        <v>58</v>
      </c>
      <c r="E100" s="143" t="s">
        <v>59</v>
      </c>
      <c r="F100" s="40" t="s">
        <v>148</v>
      </c>
      <c r="G100" s="69" t="s">
        <v>60</v>
      </c>
      <c r="H100" s="145"/>
      <c r="I100" s="33"/>
    </row>
    <row r="101" spans="1:14" s="34" customFormat="1" x14ac:dyDescent="0.35">
      <c r="A101" s="70"/>
      <c r="B101" s="70"/>
      <c r="C101" s="142"/>
      <c r="D101" s="142"/>
      <c r="E101" s="144"/>
      <c r="F101" s="13">
        <v>0.5</v>
      </c>
      <c r="G101" s="70"/>
      <c r="H101" s="146"/>
      <c r="I101" s="33"/>
    </row>
    <row r="102" spans="1:14" s="34" customFormat="1" x14ac:dyDescent="0.35">
      <c r="A102" s="71" t="s">
        <v>177</v>
      </c>
      <c r="B102" s="72"/>
      <c r="C102" s="72"/>
      <c r="D102" s="72"/>
      <c r="E102" s="72"/>
      <c r="F102" s="72"/>
      <c r="G102" s="72"/>
      <c r="H102" s="73"/>
      <c r="J102" s="33"/>
    </row>
    <row r="103" spans="1:14" s="34" customFormat="1" x14ac:dyDescent="0.35">
      <c r="A103" s="71" t="s">
        <v>205</v>
      </c>
      <c r="B103" s="72"/>
      <c r="C103" s="72"/>
      <c r="D103" s="72"/>
      <c r="E103" s="72"/>
      <c r="F103" s="72"/>
      <c r="G103" s="72"/>
      <c r="H103" s="73"/>
      <c r="J103" s="33"/>
    </row>
    <row r="104" spans="1:14" s="34" customFormat="1" ht="15.75" customHeight="1" x14ac:dyDescent="0.35">
      <c r="A104" s="47">
        <v>1</v>
      </c>
      <c r="B104" s="47" t="s">
        <v>178</v>
      </c>
      <c r="C104" s="39" t="s">
        <v>179</v>
      </c>
      <c r="D104" s="39">
        <f>(2.86*4.56+2.45*2.45+2.71*2.9+1.3*2.13+2.13*1.3+1*2.65+1.57*0.6+2.86*1.3+2.45*1.15+2.71*1.1)*10.76</f>
        <v>490.11369599999995</v>
      </c>
      <c r="E104" s="39">
        <v>0</v>
      </c>
      <c r="F104" s="39">
        <f>D104*(($F$101)+1)+(IF(E104&lt;101,E104,IF(E104&lt;201,E104/2,IF(E104&lt;=301,E104/3,E104/4))))</f>
        <v>735.17054399999995</v>
      </c>
      <c r="G104" s="147" t="str">
        <f>A103</f>
        <v>1st to 7th &amp; 9th to 11th Floor</v>
      </c>
      <c r="H104" s="148"/>
      <c r="I104" s="33"/>
      <c r="J104" s="34">
        <f>(2.86*4.56+2.45*2.45+2.71*2.9+1.3*2.13+2.13*1.3+1*2.65+1.57*0.6+2.86*1.3+2.45*1.15+2.71*1.1)</f>
        <v>45.549599999999998</v>
      </c>
      <c r="L104" s="76"/>
      <c r="M104" s="76"/>
      <c r="N104" s="33"/>
    </row>
    <row r="105" spans="1:14" s="34" customFormat="1" ht="15.75" customHeight="1" x14ac:dyDescent="0.35">
      <c r="A105" s="47">
        <v>2</v>
      </c>
      <c r="B105" s="47" t="s">
        <v>178</v>
      </c>
      <c r="C105" s="47" t="s">
        <v>179</v>
      </c>
      <c r="D105" s="47">
        <f>(2.86*4.56+2.45*2.45+2.71*2.9+1.3*2.13+2.13*1.3+1*2.65+1.57*0.6+2.86*1.3+2.45*1.15+2.71*1.1)*10.76</f>
        <v>490.11369599999995</v>
      </c>
      <c r="E105" s="39">
        <v>0</v>
      </c>
      <c r="F105" s="39">
        <f>D105*(($F$101)+1)+(IF(E105&lt;101,E105,IF(E105&lt;201,E105/2,IF(E105&lt;=301,E105/3,E105/4))))</f>
        <v>735.17054399999995</v>
      </c>
      <c r="G105" s="149"/>
      <c r="H105" s="150"/>
      <c r="I105" s="33"/>
      <c r="L105" s="76"/>
      <c r="M105" s="76"/>
      <c r="N105" s="33"/>
    </row>
    <row r="106" spans="1:14" s="34" customFormat="1" ht="15.75" customHeight="1" x14ac:dyDescent="0.35">
      <c r="A106" s="47">
        <v>3</v>
      </c>
      <c r="B106" s="47" t="s">
        <v>178</v>
      </c>
      <c r="C106" s="47" t="s">
        <v>179</v>
      </c>
      <c r="D106" s="47">
        <f t="shared" ref="D106:D111" si="0">(2.86*4.56+2.45*2.45+2.71*2.9+1.3*2.13+2.13*1.3+1*2.65+1.57*0.6+2.86*1.3+2.45*1.15+2.71*1.1)*10.76</f>
        <v>490.11369599999995</v>
      </c>
      <c r="E106" s="39">
        <v>0</v>
      </c>
      <c r="F106" s="39">
        <f>D106*(($F$101)+1)+(IF(E106&lt;101,E106,IF(E106&lt;201,E106/2,IF(E106&lt;=301,E106/3,E106/4))))</f>
        <v>735.17054399999995</v>
      </c>
      <c r="G106" s="149"/>
      <c r="H106" s="150"/>
      <c r="I106" s="33"/>
      <c r="L106" s="76"/>
      <c r="M106" s="76"/>
      <c r="N106" s="33"/>
    </row>
    <row r="107" spans="1:14" s="34" customFormat="1" ht="15.75" customHeight="1" x14ac:dyDescent="0.35">
      <c r="A107" s="47">
        <v>4</v>
      </c>
      <c r="B107" s="47" t="s">
        <v>178</v>
      </c>
      <c r="C107" s="47" t="s">
        <v>179</v>
      </c>
      <c r="D107" s="47">
        <f t="shared" si="0"/>
        <v>490.11369599999995</v>
      </c>
      <c r="E107" s="39">
        <v>0</v>
      </c>
      <c r="F107" s="39">
        <f>D107*(($F$101)+1)+(IF(E107&lt;101,E107,IF(E107&lt;201,E107/2,IF(E107&lt;=301,E107/3,E107/4))))</f>
        <v>735.17054399999995</v>
      </c>
      <c r="G107" s="149"/>
      <c r="H107" s="150"/>
      <c r="I107" s="33"/>
      <c r="L107" s="76"/>
      <c r="M107" s="76"/>
      <c r="N107" s="33"/>
    </row>
    <row r="108" spans="1:14" s="34" customFormat="1" ht="15.75" customHeight="1" x14ac:dyDescent="0.35">
      <c r="A108" s="47">
        <v>5</v>
      </c>
      <c r="B108" s="47" t="s">
        <v>178</v>
      </c>
      <c r="C108" s="47" t="s">
        <v>179</v>
      </c>
      <c r="D108" s="47">
        <f t="shared" si="0"/>
        <v>490.11369599999995</v>
      </c>
      <c r="E108" s="39">
        <v>0</v>
      </c>
      <c r="F108" s="39">
        <f t="shared" ref="F108:F109" si="1">D108*(($F$101)+1)+(IF(E108&lt;101,E108,IF(E108&lt;201,E108/2,IF(E108&lt;=301,E108/3,E108/4))))</f>
        <v>735.17054399999995</v>
      </c>
      <c r="G108" s="149"/>
      <c r="H108" s="150"/>
      <c r="I108" s="33"/>
      <c r="N108" s="33"/>
    </row>
    <row r="109" spans="1:14" s="34" customFormat="1" ht="15.75" customHeight="1" x14ac:dyDescent="0.35">
      <c r="A109" s="47">
        <v>6</v>
      </c>
      <c r="B109" s="47" t="s">
        <v>178</v>
      </c>
      <c r="C109" s="47" t="s">
        <v>179</v>
      </c>
      <c r="D109" s="47">
        <f t="shared" si="0"/>
        <v>490.11369599999995</v>
      </c>
      <c r="E109" s="39">
        <v>0</v>
      </c>
      <c r="F109" s="39">
        <f t="shared" si="1"/>
        <v>735.17054399999995</v>
      </c>
      <c r="G109" s="149"/>
      <c r="H109" s="150"/>
      <c r="I109" s="33"/>
      <c r="N109" s="33"/>
    </row>
    <row r="110" spans="1:14" s="34" customFormat="1" ht="15.75" customHeight="1" x14ac:dyDescent="0.35">
      <c r="A110" s="47">
        <v>7</v>
      </c>
      <c r="B110" s="47" t="s">
        <v>178</v>
      </c>
      <c r="C110" s="47" t="s">
        <v>179</v>
      </c>
      <c r="D110" s="47">
        <f t="shared" si="0"/>
        <v>490.11369599999995</v>
      </c>
      <c r="E110" s="39">
        <v>0</v>
      </c>
      <c r="F110" s="39">
        <f>D110*(($F$101)+1)+(IF(E110&lt;101,E110,IF(E110&lt;201,E110/2,IF(E110&lt;=301,E110/3,E110/4))))</f>
        <v>735.17054399999995</v>
      </c>
      <c r="G110" s="149"/>
      <c r="H110" s="150"/>
      <c r="I110" s="33"/>
      <c r="N110" s="33"/>
    </row>
    <row r="111" spans="1:14" s="34" customFormat="1" ht="15.75" customHeight="1" x14ac:dyDescent="0.35">
      <c r="A111" s="47">
        <v>8</v>
      </c>
      <c r="B111" s="47" t="s">
        <v>178</v>
      </c>
      <c r="C111" s="47" t="s">
        <v>179</v>
      </c>
      <c r="D111" s="47">
        <f t="shared" si="0"/>
        <v>490.11369599999995</v>
      </c>
      <c r="E111" s="39">
        <v>0</v>
      </c>
      <c r="F111" s="39">
        <f>D111*(($F$101)+1)+(IF(E111&lt;101,E111,IF(E111&lt;201,E111/2,IF(E111&lt;=301,E111/3,E111/4))))</f>
        <v>735.17054399999995</v>
      </c>
      <c r="G111" s="151"/>
      <c r="H111" s="152"/>
      <c r="I111" s="33"/>
      <c r="N111" s="33"/>
    </row>
    <row r="112" spans="1:14" s="50" customFormat="1" ht="15.75" customHeight="1" x14ac:dyDescent="0.35">
      <c r="A112" s="159" t="s">
        <v>202</v>
      </c>
      <c r="B112" s="159"/>
      <c r="C112" s="159"/>
      <c r="D112" s="159"/>
      <c r="E112" s="159"/>
      <c r="F112" s="159"/>
      <c r="G112" s="159"/>
      <c r="H112" s="159"/>
      <c r="I112" s="33"/>
      <c r="N112" s="33"/>
    </row>
    <row r="113" spans="1:14" s="50" customFormat="1" ht="15.75" customHeight="1" x14ac:dyDescent="0.35">
      <c r="A113" s="49">
        <v>1</v>
      </c>
      <c r="B113" s="49" t="s">
        <v>178</v>
      </c>
      <c r="C113" s="49" t="s">
        <v>179</v>
      </c>
      <c r="D113" s="49">
        <f>(2.86*4.56+2.45*2.45+2.71*2.9+1.3*2.13+2.13*1.3+1*2.65+1.57*0.6+2.86*1.3+2.45*1.15+2.71*1.1)*10.76</f>
        <v>490.11369599999995</v>
      </c>
      <c r="E113" s="49">
        <v>0</v>
      </c>
      <c r="F113" s="49">
        <f>D113*(($F$101)+1)+(IF(E113&lt;101,E113,IF(E113&lt;201,E113/2,IF(E113&lt;=301,E113/3,E113/4))))</f>
        <v>735.17054399999995</v>
      </c>
      <c r="G113" s="160" t="str">
        <f>A112</f>
        <v xml:space="preserve">8th Floor ( Part Refuge Area) </v>
      </c>
      <c r="H113" s="160"/>
      <c r="I113" s="33"/>
      <c r="N113" s="33"/>
    </row>
    <row r="114" spans="1:14" s="50" customFormat="1" ht="15.75" customHeight="1" x14ac:dyDescent="0.35">
      <c r="A114" s="49">
        <v>2</v>
      </c>
      <c r="B114" s="49" t="s">
        <v>178</v>
      </c>
      <c r="C114" s="49" t="s">
        <v>179</v>
      </c>
      <c r="D114" s="49">
        <f>(2.86*4.56+2.45*2.45+2.71*2.9+1.3*2.13+2.13*1.3+1*2.65+1.57*0.6+2.86*1.3+2.45*1.15+2.71*1.1)*10.76</f>
        <v>490.11369599999995</v>
      </c>
      <c r="E114" s="49">
        <v>0</v>
      </c>
      <c r="F114" s="49">
        <f>D114*(($F$101)+1)+(IF(E114&lt;101,E114,IF(E114&lt;201,E114/2,IF(E114&lt;=301,E114/3,E114/4))))</f>
        <v>735.17054399999995</v>
      </c>
      <c r="G114" s="160"/>
      <c r="H114" s="160"/>
      <c r="I114" s="33"/>
      <c r="N114" s="33"/>
    </row>
    <row r="115" spans="1:14" s="50" customFormat="1" ht="15.75" customHeight="1" x14ac:dyDescent="0.35">
      <c r="A115" s="49">
        <v>3</v>
      </c>
      <c r="B115" s="49" t="s">
        <v>178</v>
      </c>
      <c r="C115" s="49" t="s">
        <v>179</v>
      </c>
      <c r="D115" s="49">
        <f t="shared" ref="D115:D120" si="2">(2.86*4.56+2.45*2.45+2.71*2.9+1.3*2.13+2.13*1.3+1*2.65+1.57*0.6+2.86*1.3+2.45*1.15+2.71*1.1)*10.76</f>
        <v>490.11369599999995</v>
      </c>
      <c r="E115" s="49">
        <v>0</v>
      </c>
      <c r="F115" s="49">
        <f>D115*(($F$101)+1)+(IF(E115&lt;101,E115,IF(E115&lt;201,E115/2,IF(E115&lt;=301,E115/3,E115/4))))</f>
        <v>735.17054399999995</v>
      </c>
      <c r="G115" s="160"/>
      <c r="H115" s="160"/>
      <c r="I115" s="33"/>
      <c r="N115" s="33"/>
    </row>
    <row r="116" spans="1:14" s="50" customFormat="1" ht="15.75" customHeight="1" x14ac:dyDescent="0.35">
      <c r="A116" s="49">
        <v>4</v>
      </c>
      <c r="B116" s="49" t="s">
        <v>178</v>
      </c>
      <c r="C116" s="49" t="s">
        <v>179</v>
      </c>
      <c r="D116" s="49">
        <f t="shared" si="2"/>
        <v>490.11369599999995</v>
      </c>
      <c r="E116" s="49">
        <v>0</v>
      </c>
      <c r="F116" s="49">
        <f>D116*(($F$101)+1)+(IF(E116&lt;101,E116,IF(E116&lt;201,E116/2,IF(E116&lt;=301,E116/3,E116/4))))</f>
        <v>735.17054399999995</v>
      </c>
      <c r="G116" s="160"/>
      <c r="H116" s="160"/>
      <c r="I116" s="33"/>
      <c r="N116" s="33"/>
    </row>
    <row r="117" spans="1:14" s="50" customFormat="1" ht="15.75" customHeight="1" x14ac:dyDescent="0.35">
      <c r="A117" s="49">
        <v>5</v>
      </c>
      <c r="B117" s="49" t="s">
        <v>178</v>
      </c>
      <c r="C117" s="49" t="s">
        <v>179</v>
      </c>
      <c r="D117" s="49">
        <f t="shared" si="2"/>
        <v>490.11369599999995</v>
      </c>
      <c r="E117" s="49">
        <v>0</v>
      </c>
      <c r="F117" s="49">
        <f t="shared" ref="F117:F118" si="3">D117*(($F$101)+1)+(IF(E117&lt;101,E117,IF(E117&lt;201,E117/2,IF(E117&lt;=301,E117/3,E117/4))))</f>
        <v>735.17054399999995</v>
      </c>
      <c r="G117" s="160"/>
      <c r="H117" s="160"/>
      <c r="I117" s="33"/>
      <c r="N117" s="33"/>
    </row>
    <row r="118" spans="1:14" s="50" customFormat="1" ht="15.75" customHeight="1" x14ac:dyDescent="0.35">
      <c r="A118" s="49">
        <v>6</v>
      </c>
      <c r="B118" s="49" t="s">
        <v>178</v>
      </c>
      <c r="C118" s="49" t="s">
        <v>179</v>
      </c>
      <c r="D118" s="49">
        <f t="shared" si="2"/>
        <v>490.11369599999995</v>
      </c>
      <c r="E118" s="49">
        <v>0</v>
      </c>
      <c r="F118" s="49">
        <f t="shared" si="3"/>
        <v>735.17054399999995</v>
      </c>
      <c r="G118" s="160"/>
      <c r="H118" s="160"/>
      <c r="I118" s="33"/>
      <c r="N118" s="33"/>
    </row>
    <row r="119" spans="1:14" s="50" customFormat="1" ht="15.75" customHeight="1" x14ac:dyDescent="0.35">
      <c r="A119" s="49">
        <v>7</v>
      </c>
      <c r="B119" s="49" t="s">
        <v>178</v>
      </c>
      <c r="C119" s="49" t="s">
        <v>179</v>
      </c>
      <c r="D119" s="49">
        <f t="shared" si="2"/>
        <v>490.11369599999995</v>
      </c>
      <c r="E119" s="49">
        <v>0</v>
      </c>
      <c r="F119" s="49">
        <f>D119*(($F$101)+1)+(IF(E119&lt;101,E119,IF(E119&lt;201,E119/2,IF(E119&lt;=301,E119/3,E119/4))))</f>
        <v>735.17054399999995</v>
      </c>
      <c r="G119" s="160"/>
      <c r="H119" s="160"/>
      <c r="I119" s="33"/>
      <c r="N119" s="33"/>
    </row>
    <row r="120" spans="1:14" s="50" customFormat="1" ht="15.75" customHeight="1" x14ac:dyDescent="0.35">
      <c r="A120" s="49">
        <v>8</v>
      </c>
      <c r="B120" s="49" t="s">
        <v>178</v>
      </c>
      <c r="C120" s="49" t="s">
        <v>179</v>
      </c>
      <c r="D120" s="49">
        <f t="shared" si="2"/>
        <v>490.11369599999995</v>
      </c>
      <c r="E120" s="49">
        <v>0</v>
      </c>
      <c r="F120" s="49">
        <f>D120*(($F$101)+1)+(IF(E120&lt;101,E120,IF(E120&lt;201,E120/2,IF(E120&lt;=301,E120/3,E120/4))))</f>
        <v>735.17054399999995</v>
      </c>
      <c r="G120" s="160"/>
      <c r="H120" s="160"/>
      <c r="I120" s="33"/>
      <c r="N120" s="33"/>
    </row>
    <row r="121" spans="1:14" s="34" customFormat="1" ht="15.75" customHeight="1" x14ac:dyDescent="0.35">
      <c r="A121" s="71" t="s">
        <v>194</v>
      </c>
      <c r="B121" s="72"/>
      <c r="C121" s="72"/>
      <c r="D121" s="72"/>
      <c r="E121" s="72"/>
      <c r="F121" s="72"/>
      <c r="G121" s="72"/>
      <c r="H121" s="73"/>
      <c r="I121" s="33"/>
    </row>
    <row r="122" spans="1:14" s="34" customFormat="1" ht="15.75" customHeight="1" x14ac:dyDescent="0.35">
      <c r="A122" s="49">
        <v>1</v>
      </c>
      <c r="B122" s="49" t="s">
        <v>204</v>
      </c>
      <c r="C122" s="49" t="s">
        <v>179</v>
      </c>
      <c r="D122" s="49">
        <f>(2.86*4.56+2.45*2.45+2.71*2.9+1.3*2.13+2.13*1.3+1*2.65+1.57*0.6+2.86*1.3+2.45*1.15+2.71*1.1)*10.76</f>
        <v>490.11369599999995</v>
      </c>
      <c r="E122" s="39">
        <v>0</v>
      </c>
      <c r="F122" s="49">
        <f>D122*((F101)+1)+(IF(E122&lt;101,E122,IF(E122&lt;201,E122/2,IF(E122&lt;=301,E122/3,E122/4))))</f>
        <v>735.17054399999995</v>
      </c>
      <c r="G122" s="147" t="str">
        <f>A121</f>
        <v xml:space="preserve">13th, 18th, 23rd &amp; 28th Floor ( Part Refugee Area) </v>
      </c>
      <c r="H122" s="148"/>
      <c r="I122" s="33"/>
    </row>
    <row r="123" spans="1:14" s="34" customFormat="1" ht="15.75" customHeight="1" x14ac:dyDescent="0.35">
      <c r="A123" s="49">
        <v>2</v>
      </c>
      <c r="B123" s="49" t="s">
        <v>204</v>
      </c>
      <c r="C123" s="49" t="s">
        <v>179</v>
      </c>
      <c r="D123" s="49">
        <f t="shared" ref="D123:D129" si="4">(2.86*4.56+2.45*2.45+2.71*2.9+1.3*2.13+2.13*1.3+1*2.65+1.57*0.6+2.86*1.3+2.45*1.15+2.71*1.1)*10.76</f>
        <v>490.11369599999995</v>
      </c>
      <c r="E123" s="39">
        <v>0</v>
      </c>
      <c r="F123" s="49">
        <f>D123*(($F$101)+1)+(IF(E123&lt;101,E123,IF(E123&lt;201,E123/2,IF(E123&lt;=301,E123/3,E123/4))))</f>
        <v>735.17054399999995</v>
      </c>
      <c r="G123" s="149"/>
      <c r="H123" s="150"/>
      <c r="I123" s="33"/>
    </row>
    <row r="124" spans="1:14" s="34" customFormat="1" ht="15.75" customHeight="1" x14ac:dyDescent="0.35">
      <c r="A124" s="49">
        <v>3</v>
      </c>
      <c r="B124" s="49" t="s">
        <v>204</v>
      </c>
      <c r="C124" s="49" t="s">
        <v>179</v>
      </c>
      <c r="D124" s="49">
        <f t="shared" si="4"/>
        <v>490.11369599999995</v>
      </c>
      <c r="E124" s="39">
        <v>0</v>
      </c>
      <c r="F124" s="49">
        <f t="shared" ref="F124:F128" si="5">D124*(($F$101)+1)+(IF(E124&lt;101,E124,IF(E124&lt;201,E124/2,IF(E124&lt;=301,E124/3,E124/4))))</f>
        <v>735.17054399999995</v>
      </c>
      <c r="G124" s="149"/>
      <c r="H124" s="150"/>
      <c r="I124" s="33"/>
    </row>
    <row r="125" spans="1:14" s="34" customFormat="1" ht="15.75" customHeight="1" x14ac:dyDescent="0.35">
      <c r="A125" s="49">
        <v>4</v>
      </c>
      <c r="B125" s="49" t="s">
        <v>204</v>
      </c>
      <c r="C125" s="49" t="s">
        <v>179</v>
      </c>
      <c r="D125" s="49">
        <f t="shared" si="4"/>
        <v>490.11369599999995</v>
      </c>
      <c r="E125" s="39">
        <v>0</v>
      </c>
      <c r="F125" s="49">
        <f t="shared" si="5"/>
        <v>735.17054399999995</v>
      </c>
      <c r="G125" s="149"/>
      <c r="H125" s="150"/>
      <c r="I125" s="33"/>
    </row>
    <row r="126" spans="1:14" s="48" customFormat="1" ht="15.75" customHeight="1" x14ac:dyDescent="0.35">
      <c r="A126" s="49">
        <v>5</v>
      </c>
      <c r="B126" s="49" t="s">
        <v>204</v>
      </c>
      <c r="C126" s="49" t="s">
        <v>179</v>
      </c>
      <c r="D126" s="49">
        <f t="shared" si="4"/>
        <v>490.11369599999995</v>
      </c>
      <c r="E126" s="49">
        <v>0</v>
      </c>
      <c r="F126" s="49">
        <f t="shared" si="5"/>
        <v>735.17054399999995</v>
      </c>
      <c r="G126" s="149"/>
      <c r="H126" s="150"/>
      <c r="I126" s="33"/>
    </row>
    <row r="127" spans="1:14" s="48" customFormat="1" ht="15.75" customHeight="1" x14ac:dyDescent="0.35">
      <c r="A127" s="49">
        <v>6</v>
      </c>
      <c r="B127" s="49" t="s">
        <v>204</v>
      </c>
      <c r="C127" s="49" t="s">
        <v>179</v>
      </c>
      <c r="D127" s="49">
        <f t="shared" si="4"/>
        <v>490.11369599999995</v>
      </c>
      <c r="E127" s="49">
        <v>0</v>
      </c>
      <c r="F127" s="49">
        <f t="shared" si="5"/>
        <v>735.17054399999995</v>
      </c>
      <c r="G127" s="149"/>
      <c r="H127" s="150"/>
      <c r="I127" s="33"/>
    </row>
    <row r="128" spans="1:14" s="48" customFormat="1" ht="15.75" customHeight="1" x14ac:dyDescent="0.35">
      <c r="A128" s="49">
        <v>7</v>
      </c>
      <c r="B128" s="49" t="s">
        <v>204</v>
      </c>
      <c r="C128" s="49" t="s">
        <v>179</v>
      </c>
      <c r="D128" s="49">
        <f t="shared" si="4"/>
        <v>490.11369599999995</v>
      </c>
      <c r="E128" s="49">
        <v>0</v>
      </c>
      <c r="F128" s="49">
        <f t="shared" si="5"/>
        <v>735.17054399999995</v>
      </c>
      <c r="G128" s="149"/>
      <c r="H128" s="150"/>
      <c r="I128" s="33"/>
    </row>
    <row r="129" spans="1:9" s="48" customFormat="1" ht="15.75" customHeight="1" x14ac:dyDescent="0.35">
      <c r="A129" s="49">
        <v>8</v>
      </c>
      <c r="B129" s="49" t="s">
        <v>204</v>
      </c>
      <c r="C129" s="49" t="s">
        <v>179</v>
      </c>
      <c r="D129" s="49">
        <f t="shared" si="4"/>
        <v>490.11369599999995</v>
      </c>
      <c r="E129" s="49">
        <v>0</v>
      </c>
      <c r="F129" s="49">
        <f>D129*(($F$101)+1)+(IF(E129&lt;101,E129,IF(E129&lt;201,E129/2,IF(E129&lt;=301,E129/3,E129/4))))</f>
        <v>735.17054399999995</v>
      </c>
      <c r="G129" s="151"/>
      <c r="H129" s="152"/>
      <c r="I129" s="33"/>
    </row>
    <row r="130" spans="1:9" s="34" customFormat="1" x14ac:dyDescent="0.35">
      <c r="A130" s="71" t="s">
        <v>206</v>
      </c>
      <c r="B130" s="72"/>
      <c r="C130" s="72"/>
      <c r="D130" s="72"/>
      <c r="E130" s="72"/>
      <c r="F130" s="72"/>
      <c r="G130" s="72"/>
      <c r="H130" s="73"/>
      <c r="I130" s="33"/>
    </row>
    <row r="131" spans="1:9" s="34" customFormat="1" ht="15.75" customHeight="1" x14ac:dyDescent="0.35">
      <c r="A131" s="49">
        <v>1</v>
      </c>
      <c r="B131" s="49" t="s">
        <v>204</v>
      </c>
      <c r="C131" s="47" t="s">
        <v>179</v>
      </c>
      <c r="D131" s="47">
        <f>(2.86*4.56+2.45*2.45+2.71*2.9+1.3*2.13+2.13*1.3+1*2.65+1.57*0.6+2.86*1.3+2.45*1.15+2.71*1.1)*10.76</f>
        <v>490.11369599999995</v>
      </c>
      <c r="E131" s="39">
        <v>0</v>
      </c>
      <c r="F131" s="49">
        <f>D131*(($F$101)+1)+(IF(E131&lt;101,E131,IF(E131&lt;201,E131/2,IF(E131&lt;=301,E131/3,E131/4))))</f>
        <v>735.17054399999995</v>
      </c>
      <c r="G131" s="147" t="str">
        <f>A130</f>
        <v xml:space="preserve">12th, 14th to 17th, 19th to 22nd, 24th to 27th, 29th &amp; 30th Floor </v>
      </c>
      <c r="H131" s="148"/>
      <c r="I131" s="33"/>
    </row>
    <row r="132" spans="1:9" s="34" customFormat="1" ht="15.75" customHeight="1" x14ac:dyDescent="0.35">
      <c r="A132" s="49">
        <v>2</v>
      </c>
      <c r="B132" s="49" t="s">
        <v>204</v>
      </c>
      <c r="C132" s="47" t="s">
        <v>179</v>
      </c>
      <c r="D132" s="47">
        <f t="shared" ref="D132:D138" si="6">(2.86*4.56+2.45*2.45+2.71*2.9+1.3*2.13+2.13*1.3+1*2.65+1.57*0.6+2.86*1.3+2.45*1.15+2.71*1.1)*10.76</f>
        <v>490.11369599999995</v>
      </c>
      <c r="E132" s="39">
        <v>0</v>
      </c>
      <c r="F132" s="49">
        <f t="shared" ref="F132:F138" si="7">D132*(($F$101)+1)+(IF(E132&lt;101,E132,IF(E132&lt;201,E132/2,IF(E132&lt;=301,E132/3,E132/4))))</f>
        <v>735.17054399999995</v>
      </c>
      <c r="G132" s="149"/>
      <c r="H132" s="150"/>
      <c r="I132" s="33"/>
    </row>
    <row r="133" spans="1:9" s="34" customFormat="1" ht="15.75" customHeight="1" x14ac:dyDescent="0.35">
      <c r="A133" s="49">
        <v>3</v>
      </c>
      <c r="B133" s="49" t="s">
        <v>204</v>
      </c>
      <c r="C133" s="47" t="s">
        <v>179</v>
      </c>
      <c r="D133" s="47">
        <f t="shared" si="6"/>
        <v>490.11369599999995</v>
      </c>
      <c r="E133" s="39">
        <v>0</v>
      </c>
      <c r="F133" s="49">
        <f t="shared" si="7"/>
        <v>735.17054399999995</v>
      </c>
      <c r="G133" s="149"/>
      <c r="H133" s="150"/>
      <c r="I133" s="33"/>
    </row>
    <row r="134" spans="1:9" s="34" customFormat="1" ht="15.75" customHeight="1" x14ac:dyDescent="0.35">
      <c r="A134" s="49">
        <v>4</v>
      </c>
      <c r="B134" s="49" t="s">
        <v>204</v>
      </c>
      <c r="C134" s="47" t="s">
        <v>179</v>
      </c>
      <c r="D134" s="47">
        <f t="shared" si="6"/>
        <v>490.11369599999995</v>
      </c>
      <c r="E134" s="39">
        <v>0</v>
      </c>
      <c r="F134" s="49">
        <f t="shared" si="7"/>
        <v>735.17054399999995</v>
      </c>
      <c r="G134" s="149"/>
      <c r="H134" s="150"/>
      <c r="I134" s="33"/>
    </row>
    <row r="135" spans="1:9" s="34" customFormat="1" ht="15.75" customHeight="1" x14ac:dyDescent="0.35">
      <c r="A135" s="49">
        <v>5</v>
      </c>
      <c r="B135" s="49" t="s">
        <v>204</v>
      </c>
      <c r="C135" s="47" t="s">
        <v>179</v>
      </c>
      <c r="D135" s="47">
        <f t="shared" si="6"/>
        <v>490.11369599999995</v>
      </c>
      <c r="E135" s="39">
        <v>0</v>
      </c>
      <c r="F135" s="49">
        <f t="shared" si="7"/>
        <v>735.17054399999995</v>
      </c>
      <c r="G135" s="149"/>
      <c r="H135" s="150"/>
      <c r="I135" s="33"/>
    </row>
    <row r="136" spans="1:9" s="34" customFormat="1" ht="15.75" customHeight="1" x14ac:dyDescent="0.35">
      <c r="A136" s="49">
        <v>6</v>
      </c>
      <c r="B136" s="49" t="s">
        <v>204</v>
      </c>
      <c r="C136" s="47" t="s">
        <v>179</v>
      </c>
      <c r="D136" s="47">
        <f t="shared" si="6"/>
        <v>490.11369599999995</v>
      </c>
      <c r="E136" s="39">
        <v>0</v>
      </c>
      <c r="F136" s="49">
        <f t="shared" si="7"/>
        <v>735.17054399999995</v>
      </c>
      <c r="G136" s="149"/>
      <c r="H136" s="150"/>
      <c r="I136" s="33"/>
    </row>
    <row r="137" spans="1:9" s="34" customFormat="1" ht="15.75" customHeight="1" x14ac:dyDescent="0.35">
      <c r="A137" s="49">
        <v>7</v>
      </c>
      <c r="B137" s="49" t="s">
        <v>204</v>
      </c>
      <c r="C137" s="47" t="s">
        <v>179</v>
      </c>
      <c r="D137" s="47">
        <f t="shared" si="6"/>
        <v>490.11369599999995</v>
      </c>
      <c r="E137" s="39">
        <v>0</v>
      </c>
      <c r="F137" s="49">
        <f t="shared" si="7"/>
        <v>735.17054399999995</v>
      </c>
      <c r="G137" s="149"/>
      <c r="H137" s="150"/>
      <c r="I137" s="33"/>
    </row>
    <row r="138" spans="1:9" s="34" customFormat="1" ht="15.75" customHeight="1" x14ac:dyDescent="0.35">
      <c r="A138" s="49">
        <v>8</v>
      </c>
      <c r="B138" s="49" t="s">
        <v>204</v>
      </c>
      <c r="C138" s="47" t="s">
        <v>179</v>
      </c>
      <c r="D138" s="47">
        <f t="shared" si="6"/>
        <v>490.11369599999995</v>
      </c>
      <c r="E138" s="39">
        <v>0</v>
      </c>
      <c r="F138" s="49">
        <f t="shared" si="7"/>
        <v>735.17054399999995</v>
      </c>
      <c r="G138" s="151"/>
      <c r="H138" s="152"/>
      <c r="I138" s="33"/>
    </row>
    <row r="139" spans="1:9" s="32" customFormat="1" x14ac:dyDescent="0.35">
      <c r="A139" s="68" t="s">
        <v>68</v>
      </c>
      <c r="B139" s="68"/>
      <c r="C139" s="68"/>
      <c r="D139" s="68"/>
      <c r="E139" s="68"/>
      <c r="F139" s="68"/>
      <c r="G139" s="68"/>
      <c r="H139" s="68"/>
    </row>
    <row r="140" spans="1:9" s="32" customFormat="1" x14ac:dyDescent="0.35">
      <c r="A140" s="42" t="s">
        <v>151</v>
      </c>
      <c r="B140" s="126" t="s">
        <v>220</v>
      </c>
      <c r="C140" s="127"/>
      <c r="D140" s="127"/>
      <c r="E140" s="127"/>
      <c r="F140" s="127"/>
      <c r="G140" s="127"/>
      <c r="H140" s="128"/>
    </row>
    <row r="141" spans="1:9" s="32" customFormat="1" x14ac:dyDescent="0.35">
      <c r="A141" s="42" t="s">
        <v>151</v>
      </c>
      <c r="B141" s="126" t="str">
        <f>(IF(F100="Saleable area Loading :","We have considered Saleable area of Flats as per our Calculation.","We considered Saleable area of Flat as per Builder area Sheet."))</f>
        <v>We have considered Saleable area of Flats as per our Calculation.</v>
      </c>
      <c r="C141" s="127"/>
      <c r="D141" s="127"/>
      <c r="E141" s="127"/>
      <c r="F141" s="127"/>
      <c r="G141" s="127"/>
      <c r="H141" s="128"/>
    </row>
    <row r="142" spans="1:9" s="32" customFormat="1" x14ac:dyDescent="0.35">
      <c r="A142" s="42" t="s">
        <v>151</v>
      </c>
      <c r="B142" s="126" t="str">
        <f>(IF(F100="Saleable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2" s="127"/>
      <c r="D142" s="127"/>
      <c r="E142" s="127"/>
      <c r="F142" s="127"/>
      <c r="G142" s="127"/>
      <c r="H142" s="128"/>
    </row>
    <row r="143" spans="1:9" s="32" customFormat="1" x14ac:dyDescent="0.35">
      <c r="A143" s="42" t="s">
        <v>151</v>
      </c>
      <c r="B143" s="59" t="s">
        <v>122</v>
      </c>
      <c r="C143" s="60"/>
      <c r="D143" s="60"/>
      <c r="E143" s="60"/>
      <c r="F143" s="60"/>
      <c r="G143" s="60"/>
      <c r="H143" s="61"/>
    </row>
    <row r="144" spans="1:9" s="32" customFormat="1" x14ac:dyDescent="0.35">
      <c r="A144" s="42" t="s">
        <v>151</v>
      </c>
      <c r="B144" s="59" t="s">
        <v>196</v>
      </c>
      <c r="C144" s="60"/>
      <c r="D144" s="60"/>
      <c r="E144" s="60"/>
      <c r="F144" s="60"/>
      <c r="G144" s="60"/>
      <c r="H144" s="61"/>
    </row>
    <row r="145" spans="1:10" s="32" customFormat="1" x14ac:dyDescent="0.35">
      <c r="A145" s="42" t="s">
        <v>151</v>
      </c>
      <c r="B145" s="59" t="s">
        <v>150</v>
      </c>
      <c r="C145" s="60"/>
      <c r="D145" s="60"/>
      <c r="E145" s="60"/>
      <c r="F145" s="60"/>
      <c r="G145" s="60"/>
      <c r="H145" s="61"/>
    </row>
    <row r="146" spans="1:10" s="32" customFormat="1" x14ac:dyDescent="0.35">
      <c r="A146" s="42" t="s">
        <v>151</v>
      </c>
      <c r="B146" s="59" t="s">
        <v>123</v>
      </c>
      <c r="C146" s="60"/>
      <c r="D146" s="60"/>
      <c r="E146" s="60"/>
      <c r="F146" s="60"/>
      <c r="G146" s="60"/>
      <c r="H146" s="61"/>
    </row>
    <row r="147" spans="1:10" s="32" customFormat="1" ht="34.5" customHeight="1" x14ac:dyDescent="0.35">
      <c r="A147" s="42" t="s">
        <v>151</v>
      </c>
      <c r="B147" s="59" t="s">
        <v>152</v>
      </c>
      <c r="C147" s="60"/>
      <c r="D147" s="60"/>
      <c r="E147" s="60"/>
      <c r="F147" s="60"/>
      <c r="G147" s="60"/>
      <c r="H147" s="61"/>
    </row>
    <row r="148" spans="1:10" s="32" customFormat="1" x14ac:dyDescent="0.35">
      <c r="A148" s="42" t="s">
        <v>151</v>
      </c>
      <c r="B148" s="59" t="s">
        <v>124</v>
      </c>
      <c r="C148" s="60"/>
      <c r="D148" s="60"/>
      <c r="E148" s="60"/>
      <c r="F148" s="60"/>
      <c r="G148" s="60"/>
      <c r="H148" s="61"/>
    </row>
    <row r="149" spans="1:10" s="32" customFormat="1" x14ac:dyDescent="0.35">
      <c r="A149" s="42" t="s">
        <v>151</v>
      </c>
      <c r="B149" s="59" t="s">
        <v>215</v>
      </c>
      <c r="C149" s="60"/>
      <c r="D149" s="60"/>
      <c r="E149" s="60"/>
      <c r="F149" s="60"/>
      <c r="G149" s="60"/>
      <c r="H149" s="61"/>
    </row>
    <row r="150" spans="1:10" s="32" customFormat="1" x14ac:dyDescent="0.35">
      <c r="A150" s="42" t="s">
        <v>151</v>
      </c>
      <c r="B150" s="59" t="s">
        <v>221</v>
      </c>
      <c r="C150" s="60"/>
      <c r="D150" s="60"/>
      <c r="E150" s="60"/>
      <c r="F150" s="60"/>
      <c r="G150" s="60"/>
      <c r="H150" s="61"/>
      <c r="I150" s="161" t="s">
        <v>222</v>
      </c>
    </row>
    <row r="151" spans="1:10" x14ac:dyDescent="0.35">
      <c r="A151" s="124" t="s">
        <v>61</v>
      </c>
      <c r="B151" s="124"/>
      <c r="C151" s="124"/>
      <c r="D151" s="124"/>
      <c r="E151" s="124"/>
      <c r="F151" s="124"/>
      <c r="G151" s="124"/>
      <c r="H151" s="124"/>
    </row>
    <row r="152" spans="1:10" x14ac:dyDescent="0.35">
      <c r="A152" s="56" t="s">
        <v>62</v>
      </c>
      <c r="B152" s="56"/>
      <c r="C152" s="56"/>
      <c r="D152" s="56"/>
      <c r="E152" s="56"/>
      <c r="F152" s="56"/>
      <c r="G152" s="56"/>
      <c r="H152" s="56"/>
    </row>
    <row r="153" spans="1:10" ht="15.75" customHeight="1" x14ac:dyDescent="0.35">
      <c r="A153" s="140" t="s">
        <v>63</v>
      </c>
      <c r="B153" s="140"/>
      <c r="C153" s="140"/>
      <c r="D153" s="140"/>
      <c r="E153" s="140"/>
      <c r="F153" s="140"/>
      <c r="G153" s="140"/>
      <c r="H153" s="140"/>
    </row>
    <row r="154" spans="1:10" x14ac:dyDescent="0.35">
      <c r="A154" s="56" t="s">
        <v>64</v>
      </c>
      <c r="B154" s="56"/>
      <c r="C154" s="56"/>
      <c r="D154" s="56"/>
      <c r="E154" s="56"/>
      <c r="F154" s="56"/>
      <c r="G154" s="56"/>
      <c r="H154" s="56"/>
    </row>
    <row r="155" spans="1:10" x14ac:dyDescent="0.35">
      <c r="A155" s="56" t="s">
        <v>65</v>
      </c>
      <c r="B155" s="56"/>
      <c r="C155" s="56"/>
      <c r="D155" s="56"/>
      <c r="E155" s="56"/>
      <c r="F155" s="56"/>
      <c r="G155" s="56"/>
      <c r="H155" s="56"/>
    </row>
    <row r="156" spans="1:10" x14ac:dyDescent="0.35">
      <c r="A156" s="56" t="s">
        <v>125</v>
      </c>
      <c r="B156" s="56"/>
      <c r="C156" s="56"/>
      <c r="D156" s="56"/>
      <c r="E156" s="56"/>
      <c r="F156" s="56"/>
      <c r="G156" s="56"/>
      <c r="H156" s="56"/>
    </row>
    <row r="157" spans="1:10" ht="34" customHeight="1" x14ac:dyDescent="0.35">
      <c r="A157" s="75" t="s">
        <v>126</v>
      </c>
      <c r="B157" s="75"/>
      <c r="C157" s="75"/>
      <c r="D157" s="75"/>
      <c r="E157" s="75"/>
      <c r="F157" s="75"/>
      <c r="G157" s="75"/>
      <c r="H157" s="75"/>
    </row>
    <row r="158" spans="1:10" ht="15.75" customHeight="1" x14ac:dyDescent="0.35">
      <c r="A158" s="55" t="s">
        <v>77</v>
      </c>
      <c r="B158" s="55"/>
      <c r="C158" s="55" t="s">
        <v>224</v>
      </c>
      <c r="D158" s="55"/>
      <c r="E158" s="55" t="s">
        <v>106</v>
      </c>
      <c r="F158" s="55"/>
      <c r="G158" s="55" t="s">
        <v>223</v>
      </c>
      <c r="H158" s="55"/>
      <c r="I158" s="55" t="s">
        <v>217</v>
      </c>
      <c r="J158" s="55"/>
    </row>
    <row r="159" spans="1:10" x14ac:dyDescent="0.35">
      <c r="A159" s="122" t="s">
        <v>79</v>
      </c>
      <c r="B159" s="122"/>
      <c r="C159" s="122"/>
      <c r="D159" s="122"/>
      <c r="E159" s="122"/>
      <c r="F159" s="122"/>
      <c r="G159" s="122"/>
      <c r="H159" s="122"/>
    </row>
    <row r="160" spans="1:10" x14ac:dyDescent="0.35">
      <c r="A160" s="122"/>
      <c r="B160" s="122"/>
      <c r="C160" s="122"/>
      <c r="D160" s="122"/>
      <c r="E160" s="122"/>
      <c r="F160" s="122"/>
      <c r="G160" s="122"/>
      <c r="H160" s="122"/>
    </row>
    <row r="161" spans="1:8" x14ac:dyDescent="0.35">
      <c r="A161" s="122"/>
      <c r="B161" s="122"/>
      <c r="C161" s="122"/>
      <c r="D161" s="122"/>
      <c r="E161" s="122"/>
      <c r="F161" s="122"/>
      <c r="G161" s="122"/>
      <c r="H161" s="122"/>
    </row>
    <row r="162" spans="1:8" x14ac:dyDescent="0.35">
      <c r="A162" s="122"/>
      <c r="B162" s="122"/>
      <c r="C162" s="122"/>
      <c r="D162" s="122"/>
      <c r="E162" s="122"/>
      <c r="F162" s="122"/>
      <c r="G162" s="122"/>
      <c r="H162" s="122"/>
    </row>
    <row r="163" spans="1:8" x14ac:dyDescent="0.35">
      <c r="A163" s="35" t="s">
        <v>66</v>
      </c>
      <c r="B163" s="36"/>
      <c r="C163" s="36"/>
      <c r="D163" s="35" t="str">
        <f>E8</f>
        <v>Regency Onyx</v>
      </c>
      <c r="F163" s="36"/>
      <c r="G163" s="36"/>
      <c r="H163" s="36"/>
    </row>
    <row r="164" spans="1:8" x14ac:dyDescent="0.35">
      <c r="A164" s="36"/>
      <c r="B164" s="36"/>
      <c r="C164" s="36"/>
      <c r="D164" s="36"/>
      <c r="E164" s="36"/>
      <c r="F164" s="36"/>
      <c r="G164" s="36"/>
      <c r="H164" s="36"/>
    </row>
    <row r="165" spans="1:8" x14ac:dyDescent="0.35">
      <c r="A165" s="36"/>
      <c r="B165" s="36"/>
      <c r="C165" s="36"/>
      <c r="D165" s="36"/>
      <c r="E165" s="36"/>
      <c r="F165" s="36"/>
      <c r="G165" s="36"/>
      <c r="H165" s="36"/>
    </row>
    <row r="166" spans="1:8" ht="15" customHeight="1" x14ac:dyDescent="0.35"/>
    <row r="206" spans="1:1" x14ac:dyDescent="0.35">
      <c r="A206" s="38" t="s">
        <v>162</v>
      </c>
    </row>
    <row r="248" spans="1:1" x14ac:dyDescent="0.35">
      <c r="A248" s="38" t="s">
        <v>67</v>
      </c>
    </row>
  </sheetData>
  <mergeCells count="247">
    <mergeCell ref="D64:H64"/>
    <mergeCell ref="A70:B70"/>
    <mergeCell ref="G69:H69"/>
    <mergeCell ref="A156:H156"/>
    <mergeCell ref="A153:H153"/>
    <mergeCell ref="A95:B95"/>
    <mergeCell ref="D100:D101"/>
    <mergeCell ref="E100:E101"/>
    <mergeCell ref="G100:H101"/>
    <mergeCell ref="A75:B75"/>
    <mergeCell ref="F81:H81"/>
    <mergeCell ref="G122:H129"/>
    <mergeCell ref="G104:H111"/>
    <mergeCell ref="G131:H138"/>
    <mergeCell ref="F88:H88"/>
    <mergeCell ref="F89:H89"/>
    <mergeCell ref="A90:E90"/>
    <mergeCell ref="C100:C101"/>
    <mergeCell ref="A112:H112"/>
    <mergeCell ref="G113:H120"/>
    <mergeCell ref="A99:H99"/>
    <mergeCell ref="B140:H140"/>
    <mergeCell ref="B148:H148"/>
    <mergeCell ref="B146:H146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G50:H50"/>
    <mergeCell ref="A51:B52"/>
    <mergeCell ref="C52:H52"/>
    <mergeCell ref="A159:H162"/>
    <mergeCell ref="A158:B158"/>
    <mergeCell ref="E158:F158"/>
    <mergeCell ref="C158:D158"/>
    <mergeCell ref="G158:H158"/>
    <mergeCell ref="A92:E92"/>
    <mergeCell ref="F92:H92"/>
    <mergeCell ref="A93:E93"/>
    <mergeCell ref="F93:H93"/>
    <mergeCell ref="A96:B96"/>
    <mergeCell ref="A154:H154"/>
    <mergeCell ref="A94:H94"/>
    <mergeCell ref="A157:H157"/>
    <mergeCell ref="A155:H155"/>
    <mergeCell ref="A151:H151"/>
    <mergeCell ref="A152:H152"/>
    <mergeCell ref="C98:D98"/>
    <mergeCell ref="A121:H121"/>
    <mergeCell ref="B142:H142"/>
    <mergeCell ref="A100:A101"/>
    <mergeCell ref="B141:H141"/>
    <mergeCell ref="B150:H150"/>
    <mergeCell ref="F91:H91"/>
    <mergeCell ref="A91:E91"/>
    <mergeCell ref="E98:F98"/>
    <mergeCell ref="G98:H98"/>
    <mergeCell ref="G95:H95"/>
    <mergeCell ref="B149:H149"/>
    <mergeCell ref="A98:B9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25:D25"/>
    <mergeCell ref="E25:H25"/>
    <mergeCell ref="A29:D29"/>
    <mergeCell ref="E29:H29"/>
    <mergeCell ref="A26:D26"/>
    <mergeCell ref="E26:H26"/>
    <mergeCell ref="A24:D24"/>
    <mergeCell ref="E24:H24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C49:E49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4:H34"/>
    <mergeCell ref="F33:H33"/>
    <mergeCell ref="A28:D28"/>
    <mergeCell ref="E28:H28"/>
    <mergeCell ref="G49:H49"/>
    <mergeCell ref="A49:B49"/>
    <mergeCell ref="A71:B71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E42:H42"/>
    <mergeCell ref="A42:D42"/>
    <mergeCell ref="A102:H102"/>
    <mergeCell ref="A65:C65"/>
    <mergeCell ref="D65:H65"/>
    <mergeCell ref="A63:C63"/>
    <mergeCell ref="D63:H63"/>
    <mergeCell ref="A64:C64"/>
    <mergeCell ref="A38:B38"/>
    <mergeCell ref="C38:H38"/>
    <mergeCell ref="A45:D45"/>
    <mergeCell ref="A77:B77"/>
    <mergeCell ref="E70:F79"/>
    <mergeCell ref="G70:H79"/>
    <mergeCell ref="A78:B78"/>
    <mergeCell ref="A79:B79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D62:H62"/>
    <mergeCell ref="L107:M107"/>
    <mergeCell ref="L104:M104"/>
    <mergeCell ref="L105:M105"/>
    <mergeCell ref="L106:M106"/>
    <mergeCell ref="A83:E83"/>
    <mergeCell ref="A80:E80"/>
    <mergeCell ref="F84:H84"/>
    <mergeCell ref="A85:E85"/>
    <mergeCell ref="A103:H103"/>
    <mergeCell ref="F90:H90"/>
    <mergeCell ref="C95:D95"/>
    <mergeCell ref="F80:H80"/>
    <mergeCell ref="F85:H85"/>
    <mergeCell ref="A97:B97"/>
    <mergeCell ref="C97:D97"/>
    <mergeCell ref="E97:F97"/>
    <mergeCell ref="G97:H97"/>
    <mergeCell ref="E95:F95"/>
    <mergeCell ref="C96:D96"/>
    <mergeCell ref="E96:F96"/>
    <mergeCell ref="G96:H96"/>
    <mergeCell ref="F87:H87"/>
    <mergeCell ref="A81:E81"/>
    <mergeCell ref="I158:J158"/>
    <mergeCell ref="A39:B39"/>
    <mergeCell ref="C39:H39"/>
    <mergeCell ref="B147:H147"/>
    <mergeCell ref="A48:B48"/>
    <mergeCell ref="C48:H48"/>
    <mergeCell ref="B145:H145"/>
    <mergeCell ref="F82:H82"/>
    <mergeCell ref="A82:E82"/>
    <mergeCell ref="A84:E84"/>
    <mergeCell ref="A86:E86"/>
    <mergeCell ref="F86:H86"/>
    <mergeCell ref="A87:E87"/>
    <mergeCell ref="A89:E89"/>
    <mergeCell ref="F83:H83"/>
    <mergeCell ref="A88:E88"/>
    <mergeCell ref="B144:H144"/>
    <mergeCell ref="A139:H139"/>
    <mergeCell ref="B100:B101"/>
    <mergeCell ref="A130:H130"/>
    <mergeCell ref="B143:H143"/>
    <mergeCell ref="A73:B73"/>
    <mergeCell ref="E69:F69"/>
    <mergeCell ref="A62:C62"/>
  </mergeCells>
  <dataValidations count="7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F101">
      <formula1>"45%,50%,55%,60%"</formula1>
    </dataValidation>
    <dataValidation type="list" allowBlank="1" showInputMessage="1" showErrorMessage="1" sqref="I158:J158">
      <formula1>"Kunal Kadam,Shruti Fule,Pooja Kawale,Shruti Tathare,Mansee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62" max="16383" man="1"/>
    <brk id="205" max="16383" man="1"/>
    <brk id="24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3" t="s">
        <v>107</v>
      </c>
      <c r="C3" s="153"/>
      <c r="D3" s="153"/>
      <c r="E3" s="153"/>
      <c r="F3" s="153"/>
      <c r="G3" s="153"/>
      <c r="H3" s="153"/>
    </row>
    <row r="4" spans="1:9" x14ac:dyDescent="0.3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2025-07-02T10:19:52Z</cp:lastPrinted>
  <dcterms:created xsi:type="dcterms:W3CDTF">2019-07-16T09:29:46Z</dcterms:created>
  <dcterms:modified xsi:type="dcterms:W3CDTF">2025-07-02T10:22:11Z</dcterms:modified>
</cp:coreProperties>
</file>