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APF\July 2025\Godrej\NEW\Om Sai Leela\"/>
    </mc:Choice>
  </mc:AlternateContent>
  <bookViews>
    <workbookView xWindow="0" yWindow="0" windowWidth="20490" windowHeight="7020"/>
  </bookViews>
  <sheets>
    <sheet name="Report" sheetId="3" r:id="rId1"/>
    <sheet name="Construction table" sheetId="4" r:id="rId2"/>
    <sheet name="Remarks" sheetId="5" r:id="rId3"/>
    <sheet name="Area Calculation" sheetId="6" r:id="rId4"/>
  </sheets>
  <definedNames>
    <definedName name="_xlnm.Print_Area" localSheetId="0">Report!$A$1:$H$308</definedName>
  </definedNames>
  <calcPr calcId="162913"/>
</workbook>
</file>

<file path=xl/calcChain.xml><?xml version="1.0" encoding="utf-8"?>
<calcChain xmlns="http://schemas.openxmlformats.org/spreadsheetml/2006/main">
  <c r="D172" i="3" l="1"/>
  <c r="K143" i="3" l="1"/>
  <c r="K141" i="3" l="1"/>
  <c r="G139" i="3"/>
  <c r="K150" i="3"/>
  <c r="G116" i="3"/>
  <c r="G114" i="3"/>
  <c r="G115" i="3"/>
  <c r="L145" i="3"/>
  <c r="L146" i="3"/>
  <c r="L147" i="3"/>
  <c r="L148" i="3"/>
  <c r="L144" i="3"/>
  <c r="L150" i="3"/>
  <c r="L149" i="3"/>
  <c r="J153" i="3"/>
  <c r="J145" i="3"/>
  <c r="L153" i="3"/>
  <c r="L154" i="3"/>
  <c r="L155" i="3"/>
  <c r="L156" i="3"/>
  <c r="L157" i="3"/>
  <c r="L158" i="3"/>
  <c r="L159" i="3"/>
  <c r="L152" i="3"/>
  <c r="K145" i="3" l="1"/>
  <c r="I145" i="3"/>
  <c r="E133" i="3"/>
  <c r="E132" i="3"/>
  <c r="E131" i="3"/>
  <c r="I123" i="3" l="1"/>
  <c r="I144" i="3"/>
  <c r="I116" i="3"/>
  <c r="F158" i="3" l="1"/>
  <c r="F157" i="3"/>
  <c r="F156" i="3"/>
  <c r="F155" i="3"/>
  <c r="F154" i="3"/>
  <c r="F153" i="3"/>
  <c r="F152" i="3"/>
  <c r="F148" i="3"/>
  <c r="F147" i="3"/>
  <c r="F146" i="3"/>
  <c r="F145" i="3"/>
  <c r="F144" i="3"/>
  <c r="F142" i="3"/>
  <c r="F141" i="3"/>
  <c r="F140" i="3"/>
  <c r="F139" i="3"/>
  <c r="F138" i="3"/>
  <c r="D170" i="3"/>
  <c r="I156" i="3" l="1"/>
  <c r="I152" i="3"/>
  <c r="G142" i="3"/>
  <c r="E158" i="3"/>
  <c r="H158" i="3" s="1"/>
  <c r="E157" i="3"/>
  <c r="H157" i="3" s="1"/>
  <c r="E156" i="3"/>
  <c r="H156" i="3" s="1"/>
  <c r="E155" i="3"/>
  <c r="E154" i="3"/>
  <c r="H154" i="3" s="1"/>
  <c r="E153" i="3"/>
  <c r="H153" i="3" s="1"/>
  <c r="E152" i="3"/>
  <c r="H152" i="3" s="1"/>
  <c r="H155" i="3"/>
  <c r="A153" i="3"/>
  <c r="A154" i="3" s="1"/>
  <c r="A155" i="3" s="1"/>
  <c r="A156" i="3" s="1"/>
  <c r="A157" i="3" s="1"/>
  <c r="A158" i="3" s="1"/>
  <c r="E148" i="3"/>
  <c r="H148" i="3" s="1"/>
  <c r="E147" i="3"/>
  <c r="H147" i="3" s="1"/>
  <c r="E146" i="3"/>
  <c r="E145" i="3"/>
  <c r="H145" i="3" s="1"/>
  <c r="E144" i="3"/>
  <c r="H144" i="3" s="1"/>
  <c r="E142" i="3"/>
  <c r="H142" i="3" s="1"/>
  <c r="E141" i="3"/>
  <c r="H141" i="3" s="1"/>
  <c r="E140" i="3"/>
  <c r="H140" i="3" s="1"/>
  <c r="E139" i="3"/>
  <c r="H139" i="3" s="1"/>
  <c r="E138" i="3"/>
  <c r="H138" i="3" s="1"/>
  <c r="I133" i="3"/>
  <c r="I136" i="3"/>
  <c r="I131" i="3"/>
  <c r="E136" i="3"/>
  <c r="H136" i="3" s="1"/>
  <c r="E135" i="3"/>
  <c r="E134" i="3"/>
  <c r="H134" i="3" s="1"/>
  <c r="H133" i="3"/>
  <c r="H132" i="3"/>
  <c r="H146" i="3"/>
  <c r="A145" i="3"/>
  <c r="A146" i="3" s="1"/>
  <c r="A147" i="3" s="1"/>
  <c r="A148" i="3" s="1"/>
  <c r="A139" i="3"/>
  <c r="A140" i="3" s="1"/>
  <c r="A141" i="3" s="1"/>
  <c r="A142" i="3" s="1"/>
  <c r="H135" i="3"/>
  <c r="H131" i="3"/>
  <c r="A132" i="3"/>
  <c r="A133" i="3" s="1"/>
  <c r="A134" i="3" s="1"/>
  <c r="A135" i="3" s="1"/>
  <c r="A136" i="3" s="1"/>
  <c r="H53" i="3"/>
  <c r="H54" i="3" s="1"/>
  <c r="C53" i="3"/>
  <c r="I22" i="3"/>
  <c r="C17" i="3"/>
  <c r="E124" i="3" l="1"/>
  <c r="E119" i="3"/>
  <c r="E120" i="3" s="1"/>
  <c r="E123" i="3"/>
  <c r="G119" i="3"/>
  <c r="G120" i="3" s="1"/>
  <c r="G124" i="3"/>
  <c r="G123"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E125" i="3" l="1"/>
  <c r="E126" i="3" s="1"/>
  <c r="G125" i="3"/>
  <c r="G126" i="3" s="1"/>
  <c r="L42" i="6"/>
  <c r="K42" i="6" s="1"/>
  <c r="I42" i="6"/>
  <c r="H42" i="6" s="1"/>
  <c r="E44" i="6"/>
  <c r="D42" i="6"/>
  <c r="D44" i="6" s="1"/>
  <c r="C26" i="3" l="1"/>
  <c r="C18" i="3"/>
  <c r="H125" i="3"/>
  <c r="A93" i="3" l="1"/>
  <c r="D94" i="3" s="1"/>
  <c r="J103" i="3" s="1"/>
  <c r="A77" i="3"/>
  <c r="D78" i="3" s="1"/>
  <c r="A61" i="3"/>
  <c r="D62" i="3" s="1"/>
  <c r="J102"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8" i="3"/>
  <c r="F38" i="4" l="1"/>
  <c r="G38" i="4"/>
  <c r="E18" i="4"/>
  <c r="E15" i="4"/>
  <c r="E17" i="4"/>
  <c r="E11" i="4"/>
  <c r="K6" i="4"/>
  <c r="E9" i="4"/>
  <c r="K8" i="4"/>
  <c r="C7" i="4" s="1"/>
  <c r="E14" i="4"/>
  <c r="E12" i="4"/>
  <c r="E16" i="4"/>
  <c r="E10" i="4"/>
  <c r="K9" i="4"/>
  <c r="K10" i="4" s="1"/>
  <c r="K11" i="4" s="1"/>
  <c r="E13" i="4"/>
  <c r="K7" i="4"/>
  <c r="J87" i="3"/>
  <c r="J86" i="3"/>
  <c r="K12" i="4" l="1"/>
  <c r="K16" i="4" s="1"/>
  <c r="C8" i="4" s="1"/>
  <c r="E8" i="4" s="1"/>
  <c r="E7" i="4"/>
  <c r="F7" i="4" l="1"/>
  <c r="J4" i="4" s="1"/>
  <c r="H7" i="4" s="1"/>
  <c r="G4" i="3" l="1"/>
  <c r="D171" i="3" l="1"/>
  <c r="J71" i="3"/>
  <c r="J70" i="3"/>
  <c r="H62" i="3"/>
  <c r="J66" i="3" l="1"/>
  <c r="D71" i="3"/>
  <c r="D68" i="3"/>
  <c r="D66" i="3"/>
  <c r="J64" i="3"/>
  <c r="D75" i="3"/>
  <c r="D73" i="3"/>
  <c r="D70" i="3"/>
  <c r="D67" i="3"/>
  <c r="J65" i="3"/>
  <c r="J63" i="3"/>
  <c r="D74" i="3"/>
  <c r="D72" i="3"/>
  <c r="D69" i="3"/>
  <c r="D91" i="3" l="1"/>
  <c r="D83" i="3"/>
  <c r="D86" i="3"/>
  <c r="J80" i="3"/>
  <c r="D90" i="3"/>
  <c r="D84" i="3"/>
  <c r="J79" i="3"/>
  <c r="D89" i="3"/>
  <c r="J82" i="3"/>
  <c r="J83" i="3" s="1"/>
  <c r="D88" i="3"/>
  <c r="D82" i="3"/>
  <c r="J81" i="3"/>
  <c r="C80" i="3" s="1"/>
  <c r="D87" i="3"/>
  <c r="D85" i="3"/>
  <c r="J67" i="3"/>
  <c r="J72" i="3" s="1"/>
  <c r="C64" i="3"/>
  <c r="D80" i="3" l="1"/>
  <c r="J84" i="3"/>
  <c r="J88" i="3"/>
  <c r="J85" i="3"/>
  <c r="D64"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E96" i="3" l="1"/>
  <c r="I93" i="3" s="1"/>
  <c r="G96" i="3" s="1"/>
  <c r="C65" i="3"/>
  <c r="E64" i="3" s="1"/>
  <c r="G108" i="3" s="1"/>
  <c r="D65" i="3" l="1"/>
  <c r="I61" i="3"/>
  <c r="G64"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<sst xmlns="http://schemas.openxmlformats.org/spreadsheetml/2006/main" count="626" uniqueCount="361">
  <si>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</si>
  <si>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</si>
  <si>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</si>
  <si>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</si>
  <si>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</si>
  <si>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</si>
  <si>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</si>
  <si>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</si>
  <si>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</si>
  <si>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</si>
  <si>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</si>
  <si>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</si>
  <si>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</si>
  <si>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</si>
  <si>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</si>
  <si>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</si>
  <si>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</si>
  <si>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</si>
  <si>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</si>
  <si>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</si>
  <si>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</si>
  <si>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</si>
  <si>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</si>
  <si>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</si>
  <si>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</si>
  <si>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</si>
  <si>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</si>
  <si>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</si>
  <si>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</si>
  <si>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</si>
  <si>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</si>
  <si>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</si>
  <si>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</si>
  <si>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</si>
  <si>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</si>
  <si>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</si>
  <si>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</si>
  <si>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</si>
  <si>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</si>
  <si>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</si>
  <si>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</si>
  <si>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</si>
  <si>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</si>
  <si>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</si>
  <si>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</si>
  <si>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</si>
  <si>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</si>
  <si>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</si>
  <si>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</si>
  <si>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</si>
  <si>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</si>
  <si>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</si>
  <si>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</si>
  <si>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</si>
  <si>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</si>
  <si>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</si>
  <si>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</si>
  <si>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</si>
  <si>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</si>
  <si>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</si>
  <si>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</si>
  <si>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</si>
  <si>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</si>
  <si>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</si>
  <si>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</si>
  <si>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</si>
  <si>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</si>
  <si>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</si>
  <si>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</si>
  <si>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</si>
  <si>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</si>
  <si>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</si>
  <si>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</si>
  <si>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</si>
  <si>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</si>
  <si>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</si>
  <si>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</si>
  <si>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</si>
  <si>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</si>
  <si>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</si>
  <si>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</si>
  <si>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</si>
  <si>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</si>
  <si>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</si>
  <si>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</si>
  <si>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</si>
  <si>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</si>
  <si>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</si>
  <si>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</si>
  <si>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</si>
  <si>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</si>
  <si>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</si>
  <si>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</si>
  <si>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</si>
  <si>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</si>
  <si>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</si>
  <si>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</si>
  <si>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</si>
  <si>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</si>
  <si>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</si>
  <si>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</si>
  <si>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</si>
  <si>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</si>
  <si>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</si>
  <si>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</si>
  <si>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</si>
  <si>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</si>
  <si>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</si>
  <si>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</si>
  <si>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</si>
  <si>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</si>
  <si>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</si>
  <si>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</si>
  <si>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</si>
  <si>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</si>
  <si>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</si>
  <si>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</si>
  <si>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</si>
  <si>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</si>
  <si>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</si>
  <si>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</si>
  <si>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</si>
  <si>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</si>
  <si>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</si>
  <si>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</si>
  <si>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</si>
  <si>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</si>
  <si>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</si>
  <si>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</si>
  <si>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</si>
  <si>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</si>
  <si>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</si>
  <si>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</si>
  <si>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</si>
  <si>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</si>
  <si>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</si>
  <si>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</si>
  <si>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</si>
  <si>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</si>
  <si>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</si>
  <si>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</si>
  <si>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</si>
  <si>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</si>
  <si>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</si>
  <si>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</si>
  <si>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</si>
  <si>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</si>
  <si>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</si>
  <si>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</si>
  <si>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</si>
  <si>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</si>
  <si>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</si>
  <si>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</si>
  <si>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</si>
  <si>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</si>
  <si>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</si>
  <si>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</si>
  <si>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</si>
  <si>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</si>
  <si>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</si>
  <si>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</si>
  <si>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</si>
  <si>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</si>
  <si>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</si>
  <si>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</si>
  <si>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</si>
  <si>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</si>
  <si>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</si>
  <si>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</si>
  <si>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</si>
  <si>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</si>
  <si>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</si>
  <si>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</si>
  <si>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</si>
  <si>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</si>
  <si>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</si>
  <si>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</si>
  <si>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</si>
  <si>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</si>
  <si>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</si>
  <si>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</si>
  <si>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</si>
  <si>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</si>
  <si>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</si>
  <si>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</si>
  <si>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</si>
  <si>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</si>
  <si>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</si>
  <si>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</si>
  <si>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</si>
  <si>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</si>
  <si>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</si>
  <si>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</si>
  <si>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</si>
  <si>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</si>
  <si>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</si>
  <si>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</si>
  <si>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</si>
  <si>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</si>
  <si>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</si>
  <si>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</si>
  <si>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</si>
  <si>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</si>
  <si>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</si>
  <si>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</si>
  <si>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</si>
  <si>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</si>
  <si>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</si>
  <si>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</si>
  <si>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</si>
  <si>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</si>
  <si>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</si>
  <si>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</si>
  <si>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</si>
  <si>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</si>
  <si>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</si>
  <si>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</si>
  <si>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</si>
  <si>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</si>
  <si>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</si>
  <si>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</si>
  <si>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</si>
  <si>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</si>
  <si>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</si>
  <si>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</si>
  <si>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</si>
  <si>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</si>
  <si>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</si>
  <si>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</si>
  <si>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</si>
  <si>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</si>
  <si>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</si>
  <si>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</si>
  <si>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</si>
  <si>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</si>
  <si>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</si>
  <si>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</si>
  <si>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</si>
  <si>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</si>
  <si>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</si>
  <si>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</si>
  <si>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</si>
  <si>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9m</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</si>
  <si>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</si>
  <si>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</si>
  <si>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</si>
  <si>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</si>
  <si>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</si>
  <si>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</si>
  <si>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</si>
  <si>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</si>
  <si>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</si>
  <si>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</si>
  <si>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</si>
  <si>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</si>
  <si>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</si>
  <si>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</si>
  <si>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</si>
  <si>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</si>
  <si>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</si>
  <si>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</si>
  <si>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</si>
  <si>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</si>
  <si>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</si>
  <si>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</si>
  <si>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</si>
  <si>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</si>
  <si>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</si>
  <si>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</si>
  <si>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</si>
  <si>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</si>
  <si>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</si>
  <si>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</si>
  <si>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</si>
  <si>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</si>
  <si>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</si>
  <si>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</si>
  <si>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</si>
  <si>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</si>
  <si>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</si>
  <si>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</si>
  <si>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</si>
  <si>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</si>
  <si>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</si>
  <si>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</si>
  <si>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</si>
  <si>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</si>
  <si>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</si>
  <si>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</si>
  <si>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</si>
  <si>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</si>
  <si>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</si>
  <si>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</si>
  <si>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</si>
  <si>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</si>
  <si>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</si>
  <si>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</si>
  <si>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</si>
  <si>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</si>
  <si>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</si>
  <si>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</si>
  <si>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</si>
  <si>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3 </t>
  </si>
  <si>
    <t xml:space="preserve">Tower 4 </t>
  </si>
  <si>
    <t>P52000055738</t>
  </si>
  <si>
    <t>Om Sai Leela</t>
  </si>
  <si>
    <t>Om Sai Infra</t>
  </si>
  <si>
    <t>Shop No - 3 &amp; 4, Prabhu Apartment, Plot - 23, Sector 18, Kamothe, Panvel, Navi Mumbai, Maharashtra 410209</t>
  </si>
  <si>
    <t>HDFC BANK
IFSC Code- HDFC0000256</t>
  </si>
  <si>
    <t>18.955303,73.174906</t>
  </si>
  <si>
    <t>https://maps.app.goo.gl/S6bBNJNLdEVPHpKe8</t>
  </si>
  <si>
    <t>Jai Malhar Apartment</t>
  </si>
  <si>
    <t>1 KM from Shedung Bus Stop</t>
  </si>
  <si>
    <t>About 2.1 KM from St. Wilfred's School</t>
  </si>
  <si>
    <t>About 9.6K form Gandhi Hospital</t>
  </si>
  <si>
    <t>1. Approx. 5.3KM from D-Mart.
2. Approx. 9KM from Panvel Main Market.</t>
  </si>
  <si>
    <t>MSRDC/SPA/Shedung/Panvel/BP-436/CC/2024/ 421</t>
  </si>
  <si>
    <t>Wing A</t>
  </si>
  <si>
    <t>Wing B</t>
  </si>
  <si>
    <t>G + 1st to 6th Floor</t>
  </si>
  <si>
    <t>Shop</t>
  </si>
  <si>
    <t>1st to 6th Floor For Residential</t>
  </si>
  <si>
    <t>1st Floor For Residential</t>
  </si>
  <si>
    <t>1BHK</t>
  </si>
  <si>
    <t>2BHK</t>
  </si>
  <si>
    <t>Ground Floor For Entrance Lobby &amp; Parking</t>
  </si>
  <si>
    <t>Ground Floor For Commercial, Drivers Room, Entrance Lobby, Society Office &amp; Parking</t>
  </si>
  <si>
    <t>Ms. Rupali Munagekar</t>
  </si>
  <si>
    <t>Maharashtra State Road Development Corporation Limited (MSRDC)</t>
  </si>
  <si>
    <t>12.00M Wide MSRDC Modfied Draft DP Road</t>
  </si>
  <si>
    <t>Other Plot</t>
  </si>
  <si>
    <t>Internal Road</t>
  </si>
  <si>
    <t>Open Plot</t>
  </si>
  <si>
    <t>9.00M Wide Internal Road / S No. 127</t>
  </si>
  <si>
    <t>Other Plot / S No. 132</t>
  </si>
  <si>
    <t>WS Area</t>
  </si>
  <si>
    <t>4.9KM from Somatne Railway Station
10.6KM from Panvel Railway Station</t>
  </si>
  <si>
    <t>Ready Reckoner Rate not found</t>
  </si>
  <si>
    <t xml:space="preserve">We considered Gross carpet area = Net carpet + WS Area.
</t>
  </si>
  <si>
    <t>Mr.Ravindra Vishwakarma</t>
  </si>
  <si>
    <t xml:space="preserve">We have referred approved plans from RERA site.
</t>
  </si>
  <si>
    <t>Mumbai-RO Thane</t>
  </si>
  <si>
    <t>CC, RERA Certificate</t>
  </si>
  <si>
    <t>Mr. Dashrath Nana Ghule</t>
  </si>
  <si>
    <t>Mixed Use Devlopement at Survey No.82/1, Shedung, Tal- Panvel, Dist - Raigad</t>
  </si>
  <si>
    <t>Flats = 72 
Shop = 06</t>
  </si>
  <si>
    <t>As per RERA Site 
Flats = 72 &amp; Shop = 06</t>
  </si>
  <si>
    <t>MSRDC/SPA/Shedung/Panvel/BP-436/CC/2024/421</t>
  </si>
  <si>
    <t>Built Up Area = 3684.95 Sqmt
Wing A &amp; B = G + 1st to 6th Floor</t>
  </si>
  <si>
    <t xml:space="preserve">CC Details
Valid Up to: </t>
  </si>
  <si>
    <t>2nd to 6th Floor</t>
  </si>
  <si>
    <t>https://igreval.maharashtra.gov.in/eASR2.0/eASRCommon.aspx?hDistName=Raigad</t>
  </si>
  <si>
    <t>rate refered this file</t>
  </si>
  <si>
    <t>04/07/2025 @ 02:09 PM</t>
  </si>
  <si>
    <t>Mr. Prashant 9561571056</t>
  </si>
  <si>
    <t>Construction work is in process at the time of Visit.</t>
  </si>
  <si>
    <t>6200 to 6300</t>
  </si>
  <si>
    <t>Vitrified tiles flooring, Granite Kitchen Platform, Decorative Entrance, Lift, Power Backup, Decorative Entrance Lobby etc</t>
  </si>
  <si>
    <t>Om Sai Leela, Gut No 82, Hissa No 1 at Shedung, Panvel, Raigad, 410206</t>
  </si>
  <si>
    <t>Details of Residential &amp; Commercial in Building</t>
  </si>
  <si>
    <t>Om Sai Leela, Gut No.82 Hissa No.1, near Jai Malhar Apartment, Internal Road, Shedung, Panvel, Panvel, Raigad -  410216.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</si>
</sst>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8"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2" fontId="3" fillId="0" borderId="0" xfId="0" applyNumberFormat="1" applyFont="1" applyAlignment="1">
      <alignment horizontal="left" vertical="top"/>
    </xf>
    <xf numFmtId="164" fontId="3" fillId="0" borderId="0" xfId="0" applyNumberFormat="1" applyFont="1" applyAlignment="1">
      <alignment horizontal="left" vertical="top"/>
    </xf>
    <xf numFmtId="1" fontId="3" fillId="0" borderId="0" xfId="0" applyNumberFormat="1" applyFont="1" applyAlignment="1">
      <alignment horizontal="left" vertical="top"/>
    </xf>
    <xf numFmtId="1" fontId="3" fillId="4" borderId="1" xfId="1" applyNumberFormat="1" applyFont="1" applyFill="1" applyBorder="1" applyAlignment="1">
      <alignment horizontal="center" vertical="center" wrapText="1"/>
    </xf>
    <xf numFmtId="1" fontId="3" fillId="4" borderId="2" xfId="1" applyNumberFormat="1" applyFont="1" applyFill="1" applyBorder="1" applyAlignment="1">
      <alignment horizontal="center" vertical="center" wrapText="1"/>
    </xf>
    <xf numFmtId="1" fontId="7" fillId="0" borderId="1" xfId="1" applyNumberFormat="1" applyFont="1" applyBorder="1" applyAlignment="1">
      <alignment horizontal="center" vertical="top" wrapText="1"/>
    </xf>
    <xf numFmtId="0" fontId="21" fillId="0" borderId="0" xfId="0" applyFont="1" applyAlignment="1">
      <alignment vertical="top"/>
    </xf>
    <xf numFmtId="1" fontId="6" fillId="4" borderId="2" xfId="1" applyNumberFormat="1" applyFont="1" applyFill="1" applyBorder="1" applyAlignment="1">
      <alignment horizontal="center" vertical="center"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3" fillId="0" borderId="1" xfId="0" applyFont="1" applyBorder="1" applyAlignment="1">
      <alignment vertical="top"/>
    </xf>
    <xf numFmtId="0" fontId="3" fillId="0" borderId="1" xfId="0" applyFont="1" applyBorder="1" applyAlignment="1">
      <alignment horizontal="left" vertical="top"/>
    </xf>
    <xf numFmtId="2" fontId="3" fillId="0" borderId="1" xfId="0" applyNumberFormat="1" applyFont="1" applyBorder="1" applyAlignment="1">
      <alignment horizontal="left" vertical="top"/>
    </xf>
    <xf numFmtId="0" fontId="7" fillId="0" borderId="0" xfId="0" applyFont="1" applyAlignment="1">
      <alignment vertical="top"/>
    </xf>
    <xf numFmtId="1" fontId="3" fillId="0" borderId="0" xfId="0" applyNumberFormat="1" applyFont="1" applyAlignment="1">
      <alignment vertical="top"/>
    </xf>
    <xf numFmtId="1" fontId="7" fillId="0" borderId="0" xfId="0" applyNumberFormat="1" applyFont="1" applyAlignment="1">
      <alignment vertical="top"/>
    </xf>
    <xf numFmtId="0" fontId="25" fillId="0" borderId="0" xfId="2" applyAlignment="1">
      <alignment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3"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2" fontId="4" fillId="4" borderId="1" xfId="0" applyNumberFormat="1" applyFont="1" applyFill="1" applyBorder="1" applyAlignment="1">
      <alignment horizontal="left" vertical="top" wrapText="1"/>
    </xf>
    <xf numFmtId="0" fontId="26" fillId="4" borderId="1" xfId="2" applyFont="1" applyFill="1" applyBorder="1" applyAlignment="1">
      <alignment horizontal="left" vertical="top" wrapText="1"/>
    </xf>
    <xf numFmtId="0" fontId="2" fillId="2" borderId="1" xfId="0" applyFont="1" applyFill="1" applyBorder="1" applyAlignment="1">
      <alignment horizontal="center" vertical="top"/>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8" fillId="4" borderId="2"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17" fontId="4" fillId="4" borderId="1" xfId="0" applyNumberFormat="1" applyFont="1" applyFill="1" applyBorder="1" applyAlignment="1">
      <alignment horizontal="left" vertical="top" wrapText="1"/>
    </xf>
    <xf numFmtId="1" fontId="4" fillId="4" borderId="1" xfId="0" applyNumberFormat="1" applyFont="1" applyFill="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4"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8</xdr:col>
      <xdr:colOff>1812152</xdr:colOff>
      <xdr:row>128</xdr:row>
      <xdr:rowOff>195302</xdr:rowOff>
    </xdr:from>
    <xdr:to>
      <xdr:col>12</xdr:col>
      <xdr:colOff>293448</xdr:colOff>
      <xdr:row>136</xdr:row>
      <xdr:rowOff>219685</xdr:rowOff>
    </xdr:to>
    <xdr:pic>
      <xdr:nvPicPr>
        <xdr:cNvPr id="2" name="Picture 1">
          <a:extLst>
            <a:ext uri="{FF2B5EF4-FFF2-40B4-BE49-F238E27FC236}">
              <a16:creationId xmlns:a16="http://schemas.microsoft.com/office/drawing/2014/main" id="{9BDFDF5A-3F52-4D89-BE1A-54B35F4C00EC}"/>
            </a:ext>
          </a:extLst>
        </xdr:cNvPr>
        <xdr:cNvPicPr>
          <a:picLocks noChangeAspect="1"/>
        </xdr:cNvPicPr>
      </xdr:nvPicPr>
      <xdr:blipFill>
        <a:blip xmlns:r="http://schemas.openxmlformats.org/officeDocument/2006/relationships" r:embed="rId1"/>
        <a:stretch>
          <a:fillRect/>
        </a:stretch>
      </xdr:blipFill>
      <xdr:spPr>
        <a:xfrm>
          <a:off x="11173866" y="37819052"/>
          <a:ext cx="4722173" cy="2092668"/>
        </a:xfrm>
        <a:prstGeom prst="rect">
          <a:avLst/>
        </a:prstGeom>
      </xdr:spPr>
    </xdr:pic>
    <xdr:clientData/>
  </xdr:twoCellAnchor>
  <xdr:twoCellAnchor editAs="oneCell">
    <xdr:from>
      <xdr:col>13</xdr:col>
      <xdr:colOff>457477</xdr:colOff>
      <xdr:row>134</xdr:row>
      <xdr:rowOff>220480</xdr:rowOff>
    </xdr:from>
    <xdr:to>
      <xdr:col>26</xdr:col>
      <xdr:colOff>484970</xdr:colOff>
      <xdr:row>141</xdr:row>
      <xdr:rowOff>216332</xdr:rowOff>
    </xdr:to>
    <xdr:pic>
      <xdr:nvPicPr>
        <xdr:cNvPr id="3" name="Picture 2">
          <a:extLst>
            <a:ext uri="{FF2B5EF4-FFF2-40B4-BE49-F238E27FC236}">
              <a16:creationId xmlns:a16="http://schemas.microsoft.com/office/drawing/2014/main" id="{413FB04F-9CDA-4529-81C3-B83C9E3AF462}"/>
            </a:ext>
          </a:extLst>
        </xdr:cNvPr>
        <xdr:cNvPicPr>
          <a:picLocks noChangeAspect="1"/>
        </xdr:cNvPicPr>
      </xdr:nvPicPr>
      <xdr:blipFill>
        <a:blip xmlns:r="http://schemas.openxmlformats.org/officeDocument/2006/relationships" r:embed="rId2"/>
        <a:stretch>
          <a:fillRect/>
        </a:stretch>
      </xdr:blipFill>
      <xdr:spPr>
        <a:xfrm>
          <a:off x="16043841" y="39186389"/>
          <a:ext cx="6002265" cy="1814261"/>
        </a:xfrm>
        <a:prstGeom prst="rect">
          <a:avLst/>
        </a:prstGeom>
      </xdr:spPr>
    </xdr:pic>
    <xdr:clientData/>
  </xdr:twoCellAnchor>
  <xdr:twoCellAnchor editAs="oneCell">
    <xdr:from>
      <xdr:col>16</xdr:col>
      <xdr:colOff>497061</xdr:colOff>
      <xdr:row>151</xdr:row>
      <xdr:rowOff>90445</xdr:rowOff>
    </xdr:from>
    <xdr:to>
      <xdr:col>30</xdr:col>
      <xdr:colOff>550556</xdr:colOff>
      <xdr:row>157</xdr:row>
      <xdr:rowOff>164835</xdr:rowOff>
    </xdr:to>
    <xdr:pic>
      <xdr:nvPicPr>
        <xdr:cNvPr id="4" name="Picture 3">
          <a:extLst>
            <a:ext uri="{FF2B5EF4-FFF2-40B4-BE49-F238E27FC236}">
              <a16:creationId xmlns:a16="http://schemas.microsoft.com/office/drawing/2014/main" id="{7AD11B7B-75E0-4D94-A593-6C2BF6D7B18B}"/>
            </a:ext>
          </a:extLst>
        </xdr:cNvPr>
        <xdr:cNvPicPr>
          <a:picLocks noChangeAspect="1"/>
        </xdr:cNvPicPr>
      </xdr:nvPicPr>
      <xdr:blipFill>
        <a:blip xmlns:r="http://schemas.openxmlformats.org/officeDocument/2006/relationships" r:embed="rId3"/>
        <a:stretch>
          <a:fillRect/>
        </a:stretch>
      </xdr:blipFill>
      <xdr:spPr>
        <a:xfrm>
          <a:off x="16856249" y="43691133"/>
          <a:ext cx="6768620" cy="1646014"/>
        </a:xfrm>
        <a:prstGeom prst="rect">
          <a:avLst/>
        </a:prstGeom>
      </xdr:spPr>
    </xdr:pic>
    <xdr:clientData/>
  </xdr:twoCellAnchor>
  <xdr:twoCellAnchor editAs="oneCell">
    <xdr:from>
      <xdr:col>8</xdr:col>
      <xdr:colOff>425824</xdr:colOff>
      <xdr:row>42</xdr:row>
      <xdr:rowOff>302559</xdr:rowOff>
    </xdr:from>
    <xdr:to>
      <xdr:col>11</xdr:col>
      <xdr:colOff>34818</xdr:colOff>
      <xdr:row>53</xdr:row>
      <xdr:rowOff>35782</xdr:rowOff>
    </xdr:to>
    <xdr:pic>
      <xdr:nvPicPr>
        <xdr:cNvPr id="5" name="Picture 4">
          <a:extLst>
            <a:ext uri="{FF2B5EF4-FFF2-40B4-BE49-F238E27FC236}">
              <a16:creationId xmlns:a16="http://schemas.microsoft.com/office/drawing/2014/main" id="{2D2E6754-0225-410F-B9FE-9EC4BB743912}"/>
            </a:ext>
          </a:extLst>
        </xdr:cNvPr>
        <xdr:cNvPicPr>
          <a:picLocks noChangeAspect="1"/>
        </xdr:cNvPicPr>
      </xdr:nvPicPr>
      <xdr:blipFill>
        <a:blip xmlns:r="http://schemas.openxmlformats.org/officeDocument/2006/relationships" r:embed="rId4"/>
        <a:stretch>
          <a:fillRect/>
        </a:stretch>
      </xdr:blipFill>
      <xdr:spPr>
        <a:xfrm>
          <a:off x="9838765" y="19408588"/>
          <a:ext cx="4168588" cy="2648936"/>
        </a:xfrm>
        <a:prstGeom prst="rect">
          <a:avLst/>
        </a:prstGeom>
      </xdr:spPr>
    </xdr:pic>
    <xdr:clientData/>
  </xdr:twoCellAnchor>
  <xdr:twoCellAnchor editAs="oneCell">
    <xdr:from>
      <xdr:col>8</xdr:col>
      <xdr:colOff>481853</xdr:colOff>
      <xdr:row>52</xdr:row>
      <xdr:rowOff>22412</xdr:rowOff>
    </xdr:from>
    <xdr:to>
      <xdr:col>13</xdr:col>
      <xdr:colOff>401548</xdr:colOff>
      <xdr:row>68</xdr:row>
      <xdr:rowOff>216229</xdr:rowOff>
    </xdr:to>
    <xdr:pic>
      <xdr:nvPicPr>
        <xdr:cNvPr id="6" name="Picture 5">
          <a:extLst>
            <a:ext uri="{FF2B5EF4-FFF2-40B4-BE49-F238E27FC236}">
              <a16:creationId xmlns:a16="http://schemas.microsoft.com/office/drawing/2014/main" id="{A6086BCE-09EB-452A-8642-4CF3D75554F1}"/>
            </a:ext>
          </a:extLst>
        </xdr:cNvPr>
        <xdr:cNvPicPr>
          <a:picLocks noChangeAspect="1"/>
        </xdr:cNvPicPr>
      </xdr:nvPicPr>
      <xdr:blipFill>
        <a:blip xmlns:r="http://schemas.openxmlformats.org/officeDocument/2006/relationships" r:embed="rId5"/>
        <a:stretch>
          <a:fillRect/>
        </a:stretch>
      </xdr:blipFill>
      <xdr:spPr>
        <a:xfrm>
          <a:off x="9894794" y="22176441"/>
          <a:ext cx="6716062" cy="3696216"/>
        </a:xfrm>
        <a:prstGeom prst="rect">
          <a:avLst/>
        </a:prstGeom>
      </xdr:spPr>
    </xdr:pic>
    <xdr:clientData/>
  </xdr:twoCellAnchor>
  <xdr:twoCellAnchor editAs="oneCell">
    <xdr:from>
      <xdr:col>8</xdr:col>
      <xdr:colOff>145676</xdr:colOff>
      <xdr:row>20</xdr:row>
      <xdr:rowOff>44824</xdr:rowOff>
    </xdr:from>
    <xdr:to>
      <xdr:col>11</xdr:col>
      <xdr:colOff>1172341</xdr:colOff>
      <xdr:row>20</xdr:row>
      <xdr:rowOff>403412</xdr:rowOff>
    </xdr:to>
    <xdr:pic>
      <xdr:nvPicPr>
        <xdr:cNvPr id="7" name="Picture 6">
          <a:extLst>
            <a:ext uri="{FF2B5EF4-FFF2-40B4-BE49-F238E27FC236}">
              <a16:creationId xmlns:a16="http://schemas.microsoft.com/office/drawing/2014/main" id="{3F3A1103-52FA-4037-8940-20A6FD8CF3AF}"/>
            </a:ext>
          </a:extLst>
        </xdr:cNvPr>
        <xdr:cNvPicPr>
          <a:picLocks noChangeAspect="1"/>
        </xdr:cNvPicPr>
      </xdr:nvPicPr>
      <xdr:blipFill>
        <a:blip xmlns:r="http://schemas.openxmlformats.org/officeDocument/2006/relationships" r:embed="rId6"/>
        <a:stretch>
          <a:fillRect/>
        </a:stretch>
      </xdr:blipFill>
      <xdr:spPr>
        <a:xfrm>
          <a:off x="9558617" y="10096500"/>
          <a:ext cx="5566649" cy="358588"/>
        </a:xfrm>
        <a:prstGeom prst="rect">
          <a:avLst/>
        </a:prstGeom>
      </xdr:spPr>
    </xdr:pic>
    <xdr:clientData/>
  </xdr:twoCellAnchor>
  <xdr:twoCellAnchor editAs="oneCell">
    <xdr:from>
      <xdr:col>8</xdr:col>
      <xdr:colOff>1042148</xdr:colOff>
      <xdr:row>36</xdr:row>
      <xdr:rowOff>145676</xdr:rowOff>
    </xdr:from>
    <xdr:to>
      <xdr:col>11</xdr:col>
      <xdr:colOff>82554</xdr:colOff>
      <xdr:row>41</xdr:row>
      <xdr:rowOff>476786</xdr:rowOff>
    </xdr:to>
    <xdr:pic>
      <xdr:nvPicPr>
        <xdr:cNvPr id="10" name="Picture 9">
          <a:extLst>
            <a:ext uri="{FF2B5EF4-FFF2-40B4-BE49-F238E27FC236}">
              <a16:creationId xmlns:a16="http://schemas.microsoft.com/office/drawing/2014/main" id="{78F4B891-6080-4BA7-AE6B-9DDF7C3E71D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455089" y="17391529"/>
          <a:ext cx="3600000" cy="1619783"/>
        </a:xfrm>
        <a:prstGeom prst="rect">
          <a:avLst/>
        </a:prstGeom>
      </xdr:spPr>
    </xdr:pic>
    <xdr:clientData/>
  </xdr:twoCellAnchor>
  <xdr:twoCellAnchor>
    <xdr:from>
      <xdr:col>0</xdr:col>
      <xdr:colOff>1066799</xdr:colOff>
      <xdr:row>218</xdr:row>
      <xdr:rowOff>100852</xdr:rowOff>
    </xdr:from>
    <xdr:to>
      <xdr:col>7</xdr:col>
      <xdr:colOff>152400</xdr:colOff>
      <xdr:row>263</xdr:row>
      <xdr:rowOff>152399</xdr:rowOff>
    </xdr:to>
    <xdr:grpSp>
      <xdr:nvGrpSpPr>
        <xdr:cNvPr id="11" name="Group 10">
          <a:extLst>
            <a:ext uri="{FF2B5EF4-FFF2-40B4-BE49-F238E27FC236}">
              <a16:creationId xmlns:a16="http://schemas.microsoft.com/office/drawing/2014/main" id="{DDC9B099-AD53-48AA-BA2B-A8D6CE350617}"/>
            </a:ext>
          </a:extLst>
        </xdr:cNvPr>
        <xdr:cNvGrpSpPr/>
      </xdr:nvGrpSpPr>
      <xdr:grpSpPr>
        <a:xfrm>
          <a:off x="1066799" y="60731807"/>
          <a:ext cx="7329056" cy="11741319"/>
          <a:chOff x="1237129" y="38457"/>
          <a:chExt cx="4483474" cy="8943505"/>
        </a:xfrm>
      </xdr:grpSpPr>
      <xdr:pic>
        <xdr:nvPicPr>
          <xdr:cNvPr id="12" name="Picture 11">
            <a:extLst>
              <a:ext uri="{FF2B5EF4-FFF2-40B4-BE49-F238E27FC236}">
                <a16:creationId xmlns:a16="http://schemas.microsoft.com/office/drawing/2014/main" id="{9525E048-2F82-484D-A0D5-F40F37EFA2E4}"/>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l="2176"/>
          <a:stretch/>
        </xdr:blipFill>
        <xdr:spPr>
          <a:xfrm>
            <a:off x="1237129" y="38457"/>
            <a:ext cx="4483474" cy="5837775"/>
          </a:xfrm>
          <a:prstGeom prst="rect">
            <a:avLst/>
          </a:prstGeom>
          <a:ln>
            <a:solidFill>
              <a:schemeClr val="tx1"/>
            </a:solidFill>
          </a:ln>
        </xdr:spPr>
      </xdr:pic>
      <xdr:pic>
        <xdr:nvPicPr>
          <xdr:cNvPr id="13" name="Picture 12">
            <a:extLst>
              <a:ext uri="{FF2B5EF4-FFF2-40B4-BE49-F238E27FC236}">
                <a16:creationId xmlns:a16="http://schemas.microsoft.com/office/drawing/2014/main" id="{A9FB8D88-DF76-42F5-89CE-AEB313178521}"/>
              </a:ext>
            </a:extLst>
          </xdr:cNvPr>
          <xdr:cNvPicPr>
            <a:picLocks noChangeAspect="1"/>
          </xdr:cNvPicPr>
        </xdr:nvPicPr>
        <xdr:blipFill>
          <a:blip xmlns:r="http://schemas.openxmlformats.org/officeDocument/2006/relationships" r:embed="rId9"/>
          <a:stretch>
            <a:fillRect/>
          </a:stretch>
        </xdr:blipFill>
        <xdr:spPr>
          <a:xfrm>
            <a:off x="1637162" y="6066905"/>
            <a:ext cx="3724795" cy="2915057"/>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id="{38F9241A-6570-439C-B724-781891CAD689}"/>
              </a:ext>
            </a:extLst>
          </xdr:cNvPr>
          <xdr:cNvSpPr/>
        </xdr:nvSpPr>
        <xdr:spPr>
          <a:xfrm rot="21059456">
            <a:off x="1761242" y="1403665"/>
            <a:ext cx="2456330" cy="147648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5" name="Rectangle 14">
            <a:extLst>
              <a:ext uri="{FF2B5EF4-FFF2-40B4-BE49-F238E27FC236}">
                <a16:creationId xmlns:a16="http://schemas.microsoft.com/office/drawing/2014/main" id="{D041F1DC-BE19-49C0-ABEA-0E5BA4EF3E42}"/>
              </a:ext>
            </a:extLst>
          </xdr:cNvPr>
          <xdr:cNvSpPr/>
        </xdr:nvSpPr>
        <xdr:spPr>
          <a:xfrm rot="21059456">
            <a:off x="2195848" y="2849017"/>
            <a:ext cx="3145491" cy="148587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6" name="TextBox 5">
            <a:extLst>
              <a:ext uri="{FF2B5EF4-FFF2-40B4-BE49-F238E27FC236}">
                <a16:creationId xmlns:a16="http://schemas.microsoft.com/office/drawing/2014/main" id="{7224D577-74BA-46E8-A9F7-306874F6DDC4}"/>
              </a:ext>
            </a:extLst>
          </xdr:cNvPr>
          <xdr:cNvSpPr txBox="1"/>
        </xdr:nvSpPr>
        <xdr:spPr>
          <a:xfrm>
            <a:off x="2098913" y="1103261"/>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sp macro="" textlink="">
        <xdr:nvSpPr>
          <xdr:cNvPr id="17" name="TextBox 6">
            <a:extLst>
              <a:ext uri="{FF2B5EF4-FFF2-40B4-BE49-F238E27FC236}">
                <a16:creationId xmlns:a16="http://schemas.microsoft.com/office/drawing/2014/main" id="{EAEC8430-9F02-4A16-A069-94B7384EBD91}"/>
              </a:ext>
            </a:extLst>
          </xdr:cNvPr>
          <xdr:cNvSpPr txBox="1"/>
        </xdr:nvSpPr>
        <xdr:spPr>
          <a:xfrm>
            <a:off x="3387459" y="3823868"/>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sp macro="" textlink="">
        <xdr:nvSpPr>
          <xdr:cNvPr id="18" name="Arrow: Right 17">
            <a:extLst>
              <a:ext uri="{FF2B5EF4-FFF2-40B4-BE49-F238E27FC236}">
                <a16:creationId xmlns:a16="http://schemas.microsoft.com/office/drawing/2014/main" id="{55C18189-E283-47D0-B224-38CD5CBB345B}"/>
              </a:ext>
            </a:extLst>
          </xdr:cNvPr>
          <xdr:cNvSpPr/>
        </xdr:nvSpPr>
        <xdr:spPr>
          <a:xfrm rot="15680695">
            <a:off x="4640408" y="4653172"/>
            <a:ext cx="735106" cy="4661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9" name="TextBox 8">
            <a:extLst>
              <a:ext uri="{FF2B5EF4-FFF2-40B4-BE49-F238E27FC236}">
                <a16:creationId xmlns:a16="http://schemas.microsoft.com/office/drawing/2014/main" id="{BA441FE5-ED13-4F2A-B13D-23E6C8D61D9F}"/>
              </a:ext>
            </a:extLst>
          </xdr:cNvPr>
          <xdr:cNvSpPr txBox="1"/>
        </xdr:nvSpPr>
        <xdr:spPr>
          <a:xfrm>
            <a:off x="4887812" y="5284697"/>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sp macro="" textlink="">
        <xdr:nvSpPr>
          <xdr:cNvPr id="20" name="Arrow: Right 19">
            <a:extLst>
              <a:ext uri="{FF2B5EF4-FFF2-40B4-BE49-F238E27FC236}">
                <a16:creationId xmlns:a16="http://schemas.microsoft.com/office/drawing/2014/main" id="{F6F1CB60-7184-4959-84A4-8E408DF8FF29}"/>
              </a:ext>
            </a:extLst>
          </xdr:cNvPr>
          <xdr:cNvSpPr/>
        </xdr:nvSpPr>
        <xdr:spPr>
          <a:xfrm rot="15680695">
            <a:off x="1731361" y="7694574"/>
            <a:ext cx="735106" cy="46616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1" name="TextBox 10">
            <a:extLst>
              <a:ext uri="{FF2B5EF4-FFF2-40B4-BE49-F238E27FC236}">
                <a16:creationId xmlns:a16="http://schemas.microsoft.com/office/drawing/2014/main" id="{04AABD75-A41A-4482-90B6-F0643051A433}"/>
              </a:ext>
            </a:extLst>
          </xdr:cNvPr>
          <xdr:cNvSpPr txBox="1"/>
        </xdr:nvSpPr>
        <xdr:spPr>
          <a:xfrm>
            <a:off x="1978765" y="8439182"/>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clientData/>
  </xdr:twoCellAnchor>
  <xdr:twoCellAnchor editAs="oneCell">
    <xdr:from>
      <xdr:col>1</xdr:col>
      <xdr:colOff>1135521</xdr:colOff>
      <xdr:row>283</xdr:row>
      <xdr:rowOff>117929</xdr:rowOff>
    </xdr:from>
    <xdr:to>
      <xdr:col>5</xdr:col>
      <xdr:colOff>1075764</xdr:colOff>
      <xdr:row>295</xdr:row>
      <xdr:rowOff>210357</xdr:rowOff>
    </xdr:to>
    <xdr:pic>
      <xdr:nvPicPr>
        <xdr:cNvPr id="22" name="Picture 21">
          <a:extLst>
            <a:ext uri="{FF2B5EF4-FFF2-40B4-BE49-F238E27FC236}">
              <a16:creationId xmlns:a16="http://schemas.microsoft.com/office/drawing/2014/main" id="{EC35E59B-C210-4531-8B02-CCC6945C5FF4}"/>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2312139" y="79489194"/>
          <a:ext cx="4646713" cy="3185249"/>
        </a:xfrm>
        <a:prstGeom prst="rect">
          <a:avLst/>
        </a:prstGeom>
        <a:ln>
          <a:solidFill>
            <a:schemeClr val="tx1"/>
          </a:solidFill>
        </a:ln>
      </xdr:spPr>
    </xdr:pic>
    <xdr:clientData/>
  </xdr:twoCellAnchor>
  <xdr:twoCellAnchor>
    <xdr:from>
      <xdr:col>1</xdr:col>
      <xdr:colOff>78442</xdr:colOff>
      <xdr:row>267</xdr:row>
      <xdr:rowOff>168087</xdr:rowOff>
    </xdr:from>
    <xdr:to>
      <xdr:col>6</xdr:col>
      <xdr:colOff>907676</xdr:colOff>
      <xdr:row>282</xdr:row>
      <xdr:rowOff>168086</xdr:rowOff>
    </xdr:to>
    <xdr:grpSp>
      <xdr:nvGrpSpPr>
        <xdr:cNvPr id="23" name="Group 22">
          <a:extLst>
            <a:ext uri="{FF2B5EF4-FFF2-40B4-BE49-F238E27FC236}">
              <a16:creationId xmlns:a16="http://schemas.microsoft.com/office/drawing/2014/main" id="{8A7B30E1-43A3-42CA-B033-1077EC0FFD9D}"/>
            </a:ext>
          </a:extLst>
        </xdr:cNvPr>
        <xdr:cNvGrpSpPr/>
      </xdr:nvGrpSpPr>
      <xdr:grpSpPr>
        <a:xfrm>
          <a:off x="1256078" y="73527905"/>
          <a:ext cx="6717416" cy="3896590"/>
          <a:chOff x="975559" y="856343"/>
          <a:chExt cx="4906881" cy="2736646"/>
        </a:xfrm>
      </xdr:grpSpPr>
      <xdr:pic>
        <xdr:nvPicPr>
          <xdr:cNvPr id="24" name="Picture 23">
            <a:extLst>
              <a:ext uri="{FF2B5EF4-FFF2-40B4-BE49-F238E27FC236}">
                <a16:creationId xmlns:a16="http://schemas.microsoft.com/office/drawing/2014/main" id="{D3BDFFEC-30D4-43A4-8BC4-8212FCDAD861}"/>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975559" y="856343"/>
            <a:ext cx="4906881" cy="2736646"/>
          </a:xfrm>
          <a:prstGeom prst="rect">
            <a:avLst/>
          </a:prstGeom>
          <a:ln>
            <a:solidFill>
              <a:schemeClr val="tx1"/>
            </a:solidFill>
          </a:ln>
        </xdr:spPr>
      </xdr:pic>
      <xdr:sp macro="" textlink="">
        <xdr:nvSpPr>
          <xdr:cNvPr id="25" name="Rectangle 24">
            <a:extLst>
              <a:ext uri="{FF2B5EF4-FFF2-40B4-BE49-F238E27FC236}">
                <a16:creationId xmlns:a16="http://schemas.microsoft.com/office/drawing/2014/main" id="{48A39251-59BF-4ECF-8DBA-B3A5308D13C8}"/>
              </a:ext>
            </a:extLst>
          </xdr:cNvPr>
          <xdr:cNvSpPr/>
        </xdr:nvSpPr>
        <xdr:spPr>
          <a:xfrm rot="21197506">
            <a:off x="2773805" y="1739488"/>
            <a:ext cx="984641" cy="693420"/>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6" name="TextBox 17">
            <a:extLst>
              <a:ext uri="{FF2B5EF4-FFF2-40B4-BE49-F238E27FC236}">
                <a16:creationId xmlns:a16="http://schemas.microsoft.com/office/drawing/2014/main" id="{A25A049F-7616-4151-B7D5-2E09D8A7343E}"/>
              </a:ext>
            </a:extLst>
          </xdr:cNvPr>
          <xdr:cNvSpPr txBox="1"/>
        </xdr:nvSpPr>
        <xdr:spPr>
          <a:xfrm rot="21219273">
            <a:off x="2567750" y="1483977"/>
            <a:ext cx="1410964" cy="25248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latin typeface="Times New Roman" panose="02020603050405020304" pitchFamily="18" charset="0"/>
                <a:cs typeface="Times New Roman" panose="02020603050405020304" pitchFamily="18" charset="0"/>
              </a:rPr>
              <a:t>Om Sai Leela</a:t>
            </a:r>
            <a:endParaRPr lang="en-IN" b="1">
              <a:solidFill>
                <a:srgbClr val="FFFF00"/>
              </a:solidFill>
              <a:latin typeface="Times New Roman" panose="02020603050405020304" pitchFamily="18" charset="0"/>
              <a:cs typeface="Times New Roman" panose="02020603050405020304" pitchFamily="18" charset="0"/>
            </a:endParaRPr>
          </a:p>
        </xdr:txBody>
      </xdr:sp>
      <xdr:sp macro="" textlink="">
        <xdr:nvSpPr>
          <xdr:cNvPr id="27" name="TextBox 18">
            <a:extLst>
              <a:ext uri="{FF2B5EF4-FFF2-40B4-BE49-F238E27FC236}">
                <a16:creationId xmlns:a16="http://schemas.microsoft.com/office/drawing/2014/main" id="{AAA58A4D-2754-4401-869A-22DDF9DF4F84}"/>
              </a:ext>
            </a:extLst>
          </xdr:cNvPr>
          <xdr:cNvSpPr txBox="1"/>
        </xdr:nvSpPr>
        <xdr:spPr>
          <a:xfrm>
            <a:off x="3266125" y="1672159"/>
            <a:ext cx="29367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A</a:t>
            </a:r>
            <a:endParaRPr lang="en-IN" sz="1400" b="1">
              <a:solidFill>
                <a:srgbClr val="FFFF00"/>
              </a:solidFill>
            </a:endParaRPr>
          </a:p>
        </xdr:txBody>
      </xdr:sp>
      <xdr:sp macro="" textlink="">
        <xdr:nvSpPr>
          <xdr:cNvPr id="28" name="TextBox 19">
            <a:extLst>
              <a:ext uri="{FF2B5EF4-FFF2-40B4-BE49-F238E27FC236}">
                <a16:creationId xmlns:a16="http://schemas.microsoft.com/office/drawing/2014/main" id="{9E9B4CB6-EFD7-466C-989C-9F33D0034F92}"/>
              </a:ext>
            </a:extLst>
          </xdr:cNvPr>
          <xdr:cNvSpPr txBox="1"/>
        </xdr:nvSpPr>
        <xdr:spPr>
          <a:xfrm>
            <a:off x="3384015" y="1997584"/>
            <a:ext cx="29367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B</a:t>
            </a:r>
            <a:endParaRPr lang="en-IN" sz="1400" b="1">
              <a:solidFill>
                <a:srgbClr val="FFFF00"/>
              </a:solidFill>
            </a:endParaRPr>
          </a:p>
        </xdr:txBody>
      </xdr:sp>
    </xdr:grpSp>
    <xdr:clientData/>
  </xdr:twoCellAnchor>
  <xdr:twoCellAnchor editAs="oneCell">
    <xdr:from>
      <xdr:col>8</xdr:col>
      <xdr:colOff>435428</xdr:colOff>
      <xdr:row>3</xdr:row>
      <xdr:rowOff>190500</xdr:rowOff>
    </xdr:from>
    <xdr:to>
      <xdr:col>12</xdr:col>
      <xdr:colOff>86867</xdr:colOff>
      <xdr:row>7</xdr:row>
      <xdr:rowOff>231560</xdr:rowOff>
    </xdr:to>
    <xdr:pic>
      <xdr:nvPicPr>
        <xdr:cNvPr id="8" name="Picture 7"/>
        <xdr:cNvPicPr>
          <a:picLocks noChangeAspect="1"/>
        </xdr:cNvPicPr>
      </xdr:nvPicPr>
      <xdr:blipFill>
        <a:blip xmlns:r="http://schemas.openxmlformats.org/officeDocument/2006/relationships" r:embed="rId12"/>
        <a:stretch>
          <a:fillRect/>
        </a:stretch>
      </xdr:blipFill>
      <xdr:spPr>
        <a:xfrm>
          <a:off x="9797142" y="1238250"/>
          <a:ext cx="5906324" cy="1714739"/>
        </a:xfrm>
        <a:prstGeom prst="rect">
          <a:avLst/>
        </a:prstGeom>
      </xdr:spPr>
    </xdr:pic>
    <xdr:clientData/>
  </xdr:twoCellAnchor>
  <xdr:twoCellAnchor editAs="oneCell">
    <xdr:from>
      <xdr:col>8</xdr:col>
      <xdr:colOff>1168978</xdr:colOff>
      <xdr:row>7</xdr:row>
      <xdr:rowOff>87825</xdr:rowOff>
    </xdr:from>
    <xdr:to>
      <xdr:col>22</xdr:col>
      <xdr:colOff>434918</xdr:colOff>
      <xdr:row>12</xdr:row>
      <xdr:rowOff>33488</xdr:rowOff>
    </xdr:to>
    <xdr:pic>
      <xdr:nvPicPr>
        <xdr:cNvPr id="9" name="Picture 8"/>
        <xdr:cNvPicPr>
          <a:picLocks noChangeAspect="1"/>
        </xdr:cNvPicPr>
      </xdr:nvPicPr>
      <xdr:blipFill>
        <a:blip xmlns:r="http://schemas.openxmlformats.org/officeDocument/2006/relationships" r:embed="rId13"/>
        <a:stretch>
          <a:fillRect/>
        </a:stretch>
      </xdr:blipFill>
      <xdr:spPr>
        <a:xfrm>
          <a:off x="10590069" y="2806780"/>
          <a:ext cx="9716372" cy="2404844"/>
        </a:xfrm>
        <a:prstGeom prst="rect">
          <a:avLst/>
        </a:prstGeom>
      </xdr:spPr>
    </xdr:pic>
    <xdr:clientData/>
  </xdr:twoCellAnchor>
  <xdr:twoCellAnchor editAs="oneCell">
    <xdr:from>
      <xdr:col>16</xdr:col>
      <xdr:colOff>268430</xdr:colOff>
      <xdr:row>128</xdr:row>
      <xdr:rowOff>86590</xdr:rowOff>
    </xdr:from>
    <xdr:to>
      <xdr:col>28</xdr:col>
      <xdr:colOff>484818</xdr:colOff>
      <xdr:row>143</xdr:row>
      <xdr:rowOff>237453</xdr:rowOff>
    </xdr:to>
    <xdr:pic>
      <xdr:nvPicPr>
        <xdr:cNvPr id="30" name="Picture 29"/>
        <xdr:cNvPicPr>
          <a:picLocks noChangeAspect="1"/>
        </xdr:cNvPicPr>
      </xdr:nvPicPr>
      <xdr:blipFill>
        <a:blip xmlns:r="http://schemas.openxmlformats.org/officeDocument/2006/relationships" r:embed="rId14"/>
        <a:stretch>
          <a:fillRect/>
        </a:stretch>
      </xdr:blipFill>
      <xdr:spPr>
        <a:xfrm>
          <a:off x="17673203" y="37493863"/>
          <a:ext cx="5585024" cy="4047453"/>
        </a:xfrm>
        <a:prstGeom prst="rect">
          <a:avLst/>
        </a:prstGeom>
      </xdr:spPr>
    </xdr:pic>
    <xdr:clientData/>
  </xdr:twoCellAnchor>
  <xdr:twoCellAnchor editAs="oneCell">
    <xdr:from>
      <xdr:col>16</xdr:col>
      <xdr:colOff>610867</xdr:colOff>
      <xdr:row>146</xdr:row>
      <xdr:rowOff>48227</xdr:rowOff>
    </xdr:from>
    <xdr:to>
      <xdr:col>27</xdr:col>
      <xdr:colOff>454781</xdr:colOff>
      <xdr:row>160</xdr:row>
      <xdr:rowOff>89498</xdr:rowOff>
    </xdr:to>
    <xdr:pic>
      <xdr:nvPicPr>
        <xdr:cNvPr id="31" name="Picture 30"/>
        <xdr:cNvPicPr>
          <a:picLocks noChangeAspect="1"/>
        </xdr:cNvPicPr>
      </xdr:nvPicPr>
      <xdr:blipFill>
        <a:blip xmlns:r="http://schemas.openxmlformats.org/officeDocument/2006/relationships" r:embed="rId15"/>
        <a:stretch>
          <a:fillRect/>
        </a:stretch>
      </xdr:blipFill>
      <xdr:spPr>
        <a:xfrm>
          <a:off x="16970055" y="42339227"/>
          <a:ext cx="4701664" cy="3706232"/>
        </a:xfrm>
        <a:prstGeom prst="rect">
          <a:avLst/>
        </a:prstGeom>
      </xdr:spPr>
    </xdr:pic>
    <xdr:clientData/>
  </xdr:twoCellAnchor>
  <xdr:twoCellAnchor editAs="oneCell">
    <xdr:from>
      <xdr:col>16</xdr:col>
      <xdr:colOff>25668</xdr:colOff>
      <xdr:row>147</xdr:row>
      <xdr:rowOff>117206</xdr:rowOff>
    </xdr:from>
    <xdr:to>
      <xdr:col>29</xdr:col>
      <xdr:colOff>454821</xdr:colOff>
      <xdr:row>164</xdr:row>
      <xdr:rowOff>183824</xdr:rowOff>
    </xdr:to>
    <xdr:pic>
      <xdr:nvPicPr>
        <xdr:cNvPr id="32" name="Picture 31"/>
        <xdr:cNvPicPr>
          <a:picLocks noChangeAspect="1"/>
        </xdr:cNvPicPr>
      </xdr:nvPicPr>
      <xdr:blipFill>
        <a:blip xmlns:r="http://schemas.openxmlformats.org/officeDocument/2006/relationships" r:embed="rId16"/>
        <a:stretch>
          <a:fillRect/>
        </a:stretch>
      </xdr:blipFill>
      <xdr:spPr>
        <a:xfrm>
          <a:off x="17432606" y="42670144"/>
          <a:ext cx="6525152" cy="4519555"/>
        </a:xfrm>
        <a:prstGeom prst="rect">
          <a:avLst/>
        </a:prstGeom>
      </xdr:spPr>
    </xdr:pic>
    <xdr:clientData/>
  </xdr:twoCellAnchor>
  <xdr:twoCellAnchor editAs="oneCell">
    <xdr:from>
      <xdr:col>18</xdr:col>
      <xdr:colOff>27834</xdr:colOff>
      <xdr:row>140</xdr:row>
      <xdr:rowOff>160194</xdr:rowOff>
    </xdr:from>
    <xdr:to>
      <xdr:col>30</xdr:col>
      <xdr:colOff>204145</xdr:colOff>
      <xdr:row>149</xdr:row>
      <xdr:rowOff>224482</xdr:rowOff>
    </xdr:to>
    <xdr:pic>
      <xdr:nvPicPr>
        <xdr:cNvPr id="33" name="Picture 32"/>
        <xdr:cNvPicPr>
          <a:picLocks noChangeAspect="1"/>
        </xdr:cNvPicPr>
      </xdr:nvPicPr>
      <xdr:blipFill>
        <a:blip xmlns:r="http://schemas.openxmlformats.org/officeDocument/2006/relationships" r:embed="rId17"/>
        <a:stretch>
          <a:fillRect/>
        </a:stretch>
      </xdr:blipFill>
      <xdr:spPr>
        <a:xfrm>
          <a:off x="18644879" y="40684739"/>
          <a:ext cx="5544949" cy="2402244"/>
        </a:xfrm>
        <a:prstGeom prst="rect">
          <a:avLst/>
        </a:prstGeom>
      </xdr:spPr>
    </xdr:pic>
    <xdr:clientData/>
  </xdr:twoCellAnchor>
  <xdr:twoCellAnchor editAs="oneCell">
    <xdr:from>
      <xdr:col>9</xdr:col>
      <xdr:colOff>423058</xdr:colOff>
      <xdr:row>127</xdr:row>
      <xdr:rowOff>25978</xdr:rowOff>
    </xdr:from>
    <xdr:to>
      <xdr:col>23</xdr:col>
      <xdr:colOff>283353</xdr:colOff>
      <xdr:row>138</xdr:row>
      <xdr:rowOff>112194</xdr:rowOff>
    </xdr:to>
    <xdr:pic>
      <xdr:nvPicPr>
        <xdr:cNvPr id="34" name="Picture 33"/>
        <xdr:cNvPicPr>
          <a:picLocks noChangeAspect="1"/>
        </xdr:cNvPicPr>
      </xdr:nvPicPr>
      <xdr:blipFill>
        <a:blip xmlns:r="http://schemas.openxmlformats.org/officeDocument/2006/relationships" r:embed="rId18"/>
        <a:stretch>
          <a:fillRect/>
        </a:stretch>
      </xdr:blipFill>
      <xdr:spPr>
        <a:xfrm>
          <a:off x="12095513" y="36601978"/>
          <a:ext cx="8700134" cy="3515216"/>
        </a:xfrm>
        <a:prstGeom prst="rect">
          <a:avLst/>
        </a:prstGeom>
      </xdr:spPr>
    </xdr:pic>
    <xdr:clientData/>
  </xdr:twoCellAnchor>
  <xdr:twoCellAnchor editAs="oneCell">
    <xdr:from>
      <xdr:col>13</xdr:col>
      <xdr:colOff>179056</xdr:colOff>
      <xdr:row>141</xdr:row>
      <xdr:rowOff>89066</xdr:rowOff>
    </xdr:from>
    <xdr:to>
      <xdr:col>49</xdr:col>
      <xdr:colOff>274243</xdr:colOff>
      <xdr:row>152</xdr:row>
      <xdr:rowOff>138857</xdr:rowOff>
    </xdr:to>
    <xdr:pic>
      <xdr:nvPicPr>
        <xdr:cNvPr id="35" name="Picture 34"/>
        <xdr:cNvPicPr>
          <a:picLocks noChangeAspect="1"/>
        </xdr:cNvPicPr>
      </xdr:nvPicPr>
      <xdr:blipFill>
        <a:blip xmlns:r="http://schemas.openxmlformats.org/officeDocument/2006/relationships" r:embed="rId19"/>
        <a:stretch>
          <a:fillRect/>
        </a:stretch>
      </xdr:blipFill>
      <xdr:spPr>
        <a:xfrm>
          <a:off x="16458147" y="41115839"/>
          <a:ext cx="20011096" cy="2907291"/>
        </a:xfrm>
        <a:prstGeom prst="rect">
          <a:avLst/>
        </a:prstGeom>
      </xdr:spPr>
    </xdr:pic>
    <xdr:clientData/>
  </xdr:twoCellAnchor>
  <xdr:twoCellAnchor editAs="oneCell">
    <xdr:from>
      <xdr:col>17</xdr:col>
      <xdr:colOff>190500</xdr:colOff>
      <xdr:row>133</xdr:row>
      <xdr:rowOff>173181</xdr:rowOff>
    </xdr:from>
    <xdr:to>
      <xdr:col>34</xdr:col>
      <xdr:colOff>555405</xdr:colOff>
      <xdr:row>145</xdr:row>
      <xdr:rowOff>9069</xdr:rowOff>
    </xdr:to>
    <xdr:pic>
      <xdr:nvPicPr>
        <xdr:cNvPr id="36" name="Picture 35"/>
        <xdr:cNvPicPr>
          <a:picLocks noChangeAspect="1"/>
        </xdr:cNvPicPr>
      </xdr:nvPicPr>
      <xdr:blipFill>
        <a:blip xmlns:r="http://schemas.openxmlformats.org/officeDocument/2006/relationships" r:embed="rId20"/>
        <a:stretch>
          <a:fillRect/>
        </a:stretch>
      </xdr:blipFill>
      <xdr:spPr>
        <a:xfrm>
          <a:off x="18201409" y="38879317"/>
          <a:ext cx="8764223" cy="2953162"/>
        </a:xfrm>
        <a:prstGeom prst="rect">
          <a:avLst/>
        </a:prstGeom>
      </xdr:spPr>
    </xdr:pic>
    <xdr:clientData/>
  </xdr:twoCellAnchor>
  <xdr:twoCellAnchor editAs="oneCell">
    <xdr:from>
      <xdr:col>16</xdr:col>
      <xdr:colOff>331212</xdr:colOff>
      <xdr:row>152</xdr:row>
      <xdr:rowOff>209983</xdr:rowOff>
    </xdr:from>
    <xdr:to>
      <xdr:col>35</xdr:col>
      <xdr:colOff>7791</xdr:colOff>
      <xdr:row>169</xdr:row>
      <xdr:rowOff>172819</xdr:rowOff>
    </xdr:to>
    <xdr:pic>
      <xdr:nvPicPr>
        <xdr:cNvPr id="37" name="Picture 36"/>
        <xdr:cNvPicPr>
          <a:picLocks noChangeAspect="1"/>
        </xdr:cNvPicPr>
      </xdr:nvPicPr>
      <xdr:blipFill>
        <a:blip xmlns:r="http://schemas.openxmlformats.org/officeDocument/2006/relationships" r:embed="rId21"/>
        <a:stretch>
          <a:fillRect/>
        </a:stretch>
      </xdr:blipFill>
      <xdr:spPr>
        <a:xfrm>
          <a:off x="18404900" y="44310733"/>
          <a:ext cx="9487329" cy="3629961"/>
        </a:xfrm>
        <a:prstGeom prst="rect">
          <a:avLst/>
        </a:prstGeom>
      </xdr:spPr>
    </xdr:pic>
    <xdr:clientData/>
  </xdr:twoCellAnchor>
  <xdr:twoCellAnchor editAs="oneCell">
    <xdr:from>
      <xdr:col>25</xdr:col>
      <xdr:colOff>15154</xdr:colOff>
      <xdr:row>130</xdr:row>
      <xdr:rowOff>2164</xdr:rowOff>
    </xdr:from>
    <xdr:to>
      <xdr:col>40</xdr:col>
      <xdr:colOff>330806</xdr:colOff>
      <xdr:row>142</xdr:row>
      <xdr:rowOff>174078</xdr:rowOff>
    </xdr:to>
    <xdr:pic>
      <xdr:nvPicPr>
        <xdr:cNvPr id="38" name="Picture 37"/>
        <xdr:cNvPicPr>
          <a:picLocks noChangeAspect="1"/>
        </xdr:cNvPicPr>
      </xdr:nvPicPr>
      <xdr:blipFill>
        <a:blip xmlns:r="http://schemas.openxmlformats.org/officeDocument/2006/relationships" r:embed="rId22"/>
        <a:stretch>
          <a:fillRect/>
        </a:stretch>
      </xdr:blipFill>
      <xdr:spPr>
        <a:xfrm>
          <a:off x="21803592" y="38340289"/>
          <a:ext cx="9507277" cy="3315164"/>
        </a:xfrm>
        <a:prstGeom prst="rect">
          <a:avLst/>
        </a:prstGeom>
      </xdr:spPr>
    </xdr:pic>
    <xdr:clientData/>
  </xdr:twoCellAnchor>
  <xdr:twoCellAnchor editAs="oneCell">
    <xdr:from>
      <xdr:col>11</xdr:col>
      <xdr:colOff>1534823</xdr:colOff>
      <xdr:row>122</xdr:row>
      <xdr:rowOff>101743</xdr:rowOff>
    </xdr:from>
    <xdr:to>
      <xdr:col>26</xdr:col>
      <xdr:colOff>320935</xdr:colOff>
      <xdr:row>135</xdr:row>
      <xdr:rowOff>145101</xdr:rowOff>
    </xdr:to>
    <xdr:pic>
      <xdr:nvPicPr>
        <xdr:cNvPr id="39" name="Picture 38"/>
        <xdr:cNvPicPr>
          <a:picLocks noChangeAspect="1"/>
        </xdr:cNvPicPr>
      </xdr:nvPicPr>
      <xdr:blipFill>
        <a:blip xmlns:r="http://schemas.openxmlformats.org/officeDocument/2006/relationships" r:embed="rId23"/>
        <a:stretch>
          <a:fillRect/>
        </a:stretch>
      </xdr:blipFill>
      <xdr:spPr>
        <a:xfrm>
          <a:off x="15465136" y="35772868"/>
          <a:ext cx="7168112" cy="4020046"/>
        </a:xfrm>
        <a:prstGeom prst="rect">
          <a:avLst/>
        </a:prstGeom>
      </xdr:spPr>
    </xdr:pic>
    <xdr:clientData/>
  </xdr:twoCellAnchor>
  <xdr:twoCellAnchor editAs="oneCell">
    <xdr:from>
      <xdr:col>8</xdr:col>
      <xdr:colOff>761998</xdr:colOff>
      <xdr:row>117</xdr:row>
      <xdr:rowOff>207819</xdr:rowOff>
    </xdr:from>
    <xdr:to>
      <xdr:col>25</xdr:col>
      <xdr:colOff>204299</xdr:colOff>
      <xdr:row>131</xdr:row>
      <xdr:rowOff>17320</xdr:rowOff>
    </xdr:to>
    <xdr:pic>
      <xdr:nvPicPr>
        <xdr:cNvPr id="40" name="Picture 39"/>
        <xdr:cNvPicPr>
          <a:picLocks noChangeAspect="1"/>
        </xdr:cNvPicPr>
      </xdr:nvPicPr>
      <xdr:blipFill>
        <a:blip xmlns:r="http://schemas.openxmlformats.org/officeDocument/2006/relationships" r:embed="rId24"/>
        <a:stretch>
          <a:fillRect/>
        </a:stretch>
      </xdr:blipFill>
      <xdr:spPr>
        <a:xfrm>
          <a:off x="10183089" y="34428546"/>
          <a:ext cx="11755528" cy="4017819"/>
        </a:xfrm>
        <a:prstGeom prst="rect">
          <a:avLst/>
        </a:prstGeom>
      </xdr:spPr>
    </xdr:pic>
    <xdr:clientData/>
  </xdr:twoCellAnchor>
  <xdr:twoCellAnchor editAs="oneCell">
    <xdr:from>
      <xdr:col>11</xdr:col>
      <xdr:colOff>1246907</xdr:colOff>
      <xdr:row>116</xdr:row>
      <xdr:rowOff>121227</xdr:rowOff>
    </xdr:from>
    <xdr:to>
      <xdr:col>30</xdr:col>
      <xdr:colOff>477341</xdr:colOff>
      <xdr:row>139</xdr:row>
      <xdr:rowOff>28133</xdr:rowOff>
    </xdr:to>
    <xdr:pic>
      <xdr:nvPicPr>
        <xdr:cNvPr id="41" name="Picture 40"/>
        <xdr:cNvPicPr>
          <a:picLocks noChangeAspect="1"/>
        </xdr:cNvPicPr>
      </xdr:nvPicPr>
      <xdr:blipFill>
        <a:blip xmlns:r="http://schemas.openxmlformats.org/officeDocument/2006/relationships" r:embed="rId25"/>
        <a:stretch>
          <a:fillRect/>
        </a:stretch>
      </xdr:blipFill>
      <xdr:spPr>
        <a:xfrm>
          <a:off x="15257316" y="34082182"/>
          <a:ext cx="9898434" cy="6453178"/>
        </a:xfrm>
        <a:prstGeom prst="rect">
          <a:avLst/>
        </a:prstGeom>
      </xdr:spPr>
    </xdr:pic>
    <xdr:clientData/>
  </xdr:twoCellAnchor>
  <xdr:twoCellAnchor editAs="oneCell">
    <xdr:from>
      <xdr:col>15</xdr:col>
      <xdr:colOff>528824</xdr:colOff>
      <xdr:row>116</xdr:row>
      <xdr:rowOff>38038</xdr:rowOff>
    </xdr:from>
    <xdr:to>
      <xdr:col>33</xdr:col>
      <xdr:colOff>455979</xdr:colOff>
      <xdr:row>134</xdr:row>
      <xdr:rowOff>163594</xdr:rowOff>
    </xdr:to>
    <xdr:pic>
      <xdr:nvPicPr>
        <xdr:cNvPr id="42" name="Picture 41"/>
        <xdr:cNvPicPr>
          <a:picLocks noChangeAspect="1"/>
        </xdr:cNvPicPr>
      </xdr:nvPicPr>
      <xdr:blipFill>
        <a:blip xmlns:r="http://schemas.openxmlformats.org/officeDocument/2006/relationships" r:embed="rId26"/>
        <a:stretch>
          <a:fillRect/>
        </a:stretch>
      </xdr:blipFill>
      <xdr:spPr>
        <a:xfrm>
          <a:off x="17983387" y="34137538"/>
          <a:ext cx="9118780" cy="5411931"/>
        </a:xfrm>
        <a:prstGeom prst="rect">
          <a:avLst/>
        </a:prstGeom>
      </xdr:spPr>
    </xdr:pic>
    <xdr:clientData/>
  </xdr:twoCellAnchor>
  <xdr:twoCellAnchor editAs="oneCell">
    <xdr:from>
      <xdr:col>15</xdr:col>
      <xdr:colOff>554182</xdr:colOff>
      <xdr:row>127</xdr:row>
      <xdr:rowOff>105637</xdr:rowOff>
    </xdr:from>
    <xdr:to>
      <xdr:col>33</xdr:col>
      <xdr:colOff>251847</xdr:colOff>
      <xdr:row>144</xdr:row>
      <xdr:rowOff>237971</xdr:rowOff>
    </xdr:to>
    <xdr:pic>
      <xdr:nvPicPr>
        <xdr:cNvPr id="43" name="Picture 42"/>
        <xdr:cNvPicPr>
          <a:picLocks noChangeAspect="1"/>
        </xdr:cNvPicPr>
      </xdr:nvPicPr>
      <xdr:blipFill>
        <a:blip xmlns:r="http://schemas.openxmlformats.org/officeDocument/2006/relationships" r:embed="rId27"/>
        <a:stretch>
          <a:fillRect/>
        </a:stretch>
      </xdr:blipFill>
      <xdr:spPr>
        <a:xfrm>
          <a:off x="18045546" y="36924092"/>
          <a:ext cx="8703119" cy="5119970"/>
        </a:xfrm>
        <a:prstGeom prst="rect">
          <a:avLst/>
        </a:prstGeom>
      </xdr:spPr>
    </xdr:pic>
    <xdr:clientData/>
  </xdr:twoCellAnchor>
  <xdr:twoCellAnchor editAs="oneCell">
    <xdr:from>
      <xdr:col>13</xdr:col>
      <xdr:colOff>203490</xdr:colOff>
      <xdr:row>81</xdr:row>
      <xdr:rowOff>99579</xdr:rowOff>
    </xdr:from>
    <xdr:to>
      <xdr:col>32</xdr:col>
      <xdr:colOff>411268</xdr:colOff>
      <xdr:row>141</xdr:row>
      <xdr:rowOff>51953</xdr:rowOff>
    </xdr:to>
    <xdr:pic>
      <xdr:nvPicPr>
        <xdr:cNvPr id="44" name="Picture 43" descr="insp-239107-919.jpg (959×1280)"/>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6419803" y="27769704"/>
          <a:ext cx="10018528" cy="1350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150916</xdr:colOff>
      <xdr:row>172</xdr:row>
      <xdr:rowOff>153385</xdr:rowOff>
    </xdr:from>
    <xdr:to>
      <xdr:col>7</xdr:col>
      <xdr:colOff>992084</xdr:colOff>
      <xdr:row>214</xdr:row>
      <xdr:rowOff>225136</xdr:rowOff>
    </xdr:to>
    <xdr:grpSp>
      <xdr:nvGrpSpPr>
        <xdr:cNvPr id="62" name="Group 61"/>
        <xdr:cNvGrpSpPr/>
      </xdr:nvGrpSpPr>
      <xdr:grpSpPr>
        <a:xfrm>
          <a:off x="150916" y="48834794"/>
          <a:ext cx="9084623" cy="10982206"/>
          <a:chOff x="150916" y="49438460"/>
          <a:chExt cx="9032668" cy="10929995"/>
        </a:xfrm>
      </xdr:grpSpPr>
      <xdr:grpSp>
        <xdr:nvGrpSpPr>
          <xdr:cNvPr id="45" name="Group 44"/>
          <xdr:cNvGrpSpPr/>
        </xdr:nvGrpSpPr>
        <xdr:grpSpPr>
          <a:xfrm>
            <a:off x="150916" y="49438460"/>
            <a:ext cx="9032668" cy="10929995"/>
            <a:chOff x="434257" y="462462"/>
            <a:chExt cx="6865859" cy="8211234"/>
          </a:xfrm>
        </xdr:grpSpPr>
        <xdr:pic>
          <xdr:nvPicPr>
            <xdr:cNvPr id="46" name="Picture 45" descr="https://vsjcllp.vsjadon.com/upload/insp-239107-1525.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102824" y="6870201"/>
              <a:ext cx="2402431" cy="18034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39107-843.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54039" y="462462"/>
              <a:ext cx="5282726" cy="39657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39107-844.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681803" y="4582139"/>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39107-862.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172418" y="6870203"/>
              <a:ext cx="1351211" cy="18034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39107-871.jpg"/>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938971" y="4582139"/>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9107-925.jpg"/>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34257" y="4582139"/>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39107-1512.jpg"/>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177089" y="4582139"/>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39107-916.jp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639606" y="6870203"/>
              <a:ext cx="1351211" cy="18034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55" name="TextBox 48"/>
          <xdr:cNvSpPr txBox="1"/>
        </xdr:nvSpPr>
        <xdr:spPr>
          <a:xfrm>
            <a:off x="1634095" y="50091602"/>
            <a:ext cx="978477" cy="328295"/>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latin typeface="Times New Roman" panose="02020603050405020304" pitchFamily="18" charset="0"/>
                <a:cs typeface="Times New Roman" panose="02020603050405020304" pitchFamily="18" charset="0"/>
              </a:rPr>
              <a:t>Wing</a:t>
            </a:r>
            <a:r>
              <a:rPr lang="en-US" sz="1600" b="1" baseline="0">
                <a:latin typeface="Times New Roman" panose="02020603050405020304" pitchFamily="18" charset="0"/>
                <a:cs typeface="Times New Roman" panose="02020603050405020304" pitchFamily="18" charset="0"/>
              </a:rPr>
              <a:t> B</a:t>
            </a:r>
            <a:endParaRPr lang="en-IN" sz="1600" b="1">
              <a:latin typeface="Times New Roman" panose="02020603050405020304" pitchFamily="18" charset="0"/>
              <a:cs typeface="Times New Roman" panose="02020603050405020304" pitchFamily="18" charset="0"/>
            </a:endParaRPr>
          </a:p>
        </xdr:txBody>
      </xdr:sp>
      <xdr:sp macro="" textlink="">
        <xdr:nvSpPr>
          <xdr:cNvPr id="56" name="TextBox 48"/>
          <xdr:cNvSpPr txBox="1"/>
        </xdr:nvSpPr>
        <xdr:spPr>
          <a:xfrm>
            <a:off x="6845631" y="49601745"/>
            <a:ext cx="978477" cy="328295"/>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latin typeface="Times New Roman" panose="02020603050405020304" pitchFamily="18" charset="0"/>
                <a:cs typeface="Times New Roman" panose="02020603050405020304" pitchFamily="18" charset="0"/>
              </a:rPr>
              <a:t>Wing</a:t>
            </a:r>
            <a:r>
              <a:rPr lang="en-US" sz="1600" b="1" baseline="0">
                <a:latin typeface="Times New Roman" panose="02020603050405020304" pitchFamily="18" charset="0"/>
                <a:cs typeface="Times New Roman" panose="02020603050405020304" pitchFamily="18" charset="0"/>
              </a:rPr>
              <a:t> A</a:t>
            </a:r>
            <a:endParaRPr lang="en-IN" sz="1600" b="1">
              <a:latin typeface="Times New Roman" panose="02020603050405020304" pitchFamily="18" charset="0"/>
              <a:cs typeface="Times New Roman" panose="02020603050405020304" pitchFamily="18" charset="0"/>
            </a:endParaRPr>
          </a:p>
        </xdr:txBody>
      </xdr:sp>
      <xdr:cxnSp macro="">
        <xdr:nvCxnSpPr>
          <xdr:cNvPr id="58" name="Straight Arrow Connector 57"/>
          <xdr:cNvCxnSpPr>
            <a:stCxn id="55" idx="2"/>
          </xdr:cNvCxnSpPr>
        </xdr:nvCxnSpPr>
        <xdr:spPr>
          <a:xfrm>
            <a:off x="2123334" y="50419897"/>
            <a:ext cx="462023" cy="66131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9" name="Straight Arrow Connector 58"/>
          <xdr:cNvCxnSpPr/>
        </xdr:nvCxnSpPr>
        <xdr:spPr>
          <a:xfrm flipH="1">
            <a:off x="6817179" y="49938214"/>
            <a:ext cx="462642" cy="54428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319367</xdr:colOff>
      <xdr:row>15</xdr:row>
      <xdr:rowOff>176894</xdr:rowOff>
    </xdr:from>
    <xdr:to>
      <xdr:col>16</xdr:col>
      <xdr:colOff>74006</xdr:colOff>
      <xdr:row>26</xdr:row>
      <xdr:rowOff>478080</xdr:rowOff>
    </xdr:to>
    <xdr:pic>
      <xdr:nvPicPr>
        <xdr:cNvPr id="63" name="Picture 62"/>
        <xdr:cNvPicPr>
          <a:picLocks noChangeAspect="1"/>
        </xdr:cNvPicPr>
      </xdr:nvPicPr>
      <xdr:blipFill>
        <a:blip xmlns:r="http://schemas.openxmlformats.org/officeDocument/2006/relationships" r:embed="rId27"/>
        <a:stretch>
          <a:fillRect/>
        </a:stretch>
      </xdr:blipFill>
      <xdr:spPr>
        <a:xfrm>
          <a:off x="9681081" y="6762751"/>
          <a:ext cx="8465612" cy="5090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igreval.maharashtra.gov.in/eASR2.0/eASRCommon.aspx?hDistName=Raigad" TargetMode="External"/><Relationship Id="rId1" Type="http://schemas.openxmlformats.org/officeDocument/2006/relationships/hyperlink" Target="https://maps.app.goo.gl/S6bBNJNLdEVPHpKe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08"/>
  <sheetViews>
    <sheetView tabSelected="1" view="pageBreakPreview" topLeftCell="E141" zoomScale="55" zoomScaleNormal="85" zoomScaleSheetLayoutView="55" zoomScalePageLayoutView="70" workbookViewId="0">
      <selection activeCell="N158" sqref="N158"/>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5.5703125" style="1" bestFit="1" customWidth="1"/>
    <col min="11" max="11" width="19.42578125" style="1" customWidth="1"/>
    <col min="12" max="12" width="24.85546875" style="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158" t="s">
        <v>38</v>
      </c>
      <c r="B1" s="159"/>
      <c r="C1" s="159"/>
      <c r="D1" s="159"/>
      <c r="E1" s="159"/>
      <c r="F1" s="159"/>
      <c r="G1" s="159"/>
      <c r="H1" s="160"/>
    </row>
    <row r="2" spans="1:11" ht="42" customHeight="1" x14ac:dyDescent="0.25">
      <c r="A2" s="127" t="s">
        <v>10</v>
      </c>
      <c r="B2" s="127"/>
      <c r="C2" s="125" t="s">
        <v>87</v>
      </c>
      <c r="D2" s="125"/>
      <c r="E2" s="127" t="s">
        <v>12</v>
      </c>
      <c r="F2" s="127"/>
      <c r="G2" s="138">
        <v>45840</v>
      </c>
      <c r="H2" s="125"/>
      <c r="J2" s="142"/>
      <c r="K2" s="143"/>
    </row>
    <row r="3" spans="1:11" ht="20.25" x14ac:dyDescent="0.25">
      <c r="A3" s="127" t="s">
        <v>39</v>
      </c>
      <c r="B3" s="127"/>
      <c r="C3" s="144" t="s">
        <v>305</v>
      </c>
      <c r="D3" s="144"/>
      <c r="E3" s="127" t="s">
        <v>156</v>
      </c>
      <c r="F3" s="127"/>
      <c r="G3" s="138" t="s">
        <v>353</v>
      </c>
      <c r="H3" s="125"/>
    </row>
    <row r="4" spans="1:11" ht="43.5" customHeight="1" x14ac:dyDescent="0.25">
      <c r="A4" s="127" t="s">
        <v>36</v>
      </c>
      <c r="B4" s="127"/>
      <c r="C4" s="125" t="s">
        <v>354</v>
      </c>
      <c r="D4" s="125"/>
      <c r="E4" s="127" t="s">
        <v>33</v>
      </c>
      <c r="F4" s="127"/>
      <c r="G4" s="125" t="str">
        <f ca="1">TEXT(TODAY(),"DD/MM/YYYY")</f>
        <v>04/07/2025</v>
      </c>
      <c r="H4" s="125"/>
    </row>
    <row r="5" spans="1:11" ht="20.25" x14ac:dyDescent="0.25">
      <c r="A5" s="141" t="s">
        <v>40</v>
      </c>
      <c r="B5" s="141"/>
      <c r="C5" s="141"/>
      <c r="D5" s="141"/>
      <c r="E5" s="141"/>
      <c r="F5" s="141"/>
      <c r="G5" s="141"/>
      <c r="H5" s="141"/>
    </row>
    <row r="6" spans="1:11" ht="43.5" customHeight="1" x14ac:dyDescent="0.25">
      <c r="A6" s="127" t="s">
        <v>29</v>
      </c>
      <c r="B6" s="127"/>
      <c r="C6" s="125" t="s">
        <v>341</v>
      </c>
      <c r="D6" s="125"/>
      <c r="E6" s="127" t="s">
        <v>35</v>
      </c>
      <c r="F6" s="127"/>
      <c r="G6" s="128" t="s">
        <v>327</v>
      </c>
      <c r="H6" s="128"/>
    </row>
    <row r="7" spans="1:11" ht="23.25" customHeight="1" x14ac:dyDescent="0.25">
      <c r="A7" s="127" t="s">
        <v>42</v>
      </c>
      <c r="B7" s="127"/>
      <c r="C7" s="125" t="s">
        <v>306</v>
      </c>
      <c r="D7" s="125"/>
      <c r="E7" s="127" t="s">
        <v>43</v>
      </c>
      <c r="F7" s="127"/>
      <c r="G7" s="125" t="s">
        <v>343</v>
      </c>
      <c r="H7" s="125"/>
      <c r="I7" s="125"/>
      <c r="J7" s="125"/>
    </row>
    <row r="8" spans="1:11" ht="48.75" customHeight="1" x14ac:dyDescent="0.25">
      <c r="A8" s="127" t="s">
        <v>44</v>
      </c>
      <c r="B8" s="127"/>
      <c r="C8" s="125" t="s">
        <v>307</v>
      </c>
      <c r="D8" s="125"/>
      <c r="E8" s="125"/>
      <c r="F8" s="125"/>
      <c r="G8" s="125"/>
      <c r="H8" s="125"/>
    </row>
    <row r="9" spans="1:11" ht="20.25" x14ac:dyDescent="0.25">
      <c r="A9" s="136" t="s">
        <v>148</v>
      </c>
      <c r="B9" s="36" t="s">
        <v>41</v>
      </c>
      <c r="C9" s="125" t="s">
        <v>358</v>
      </c>
      <c r="D9" s="125"/>
      <c r="E9" s="125"/>
      <c r="F9" s="125"/>
      <c r="G9" s="125"/>
      <c r="H9" s="125"/>
    </row>
    <row r="10" spans="1:11" ht="41.25" customHeight="1" x14ac:dyDescent="0.25">
      <c r="A10" s="136"/>
      <c r="B10" s="36" t="s">
        <v>11</v>
      </c>
      <c r="C10" s="125" t="s">
        <v>344</v>
      </c>
      <c r="D10" s="125"/>
      <c r="E10" s="125"/>
      <c r="F10" s="125"/>
      <c r="G10" s="125"/>
      <c r="H10" s="125"/>
    </row>
    <row r="11" spans="1:11" ht="42" customHeight="1" x14ac:dyDescent="0.25">
      <c r="A11" s="136"/>
      <c r="B11" s="36" t="s">
        <v>5</v>
      </c>
      <c r="C11" s="125" t="s">
        <v>360</v>
      </c>
      <c r="D11" s="125"/>
      <c r="E11" s="125"/>
      <c r="F11" s="125"/>
      <c r="G11" s="125"/>
      <c r="H11" s="125"/>
    </row>
    <row r="12" spans="1:11" ht="40.5" customHeight="1" x14ac:dyDescent="0.25">
      <c r="A12" s="127" t="s">
        <v>34</v>
      </c>
      <c r="B12" s="127"/>
      <c r="C12" s="128" t="s">
        <v>342</v>
      </c>
      <c r="D12" s="128"/>
      <c r="E12" s="128"/>
      <c r="F12" s="128"/>
      <c r="G12" s="128"/>
      <c r="H12" s="128"/>
    </row>
    <row r="13" spans="1:11" ht="20.100000000000001" customHeight="1" x14ac:dyDescent="0.25">
      <c r="A13" s="141" t="s">
        <v>45</v>
      </c>
      <c r="B13" s="141"/>
      <c r="C13" s="141"/>
      <c r="D13" s="141"/>
      <c r="E13" s="141"/>
      <c r="F13" s="141"/>
      <c r="G13" s="141"/>
      <c r="H13" s="141"/>
    </row>
    <row r="14" spans="1:11" ht="70.5" customHeight="1" x14ac:dyDescent="0.25">
      <c r="A14" s="127" t="s">
        <v>27</v>
      </c>
      <c r="B14" s="127" t="s">
        <v>4</v>
      </c>
      <c r="C14" s="128" t="s">
        <v>88</v>
      </c>
      <c r="D14" s="128"/>
      <c r="E14" s="127" t="s">
        <v>46</v>
      </c>
      <c r="F14" s="127" t="s">
        <v>4</v>
      </c>
      <c r="G14" s="125" t="s">
        <v>328</v>
      </c>
      <c r="H14" s="125"/>
    </row>
    <row r="15" spans="1:11" ht="20.25" x14ac:dyDescent="0.25">
      <c r="A15" s="127" t="s">
        <v>47</v>
      </c>
      <c r="B15" s="127" t="s">
        <v>4</v>
      </c>
      <c r="C15" s="125" t="s">
        <v>304</v>
      </c>
      <c r="D15" s="125"/>
      <c r="E15" s="127" t="s">
        <v>48</v>
      </c>
      <c r="F15" s="127" t="s">
        <v>4</v>
      </c>
      <c r="G15" s="138">
        <v>46477</v>
      </c>
      <c r="H15" s="125"/>
    </row>
    <row r="16" spans="1:11" ht="20.25" x14ac:dyDescent="0.25">
      <c r="A16" s="127" t="s">
        <v>49</v>
      </c>
      <c r="B16" s="127" t="s">
        <v>4</v>
      </c>
      <c r="C16" s="138">
        <v>45398</v>
      </c>
      <c r="D16" s="125"/>
      <c r="E16" s="127" t="s">
        <v>50</v>
      </c>
      <c r="F16" s="127" t="s">
        <v>4</v>
      </c>
      <c r="G16" s="162">
        <v>45383</v>
      </c>
      <c r="H16" s="125"/>
    </row>
    <row r="17" spans="1:9" ht="41.25" customHeight="1" x14ac:dyDescent="0.25">
      <c r="A17" s="127" t="s">
        <v>51</v>
      </c>
      <c r="B17" s="127" t="s">
        <v>4</v>
      </c>
      <c r="C17" s="138">
        <f>G15</f>
        <v>46477</v>
      </c>
      <c r="D17" s="125"/>
      <c r="E17" s="127" t="s">
        <v>52</v>
      </c>
      <c r="F17" s="127" t="s">
        <v>4</v>
      </c>
      <c r="G17" s="125" t="s">
        <v>308</v>
      </c>
      <c r="H17" s="125"/>
    </row>
    <row r="18" spans="1:9" ht="41.25" customHeight="1" x14ac:dyDescent="0.25">
      <c r="A18" s="127" t="s">
        <v>53</v>
      </c>
      <c r="B18" s="127" t="s">
        <v>4</v>
      </c>
      <c r="C18" s="125"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5"/>
      <c r="E18" s="127" t="s">
        <v>95</v>
      </c>
      <c r="F18" s="127" t="s">
        <v>4</v>
      </c>
      <c r="G18" s="163">
        <v>1770</v>
      </c>
      <c r="H18" s="163"/>
    </row>
    <row r="19" spans="1:9" ht="41.25" customHeight="1" x14ac:dyDescent="0.25">
      <c r="A19" s="127" t="s">
        <v>54</v>
      </c>
      <c r="B19" s="127" t="s">
        <v>4</v>
      </c>
      <c r="C19" s="125">
        <v>1.1000000000000001</v>
      </c>
      <c r="D19" s="125"/>
      <c r="E19" s="127" t="s">
        <v>241</v>
      </c>
      <c r="F19" s="127" t="s">
        <v>4</v>
      </c>
      <c r="G19" s="139">
        <v>1753.95</v>
      </c>
      <c r="H19" s="139"/>
    </row>
    <row r="20" spans="1:9" ht="41.25" customHeight="1" x14ac:dyDescent="0.25">
      <c r="A20" s="127" t="s">
        <v>93</v>
      </c>
      <c r="B20" s="127" t="s">
        <v>4</v>
      </c>
      <c r="C20" s="139">
        <v>3943.4290000000001</v>
      </c>
      <c r="D20" s="139"/>
      <c r="E20" s="127" t="s">
        <v>94</v>
      </c>
      <c r="F20" s="127" t="s">
        <v>4</v>
      </c>
      <c r="G20" s="125">
        <v>3684.95</v>
      </c>
      <c r="H20" s="125"/>
    </row>
    <row r="21" spans="1:9" ht="41.25" customHeight="1" x14ac:dyDescent="0.25">
      <c r="A21" s="127" t="s">
        <v>56</v>
      </c>
      <c r="B21" s="127" t="s">
        <v>4</v>
      </c>
      <c r="C21" s="125" t="s">
        <v>345</v>
      </c>
      <c r="D21" s="125"/>
      <c r="E21" s="127" t="s">
        <v>55</v>
      </c>
      <c r="F21" s="127" t="s">
        <v>4</v>
      </c>
      <c r="G21" s="125" t="s">
        <v>346</v>
      </c>
      <c r="H21" s="125"/>
    </row>
    <row r="22" spans="1:9" ht="20.25" x14ac:dyDescent="0.25">
      <c r="A22" s="127" t="s">
        <v>160</v>
      </c>
      <c r="B22" s="127" t="s">
        <v>4</v>
      </c>
      <c r="C22" s="125" t="s">
        <v>309</v>
      </c>
      <c r="D22" s="125"/>
      <c r="E22" s="127" t="s">
        <v>161</v>
      </c>
      <c r="F22" s="127" t="s">
        <v>4</v>
      </c>
      <c r="G22" s="125" t="s">
        <v>311</v>
      </c>
      <c r="H22" s="125"/>
      <c r="I22" s="1">
        <f>30+24+18</f>
        <v>72</v>
      </c>
    </row>
    <row r="23" spans="1:9" ht="20.25" x14ac:dyDescent="0.25">
      <c r="A23" s="127" t="s">
        <v>158</v>
      </c>
      <c r="B23" s="127" t="s">
        <v>4</v>
      </c>
      <c r="C23" s="140" t="s">
        <v>310</v>
      </c>
      <c r="D23" s="125"/>
      <c r="E23" s="125"/>
      <c r="F23" s="125"/>
      <c r="G23" s="125"/>
      <c r="H23" s="125"/>
    </row>
    <row r="24" spans="1:9" ht="39.75" customHeight="1" x14ac:dyDescent="0.25">
      <c r="A24" s="127" t="s">
        <v>25</v>
      </c>
      <c r="B24" s="127" t="s">
        <v>4</v>
      </c>
      <c r="C24" s="125" t="s">
        <v>357</v>
      </c>
      <c r="D24" s="125"/>
      <c r="E24" s="125"/>
      <c r="F24" s="125"/>
      <c r="G24" s="125"/>
      <c r="H24" s="125"/>
    </row>
    <row r="25" spans="1:9" ht="24" customHeight="1" x14ac:dyDescent="0.25">
      <c r="A25" s="141" t="s">
        <v>20</v>
      </c>
      <c r="B25" s="141"/>
      <c r="C25" s="141"/>
      <c r="D25" s="141"/>
      <c r="E25" s="141"/>
      <c r="F25" s="141"/>
      <c r="G25" s="141"/>
      <c r="H25" s="141"/>
    </row>
    <row r="26" spans="1:9" ht="43.5" customHeight="1" x14ac:dyDescent="0.25">
      <c r="A26" s="127" t="s">
        <v>26</v>
      </c>
      <c r="B26" s="127" t="s">
        <v>4</v>
      </c>
      <c r="C26" s="125" t="str">
        <f>IF(AND(G26="Upper"),"Developed","Developing")</f>
        <v>Developing</v>
      </c>
      <c r="D26" s="125"/>
      <c r="E26" s="127" t="s">
        <v>13</v>
      </c>
      <c r="F26" s="127" t="s">
        <v>4</v>
      </c>
      <c r="G26" s="128" t="s">
        <v>162</v>
      </c>
      <c r="H26" s="128"/>
    </row>
    <row r="27" spans="1:9" ht="43.5" customHeight="1" x14ac:dyDescent="0.25">
      <c r="A27" s="127" t="s">
        <v>14</v>
      </c>
      <c r="B27" s="127" t="s">
        <v>4</v>
      </c>
      <c r="C27" s="128" t="s">
        <v>98</v>
      </c>
      <c r="D27" s="128"/>
      <c r="E27" s="127" t="s">
        <v>149</v>
      </c>
      <c r="F27" s="127" t="s">
        <v>4</v>
      </c>
      <c r="G27" s="128" t="s">
        <v>242</v>
      </c>
      <c r="H27" s="128"/>
    </row>
    <row r="28" spans="1:9" ht="43.5" customHeight="1" x14ac:dyDescent="0.25">
      <c r="A28" s="127" t="s">
        <v>23</v>
      </c>
      <c r="B28" s="127" t="s">
        <v>4</v>
      </c>
      <c r="C28" s="125" t="s">
        <v>97</v>
      </c>
      <c r="D28" s="125"/>
      <c r="E28" s="127" t="s">
        <v>16</v>
      </c>
      <c r="F28" s="127" t="s">
        <v>4</v>
      </c>
      <c r="G28" s="128" t="s">
        <v>312</v>
      </c>
      <c r="H28" s="128"/>
    </row>
    <row r="29" spans="1:9" ht="43.5" customHeight="1" x14ac:dyDescent="0.25">
      <c r="A29" s="127" t="s">
        <v>107</v>
      </c>
      <c r="B29" s="127" t="s">
        <v>4</v>
      </c>
      <c r="C29" s="128" t="s">
        <v>313</v>
      </c>
      <c r="D29" s="128"/>
      <c r="E29" s="127" t="s">
        <v>108</v>
      </c>
      <c r="F29" s="127" t="s">
        <v>4</v>
      </c>
      <c r="G29" s="128" t="s">
        <v>314</v>
      </c>
      <c r="H29" s="128"/>
    </row>
    <row r="30" spans="1:9" ht="84" customHeight="1" x14ac:dyDescent="0.25">
      <c r="A30" s="127" t="s">
        <v>17</v>
      </c>
      <c r="B30" s="127" t="s">
        <v>4</v>
      </c>
      <c r="C30" s="128" t="s">
        <v>315</v>
      </c>
      <c r="D30" s="128"/>
      <c r="E30" s="127" t="s">
        <v>15</v>
      </c>
      <c r="F30" s="127" t="s">
        <v>4</v>
      </c>
      <c r="G30" s="128" t="s">
        <v>336</v>
      </c>
      <c r="H30" s="128"/>
    </row>
    <row r="31" spans="1:9" ht="20.25" x14ac:dyDescent="0.25">
      <c r="A31" s="127" t="s">
        <v>113</v>
      </c>
      <c r="B31" s="127" t="s">
        <v>4</v>
      </c>
      <c r="C31" s="125" t="s">
        <v>114</v>
      </c>
      <c r="D31" s="125"/>
      <c r="E31" s="127" t="s">
        <v>115</v>
      </c>
      <c r="F31" s="127" t="s">
        <v>4</v>
      </c>
      <c r="G31" s="125" t="s">
        <v>114</v>
      </c>
      <c r="H31" s="125"/>
    </row>
    <row r="32" spans="1:9" ht="21.75" customHeight="1" x14ac:dyDescent="0.25">
      <c r="A32" s="127" t="s">
        <v>116</v>
      </c>
      <c r="B32" s="127" t="s">
        <v>4</v>
      </c>
      <c r="C32" s="125" t="s">
        <v>114</v>
      </c>
      <c r="D32" s="125"/>
      <c r="E32" s="125"/>
      <c r="F32" s="125"/>
      <c r="G32" s="125"/>
      <c r="H32" s="125"/>
    </row>
    <row r="33" spans="1:15" ht="20.25" x14ac:dyDescent="0.25">
      <c r="A33" s="145" t="s">
        <v>37</v>
      </c>
      <c r="B33" s="145"/>
      <c r="C33" s="145"/>
      <c r="D33" s="145"/>
      <c r="E33" s="145"/>
      <c r="F33" s="145"/>
      <c r="G33" s="145"/>
      <c r="H33" s="145"/>
    </row>
    <row r="34" spans="1:15" ht="43.5" customHeight="1" x14ac:dyDescent="0.25">
      <c r="A34" s="127" t="s">
        <v>18</v>
      </c>
      <c r="B34" s="127"/>
      <c r="C34" s="125" t="s">
        <v>99</v>
      </c>
      <c r="D34" s="125"/>
      <c r="E34" s="127" t="s">
        <v>19</v>
      </c>
      <c r="F34" s="127" t="s">
        <v>4</v>
      </c>
      <c r="G34" s="125" t="s">
        <v>100</v>
      </c>
      <c r="H34" s="125"/>
    </row>
    <row r="35" spans="1:15" ht="43.5" customHeight="1" x14ac:dyDescent="0.25">
      <c r="A35" s="127" t="s">
        <v>22</v>
      </c>
      <c r="B35" s="127"/>
      <c r="C35" s="125" t="s">
        <v>100</v>
      </c>
      <c r="D35" s="125"/>
      <c r="E35" s="127" t="s">
        <v>32</v>
      </c>
      <c r="F35" s="127" t="s">
        <v>4</v>
      </c>
      <c r="G35" s="128" t="s">
        <v>100</v>
      </c>
      <c r="H35" s="128"/>
    </row>
    <row r="36" spans="1:15" ht="20.25" x14ac:dyDescent="0.25">
      <c r="A36" s="127" t="s">
        <v>31</v>
      </c>
      <c r="B36" s="127"/>
      <c r="C36" s="125" t="s">
        <v>101</v>
      </c>
      <c r="D36" s="125"/>
      <c r="E36" s="127" t="s">
        <v>21</v>
      </c>
      <c r="F36" s="127" t="s">
        <v>4</v>
      </c>
      <c r="G36" s="125" t="s">
        <v>102</v>
      </c>
      <c r="H36" s="125"/>
    </row>
    <row r="37" spans="1:15" ht="20.25" x14ac:dyDescent="0.25">
      <c r="A37" s="141" t="s">
        <v>0</v>
      </c>
      <c r="B37" s="141"/>
      <c r="C37" s="141"/>
      <c r="D37" s="141"/>
      <c r="E37" s="141"/>
      <c r="F37" s="141"/>
      <c r="G37" s="141"/>
      <c r="H37" s="141"/>
    </row>
    <row r="38" spans="1:15" ht="20.25" x14ac:dyDescent="0.25">
      <c r="A38" s="134" t="s">
        <v>0</v>
      </c>
      <c r="B38" s="134"/>
      <c r="C38" s="134" t="s">
        <v>227</v>
      </c>
      <c r="D38" s="134"/>
      <c r="E38" s="134"/>
      <c r="F38" s="134" t="s">
        <v>7</v>
      </c>
      <c r="G38" s="134"/>
      <c r="H38" s="134"/>
      <c r="J38" s="132" t="s">
        <v>1</v>
      </c>
      <c r="K38" s="133"/>
      <c r="L38" s="38" t="s">
        <v>6</v>
      </c>
      <c r="M38" s="132" t="s">
        <v>2</v>
      </c>
      <c r="N38" s="133"/>
      <c r="O38" s="38" t="s">
        <v>3</v>
      </c>
    </row>
    <row r="39" spans="1:15" ht="20.25" x14ac:dyDescent="0.25">
      <c r="A39" s="136" t="s">
        <v>2</v>
      </c>
      <c r="B39" s="136"/>
      <c r="C39" s="135" t="s">
        <v>334</v>
      </c>
      <c r="D39" s="135"/>
      <c r="E39" s="135"/>
      <c r="F39" s="135" t="s">
        <v>332</v>
      </c>
      <c r="G39" s="135"/>
      <c r="H39" s="135"/>
    </row>
    <row r="40" spans="1:15" ht="20.25" x14ac:dyDescent="0.25">
      <c r="A40" s="136" t="s">
        <v>3</v>
      </c>
      <c r="B40" s="136"/>
      <c r="C40" s="135" t="s">
        <v>330</v>
      </c>
      <c r="D40" s="135"/>
      <c r="E40" s="135"/>
      <c r="F40" s="135" t="s">
        <v>332</v>
      </c>
      <c r="G40" s="135"/>
      <c r="H40" s="135"/>
    </row>
    <row r="41" spans="1:15" ht="20.25" x14ac:dyDescent="0.25">
      <c r="A41" s="136" t="s">
        <v>1</v>
      </c>
      <c r="B41" s="136"/>
      <c r="C41" s="137" t="s">
        <v>333</v>
      </c>
      <c r="D41" s="137"/>
      <c r="E41" s="137"/>
      <c r="F41" s="137" t="s">
        <v>331</v>
      </c>
      <c r="G41" s="137"/>
      <c r="H41" s="137"/>
    </row>
    <row r="42" spans="1:15" ht="43.5" customHeight="1" x14ac:dyDescent="0.25">
      <c r="A42" s="136" t="s">
        <v>6</v>
      </c>
      <c r="B42" s="136"/>
      <c r="C42" s="137" t="s">
        <v>329</v>
      </c>
      <c r="D42" s="137"/>
      <c r="E42" s="137"/>
      <c r="F42" s="137" t="s">
        <v>332</v>
      </c>
      <c r="G42" s="137"/>
      <c r="H42" s="137"/>
    </row>
    <row r="43" spans="1:15" ht="44.25" customHeight="1" x14ac:dyDescent="0.25">
      <c r="A43" s="127" t="s">
        <v>228</v>
      </c>
      <c r="B43" s="127"/>
      <c r="C43" s="125" t="s">
        <v>97</v>
      </c>
      <c r="D43" s="125"/>
      <c r="E43" s="125"/>
      <c r="F43" s="125"/>
      <c r="G43" s="125"/>
      <c r="H43" s="125"/>
    </row>
    <row r="44" spans="1:15" ht="20.25" x14ac:dyDescent="0.25">
      <c r="A44" s="141" t="s">
        <v>57</v>
      </c>
      <c r="B44" s="141"/>
      <c r="C44" s="141"/>
      <c r="D44" s="141"/>
      <c r="E44" s="141"/>
      <c r="F44" s="141"/>
      <c r="G44" s="141"/>
      <c r="H44" s="141"/>
    </row>
    <row r="45" spans="1:15" ht="21" customHeight="1" x14ac:dyDescent="0.25">
      <c r="A45" s="134" t="s">
        <v>58</v>
      </c>
      <c r="B45" s="134"/>
      <c r="C45" s="94" t="s">
        <v>59</v>
      </c>
      <c r="D45" s="134" t="s">
        <v>147</v>
      </c>
      <c r="E45" s="134"/>
      <c r="F45" s="134"/>
      <c r="G45" s="134" t="s">
        <v>60</v>
      </c>
      <c r="H45" s="134"/>
    </row>
    <row r="46" spans="1:15" ht="20.25" x14ac:dyDescent="0.25">
      <c r="A46" s="126" t="s">
        <v>317</v>
      </c>
      <c r="B46" s="126"/>
      <c r="C46" s="95" t="s">
        <v>89</v>
      </c>
      <c r="D46" s="125" t="s">
        <v>319</v>
      </c>
      <c r="E46" s="125"/>
      <c r="F46" s="125"/>
      <c r="G46" s="125" t="s">
        <v>319</v>
      </c>
      <c r="H46" s="125"/>
    </row>
    <row r="47" spans="1:15" ht="20.25" x14ac:dyDescent="0.25">
      <c r="A47" s="126" t="s">
        <v>318</v>
      </c>
      <c r="B47" s="126"/>
      <c r="C47" s="95" t="s">
        <v>89</v>
      </c>
      <c r="D47" s="125" t="s">
        <v>319</v>
      </c>
      <c r="E47" s="125"/>
      <c r="F47" s="125"/>
      <c r="G47" s="125" t="s">
        <v>319</v>
      </c>
      <c r="H47" s="125"/>
    </row>
    <row r="48" spans="1:15" ht="20.25" hidden="1" x14ac:dyDescent="0.25">
      <c r="A48" s="126" t="s">
        <v>302</v>
      </c>
      <c r="B48" s="126"/>
      <c r="C48" s="95" t="s">
        <v>89</v>
      </c>
      <c r="D48" s="125"/>
      <c r="E48" s="125"/>
      <c r="F48" s="125"/>
      <c r="G48" s="125"/>
      <c r="H48" s="125"/>
    </row>
    <row r="49" spans="1:10" ht="20.25" hidden="1" x14ac:dyDescent="0.25">
      <c r="A49" s="126" t="s">
        <v>303</v>
      </c>
      <c r="B49" s="126"/>
      <c r="C49" s="95" t="s">
        <v>89</v>
      </c>
      <c r="D49" s="125"/>
      <c r="E49" s="125"/>
      <c r="F49" s="125"/>
      <c r="G49" s="125"/>
      <c r="H49" s="125"/>
    </row>
    <row r="50" spans="1:10" ht="20.25" x14ac:dyDescent="0.25">
      <c r="A50" s="141" t="s">
        <v>61</v>
      </c>
      <c r="B50" s="141"/>
      <c r="C50" s="141"/>
      <c r="D50" s="141"/>
      <c r="E50" s="141"/>
      <c r="F50" s="141"/>
      <c r="G50" s="141"/>
      <c r="H50" s="141"/>
    </row>
    <row r="51" spans="1:10" ht="42.75" customHeight="1" x14ac:dyDescent="0.25">
      <c r="A51" s="127" t="s">
        <v>62</v>
      </c>
      <c r="B51" s="127" t="s">
        <v>4</v>
      </c>
      <c r="C51" s="128" t="s">
        <v>97</v>
      </c>
      <c r="D51" s="128"/>
      <c r="E51" s="128"/>
      <c r="F51" s="128"/>
      <c r="G51" s="128"/>
      <c r="H51" s="128"/>
    </row>
    <row r="52" spans="1:10" ht="20.25" x14ac:dyDescent="0.25">
      <c r="A52" s="127" t="s">
        <v>63</v>
      </c>
      <c r="B52" s="127" t="s">
        <v>4</v>
      </c>
      <c r="C52" s="125" t="s">
        <v>347</v>
      </c>
      <c r="D52" s="125"/>
      <c r="E52" s="125"/>
      <c r="F52" s="125"/>
      <c r="G52" s="53" t="s">
        <v>229</v>
      </c>
      <c r="H52" s="96">
        <v>45358</v>
      </c>
    </row>
    <row r="53" spans="1:10" ht="20.25" x14ac:dyDescent="0.25">
      <c r="A53" s="127" t="s">
        <v>64</v>
      </c>
      <c r="B53" s="127" t="s">
        <v>4</v>
      </c>
      <c r="C53" s="125" t="str">
        <f>C52</f>
        <v>MSRDC/SPA/Shedung/Panvel/BP-436/CC/2024/421</v>
      </c>
      <c r="D53" s="125"/>
      <c r="E53" s="125"/>
      <c r="F53" s="125"/>
      <c r="G53" s="53" t="s">
        <v>229</v>
      </c>
      <c r="H53" s="96">
        <f>H52</f>
        <v>45358</v>
      </c>
    </row>
    <row r="54" spans="1:10" ht="20.25" x14ac:dyDescent="0.25">
      <c r="A54" s="127" t="s">
        <v>349</v>
      </c>
      <c r="B54" s="127"/>
      <c r="C54" s="125" t="s">
        <v>316</v>
      </c>
      <c r="D54" s="125"/>
      <c r="E54" s="125"/>
      <c r="F54" s="125"/>
      <c r="G54" s="53" t="s">
        <v>229</v>
      </c>
      <c r="H54" s="96">
        <f>H53</f>
        <v>45358</v>
      </c>
    </row>
    <row r="55" spans="1:10" ht="49.5" customHeight="1" x14ac:dyDescent="0.25">
      <c r="A55" s="127"/>
      <c r="B55" s="127"/>
      <c r="C55" s="129" t="s">
        <v>348</v>
      </c>
      <c r="D55" s="130"/>
      <c r="E55" s="130"/>
      <c r="F55" s="130"/>
      <c r="G55" s="130"/>
      <c r="H55" s="131"/>
    </row>
    <row r="56" spans="1:10" ht="46.5" hidden="1" customHeight="1" x14ac:dyDescent="0.25">
      <c r="A56" s="127" t="s">
        <v>65</v>
      </c>
      <c r="B56" s="127" t="s">
        <v>4</v>
      </c>
      <c r="C56" s="125"/>
      <c r="D56" s="125"/>
      <c r="E56" s="125"/>
      <c r="F56" s="125"/>
      <c r="G56" s="53" t="s">
        <v>230</v>
      </c>
      <c r="H56" s="80"/>
    </row>
    <row r="57" spans="1:10" ht="45" hidden="1" customHeight="1" x14ac:dyDescent="0.25">
      <c r="A57" s="127" t="s">
        <v>67</v>
      </c>
      <c r="B57" s="127" t="s">
        <v>4</v>
      </c>
      <c r="C57" s="125"/>
      <c r="D57" s="125"/>
      <c r="E57" s="125"/>
      <c r="F57" s="125"/>
      <c r="G57" s="53" t="s">
        <v>230</v>
      </c>
      <c r="H57" s="37"/>
    </row>
    <row r="58" spans="1:10" ht="46.5" hidden="1" customHeight="1" x14ac:dyDescent="0.25">
      <c r="A58" s="127" t="s">
        <v>66</v>
      </c>
      <c r="B58" s="127" t="s">
        <v>4</v>
      </c>
      <c r="C58" s="125"/>
      <c r="D58" s="125"/>
      <c r="E58" s="125"/>
      <c r="F58" s="125"/>
      <c r="G58" s="53" t="s">
        <v>230</v>
      </c>
      <c r="H58" s="37"/>
    </row>
    <row r="59" spans="1:10" ht="45" hidden="1" customHeight="1" x14ac:dyDescent="0.25">
      <c r="A59" s="127" t="s">
        <v>68</v>
      </c>
      <c r="B59" s="127" t="s">
        <v>4</v>
      </c>
      <c r="C59" s="125"/>
      <c r="D59" s="125"/>
      <c r="E59" s="125"/>
      <c r="F59" s="125"/>
      <c r="G59" s="53" t="s">
        <v>230</v>
      </c>
      <c r="H59" s="37"/>
    </row>
    <row r="60" spans="1:10" ht="21" thickBot="1" x14ac:dyDescent="0.3">
      <c r="A60" s="141" t="s">
        <v>69</v>
      </c>
      <c r="B60" s="141"/>
      <c r="C60" s="141"/>
      <c r="D60" s="141"/>
      <c r="E60" s="141"/>
      <c r="F60" s="141"/>
      <c r="G60" s="141"/>
      <c r="H60" s="141"/>
    </row>
    <row r="61" spans="1:10" ht="20.25" customHeight="1" x14ac:dyDescent="0.3">
      <c r="A61" s="147" t="str">
        <f>CONCATENATE((IF(OR(A46="",A46="NA"),"",A46)),"= ",(IF(OR(D46="",D46="NA"),"",D46)),".")</f>
        <v>Wing A= G + 1st to 6th Floor.</v>
      </c>
      <c r="B61" s="147"/>
      <c r="C61" s="147"/>
      <c r="D61" s="97" t="s">
        <v>117</v>
      </c>
      <c r="E61" s="146" t="s">
        <v>104</v>
      </c>
      <c r="F61" s="146"/>
      <c r="G61" s="97" t="s">
        <v>118</v>
      </c>
      <c r="H61" s="97" t="s">
        <v>119</v>
      </c>
      <c r="I61" s="14"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 RCC upto 6 Slab, Brickwork upto 5 Floor, Internal Plaster upto 3 Floor Completed</v>
      </c>
      <c r="J61" s="16"/>
    </row>
    <row r="62" spans="1:10" ht="20.25" x14ac:dyDescent="0.3">
      <c r="A62" s="147"/>
      <c r="B62" s="147"/>
      <c r="C62" s="147"/>
      <c r="D62" s="97">
        <f>IF(AND(ISNUMBER(SEARCH("1B",A61))),1,IF(AND(ISNUMBER(SEARCH("2B",A61))),2,IF(AND(ISNUMBER(SEARCH("3B",A61))),3,IF(AND(ISNUMBER(SEARCH("4B",A61))),4,IF(ISNUMBER(SEARCH("5B",A61)),5,0)))))</f>
        <v>0</v>
      </c>
      <c r="E62" s="146">
        <v>1</v>
      </c>
      <c r="F62" s="146"/>
      <c r="G62" s="97">
        <v>0</v>
      </c>
      <c r="H62" s="97">
        <f ca="1">--TRIM(RIGHT(SUBSTITUTE(LEFT(A61,_xlfn.AGGREGATE(16,6,FIND({0,1,2,3,4,5,6,7,8,9},A61,ROW(INDIRECT("1:"&amp;LEN(A61)))),1))," ",REPT(" ",LEN(A61))),LEN(A61)))</f>
        <v>6</v>
      </c>
      <c r="I62" s="15" t="s">
        <v>123</v>
      </c>
      <c r="J62" s="16"/>
    </row>
    <row r="63" spans="1:10" ht="20.25" customHeight="1" x14ac:dyDescent="0.3">
      <c r="A63" s="115" t="s">
        <v>121</v>
      </c>
      <c r="B63" s="115"/>
      <c r="C63" s="92" t="s">
        <v>131</v>
      </c>
      <c r="D63" s="92" t="s">
        <v>132</v>
      </c>
      <c r="E63" s="115" t="s">
        <v>122</v>
      </c>
      <c r="F63" s="115"/>
      <c r="G63" s="25" t="s">
        <v>120</v>
      </c>
      <c r="H63" s="25"/>
      <c r="I63" s="18" t="s">
        <v>133</v>
      </c>
      <c r="J63" s="17">
        <f ca="1">H62*25%</f>
        <v>1.5</v>
      </c>
    </row>
    <row r="64" spans="1:10" ht="20.25" customHeight="1" x14ac:dyDescent="0.3">
      <c r="A64" s="116" t="s">
        <v>134</v>
      </c>
      <c r="B64" s="116"/>
      <c r="C64" s="97">
        <f ca="1">J65</f>
        <v>6</v>
      </c>
      <c r="D64" s="93">
        <f ca="1">((100/H62)*C64)/100</f>
        <v>1</v>
      </c>
      <c r="E64" s="117">
        <f ca="1">(((C64/H62*10)+(C65/H62*15)+(25/(E62+G62+H62)*C66)+(5/(H62)*C67)+(2.5/(H62)*C68)+(2.5/(H62)*C69)+(5/H62*C70)+(10/H62*C71)+(2.5/H62*C72)+(2.5/H62*C73)+(10/H62*C74)+(10/H62*C75))/100)</f>
        <v>0.518452380952381</v>
      </c>
      <c r="F64" s="118"/>
      <c r="G64" s="116" t="str">
        <f ca="1">I61</f>
        <v>Excavation work Completed. Plinth work completed, RCC upto 6 Slab, Brickwork upto 5 Floor, Internal Plaster upto 3 Floor Completed</v>
      </c>
      <c r="H64" s="116"/>
      <c r="I64" s="18" t="s">
        <v>124</v>
      </c>
      <c r="J64" s="21">
        <f ca="1">H62*50%</f>
        <v>3</v>
      </c>
    </row>
    <row r="65" spans="1:10" ht="20.25" x14ac:dyDescent="0.3">
      <c r="A65" s="116" t="s">
        <v>105</v>
      </c>
      <c r="B65" s="116"/>
      <c r="C65" s="98">
        <f ca="1">J73</f>
        <v>6</v>
      </c>
      <c r="D65" s="93">
        <f ca="1">((100/H62)*C65)/100</f>
        <v>1</v>
      </c>
      <c r="E65" s="119"/>
      <c r="F65" s="120"/>
      <c r="G65" s="116"/>
      <c r="H65" s="116"/>
      <c r="I65" s="18" t="s">
        <v>125</v>
      </c>
      <c r="J65" s="21">
        <f ca="1">H62</f>
        <v>6</v>
      </c>
    </row>
    <row r="66" spans="1:10" ht="21" customHeight="1" x14ac:dyDescent="0.35">
      <c r="A66" s="116" t="s">
        <v>135</v>
      </c>
      <c r="B66" s="116"/>
      <c r="C66" s="97">
        <v>6</v>
      </c>
      <c r="D66" s="93">
        <f ca="1">((100/(E62+G62+H62))*C66)/100</f>
        <v>0.85714285714285721</v>
      </c>
      <c r="E66" s="119"/>
      <c r="F66" s="120"/>
      <c r="G66" s="116"/>
      <c r="H66" s="116"/>
      <c r="I66" s="18" t="s">
        <v>126</v>
      </c>
      <c r="J66" s="22">
        <f ca="1">(IF(D62&gt;1,(H62/(D62+2)),H62*0.2))</f>
        <v>1.2000000000000002</v>
      </c>
    </row>
    <row r="67" spans="1:10" ht="21" customHeight="1" x14ac:dyDescent="0.35">
      <c r="A67" s="116" t="s">
        <v>136</v>
      </c>
      <c r="B67" s="116"/>
      <c r="C67" s="97">
        <v>5</v>
      </c>
      <c r="D67" s="93">
        <f ca="1">((100/H62)*C67)/100</f>
        <v>0.83333333333333348</v>
      </c>
      <c r="E67" s="119"/>
      <c r="F67" s="120"/>
      <c r="G67" s="116"/>
      <c r="H67" s="116"/>
      <c r="I67" s="18" t="s">
        <v>127</v>
      </c>
      <c r="J67" s="22">
        <f ca="1">(IF(D62&gt;1,(H62/(D62+2)+J66),H62*0.2+J66))</f>
        <v>2.4000000000000004</v>
      </c>
    </row>
    <row r="68" spans="1:10" ht="21" customHeight="1" x14ac:dyDescent="0.35">
      <c r="A68" s="123" t="s">
        <v>137</v>
      </c>
      <c r="B68" s="124"/>
      <c r="C68" s="97">
        <v>3</v>
      </c>
      <c r="D68" s="93">
        <f ca="1">((100/H62)*C68)/100</f>
        <v>0.5</v>
      </c>
      <c r="E68" s="119"/>
      <c r="F68" s="120"/>
      <c r="G68" s="116"/>
      <c r="H68" s="116"/>
      <c r="I68" s="18" t="s">
        <v>138</v>
      </c>
      <c r="J68" s="22">
        <f>(IF(D62&gt;1,(H62/(D62+2)+J67),0))</f>
        <v>0</v>
      </c>
    </row>
    <row r="69" spans="1:10" ht="21" customHeight="1" x14ac:dyDescent="0.35">
      <c r="A69" s="123" t="s">
        <v>168</v>
      </c>
      <c r="B69" s="124"/>
      <c r="C69" s="97">
        <v>0</v>
      </c>
      <c r="D69" s="93">
        <f ca="1">((100/H62)*C69)/100</f>
        <v>0</v>
      </c>
      <c r="E69" s="119"/>
      <c r="F69" s="120"/>
      <c r="G69" s="116"/>
      <c r="H69" s="116"/>
      <c r="I69" s="18" t="s">
        <v>139</v>
      </c>
      <c r="J69" s="22">
        <f>(IF(D62&gt;2,(H62/(D62+2)+J68),0))</f>
        <v>0</v>
      </c>
    </row>
    <row r="70" spans="1:10" ht="21" x14ac:dyDescent="0.35">
      <c r="A70" s="123" t="s">
        <v>165</v>
      </c>
      <c r="B70" s="124"/>
      <c r="C70" s="97">
        <v>0</v>
      </c>
      <c r="D70" s="93">
        <f ca="1">((100/(H62))*C70)/100</f>
        <v>0</v>
      </c>
      <c r="E70" s="119"/>
      <c r="F70" s="120"/>
      <c r="G70" s="116"/>
      <c r="H70" s="116"/>
      <c r="I70" s="18" t="s">
        <v>141</v>
      </c>
      <c r="J70" s="23">
        <f>(IF(D62&gt;3,(H62/(D62+2)+J69),0))</f>
        <v>0</v>
      </c>
    </row>
    <row r="71" spans="1:10" ht="21" x14ac:dyDescent="0.35">
      <c r="A71" s="116" t="s">
        <v>140</v>
      </c>
      <c r="B71" s="116"/>
      <c r="C71" s="97">
        <v>0</v>
      </c>
      <c r="D71" s="93">
        <f ca="1">((100/(H62))*C71)/100</f>
        <v>0</v>
      </c>
      <c r="E71" s="119"/>
      <c r="F71" s="120"/>
      <c r="G71" s="116"/>
      <c r="H71" s="116"/>
      <c r="I71" s="18" t="s">
        <v>142</v>
      </c>
      <c r="J71" s="22">
        <f>(IF(D62&gt;4,(H62/(D62+2)+J70),0))</f>
        <v>0</v>
      </c>
    </row>
    <row r="72" spans="1:10" ht="21" customHeight="1" x14ac:dyDescent="0.35">
      <c r="A72" s="116" t="s">
        <v>167</v>
      </c>
      <c r="B72" s="116"/>
      <c r="C72" s="97">
        <v>0</v>
      </c>
      <c r="D72" s="93">
        <f ca="1">((100/H62)*C72)/100</f>
        <v>0</v>
      </c>
      <c r="E72" s="119"/>
      <c r="F72" s="120"/>
      <c r="G72" s="116"/>
      <c r="H72" s="116"/>
      <c r="I72" s="18" t="s">
        <v>128</v>
      </c>
      <c r="J72" s="22">
        <f ca="1">(IF(D62=1,(H62/(D62+3)+J67),IF(D62=0,(H62*0.3+J67),IF(D62&gt;1,0))))</f>
        <v>4.2</v>
      </c>
    </row>
    <row r="73" spans="1:10" ht="21.75" thickBot="1" x14ac:dyDescent="0.4">
      <c r="A73" s="116" t="s">
        <v>166</v>
      </c>
      <c r="B73" s="116"/>
      <c r="C73" s="97">
        <v>0</v>
      </c>
      <c r="D73" s="93">
        <f ca="1">((100/H62)*C73)/100</f>
        <v>0</v>
      </c>
      <c r="E73" s="119"/>
      <c r="F73" s="120"/>
      <c r="G73" s="116"/>
      <c r="H73" s="116"/>
      <c r="I73" s="20" t="s">
        <v>129</v>
      </c>
      <c r="J73" s="24">
        <f ca="1">(IF(D62&gt;1.5,(H62/(D62+2)+J67+MAX(0,J68-J67)+MAX(0,J69-J68)+MAX(0,J70-J69)+MAX(0,J71-J70)+MAX(0,J72-J71)),IF(D62=1,(H62/(D62+3)+J72),IF(D62=0,H62*0.3+J72))))</f>
        <v>6</v>
      </c>
    </row>
    <row r="74" spans="1:10" ht="20.25" x14ac:dyDescent="0.25">
      <c r="A74" s="116" t="s">
        <v>143</v>
      </c>
      <c r="B74" s="116"/>
      <c r="C74" s="97">
        <v>0</v>
      </c>
      <c r="D74" s="93">
        <f ca="1">((100/(H62))*C74)/100</f>
        <v>0</v>
      </c>
      <c r="E74" s="119"/>
      <c r="F74" s="120"/>
      <c r="G74" s="116"/>
      <c r="H74" s="116"/>
    </row>
    <row r="75" spans="1:10" ht="20.25" x14ac:dyDescent="0.25">
      <c r="A75" s="116" t="s">
        <v>144</v>
      </c>
      <c r="B75" s="116"/>
      <c r="C75" s="97">
        <v>0</v>
      </c>
      <c r="D75" s="93">
        <f ca="1">((100/(H62))*C75)/100</f>
        <v>0</v>
      </c>
      <c r="E75" s="121"/>
      <c r="F75" s="122"/>
      <c r="G75" s="116"/>
      <c r="H75" s="116"/>
    </row>
    <row r="76" spans="1:10" ht="21" thickBot="1" x14ac:dyDescent="0.3">
      <c r="A76" s="141" t="s">
        <v>69</v>
      </c>
      <c r="B76" s="141"/>
      <c r="C76" s="141"/>
      <c r="D76" s="141"/>
      <c r="E76" s="141"/>
      <c r="F76" s="141"/>
      <c r="G76" s="141"/>
      <c r="H76" s="141"/>
    </row>
    <row r="77" spans="1:10" ht="20.25" x14ac:dyDescent="0.3">
      <c r="A77" s="147" t="str">
        <f>CONCATENATE((IF(OR(A47="",A47="NA"),"",A47)),"= ",(IF(OR(D47="",D47="NA"),"",D47)),".")</f>
        <v>Wing B= G + 1st to 6th Floor.</v>
      </c>
      <c r="B77" s="147"/>
      <c r="C77" s="147"/>
      <c r="D77" s="97" t="s">
        <v>117</v>
      </c>
      <c r="E77" s="146" t="s">
        <v>104</v>
      </c>
      <c r="F77" s="146"/>
      <c r="G77" s="97" t="s">
        <v>118</v>
      </c>
      <c r="H77" s="97" t="s">
        <v>119</v>
      </c>
      <c r="I77" s="14"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 RCC upto 6 Slab, Brickwork upto 4 Floor, Internal Plaster upto 3 Floor Completed</v>
      </c>
      <c r="J77" s="16"/>
    </row>
    <row r="78" spans="1:10" ht="20.25" x14ac:dyDescent="0.3">
      <c r="A78" s="147"/>
      <c r="B78" s="147"/>
      <c r="C78" s="147"/>
      <c r="D78" s="97">
        <f>IF(AND(ISNUMBER(SEARCH("1B",A77))),1,IF(AND(ISNUMBER(SEARCH("2B",A77))),2,IF(AND(ISNUMBER(SEARCH("3B",A77))),3,IF(AND(ISNUMBER(SEARCH("4B",A77))),4,IF(ISNUMBER(SEARCH("5B",A77)),5,0)))))</f>
        <v>0</v>
      </c>
      <c r="E78" s="146">
        <v>1</v>
      </c>
      <c r="F78" s="146"/>
      <c r="G78" s="97">
        <v>0</v>
      </c>
      <c r="H78" s="97">
        <f ca="1">--TRIM(RIGHT(SUBSTITUTE(LEFT(A77,_xlfn.AGGREGATE(16,6,FIND({0,1,2,3,4,5,6,7,8,9},A77,ROW(INDIRECT("1:"&amp;LEN(A77)))),1))," ",REPT(" ",LEN(A77))),LEN(A77)))</f>
        <v>6</v>
      </c>
      <c r="I78" s="15" t="s">
        <v>123</v>
      </c>
      <c r="J78" s="16"/>
    </row>
    <row r="79" spans="1:10" ht="20.25" customHeight="1" x14ac:dyDescent="0.3">
      <c r="A79" s="115" t="s">
        <v>121</v>
      </c>
      <c r="B79" s="115"/>
      <c r="C79" s="92" t="s">
        <v>131</v>
      </c>
      <c r="D79" s="92" t="s">
        <v>132</v>
      </c>
      <c r="E79" s="115" t="s">
        <v>122</v>
      </c>
      <c r="F79" s="115"/>
      <c r="G79" s="25" t="s">
        <v>120</v>
      </c>
      <c r="H79" s="25"/>
      <c r="I79" s="18" t="s">
        <v>133</v>
      </c>
      <c r="J79" s="17">
        <f ca="1">H78*25%</f>
        <v>1.5</v>
      </c>
    </row>
    <row r="80" spans="1:10" ht="20.25" customHeight="1" x14ac:dyDescent="0.3">
      <c r="A80" s="116" t="s">
        <v>134</v>
      </c>
      <c r="B80" s="116"/>
      <c r="C80" s="97">
        <f ca="1">J81</f>
        <v>6</v>
      </c>
      <c r="D80" s="93">
        <f ca="1">((100/H78)*C80)/100</f>
        <v>1</v>
      </c>
      <c r="E80" s="117">
        <f ca="1">(((C80/H78*10)+(C81/H78*15)+(25/(E78+G78+H78)*C82)+(5/(H78)*C83)+(2.5/(H78)*C84)+(2.5/(H78)*C85)+(5/H78*C86)+(10/H78*C87)+(2.5/H78*C88)+(2.5/H78*C89)+(10/H78*C90)+(10/H78*C91))/100)</f>
        <v>0.51011904761904769</v>
      </c>
      <c r="F80" s="118"/>
      <c r="G80" s="116" t="str">
        <f ca="1">I77</f>
        <v>Excavation work Completed. Plinth work completed, RCC upto 6 Slab, Brickwork upto 4 Floor, Internal Plaster upto 3 Floor Completed</v>
      </c>
      <c r="H80" s="116"/>
      <c r="I80" s="18" t="s">
        <v>124</v>
      </c>
      <c r="J80" s="21">
        <f ca="1">H78*50%</f>
        <v>3</v>
      </c>
    </row>
    <row r="81" spans="1:10" ht="20.25" x14ac:dyDescent="0.3">
      <c r="A81" s="116" t="s">
        <v>105</v>
      </c>
      <c r="B81" s="116"/>
      <c r="C81" s="98">
        <f ca="1">J89</f>
        <v>6</v>
      </c>
      <c r="D81" s="93">
        <f ca="1">((100/H78)*C81)/100</f>
        <v>1</v>
      </c>
      <c r="E81" s="119"/>
      <c r="F81" s="120"/>
      <c r="G81" s="116"/>
      <c r="H81" s="116"/>
      <c r="I81" s="18" t="s">
        <v>125</v>
      </c>
      <c r="J81" s="21">
        <f ca="1">H78</f>
        <v>6</v>
      </c>
    </row>
    <row r="82" spans="1:10" ht="21" customHeight="1" x14ac:dyDescent="0.35">
      <c r="A82" s="116" t="s">
        <v>135</v>
      </c>
      <c r="B82" s="116"/>
      <c r="C82" s="97">
        <v>6</v>
      </c>
      <c r="D82" s="93">
        <f ca="1">((100/(E78+G78+H78))*C82)/100</f>
        <v>0.85714285714285721</v>
      </c>
      <c r="E82" s="119"/>
      <c r="F82" s="120"/>
      <c r="G82" s="116"/>
      <c r="H82" s="116"/>
      <c r="I82" s="18" t="s">
        <v>126</v>
      </c>
      <c r="J82" s="22">
        <f ca="1">(IF(D78&gt;1,(H78/(D78+2)),H78*0.2))</f>
        <v>1.2000000000000002</v>
      </c>
    </row>
    <row r="83" spans="1:10" ht="21" customHeight="1" x14ac:dyDescent="0.35">
      <c r="A83" s="116" t="s">
        <v>136</v>
      </c>
      <c r="B83" s="116"/>
      <c r="C83" s="97">
        <v>4</v>
      </c>
      <c r="D83" s="93">
        <f ca="1">((100/H78)*C83)/100</f>
        <v>0.66666666666666674</v>
      </c>
      <c r="E83" s="119"/>
      <c r="F83" s="120"/>
      <c r="G83" s="116"/>
      <c r="H83" s="116"/>
      <c r="I83" s="18" t="s">
        <v>127</v>
      </c>
      <c r="J83" s="22">
        <f ca="1">(IF(D78&gt;1,(H78/(D78+2)+J82),H78*0.2+J82))</f>
        <v>2.4000000000000004</v>
      </c>
    </row>
    <row r="84" spans="1:10" ht="21" customHeight="1" x14ac:dyDescent="0.35">
      <c r="A84" s="123" t="s">
        <v>137</v>
      </c>
      <c r="B84" s="124"/>
      <c r="C84" s="97">
        <v>3</v>
      </c>
      <c r="D84" s="93">
        <f ca="1">((100/H78)*C84)/100</f>
        <v>0.5</v>
      </c>
      <c r="E84" s="119"/>
      <c r="F84" s="120"/>
      <c r="G84" s="116"/>
      <c r="H84" s="116"/>
      <c r="I84" s="18" t="s">
        <v>138</v>
      </c>
      <c r="J84" s="22">
        <f>(IF(D78&gt;1,(H78/(D78+2)+J83),0))</f>
        <v>0</v>
      </c>
    </row>
    <row r="85" spans="1:10" ht="21" customHeight="1" x14ac:dyDescent="0.35">
      <c r="A85" s="123" t="s">
        <v>168</v>
      </c>
      <c r="B85" s="124"/>
      <c r="C85" s="97">
        <v>0</v>
      </c>
      <c r="D85" s="93">
        <f ca="1">((100/H78)*C85)/100</f>
        <v>0</v>
      </c>
      <c r="E85" s="119"/>
      <c r="F85" s="120"/>
      <c r="G85" s="116"/>
      <c r="H85" s="116"/>
      <c r="I85" s="18" t="s">
        <v>139</v>
      </c>
      <c r="J85" s="22">
        <f>(IF(D78&gt;2,(H78/(D78+2)+J84),0))</f>
        <v>0</v>
      </c>
    </row>
    <row r="86" spans="1:10" ht="57.75" customHeight="1" x14ac:dyDescent="0.35">
      <c r="A86" s="123" t="s">
        <v>165</v>
      </c>
      <c r="B86" s="124"/>
      <c r="C86" s="97">
        <v>0</v>
      </c>
      <c r="D86" s="93">
        <f ca="1">((100/(H78))*C86)/100</f>
        <v>0</v>
      </c>
      <c r="E86" s="119"/>
      <c r="F86" s="120"/>
      <c r="G86" s="116"/>
      <c r="H86" s="116"/>
      <c r="I86" s="18" t="s">
        <v>141</v>
      </c>
      <c r="J86" s="23">
        <f>(IF(D78&gt;3,(H78/(D78+2)+J85),0))</f>
        <v>0</v>
      </c>
    </row>
    <row r="87" spans="1:10" ht="21" x14ac:dyDescent="0.35">
      <c r="A87" s="116" t="s">
        <v>140</v>
      </c>
      <c r="B87" s="116"/>
      <c r="C87" s="97">
        <v>0</v>
      </c>
      <c r="D87" s="93">
        <f ca="1">((100/(H78))*C87)/100</f>
        <v>0</v>
      </c>
      <c r="E87" s="119"/>
      <c r="F87" s="120"/>
      <c r="G87" s="116"/>
      <c r="H87" s="116"/>
      <c r="I87" s="18" t="s">
        <v>142</v>
      </c>
      <c r="J87" s="22">
        <f>(IF(D78&gt;4,(H78/(D78+2)+J86),0))</f>
        <v>0</v>
      </c>
    </row>
    <row r="88" spans="1:10" ht="21" customHeight="1" x14ac:dyDescent="0.35">
      <c r="A88" s="116" t="s">
        <v>167</v>
      </c>
      <c r="B88" s="116"/>
      <c r="C88" s="97">
        <v>0</v>
      </c>
      <c r="D88" s="93">
        <f ca="1">((100/H78)*C88)/100</f>
        <v>0</v>
      </c>
      <c r="E88" s="119"/>
      <c r="F88" s="120"/>
      <c r="G88" s="116"/>
      <c r="H88" s="116"/>
      <c r="I88" s="18" t="s">
        <v>128</v>
      </c>
      <c r="J88" s="22">
        <f ca="1">(IF(D78=1,(H78/(D78+3)+J83),IF(D78=0,(H78*0.3+J83),IF(D78&gt;1,0))))</f>
        <v>4.2</v>
      </c>
    </row>
    <row r="89" spans="1:10" ht="21.75" thickBot="1" x14ac:dyDescent="0.4">
      <c r="A89" s="116" t="s">
        <v>166</v>
      </c>
      <c r="B89" s="116"/>
      <c r="C89" s="97">
        <v>0</v>
      </c>
      <c r="D89" s="93">
        <f ca="1">((100/H78)*C89)/100</f>
        <v>0</v>
      </c>
      <c r="E89" s="119"/>
      <c r="F89" s="120"/>
      <c r="G89" s="116"/>
      <c r="H89" s="116"/>
      <c r="I89" s="20" t="s">
        <v>129</v>
      </c>
      <c r="J89" s="24">
        <f ca="1">(IF(D78&gt;1.5,(H78/(D78+2)+J83+MAX(0,J84-J83)+MAX(0,J85-J84)+MAX(0,J86-J85)+MAX(0,J87-J86)+MAX(0,J88-J87)),IF(D78=1,(H78/(D78+3)+J88),IF(D78=0,H78*0.3+J88))))</f>
        <v>6</v>
      </c>
    </row>
    <row r="90" spans="1:10" ht="20.25" x14ac:dyDescent="0.25">
      <c r="A90" s="116" t="s">
        <v>143</v>
      </c>
      <c r="B90" s="116"/>
      <c r="C90" s="97">
        <v>0</v>
      </c>
      <c r="D90" s="93">
        <f ca="1">((100/(H78))*C90)/100</f>
        <v>0</v>
      </c>
      <c r="E90" s="119"/>
      <c r="F90" s="120"/>
      <c r="G90" s="116"/>
      <c r="H90" s="116"/>
    </row>
    <row r="91" spans="1:10" ht="20.25" x14ac:dyDescent="0.25">
      <c r="A91" s="116" t="s">
        <v>144</v>
      </c>
      <c r="B91" s="116"/>
      <c r="C91" s="97">
        <v>0</v>
      </c>
      <c r="D91" s="93">
        <f ca="1">((100/(H78))*C91)/100</f>
        <v>0</v>
      </c>
      <c r="E91" s="121"/>
      <c r="F91" s="122"/>
      <c r="G91" s="116"/>
      <c r="H91" s="116"/>
    </row>
    <row r="92" spans="1:10" ht="21" hidden="1" thickBot="1" x14ac:dyDescent="0.3">
      <c r="A92" s="141" t="s">
        <v>69</v>
      </c>
      <c r="B92" s="141"/>
      <c r="C92" s="141"/>
      <c r="D92" s="141"/>
      <c r="E92" s="141"/>
      <c r="F92" s="141"/>
      <c r="G92" s="141"/>
      <c r="H92" s="141"/>
    </row>
    <row r="93" spans="1:10" ht="20.25" hidden="1" customHeight="1" x14ac:dyDescent="0.3">
      <c r="A93" s="147" t="str">
        <f>CONCATENATE((IF(OR(A48="",A48="NA"),"",A48)),"= ",(IF(OR(D48="",D48="NA"),"",D48)),".")</f>
        <v>Tower 3 = .</v>
      </c>
      <c r="B93" s="147"/>
      <c r="C93" s="147"/>
      <c r="D93" s="30" t="s">
        <v>117</v>
      </c>
      <c r="E93" s="146" t="s">
        <v>104</v>
      </c>
      <c r="F93" s="146"/>
      <c r="G93" s="30" t="s">
        <v>118</v>
      </c>
      <c r="H93" s="30" t="s">
        <v>119</v>
      </c>
      <c r="I93" s="14"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6"/>
    </row>
    <row r="94" spans="1:10" ht="20.25" hidden="1" x14ac:dyDescent="0.3">
      <c r="A94" s="147"/>
      <c r="B94" s="147"/>
      <c r="C94" s="147"/>
      <c r="D94" s="54">
        <f>IF(AND(ISNUMBER(SEARCH("1B",A93))),1,IF(AND(ISNUMBER(SEARCH("2B",A93))),2,IF(AND(ISNUMBER(SEARCH("3B",A93))),3,IF(AND(ISNUMBER(SEARCH("4B",A93))),4,IF(ISNUMBER(SEARCH("5B",A93)),5,0)))))</f>
        <v>0</v>
      </c>
      <c r="E94" s="146">
        <v>1</v>
      </c>
      <c r="F94" s="146"/>
      <c r="G94" s="54">
        <v>0</v>
      </c>
      <c r="H94" s="30">
        <f ca="1">--TRIM(RIGHT(SUBSTITUTE(LEFT(A93,_xlfn.AGGREGATE(16,6,FIND({0,1,2,3,4,5,6,7,8,9},A93,ROW(INDIRECT("1:"&amp;LEN(A93)))),1))," ",REPT(" ",LEN(A93))),LEN(A93)))</f>
        <v>3</v>
      </c>
      <c r="I94" s="15" t="s">
        <v>123</v>
      </c>
      <c r="J94" s="16"/>
    </row>
    <row r="95" spans="1:10" ht="20.25" hidden="1" customHeight="1" x14ac:dyDescent="0.3">
      <c r="A95" s="115" t="s">
        <v>121</v>
      </c>
      <c r="B95" s="115"/>
      <c r="C95" s="35" t="s">
        <v>131</v>
      </c>
      <c r="D95" s="35" t="s">
        <v>132</v>
      </c>
      <c r="E95" s="115" t="s">
        <v>122</v>
      </c>
      <c r="F95" s="115"/>
      <c r="G95" s="25" t="s">
        <v>120</v>
      </c>
      <c r="H95" s="25"/>
      <c r="I95" s="18" t="s">
        <v>133</v>
      </c>
      <c r="J95" s="17">
        <f ca="1">H94*25%</f>
        <v>0.75</v>
      </c>
    </row>
    <row r="96" spans="1:10" ht="20.25" hidden="1" customHeight="1" x14ac:dyDescent="0.3">
      <c r="A96" s="116" t="s">
        <v>134</v>
      </c>
      <c r="B96" s="116"/>
      <c r="C96" s="30">
        <f ca="1">J97</f>
        <v>3</v>
      </c>
      <c r="D96" s="31">
        <f ca="1">((100/H94)*C96)/100</f>
        <v>1</v>
      </c>
      <c r="E96" s="117">
        <f ca="1">(((C96/H94*10)+(C97/H94*15)+(25/(E94+G94+H94)*C98)+(5/(H94)*C99)+(2.5/(H94)*C100)+(2.5/(H94)*C101)+(5/H94*C102)+(10/H94*C103)+(2.5/H94*C104)+(2.5/H94*C105)+(10/H94*C106)+(10/H94*C107))/100)</f>
        <v>0.25</v>
      </c>
      <c r="F96" s="118"/>
      <c r="G96" s="116" t="str">
        <f ca="1">I93</f>
        <v>Excavation work Completed. Plinth work completed</v>
      </c>
      <c r="H96" s="116"/>
      <c r="I96" s="18" t="s">
        <v>124</v>
      </c>
      <c r="J96" s="21">
        <f ca="1">H94*50%</f>
        <v>1.5</v>
      </c>
    </row>
    <row r="97" spans="1:11" ht="20.25" hidden="1" x14ac:dyDescent="0.3">
      <c r="A97" s="116" t="s">
        <v>105</v>
      </c>
      <c r="B97" s="116"/>
      <c r="C97" s="32">
        <f ca="1">J105</f>
        <v>3</v>
      </c>
      <c r="D97" s="31">
        <f ca="1">((100/H94)*C97)/100</f>
        <v>1</v>
      </c>
      <c r="E97" s="119"/>
      <c r="F97" s="120"/>
      <c r="G97" s="116"/>
      <c r="H97" s="116"/>
      <c r="I97" s="18" t="s">
        <v>125</v>
      </c>
      <c r="J97" s="21">
        <f ca="1">H94</f>
        <v>3</v>
      </c>
    </row>
    <row r="98" spans="1:11" ht="21" hidden="1" customHeight="1" x14ac:dyDescent="0.35">
      <c r="A98" s="116" t="s">
        <v>135</v>
      </c>
      <c r="B98" s="116"/>
      <c r="C98" s="30">
        <v>0</v>
      </c>
      <c r="D98" s="31">
        <f ca="1">((100/(E94+G94+H94))*C98)/100</f>
        <v>0</v>
      </c>
      <c r="E98" s="119"/>
      <c r="F98" s="120"/>
      <c r="G98" s="116"/>
      <c r="H98" s="116"/>
      <c r="I98" s="18" t="s">
        <v>126</v>
      </c>
      <c r="J98" s="22">
        <f ca="1">(IF(D94&gt;1,(H94/(D94+2)),H94*0.2))</f>
        <v>0.60000000000000009</v>
      </c>
    </row>
    <row r="99" spans="1:11" ht="21" hidden="1" customHeight="1" x14ac:dyDescent="0.35">
      <c r="A99" s="116" t="s">
        <v>136</v>
      </c>
      <c r="B99" s="116"/>
      <c r="C99" s="30">
        <v>0</v>
      </c>
      <c r="D99" s="31">
        <f ca="1">((100/H94)*C99)/100</f>
        <v>0</v>
      </c>
      <c r="E99" s="119"/>
      <c r="F99" s="120"/>
      <c r="G99" s="116"/>
      <c r="H99" s="116"/>
      <c r="I99" s="18" t="s">
        <v>127</v>
      </c>
      <c r="J99" s="22">
        <f ca="1">(IF(D94&gt;1,(H94/(D94+2)+J98),H94*0.2+J98))</f>
        <v>1.2000000000000002</v>
      </c>
    </row>
    <row r="100" spans="1:11" ht="21" hidden="1" customHeight="1" x14ac:dyDescent="0.35">
      <c r="A100" s="123" t="s">
        <v>137</v>
      </c>
      <c r="B100" s="124"/>
      <c r="C100" s="30">
        <v>0</v>
      </c>
      <c r="D100" s="31">
        <f ca="1">((100/H94)*C100)/100</f>
        <v>0</v>
      </c>
      <c r="E100" s="119"/>
      <c r="F100" s="120"/>
      <c r="G100" s="116"/>
      <c r="H100" s="116"/>
      <c r="I100" s="18" t="s">
        <v>138</v>
      </c>
      <c r="J100" s="22">
        <f>(IF(D94&gt;1,(H94/(D94+2)+J99),0))</f>
        <v>0</v>
      </c>
    </row>
    <row r="101" spans="1:11" ht="21" hidden="1" customHeight="1" x14ac:dyDescent="0.35">
      <c r="A101" s="123" t="s">
        <v>168</v>
      </c>
      <c r="B101" s="124"/>
      <c r="C101" s="30">
        <v>0</v>
      </c>
      <c r="D101" s="31">
        <f ca="1">((100/H94)*C101)/100</f>
        <v>0</v>
      </c>
      <c r="E101" s="119"/>
      <c r="F101" s="120"/>
      <c r="G101" s="116"/>
      <c r="H101" s="116"/>
      <c r="I101" s="18" t="s">
        <v>139</v>
      </c>
      <c r="J101" s="22">
        <f>(IF(D94&gt;2,(H94/(D94+2)+J100),0))</f>
        <v>0</v>
      </c>
    </row>
    <row r="102" spans="1:11" ht="57.75" hidden="1" customHeight="1" x14ac:dyDescent="0.35">
      <c r="A102" s="123" t="s">
        <v>165</v>
      </c>
      <c r="B102" s="124"/>
      <c r="C102" s="30">
        <v>0</v>
      </c>
      <c r="D102" s="31">
        <f ca="1">((100/(H94))*C102)/100</f>
        <v>0</v>
      </c>
      <c r="E102" s="119"/>
      <c r="F102" s="120"/>
      <c r="G102" s="116"/>
      <c r="H102" s="116"/>
      <c r="I102" s="18" t="s">
        <v>141</v>
      </c>
      <c r="J102" s="23">
        <f>(IF(D94&gt;3,(H94/(D94+2)+J101),0))</f>
        <v>0</v>
      </c>
    </row>
    <row r="103" spans="1:11" ht="21" hidden="1" x14ac:dyDescent="0.35">
      <c r="A103" s="116" t="s">
        <v>140</v>
      </c>
      <c r="B103" s="116"/>
      <c r="C103" s="30">
        <v>0</v>
      </c>
      <c r="D103" s="31">
        <f ca="1">((100/(H94))*C103)/100</f>
        <v>0</v>
      </c>
      <c r="E103" s="119"/>
      <c r="F103" s="120"/>
      <c r="G103" s="116"/>
      <c r="H103" s="116"/>
      <c r="I103" s="18" t="s">
        <v>142</v>
      </c>
      <c r="J103" s="22">
        <f>(IF(D94&gt;4,(H94/(D94+2)+J102),0))</f>
        <v>0</v>
      </c>
    </row>
    <row r="104" spans="1:11" ht="21" hidden="1" customHeight="1" x14ac:dyDescent="0.35">
      <c r="A104" s="116" t="s">
        <v>167</v>
      </c>
      <c r="B104" s="116"/>
      <c r="C104" s="30">
        <v>0</v>
      </c>
      <c r="D104" s="31">
        <f ca="1">((100/H94)*C104)/100</f>
        <v>0</v>
      </c>
      <c r="E104" s="119"/>
      <c r="F104" s="120"/>
      <c r="G104" s="116"/>
      <c r="H104" s="116"/>
      <c r="I104" s="18" t="s">
        <v>128</v>
      </c>
      <c r="J104" s="22">
        <f ca="1">(IF(D94=1,(H94/(D94+3)+J99),IF(D94=0,(H94*0.3+J99),IF(D94&gt;1,0))))</f>
        <v>2.1</v>
      </c>
    </row>
    <row r="105" spans="1:11" ht="21.75" hidden="1" thickBot="1" x14ac:dyDescent="0.4">
      <c r="A105" s="116" t="s">
        <v>166</v>
      </c>
      <c r="B105" s="116"/>
      <c r="C105" s="30">
        <v>0</v>
      </c>
      <c r="D105" s="31">
        <f ca="1">((100/H94)*C105)/100</f>
        <v>0</v>
      </c>
      <c r="E105" s="119"/>
      <c r="F105" s="120"/>
      <c r="G105" s="116"/>
      <c r="H105" s="116"/>
      <c r="I105" s="20" t="s">
        <v>129</v>
      </c>
      <c r="J105" s="24">
        <f ca="1">(IF(D94&gt;1.5,(H94/(D94+2)+J99+MAX(0,J100-J99)+MAX(0,J101-J100)+MAX(0,J102-J101)+MAX(0,J103-J102)+MAX(0,J104-J103)),IF(D94=1,(H94/(D94+3)+J104),IF(D94=0,H94*0.3+J104))))</f>
        <v>3</v>
      </c>
    </row>
    <row r="106" spans="1:11" ht="20.25" hidden="1" x14ac:dyDescent="0.25">
      <c r="A106" s="116" t="s">
        <v>143</v>
      </c>
      <c r="B106" s="116"/>
      <c r="C106" s="30">
        <v>0</v>
      </c>
      <c r="D106" s="31">
        <f ca="1">((100/(H94))*C106)/100</f>
        <v>0</v>
      </c>
      <c r="E106" s="119"/>
      <c r="F106" s="120"/>
      <c r="G106" s="116"/>
      <c r="H106" s="116"/>
    </row>
    <row r="107" spans="1:11" ht="20.25" hidden="1" x14ac:dyDescent="0.25">
      <c r="A107" s="116" t="s">
        <v>144</v>
      </c>
      <c r="B107" s="116"/>
      <c r="C107" s="30">
        <v>0</v>
      </c>
      <c r="D107" s="31">
        <f ca="1">((100/(H94))*C107)/100</f>
        <v>0</v>
      </c>
      <c r="E107" s="121"/>
      <c r="F107" s="122"/>
      <c r="G107" s="116"/>
      <c r="H107" s="116"/>
    </row>
    <row r="108" spans="1:11" ht="36.75" customHeight="1" x14ac:dyDescent="0.3">
      <c r="A108" s="184" t="s">
        <v>130</v>
      </c>
      <c r="B108" s="185"/>
      <c r="C108" s="185"/>
      <c r="D108" s="185"/>
      <c r="E108" s="185"/>
      <c r="F108" s="185"/>
      <c r="G108" s="188">
        <f ca="1">AVERAGE(E64,E80)</f>
        <v>0.51428571428571435</v>
      </c>
      <c r="H108" s="189"/>
      <c r="I108" s="18"/>
      <c r="J108" s="19"/>
      <c r="K108" s="19"/>
    </row>
    <row r="109" spans="1:11" ht="20.25" x14ac:dyDescent="0.25">
      <c r="A109" s="158" t="s">
        <v>73</v>
      </c>
      <c r="B109" s="159"/>
      <c r="C109" s="159"/>
      <c r="D109" s="159"/>
      <c r="E109" s="159"/>
      <c r="F109" s="159"/>
      <c r="G109" s="159"/>
      <c r="H109" s="160"/>
    </row>
    <row r="110" spans="1:11" ht="54.75" customHeight="1" x14ac:dyDescent="0.25">
      <c r="A110" s="149" t="s">
        <v>74</v>
      </c>
      <c r="B110" s="150"/>
      <c r="C110" s="153" t="s">
        <v>109</v>
      </c>
      <c r="D110" s="154"/>
      <c r="E110" s="149" t="s">
        <v>145</v>
      </c>
      <c r="F110" s="150" t="s">
        <v>4</v>
      </c>
      <c r="G110" s="161" t="s">
        <v>157</v>
      </c>
      <c r="H110" s="161"/>
    </row>
    <row r="111" spans="1:11" ht="44.25" customHeight="1" x14ac:dyDescent="0.25">
      <c r="A111" s="149" t="s">
        <v>154</v>
      </c>
      <c r="B111" s="150"/>
      <c r="C111" s="153" t="s">
        <v>356</v>
      </c>
      <c r="D111" s="154"/>
      <c r="E111" s="149" t="s">
        <v>155</v>
      </c>
      <c r="F111" s="150" t="s">
        <v>4</v>
      </c>
      <c r="G111" s="125" t="s">
        <v>146</v>
      </c>
      <c r="H111" s="125"/>
    </row>
    <row r="112" spans="1:11" ht="20.25" x14ac:dyDescent="0.25">
      <c r="A112" s="149" t="s">
        <v>75</v>
      </c>
      <c r="B112" s="150"/>
      <c r="C112" s="129">
        <v>200000</v>
      </c>
      <c r="D112" s="131"/>
      <c r="E112" s="149" t="s">
        <v>103</v>
      </c>
      <c r="F112" s="150" t="s">
        <v>4</v>
      </c>
      <c r="G112" s="153" t="s">
        <v>110</v>
      </c>
      <c r="H112" s="154"/>
    </row>
    <row r="113" spans="1:150 16226:16383" ht="20.25" x14ac:dyDescent="0.25">
      <c r="A113" s="158" t="s">
        <v>72</v>
      </c>
      <c r="B113" s="159"/>
      <c r="C113" s="159"/>
      <c r="D113" s="159"/>
      <c r="E113" s="159"/>
      <c r="F113" s="159"/>
      <c r="G113" s="159"/>
      <c r="H113" s="160"/>
    </row>
    <row r="114" spans="1:150 16226:16383" ht="20.25" customHeight="1" x14ac:dyDescent="0.25">
      <c r="A114" s="149" t="s">
        <v>8</v>
      </c>
      <c r="B114" s="155"/>
      <c r="C114" s="155"/>
      <c r="D114" s="155"/>
      <c r="E114" s="155"/>
      <c r="F114" s="150"/>
      <c r="G114" s="182">
        <f>5230/10.764</f>
        <v>485.87885544407288</v>
      </c>
      <c r="H114" s="183"/>
      <c r="I114" s="90" t="s">
        <v>337</v>
      </c>
    </row>
    <row r="115" spans="1:150 16226:16383" ht="20.25" customHeight="1" x14ac:dyDescent="0.25">
      <c r="A115" s="149" t="s">
        <v>28</v>
      </c>
      <c r="B115" s="155"/>
      <c r="C115" s="155"/>
      <c r="D115" s="155"/>
      <c r="E115" s="155"/>
      <c r="F115" s="150" t="s">
        <v>4</v>
      </c>
      <c r="G115" s="139">
        <f>63500/10.764</f>
        <v>5899.293942772204</v>
      </c>
      <c r="H115" s="139"/>
      <c r="J115" s="1" t="s">
        <v>352</v>
      </c>
    </row>
    <row r="116" spans="1:150 16226:16383" ht="20.25" customHeight="1" x14ac:dyDescent="0.25">
      <c r="A116" s="149" t="s">
        <v>111</v>
      </c>
      <c r="B116" s="155"/>
      <c r="C116" s="155"/>
      <c r="D116" s="155"/>
      <c r="E116" s="155"/>
      <c r="F116" s="150" t="s">
        <v>4</v>
      </c>
      <c r="G116" s="139">
        <f>G114*0.8</f>
        <v>388.70308435525834</v>
      </c>
      <c r="H116" s="139"/>
      <c r="I116" s="1">
        <f>G114*0.8</f>
        <v>388.70308435525834</v>
      </c>
      <c r="J116" s="105" t="s">
        <v>351</v>
      </c>
    </row>
    <row r="117" spans="1:150 16226:16383" ht="20.25" x14ac:dyDescent="0.25">
      <c r="A117" s="179" t="s">
        <v>243</v>
      </c>
      <c r="B117" s="180"/>
      <c r="C117" s="180"/>
      <c r="D117" s="180"/>
      <c r="E117" s="180"/>
      <c r="F117" s="180"/>
      <c r="G117" s="180"/>
      <c r="H117" s="181"/>
    </row>
    <row r="118" spans="1:150 16226:16383" s="3" customFormat="1" ht="20.25" x14ac:dyDescent="0.25">
      <c r="A118" s="151" t="s">
        <v>151</v>
      </c>
      <c r="B118" s="152"/>
      <c r="C118" s="151" t="s">
        <v>152</v>
      </c>
      <c r="D118" s="152"/>
      <c r="E118" s="151" t="s">
        <v>150</v>
      </c>
      <c r="F118" s="152"/>
      <c r="G118" s="151" t="s">
        <v>163</v>
      </c>
      <c r="H118" s="152"/>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156" t="s">
        <v>317</v>
      </c>
      <c r="B119" s="157"/>
      <c r="C119" s="156" t="s">
        <v>96</v>
      </c>
      <c r="D119" s="157"/>
      <c r="E119" s="156">
        <f>COUNT(E131:E136)</f>
        <v>6</v>
      </c>
      <c r="F119" s="157"/>
      <c r="G119" s="156">
        <f>SUM(H131:H136)</f>
        <v>1319.5587599999999</v>
      </c>
      <c r="H119" s="157"/>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151" t="s">
        <v>153</v>
      </c>
      <c r="B120" s="152"/>
      <c r="C120" s="151" t="s">
        <v>96</v>
      </c>
      <c r="D120" s="152"/>
      <c r="E120" s="151">
        <f>SUM(E119)</f>
        <v>6</v>
      </c>
      <c r="F120" s="152"/>
      <c r="G120" s="151">
        <f>SUM(G119)</f>
        <v>1319.5587599999999</v>
      </c>
      <c r="H120" s="152"/>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ht="20.25" x14ac:dyDescent="0.25">
      <c r="A121" s="179" t="s">
        <v>231</v>
      </c>
      <c r="B121" s="180"/>
      <c r="C121" s="180"/>
      <c r="D121" s="180"/>
      <c r="E121" s="180"/>
      <c r="F121" s="180"/>
      <c r="G121" s="180"/>
      <c r="H121" s="181"/>
    </row>
    <row r="122" spans="1:150 16226:16383" s="3" customFormat="1" ht="20.25" x14ac:dyDescent="0.25">
      <c r="A122" s="151" t="s">
        <v>151</v>
      </c>
      <c r="B122" s="152"/>
      <c r="C122" s="151" t="s">
        <v>152</v>
      </c>
      <c r="D122" s="152"/>
      <c r="E122" s="151" t="s">
        <v>150</v>
      </c>
      <c r="F122" s="152"/>
      <c r="G122" s="151" t="s">
        <v>163</v>
      </c>
      <c r="H122" s="152"/>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x14ac:dyDescent="0.25">
      <c r="A123" s="156" t="s">
        <v>317</v>
      </c>
      <c r="B123" s="157"/>
      <c r="C123" s="151" t="s">
        <v>96</v>
      </c>
      <c r="D123" s="152"/>
      <c r="E123" s="156">
        <f>COUNT(E138:E142)+COUNT(E144:E148)*5</f>
        <v>30</v>
      </c>
      <c r="F123" s="157"/>
      <c r="G123" s="156">
        <f>SUM(H138:H142)+SUM(H144:H148)*5</f>
        <v>14214.615479999999</v>
      </c>
      <c r="H123" s="157"/>
      <c r="I123" s="1">
        <f>3400000*0.4%</f>
        <v>13600</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156" t="s">
        <v>318</v>
      </c>
      <c r="B124" s="157"/>
      <c r="C124" s="151" t="s">
        <v>96</v>
      </c>
      <c r="D124" s="152"/>
      <c r="E124" s="156">
        <f>COUNT(E152:E158)*6</f>
        <v>42</v>
      </c>
      <c r="F124" s="157"/>
      <c r="G124" s="156">
        <f>SUM(H152:H158)*6</f>
        <v>18217.693259999996</v>
      </c>
      <c r="H124" s="157"/>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151" t="s">
        <v>153</v>
      </c>
      <c r="B125" s="152"/>
      <c r="C125" s="151" t="s">
        <v>96</v>
      </c>
      <c r="D125" s="152"/>
      <c r="E125" s="151">
        <f>SUM(E123:F124)</f>
        <v>72</v>
      </c>
      <c r="F125" s="152"/>
      <c r="G125" s="151">
        <f>SUM(G123:H124)</f>
        <v>32432.308739999993</v>
      </c>
      <c r="H125" s="152">
        <f>SUM(H123:H124)</f>
        <v>0</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151" t="s">
        <v>244</v>
      </c>
      <c r="B126" s="152"/>
      <c r="C126" s="151" t="s">
        <v>96</v>
      </c>
      <c r="D126" s="152"/>
      <c r="E126" s="151">
        <f>SUM(E120,E125)</f>
        <v>78</v>
      </c>
      <c r="F126" s="152"/>
      <c r="G126" s="151">
        <f>SUM(G120,G125)</f>
        <v>33751.867499999993</v>
      </c>
      <c r="H126" s="152"/>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ht="20.25" x14ac:dyDescent="0.25">
      <c r="A127" s="186" t="s">
        <v>359</v>
      </c>
      <c r="B127" s="187"/>
      <c r="C127" s="187"/>
      <c r="D127" s="187"/>
      <c r="E127" s="187"/>
      <c r="F127" s="187"/>
      <c r="G127" s="187"/>
      <c r="H127" s="181"/>
    </row>
    <row r="128" spans="1:150 16226:16383" ht="66" customHeight="1" x14ac:dyDescent="0.25">
      <c r="A128" s="55" t="s">
        <v>232</v>
      </c>
      <c r="B128" s="34" t="s">
        <v>233</v>
      </c>
      <c r="C128" s="89" t="s">
        <v>234</v>
      </c>
      <c r="D128" s="26" t="s">
        <v>90</v>
      </c>
      <c r="E128" s="34" t="s">
        <v>164</v>
      </c>
      <c r="F128" s="33" t="s">
        <v>335</v>
      </c>
      <c r="G128" s="26" t="s">
        <v>92</v>
      </c>
      <c r="H128" s="26" t="s">
        <v>91</v>
      </c>
      <c r="I128" s="82">
        <v>10.763999999999999</v>
      </c>
    </row>
    <row r="129" spans="1:150 16226:16383" s="3" customFormat="1" ht="20.25" x14ac:dyDescent="0.25">
      <c r="A129" s="112" t="s">
        <v>317</v>
      </c>
      <c r="B129" s="113"/>
      <c r="C129" s="113"/>
      <c r="D129" s="113"/>
      <c r="E129" s="113"/>
      <c r="F129" s="113"/>
      <c r="G129" s="113"/>
      <c r="H129" s="11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x14ac:dyDescent="0.25">
      <c r="A130" s="109" t="s">
        <v>326</v>
      </c>
      <c r="B130" s="110"/>
      <c r="C130" s="110"/>
      <c r="D130" s="110"/>
      <c r="E130" s="110"/>
      <c r="F130" s="110"/>
      <c r="G130" s="110"/>
      <c r="H130" s="11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106">
        <v>1</v>
      </c>
      <c r="B131" s="106"/>
      <c r="C131" s="56" t="s">
        <v>96</v>
      </c>
      <c r="D131" s="56" t="s">
        <v>320</v>
      </c>
      <c r="E131" s="82">
        <f>(29.04)*10.764</f>
        <v>312.58655999999996</v>
      </c>
      <c r="F131" s="81">
        <v>0</v>
      </c>
      <c r="G131" s="81">
        <v>0</v>
      </c>
      <c r="H131" s="81">
        <f>E131+F131+(IF(G131&lt;101,G131,IF(G131&lt;201,G131/2,IF(G131&lt;=301,G131/3,G131/4))))</f>
        <v>312.58655999999996</v>
      </c>
      <c r="I131" s="85">
        <f>5.05*5.75</f>
        <v>29.037499999999998</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107">
        <f>A131+1</f>
        <v>2</v>
      </c>
      <c r="B132" s="108"/>
      <c r="C132" s="56" t="s">
        <v>96</v>
      </c>
      <c r="D132" s="56" t="s">
        <v>320</v>
      </c>
      <c r="E132" s="82">
        <f>(17.08)*10.764</f>
        <v>183.84911999999997</v>
      </c>
      <c r="F132" s="81">
        <v>0</v>
      </c>
      <c r="G132" s="81">
        <v>0</v>
      </c>
      <c r="H132" s="81">
        <f t="shared" ref="H132:H136" si="0">E132+F132+(IF(G132&lt;101,G132,IF(G132&lt;201,G132/2,IF(G132&lt;=301,G132/3,G132/4))))</f>
        <v>183.84911999999997</v>
      </c>
      <c r="I132" s="85"/>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107">
        <f t="shared" ref="A133:A136" si="1">A132+1</f>
        <v>3</v>
      </c>
      <c r="B133" s="108"/>
      <c r="C133" s="56" t="s">
        <v>96</v>
      </c>
      <c r="D133" s="56" t="s">
        <v>320</v>
      </c>
      <c r="E133" s="82">
        <f>(10.31)*10.764</f>
        <v>110.97684</v>
      </c>
      <c r="F133" s="81">
        <v>0</v>
      </c>
      <c r="G133" s="81">
        <v>0</v>
      </c>
      <c r="H133" s="81">
        <f t="shared" si="0"/>
        <v>110.97684</v>
      </c>
      <c r="I133" s="85">
        <f>2.75*3.75</f>
        <v>10.3125</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107">
        <f t="shared" si="1"/>
        <v>4</v>
      </c>
      <c r="B134" s="108"/>
      <c r="C134" s="56" t="s">
        <v>96</v>
      </c>
      <c r="D134" s="56" t="s">
        <v>320</v>
      </c>
      <c r="E134" s="82">
        <f>(16.65)*10.764</f>
        <v>179.22059999999996</v>
      </c>
      <c r="F134" s="81">
        <v>0</v>
      </c>
      <c r="G134" s="81">
        <v>0</v>
      </c>
      <c r="H134" s="81">
        <f t="shared" si="0"/>
        <v>179.22059999999996</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107">
        <f t="shared" si="1"/>
        <v>5</v>
      </c>
      <c r="B135" s="108"/>
      <c r="C135" s="56" t="s">
        <v>96</v>
      </c>
      <c r="D135" s="56" t="s">
        <v>320</v>
      </c>
      <c r="E135" s="82">
        <f>(29.21)*10.764</f>
        <v>314.41643999999997</v>
      </c>
      <c r="F135" s="81">
        <v>0</v>
      </c>
      <c r="G135" s="81">
        <v>0</v>
      </c>
      <c r="H135" s="81">
        <f t="shared" si="0"/>
        <v>314.41643999999997</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107">
        <f t="shared" si="1"/>
        <v>6</v>
      </c>
      <c r="B136" s="108"/>
      <c r="C136" s="56" t="s">
        <v>96</v>
      </c>
      <c r="D136" s="56" t="s">
        <v>320</v>
      </c>
      <c r="E136" s="82">
        <f>(20.3)*10.764</f>
        <v>218.50919999999999</v>
      </c>
      <c r="F136" s="81">
        <v>0</v>
      </c>
      <c r="G136" s="81">
        <v>0</v>
      </c>
      <c r="H136" s="81">
        <f t="shared" si="0"/>
        <v>218.50919999999999</v>
      </c>
      <c r="I136" s="84">
        <f>2.77*7.33</f>
        <v>20.304100000000002</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09" t="s">
        <v>322</v>
      </c>
      <c r="B137" s="110"/>
      <c r="C137" s="110"/>
      <c r="D137" s="110"/>
      <c r="E137" s="110"/>
      <c r="F137" s="110"/>
      <c r="G137" s="110"/>
      <c r="H137" s="11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06">
        <v>1</v>
      </c>
      <c r="B138" s="106"/>
      <c r="C138" s="56" t="s">
        <v>96</v>
      </c>
      <c r="D138" s="56" t="s">
        <v>324</v>
      </c>
      <c r="E138" s="82">
        <f>(47.5)*10.764</f>
        <v>511.28999999999996</v>
      </c>
      <c r="F138" s="83">
        <f>(0.75*(5.75+5.3))*10.764</f>
        <v>89.20665000000001</v>
      </c>
      <c r="G138" s="83">
        <v>0</v>
      </c>
      <c r="H138" s="81">
        <f>E138+F138+(IF(G138&lt;101,G138,IF(G138&lt;201,G138/2,IF(G138&lt;=301,G138/3,G138/4))))</f>
        <v>600.49664999999993</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07">
        <f>A138+1</f>
        <v>2</v>
      </c>
      <c r="B139" s="108"/>
      <c r="C139" s="56" t="s">
        <v>96</v>
      </c>
      <c r="D139" s="56" t="s">
        <v>323</v>
      </c>
      <c r="E139" s="82">
        <f>(31.95)*10.764</f>
        <v>343.90979999999996</v>
      </c>
      <c r="F139" s="83">
        <f>(0.75*(2.2+2.2+2.75))*10.764</f>
        <v>57.721950000000007</v>
      </c>
      <c r="G139" s="91">
        <f>(2.8*2.75)*10.764</f>
        <v>82.882799999999989</v>
      </c>
      <c r="H139" s="81">
        <f t="shared" ref="H139:H142" si="2">E139+F139+(IF(G139&lt;101,G139,IF(G139&lt;201,G139/2,IF(G139&lt;=301,G139/3,G139/4))))</f>
        <v>484.51454999999993</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07">
        <f t="shared" ref="A140:A142" si="3">A139+1</f>
        <v>3</v>
      </c>
      <c r="B140" s="108"/>
      <c r="C140" s="56" t="s">
        <v>96</v>
      </c>
      <c r="D140" s="56" t="s">
        <v>323</v>
      </c>
      <c r="E140" s="82">
        <f>(35.81)*10.764</f>
        <v>385.45884000000001</v>
      </c>
      <c r="F140" s="83">
        <f>(0.75*5.2)*10.764</f>
        <v>41.979599999999998</v>
      </c>
      <c r="G140" s="87">
        <v>0</v>
      </c>
      <c r="H140" s="81">
        <f t="shared" si="2"/>
        <v>427.43844000000001</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07">
        <f t="shared" si="3"/>
        <v>4</v>
      </c>
      <c r="B141" s="108"/>
      <c r="C141" s="56" t="s">
        <v>96</v>
      </c>
      <c r="D141" s="56" t="s">
        <v>323</v>
      </c>
      <c r="E141" s="82">
        <f>(35.81)*10.764</f>
        <v>385.45884000000001</v>
      </c>
      <c r="F141" s="83">
        <f>(0.75*(2.75+5.4))*10.764</f>
        <v>65.79495</v>
      </c>
      <c r="G141" s="87">
        <v>0</v>
      </c>
      <c r="H141" s="81">
        <f t="shared" si="2"/>
        <v>451.25378999999998</v>
      </c>
      <c r="I141" s="1"/>
      <c r="J141" s="1"/>
      <c r="K141" s="1">
        <f>4300*1.45</f>
        <v>6235</v>
      </c>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07">
        <f t="shared" si="3"/>
        <v>5</v>
      </c>
      <c r="B142" s="108"/>
      <c r="C142" s="56" t="s">
        <v>96</v>
      </c>
      <c r="D142" s="56" t="s">
        <v>323</v>
      </c>
      <c r="E142" s="82">
        <f>(37.09)*10.764</f>
        <v>399.23676</v>
      </c>
      <c r="F142" s="83">
        <f>(0.75*(2.75+5.4))*10.764</f>
        <v>65.79495</v>
      </c>
      <c r="G142" s="88">
        <f>(2*2+1.8*0.7)*10.764</f>
        <v>56.618639999999992</v>
      </c>
      <c r="H142" s="81">
        <f t="shared" si="2"/>
        <v>521.65035</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109" t="s">
        <v>350</v>
      </c>
      <c r="B143" s="110"/>
      <c r="C143" s="110"/>
      <c r="D143" s="110"/>
      <c r="E143" s="110"/>
      <c r="F143" s="110"/>
      <c r="G143" s="110"/>
      <c r="H143" s="111"/>
      <c r="I143" s="99"/>
      <c r="J143" s="1"/>
      <c r="K143" s="102">
        <f>3100000-(310000*0.08)-200000</f>
        <v>2875200</v>
      </c>
      <c r="L143" s="1">
        <v>6200</v>
      </c>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x14ac:dyDescent="0.25">
      <c r="A144" s="106">
        <v>1</v>
      </c>
      <c r="B144" s="106"/>
      <c r="C144" s="56" t="s">
        <v>96</v>
      </c>
      <c r="D144" s="56" t="s">
        <v>324</v>
      </c>
      <c r="E144" s="82">
        <f>(47.5)*10.764</f>
        <v>511.28999999999996</v>
      </c>
      <c r="F144" s="83">
        <f>(0.75*(5.75+5.3))*10.764</f>
        <v>89.20665000000001</v>
      </c>
      <c r="G144" s="81">
        <v>0</v>
      </c>
      <c r="H144" s="81">
        <f>E144+F144+(IF(G144&lt;101,G144,IF(G144&lt;201,G144/2,IF(G144&lt;=301,G144/3,G144/4))))</f>
        <v>600.49664999999993</v>
      </c>
      <c r="I144" s="100">
        <f>2.9*5.2+2.25*2.4+2.75*(3.4+3.2)+1.2*(1.5+1.85)+2.4*0.9+1.2*0.7</f>
        <v>45.649999999999991</v>
      </c>
      <c r="J144" s="1"/>
      <c r="K144" s="1"/>
      <c r="L144" s="103">
        <f>$L$143*H144</f>
        <v>3723079.2299999995</v>
      </c>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107">
        <f>A144+1</f>
        <v>2</v>
      </c>
      <c r="B145" s="108"/>
      <c r="C145" s="56" t="s">
        <v>96</v>
      </c>
      <c r="D145" s="56" t="s">
        <v>323</v>
      </c>
      <c r="E145" s="82">
        <f>(31.95)*10.764</f>
        <v>343.90979999999996</v>
      </c>
      <c r="F145" s="83">
        <f>(0.75*(2.2+2.2+2.75))*10.764</f>
        <v>57.721950000000007</v>
      </c>
      <c r="G145" s="81">
        <v>0</v>
      </c>
      <c r="H145" s="81">
        <f t="shared" ref="H145:H148" si="4">E145+F145+(IF(G145&lt;101,G145,IF(G145&lt;201,G145/2,IF(G145&lt;=301,G145/3,G145/4))))</f>
        <v>401.63174999999995</v>
      </c>
      <c r="I145" s="101">
        <f>4.55*2.75+2.4*2.1+2.85*2.75+1.2*(1.8+1.8)+0.9*1.6</f>
        <v>31.150000000000002</v>
      </c>
      <c r="J145" s="102">
        <f>(2800000-(2800000*0.08))/H145</f>
        <v>6413.8355595642033</v>
      </c>
      <c r="K145" s="1">
        <f>2479000/I145</f>
        <v>79582.664526484747</v>
      </c>
      <c r="L145" s="104">
        <f t="shared" ref="L145:L148" si="5">$L$143*H145</f>
        <v>2490116.8499999996</v>
      </c>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107">
        <f t="shared" ref="A146:A148" si="6">A145+1</f>
        <v>3</v>
      </c>
      <c r="B146" s="108"/>
      <c r="C146" s="56" t="s">
        <v>96</v>
      </c>
      <c r="D146" s="56" t="s">
        <v>323</v>
      </c>
      <c r="E146" s="82">
        <f>(35.81)*10.764</f>
        <v>385.45884000000001</v>
      </c>
      <c r="F146" s="83">
        <f>(0.75*5.2)*10.764</f>
        <v>41.979599999999998</v>
      </c>
      <c r="G146" s="81">
        <v>0</v>
      </c>
      <c r="H146" s="81">
        <f t="shared" si="4"/>
        <v>427.43844000000001</v>
      </c>
      <c r="I146" s="99"/>
      <c r="J146" s="1"/>
      <c r="K146" s="1"/>
      <c r="L146" s="103">
        <f t="shared" si="5"/>
        <v>2650118.3280000002</v>
      </c>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107">
        <f t="shared" si="6"/>
        <v>4</v>
      </c>
      <c r="B147" s="108"/>
      <c r="C147" s="56" t="s">
        <v>96</v>
      </c>
      <c r="D147" s="56" t="s">
        <v>323</v>
      </c>
      <c r="E147" s="82">
        <f>(35.81)*10.764</f>
        <v>385.45884000000001</v>
      </c>
      <c r="F147" s="83">
        <f>(0.75*(2.75+5.4))*10.764</f>
        <v>65.79495</v>
      </c>
      <c r="G147" s="81">
        <v>0</v>
      </c>
      <c r="H147" s="81">
        <f t="shared" si="4"/>
        <v>451.25378999999998</v>
      </c>
      <c r="I147" s="99"/>
      <c r="K147" s="1"/>
      <c r="L147" s="103">
        <f t="shared" si="5"/>
        <v>2797773.4979999997</v>
      </c>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107">
        <f t="shared" si="6"/>
        <v>5</v>
      </c>
      <c r="B148" s="108"/>
      <c r="C148" s="56" t="s">
        <v>96</v>
      </c>
      <c r="D148" s="56" t="s">
        <v>323</v>
      </c>
      <c r="E148" s="82">
        <f>(37.09)*10.764</f>
        <v>399.23676</v>
      </c>
      <c r="F148" s="83">
        <f>(0.75*(2.75+5.4))*10.764</f>
        <v>65.79495</v>
      </c>
      <c r="G148" s="81">
        <v>0</v>
      </c>
      <c r="H148" s="81">
        <f t="shared" si="4"/>
        <v>465.03170999999998</v>
      </c>
      <c r="I148" s="99"/>
      <c r="J148" s="1"/>
      <c r="K148" s="1"/>
      <c r="L148" s="103">
        <f t="shared" si="5"/>
        <v>2883196.602</v>
      </c>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112" t="s">
        <v>318</v>
      </c>
      <c r="B149" s="113"/>
      <c r="C149" s="113"/>
      <c r="D149" s="113"/>
      <c r="E149" s="113"/>
      <c r="F149" s="113"/>
      <c r="G149" s="113"/>
      <c r="H149" s="114"/>
      <c r="I149" s="1"/>
      <c r="J149" s="1"/>
      <c r="K149" s="1"/>
      <c r="L149" s="103">
        <f t="shared" ref="L149:L150" si="7">$L$151*H149</f>
        <v>0</v>
      </c>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109" t="s">
        <v>325</v>
      </c>
      <c r="B150" s="110"/>
      <c r="C150" s="110"/>
      <c r="D150" s="110"/>
      <c r="E150" s="110"/>
      <c r="F150" s="110"/>
      <c r="G150" s="110"/>
      <c r="H150" s="111"/>
      <c r="I150" s="1"/>
      <c r="J150" s="1"/>
      <c r="K150" s="1">
        <f>4300*1.45</f>
        <v>6235</v>
      </c>
      <c r="L150" s="103">
        <f t="shared" si="7"/>
        <v>0</v>
      </c>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109" t="s">
        <v>321</v>
      </c>
      <c r="B151" s="110"/>
      <c r="C151" s="110"/>
      <c r="D151" s="110"/>
      <c r="E151" s="110"/>
      <c r="F151" s="110"/>
      <c r="G151" s="110"/>
      <c r="H151" s="111"/>
      <c r="I151" s="1"/>
      <c r="J151" s="1"/>
      <c r="K151" s="1"/>
      <c r="L151" s="1">
        <v>6200</v>
      </c>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106">
        <v>1</v>
      </c>
      <c r="B152" s="106"/>
      <c r="C152" s="56" t="s">
        <v>96</v>
      </c>
      <c r="D152" s="56" t="s">
        <v>323</v>
      </c>
      <c r="E152" s="82">
        <f>(35.26)*10.764</f>
        <v>379.53863999999993</v>
      </c>
      <c r="F152" s="83">
        <f>(0.75*(2.75+2.2))*10.764</f>
        <v>39.961350000000003</v>
      </c>
      <c r="G152" s="81">
        <v>0</v>
      </c>
      <c r="H152" s="81">
        <f>E152+F152+(IF(G152&lt;101,G152,IF(G152&lt;201,G152/2,IF(G152&lt;=301,G152/3,G152/4))))</f>
        <v>419.49998999999991</v>
      </c>
      <c r="I152" s="85">
        <f>2.75*4.85+2.2*2.4+2.75*2.75+1.9*0.6+1.5+1.8*1.2+2.4*0.9+0.6</f>
        <v>33.74</v>
      </c>
      <c r="J152" s="1"/>
      <c r="K152" s="1"/>
      <c r="L152" s="103">
        <f>$L$151*H152</f>
        <v>2600899.9379999996</v>
      </c>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107">
        <f>A152+1</f>
        <v>2</v>
      </c>
      <c r="B153" s="108"/>
      <c r="C153" s="56" t="s">
        <v>96</v>
      </c>
      <c r="D153" s="56" t="s">
        <v>323</v>
      </c>
      <c r="E153" s="82">
        <f>(30.65)*10.764</f>
        <v>329.91659999999996</v>
      </c>
      <c r="F153" s="83">
        <f>(0.75*(2.75+2.9))*10.764</f>
        <v>45.612450000000003</v>
      </c>
      <c r="G153" s="81">
        <v>0</v>
      </c>
      <c r="H153" s="81">
        <f t="shared" ref="H153:H158" si="8">E153+F153+(IF(G153&lt;101,G153,IF(G153&lt;201,G153/2,IF(G153&lt;=301,G153/3,G153/4))))</f>
        <v>375.52904999999998</v>
      </c>
      <c r="I153" s="102"/>
      <c r="J153" s="102">
        <f>(2479000-(2479000*0.08))/H153</f>
        <v>6073.2451990065747</v>
      </c>
      <c r="K153" s="1"/>
      <c r="L153" s="104">
        <f t="shared" ref="L153:L159" si="9">$L$151*H153</f>
        <v>2328280.11</v>
      </c>
      <c r="M153" s="1"/>
      <c r="N153"/>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07">
        <f t="shared" ref="A154:A158" si="10">A153+1</f>
        <v>3</v>
      </c>
      <c r="B154" s="108"/>
      <c r="C154" s="56" t="s">
        <v>96</v>
      </c>
      <c r="D154" s="56" t="s">
        <v>323</v>
      </c>
      <c r="E154" s="82">
        <f>(36.44)*10.764</f>
        <v>392.24015999999995</v>
      </c>
      <c r="F154" s="83">
        <f>(0.75*(2.75+2.2+2.75))*10.764</f>
        <v>62.162100000000002</v>
      </c>
      <c r="G154" s="81">
        <v>0</v>
      </c>
      <c r="H154" s="81">
        <f t="shared" si="8"/>
        <v>454.40225999999996</v>
      </c>
      <c r="I154" s="1"/>
      <c r="J154" s="1"/>
      <c r="K154" s="1"/>
      <c r="L154" s="103">
        <f t="shared" si="9"/>
        <v>2817294.0119999996</v>
      </c>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107">
        <f t="shared" si="10"/>
        <v>4</v>
      </c>
      <c r="B155" s="108"/>
      <c r="C155" s="56" t="s">
        <v>96</v>
      </c>
      <c r="D155" s="56" t="s">
        <v>323</v>
      </c>
      <c r="E155" s="82">
        <f>(35.81)*10.764</f>
        <v>385.45884000000001</v>
      </c>
      <c r="F155" s="83">
        <f>(0.75*(2.75+5.2))*10.764</f>
        <v>64.180350000000004</v>
      </c>
      <c r="G155" s="81">
        <v>0</v>
      </c>
      <c r="H155" s="81">
        <f t="shared" si="8"/>
        <v>449.63918999999999</v>
      </c>
      <c r="I155" s="1"/>
      <c r="J155" s="1"/>
      <c r="K155" s="1"/>
      <c r="L155" s="103">
        <f t="shared" si="9"/>
        <v>2787762.9780000001</v>
      </c>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107">
        <f t="shared" si="10"/>
        <v>5</v>
      </c>
      <c r="B156" s="108"/>
      <c r="C156" s="56" t="s">
        <v>96</v>
      </c>
      <c r="D156" s="56" t="s">
        <v>323</v>
      </c>
      <c r="E156" s="82">
        <f>(34.61)*10.764</f>
        <v>372.54203999999999</v>
      </c>
      <c r="F156" s="83">
        <f>(0.75*(2.75+2.2+2.75))*10.764</f>
        <v>62.162100000000002</v>
      </c>
      <c r="G156" s="81">
        <v>0</v>
      </c>
      <c r="H156" s="81">
        <f t="shared" si="8"/>
        <v>434.70414</v>
      </c>
      <c r="I156" s="86">
        <f>2.75*4.75+2.2*2+2.75*3.4+1.5+1.8*1.2+2.4*0.9+0.6</f>
        <v>33.232500000000002</v>
      </c>
      <c r="J156" s="1"/>
      <c r="K156" s="1"/>
      <c r="L156" s="103">
        <f t="shared" si="9"/>
        <v>2695165.6680000001</v>
      </c>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07">
        <f t="shared" si="10"/>
        <v>6</v>
      </c>
      <c r="B157" s="108"/>
      <c r="C157" s="56" t="s">
        <v>96</v>
      </c>
      <c r="D157" s="56" t="s">
        <v>323</v>
      </c>
      <c r="E157" s="82">
        <f>(35.81)*10.764</f>
        <v>385.45884000000001</v>
      </c>
      <c r="F157" s="83">
        <f>(0.75*(2.75+5.4))*10.764</f>
        <v>65.79495</v>
      </c>
      <c r="G157" s="81">
        <v>0</v>
      </c>
      <c r="H157" s="81">
        <f t="shared" si="8"/>
        <v>451.25378999999998</v>
      </c>
      <c r="I157" s="1"/>
      <c r="J157" s="1"/>
      <c r="K157" s="1"/>
      <c r="L157" s="103">
        <f t="shared" si="9"/>
        <v>2797773.4979999997</v>
      </c>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07">
        <f t="shared" si="10"/>
        <v>7</v>
      </c>
      <c r="B158" s="108"/>
      <c r="C158" s="56" t="s">
        <v>96</v>
      </c>
      <c r="D158" s="56" t="s">
        <v>323</v>
      </c>
      <c r="E158" s="82">
        <f>(35.81)*10.764</f>
        <v>385.45884000000001</v>
      </c>
      <c r="F158" s="83">
        <f>(0.75*(2.75+5.4))*10.764</f>
        <v>65.79495</v>
      </c>
      <c r="G158" s="81">
        <v>0</v>
      </c>
      <c r="H158" s="81">
        <f t="shared" si="8"/>
        <v>451.25378999999998</v>
      </c>
      <c r="I158" s="1"/>
      <c r="J158" s="1"/>
      <c r="K158" s="1"/>
      <c r="L158" s="103">
        <f t="shared" si="9"/>
        <v>2797773.4979999997</v>
      </c>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ht="20.25" x14ac:dyDescent="0.25">
      <c r="A159" s="141" t="s">
        <v>70</v>
      </c>
      <c r="B159" s="141"/>
      <c r="C159" s="141"/>
      <c r="D159" s="141"/>
      <c r="E159" s="141"/>
      <c r="F159" s="141"/>
      <c r="G159" s="141"/>
      <c r="H159" s="141"/>
      <c r="L159" s="103">
        <f t="shared" si="9"/>
        <v>0</v>
      </c>
    </row>
    <row r="160" spans="1:150 16226:16383" ht="20.25" x14ac:dyDescent="0.25">
      <c r="A160" s="94" t="s">
        <v>235</v>
      </c>
      <c r="B160" s="129" t="s">
        <v>355</v>
      </c>
      <c r="C160" s="130"/>
      <c r="D160" s="130"/>
      <c r="E160" s="130"/>
      <c r="F160" s="130"/>
      <c r="G160" s="130"/>
      <c r="H160" s="131"/>
    </row>
    <row r="161" spans="1:8" ht="20.25" x14ac:dyDescent="0.25">
      <c r="A161" s="94" t="s">
        <v>235</v>
      </c>
      <c r="B161" s="129" t="s">
        <v>236</v>
      </c>
      <c r="C161" s="130"/>
      <c r="D161" s="130"/>
      <c r="E161" s="130"/>
      <c r="F161" s="130"/>
      <c r="G161" s="130"/>
      <c r="H161" s="131"/>
    </row>
    <row r="162" spans="1:8" ht="20.25" x14ac:dyDescent="0.25">
      <c r="A162" s="94" t="s">
        <v>235</v>
      </c>
      <c r="B162" s="129" t="s">
        <v>338</v>
      </c>
      <c r="C162" s="130"/>
      <c r="D162" s="130"/>
      <c r="E162" s="130"/>
      <c r="F162" s="130"/>
      <c r="G162" s="130"/>
      <c r="H162" s="131"/>
    </row>
    <row r="163" spans="1:8" ht="20.25" x14ac:dyDescent="0.25">
      <c r="A163" s="94" t="s">
        <v>235</v>
      </c>
      <c r="B163" s="129" t="s">
        <v>237</v>
      </c>
      <c r="C163" s="130"/>
      <c r="D163" s="130"/>
      <c r="E163" s="130"/>
      <c r="F163" s="130"/>
      <c r="G163" s="130"/>
      <c r="H163" s="131"/>
    </row>
    <row r="164" spans="1:8" ht="20.25" x14ac:dyDescent="0.25">
      <c r="A164" s="94" t="s">
        <v>235</v>
      </c>
      <c r="B164" s="129" t="s">
        <v>238</v>
      </c>
      <c r="C164" s="130"/>
      <c r="D164" s="130"/>
      <c r="E164" s="130"/>
      <c r="F164" s="130"/>
      <c r="G164" s="130"/>
      <c r="H164" s="131"/>
    </row>
    <row r="165" spans="1:8" ht="20.25" x14ac:dyDescent="0.25">
      <c r="A165" s="38" t="s">
        <v>235</v>
      </c>
      <c r="B165" s="129" t="s">
        <v>340</v>
      </c>
      <c r="C165" s="130"/>
      <c r="D165" s="130"/>
      <c r="E165" s="130"/>
      <c r="F165" s="130"/>
      <c r="G165" s="130"/>
      <c r="H165" s="131"/>
    </row>
    <row r="166" spans="1:8" ht="46.5" hidden="1" customHeight="1" x14ac:dyDescent="0.25">
      <c r="A166" s="38" t="s">
        <v>235</v>
      </c>
      <c r="B166" s="148" t="s">
        <v>239</v>
      </c>
      <c r="C166" s="130"/>
      <c r="D166" s="130"/>
      <c r="E166" s="130"/>
      <c r="F166" s="130"/>
      <c r="G166" s="130"/>
      <c r="H166" s="131"/>
    </row>
    <row r="167" spans="1:8" ht="24.75" hidden="1" customHeight="1" x14ac:dyDescent="0.25">
      <c r="A167" s="38" t="s">
        <v>235</v>
      </c>
      <c r="B167" s="148" t="s">
        <v>240</v>
      </c>
      <c r="C167" s="130"/>
      <c r="D167" s="130"/>
      <c r="E167" s="130"/>
      <c r="F167" s="130"/>
      <c r="G167" s="130"/>
      <c r="H167" s="131"/>
    </row>
    <row r="168" spans="1:8" ht="46.5" hidden="1" customHeight="1" x14ac:dyDescent="0.25">
      <c r="A168" s="2" t="s">
        <v>235</v>
      </c>
      <c r="B168" s="148" t="s">
        <v>239</v>
      </c>
      <c r="C168" s="130"/>
      <c r="D168" s="130"/>
      <c r="E168" s="130"/>
      <c r="F168" s="130"/>
      <c r="G168" s="130"/>
      <c r="H168" s="131"/>
    </row>
    <row r="169" spans="1:8" ht="20.25" x14ac:dyDescent="0.25">
      <c r="A169" s="164" t="s">
        <v>76</v>
      </c>
      <c r="B169" s="164"/>
      <c r="C169" s="164"/>
      <c r="D169" s="164"/>
      <c r="E169" s="164"/>
      <c r="F169" s="164"/>
      <c r="G169" s="164"/>
      <c r="H169" s="164"/>
    </row>
    <row r="170" spans="1:8" ht="20.25" x14ac:dyDescent="0.25">
      <c r="A170" s="127" t="s">
        <v>71</v>
      </c>
      <c r="B170" s="127"/>
      <c r="C170" s="127"/>
      <c r="D170" s="129" t="str">
        <f>C3</f>
        <v>Om Sai Leela</v>
      </c>
      <c r="E170" s="130"/>
      <c r="F170" s="130"/>
      <c r="G170" s="130"/>
      <c r="H170" s="131"/>
    </row>
    <row r="171" spans="1:8" ht="20.25" x14ac:dyDescent="0.25">
      <c r="A171" s="127" t="s">
        <v>106</v>
      </c>
      <c r="B171" s="127"/>
      <c r="C171" s="127"/>
      <c r="D171" s="129" t="str">
        <f>C9</f>
        <v>Om Sai Leela, Gut No 82, Hissa No 1 at Shedung, Panvel, Raigad, 410206</v>
      </c>
      <c r="E171" s="130"/>
      <c r="F171" s="130"/>
      <c r="G171" s="130"/>
      <c r="H171" s="131"/>
    </row>
    <row r="172" spans="1:8" ht="51" customHeight="1" x14ac:dyDescent="0.25">
      <c r="A172" s="174" t="s">
        <v>112</v>
      </c>
      <c r="B172" s="174"/>
      <c r="C172" s="174"/>
      <c r="D172" s="129" t="str">
        <f>C11</f>
        <v>Om Sai Leela, Gut No.82 Hissa No.1, near Jai Malhar Apartment, Internal Road, Shedung, Panvel, Panvel, Raigad -  410216.</v>
      </c>
      <c r="E172" s="130"/>
      <c r="F172" s="130"/>
      <c r="G172" s="130"/>
      <c r="H172" s="131"/>
    </row>
    <row r="173" spans="1:8" ht="20.25" x14ac:dyDescent="0.25">
      <c r="A173" s="8"/>
      <c r="B173" s="9"/>
      <c r="C173" s="9"/>
      <c r="D173" s="9"/>
      <c r="E173" s="9"/>
      <c r="F173" s="9"/>
      <c r="G173" s="9"/>
      <c r="H173" s="5"/>
    </row>
    <row r="174" spans="1:8" ht="20.25" x14ac:dyDescent="0.25">
      <c r="A174" s="10"/>
      <c r="B174" s="11"/>
      <c r="C174" s="11"/>
      <c r="D174" s="11"/>
      <c r="E174" s="11"/>
      <c r="F174" s="11"/>
      <c r="G174" s="11"/>
      <c r="H174" s="6"/>
    </row>
    <row r="175" spans="1:8" ht="20.25" x14ac:dyDescent="0.25">
      <c r="A175" s="10"/>
      <c r="B175" s="11"/>
      <c r="C175" s="11"/>
      <c r="D175" s="11"/>
      <c r="E175" s="11"/>
      <c r="F175" s="11"/>
      <c r="G175" s="11"/>
      <c r="H175" s="6"/>
    </row>
    <row r="176" spans="1:8" ht="20.25" x14ac:dyDescent="0.25">
      <c r="A176" s="10"/>
      <c r="B176" s="11"/>
      <c r="C176" s="11"/>
      <c r="D176" s="11"/>
      <c r="E176" s="11"/>
      <c r="F176" s="11"/>
      <c r="G176" s="11"/>
      <c r="H176" s="6"/>
    </row>
    <row r="177" spans="1:8" ht="20.25" x14ac:dyDescent="0.25">
      <c r="A177" s="10"/>
      <c r="B177" s="11"/>
      <c r="C177" s="11"/>
      <c r="D177" s="11"/>
      <c r="E177" s="11"/>
      <c r="F177" s="11"/>
      <c r="G177" s="11"/>
      <c r="H177" s="6"/>
    </row>
    <row r="178" spans="1:8" ht="20.25" x14ac:dyDescent="0.25">
      <c r="A178" s="10"/>
      <c r="B178" s="11"/>
      <c r="C178" s="11"/>
      <c r="D178" s="11"/>
      <c r="E178" s="11"/>
      <c r="F178" s="11"/>
      <c r="G178" s="11"/>
      <c r="H178" s="6"/>
    </row>
    <row r="179" spans="1:8" ht="20.25" x14ac:dyDescent="0.25">
      <c r="A179" s="10"/>
      <c r="B179" s="11"/>
      <c r="C179" s="11"/>
      <c r="D179" s="11"/>
      <c r="E179" s="11"/>
      <c r="F179" s="11"/>
      <c r="G179" s="11"/>
      <c r="H179" s="6"/>
    </row>
    <row r="180" spans="1:8" ht="20.25" x14ac:dyDescent="0.25">
      <c r="A180" s="10"/>
      <c r="B180" s="11"/>
      <c r="C180" s="11"/>
      <c r="D180" s="11"/>
      <c r="E180" s="11"/>
      <c r="F180" s="11"/>
      <c r="G180" s="11"/>
      <c r="H180" s="6"/>
    </row>
    <row r="181" spans="1:8" ht="20.25" x14ac:dyDescent="0.25">
      <c r="A181" s="10"/>
      <c r="B181" s="11"/>
      <c r="C181" s="11"/>
      <c r="D181" s="11"/>
      <c r="E181" s="11"/>
      <c r="F181" s="11"/>
      <c r="G181" s="11"/>
      <c r="H181" s="6"/>
    </row>
    <row r="182" spans="1:8" ht="20.25" x14ac:dyDescent="0.25">
      <c r="A182" s="10"/>
      <c r="B182" s="11"/>
      <c r="C182" s="11"/>
      <c r="D182" s="11"/>
      <c r="E182" s="11"/>
      <c r="F182" s="11"/>
      <c r="G182" s="11"/>
      <c r="H182" s="6"/>
    </row>
    <row r="183" spans="1:8" ht="20.25" x14ac:dyDescent="0.25">
      <c r="A183" s="10"/>
      <c r="B183" s="11"/>
      <c r="C183" s="11"/>
      <c r="D183" s="11"/>
      <c r="E183" s="11"/>
      <c r="F183" s="11"/>
      <c r="G183" s="11"/>
      <c r="H183" s="6"/>
    </row>
    <row r="184" spans="1:8" ht="20.25" x14ac:dyDescent="0.25">
      <c r="A184" s="10"/>
      <c r="B184" s="11"/>
      <c r="C184" s="11"/>
      <c r="D184" s="11"/>
      <c r="E184" s="11"/>
      <c r="F184" s="11"/>
      <c r="G184" s="11"/>
      <c r="H184" s="6"/>
    </row>
    <row r="185" spans="1:8" ht="20.25" x14ac:dyDescent="0.25">
      <c r="A185" s="10"/>
      <c r="B185" s="11"/>
      <c r="C185" s="11"/>
      <c r="D185" s="11"/>
      <c r="E185" s="11"/>
      <c r="F185" s="11"/>
      <c r="G185" s="11"/>
      <c r="H185" s="6"/>
    </row>
    <row r="186" spans="1:8" ht="20.25" x14ac:dyDescent="0.25">
      <c r="A186" s="10"/>
      <c r="B186" s="11"/>
      <c r="C186" s="11"/>
      <c r="D186" s="11"/>
      <c r="E186" s="11"/>
      <c r="F186" s="11"/>
      <c r="G186" s="11"/>
      <c r="H186" s="6"/>
    </row>
    <row r="187" spans="1:8" ht="20.25" x14ac:dyDescent="0.25">
      <c r="A187" s="10"/>
      <c r="B187" s="11"/>
      <c r="C187" s="11"/>
      <c r="D187" s="11"/>
      <c r="E187" s="11"/>
      <c r="F187" s="11"/>
      <c r="G187" s="11"/>
      <c r="H187" s="6"/>
    </row>
    <row r="188" spans="1:8" ht="20.25" x14ac:dyDescent="0.25">
      <c r="A188" s="10"/>
      <c r="B188" s="11"/>
      <c r="C188" s="11"/>
      <c r="D188" s="11"/>
      <c r="E188" s="11"/>
      <c r="F188" s="11"/>
      <c r="G188" s="11"/>
      <c r="H188" s="6"/>
    </row>
    <row r="189" spans="1:8" ht="20.25" x14ac:dyDescent="0.25">
      <c r="A189" s="10"/>
      <c r="B189" s="11"/>
      <c r="C189" s="11"/>
      <c r="D189" s="11"/>
      <c r="E189" s="11"/>
      <c r="F189" s="11"/>
      <c r="G189" s="11"/>
      <c r="H189" s="6"/>
    </row>
    <row r="190" spans="1:8" ht="20.25" x14ac:dyDescent="0.25">
      <c r="A190" s="10"/>
      <c r="B190" s="11"/>
      <c r="C190" s="11"/>
      <c r="D190" s="11"/>
      <c r="E190" s="11"/>
      <c r="F190" s="11"/>
      <c r="G190" s="11"/>
      <c r="H190" s="6"/>
    </row>
    <row r="191" spans="1:8" ht="20.25" x14ac:dyDescent="0.25">
      <c r="A191" s="10"/>
      <c r="B191" s="11"/>
      <c r="C191" s="11"/>
      <c r="D191" s="11"/>
      <c r="E191" s="11"/>
      <c r="F191" s="11"/>
      <c r="G191" s="11"/>
      <c r="H191" s="6"/>
    </row>
    <row r="192" spans="1:8" ht="20.25" x14ac:dyDescent="0.25">
      <c r="A192" s="10"/>
      <c r="B192" s="11"/>
      <c r="C192" s="11"/>
      <c r="D192" s="11"/>
      <c r="E192" s="11"/>
      <c r="F192" s="11"/>
      <c r="G192" s="11"/>
      <c r="H192" s="6"/>
    </row>
    <row r="193" spans="1:8" ht="20.25" x14ac:dyDescent="0.25">
      <c r="A193" s="10"/>
      <c r="B193" s="11"/>
      <c r="C193" s="11"/>
      <c r="D193" s="11"/>
      <c r="E193" s="11"/>
      <c r="F193" s="11"/>
      <c r="G193" s="11"/>
      <c r="H193" s="6"/>
    </row>
    <row r="194" spans="1:8" ht="20.25" x14ac:dyDescent="0.25">
      <c r="A194" s="10"/>
      <c r="B194" s="11"/>
      <c r="C194" s="11"/>
      <c r="D194" s="11"/>
      <c r="E194" s="11"/>
      <c r="F194" s="11"/>
      <c r="G194" s="11"/>
      <c r="H194" s="6"/>
    </row>
    <row r="195" spans="1:8" ht="20.25" x14ac:dyDescent="0.25">
      <c r="A195" s="10"/>
      <c r="B195" s="11"/>
      <c r="C195" s="11"/>
      <c r="D195" s="11"/>
      <c r="E195" s="11"/>
      <c r="F195" s="11"/>
      <c r="G195" s="11"/>
      <c r="H195" s="6"/>
    </row>
    <row r="196" spans="1:8" ht="20.25" x14ac:dyDescent="0.25">
      <c r="A196" s="10"/>
      <c r="B196" s="11"/>
      <c r="C196" s="11"/>
      <c r="D196" s="11"/>
      <c r="E196" s="11"/>
      <c r="F196" s="11"/>
      <c r="G196" s="11"/>
      <c r="H196" s="6"/>
    </row>
    <row r="197" spans="1:8" ht="20.25" x14ac:dyDescent="0.25">
      <c r="A197" s="10"/>
      <c r="B197" s="11"/>
      <c r="C197" s="11"/>
      <c r="D197" s="11"/>
      <c r="E197" s="11"/>
      <c r="F197" s="11"/>
      <c r="G197" s="11"/>
      <c r="H197" s="6"/>
    </row>
    <row r="198" spans="1:8" ht="20.25" x14ac:dyDescent="0.25">
      <c r="A198" s="10"/>
      <c r="B198" s="11"/>
      <c r="C198" s="11"/>
      <c r="D198" s="11"/>
      <c r="E198" s="11"/>
      <c r="F198" s="11"/>
      <c r="G198" s="11"/>
      <c r="H198" s="6"/>
    </row>
    <row r="199" spans="1:8" ht="20.25" x14ac:dyDescent="0.25">
      <c r="A199" s="10"/>
      <c r="B199" s="11"/>
      <c r="C199" s="11"/>
      <c r="D199" s="11"/>
      <c r="E199" s="11"/>
      <c r="F199" s="11"/>
      <c r="G199" s="11"/>
      <c r="H199" s="6"/>
    </row>
    <row r="200" spans="1:8" ht="20.25" x14ac:dyDescent="0.25">
      <c r="A200" s="10"/>
      <c r="B200" s="11"/>
      <c r="C200" s="11"/>
      <c r="D200" s="11"/>
      <c r="E200" s="11"/>
      <c r="F200" s="11"/>
      <c r="G200" s="11"/>
      <c r="H200" s="6"/>
    </row>
    <row r="201" spans="1:8" ht="20.25" x14ac:dyDescent="0.25">
      <c r="A201" s="10"/>
      <c r="B201" s="11"/>
      <c r="C201" s="11"/>
      <c r="D201" s="11"/>
      <c r="E201" s="11"/>
      <c r="F201" s="11"/>
      <c r="G201" s="11"/>
      <c r="H201" s="6"/>
    </row>
    <row r="202" spans="1:8" ht="20.25" x14ac:dyDescent="0.25">
      <c r="A202" s="10"/>
      <c r="B202" s="11"/>
      <c r="C202" s="11"/>
      <c r="D202" s="11"/>
      <c r="E202" s="11"/>
      <c r="F202" s="11"/>
      <c r="G202" s="11"/>
      <c r="H202" s="6"/>
    </row>
    <row r="203" spans="1:8" ht="20.25" x14ac:dyDescent="0.25">
      <c r="A203" s="10"/>
      <c r="B203" s="11"/>
      <c r="C203" s="11"/>
      <c r="D203" s="11"/>
      <c r="E203" s="11"/>
      <c r="F203" s="11"/>
      <c r="G203" s="11"/>
      <c r="H203" s="6"/>
    </row>
    <row r="204" spans="1:8" ht="20.25" x14ac:dyDescent="0.25">
      <c r="A204" s="10"/>
      <c r="B204" s="11"/>
      <c r="C204" s="11"/>
      <c r="D204" s="11"/>
      <c r="E204" s="11"/>
      <c r="F204" s="11"/>
      <c r="G204" s="11"/>
      <c r="H204" s="6"/>
    </row>
    <row r="205" spans="1:8" ht="20.25" x14ac:dyDescent="0.25">
      <c r="A205" s="10"/>
      <c r="B205" s="11"/>
      <c r="C205" s="11"/>
      <c r="D205" s="11"/>
      <c r="E205" s="11"/>
      <c r="F205" s="11"/>
      <c r="G205" s="11"/>
      <c r="H205" s="6"/>
    </row>
    <row r="206" spans="1:8" ht="20.25" x14ac:dyDescent="0.25">
      <c r="A206" s="10"/>
      <c r="B206" s="11"/>
      <c r="C206" s="11"/>
      <c r="D206" s="11"/>
      <c r="E206" s="11"/>
      <c r="F206" s="11"/>
      <c r="G206" s="11"/>
      <c r="H206" s="6"/>
    </row>
    <row r="207" spans="1:8" ht="20.25" x14ac:dyDescent="0.25">
      <c r="A207" s="10"/>
      <c r="B207" s="11"/>
      <c r="C207" s="11"/>
      <c r="D207" s="11"/>
      <c r="E207" s="11"/>
      <c r="F207" s="11"/>
      <c r="G207" s="11"/>
      <c r="H207" s="6"/>
    </row>
    <row r="208" spans="1:8" ht="20.25" x14ac:dyDescent="0.25">
      <c r="A208" s="10"/>
      <c r="B208" s="11"/>
      <c r="C208" s="11"/>
      <c r="D208" s="11"/>
      <c r="E208" s="11"/>
      <c r="F208" s="11"/>
      <c r="G208" s="11"/>
      <c r="H208" s="6"/>
    </row>
    <row r="209" spans="1:8" ht="20.25" x14ac:dyDescent="0.25">
      <c r="A209" s="10"/>
      <c r="B209" s="11"/>
      <c r="C209" s="11"/>
      <c r="D209" s="11"/>
      <c r="E209" s="11"/>
      <c r="F209" s="11"/>
      <c r="G209" s="11"/>
      <c r="H209" s="6"/>
    </row>
    <row r="210" spans="1:8" ht="20.25" x14ac:dyDescent="0.25">
      <c r="A210" s="10"/>
      <c r="B210" s="11"/>
      <c r="C210" s="11"/>
      <c r="D210" s="11"/>
      <c r="E210" s="11"/>
      <c r="F210" s="11"/>
      <c r="G210" s="11"/>
      <c r="H210" s="6"/>
    </row>
    <row r="211" spans="1:8" ht="20.25" x14ac:dyDescent="0.25">
      <c r="A211" s="10"/>
      <c r="B211" s="11"/>
      <c r="C211" s="11"/>
      <c r="D211" s="11"/>
      <c r="E211" s="11"/>
      <c r="F211" s="11"/>
      <c r="G211" s="11"/>
      <c r="H211" s="6"/>
    </row>
    <row r="212" spans="1:8" ht="20.25" x14ac:dyDescent="0.25">
      <c r="A212" s="10"/>
      <c r="B212" s="11"/>
      <c r="C212" s="11"/>
      <c r="D212" s="11"/>
      <c r="E212" s="11"/>
      <c r="F212" s="11"/>
      <c r="G212" s="11"/>
      <c r="H212" s="6"/>
    </row>
    <row r="213" spans="1:8" ht="20.25" x14ac:dyDescent="0.25">
      <c r="A213" s="10"/>
      <c r="B213" s="11"/>
      <c r="C213" s="11"/>
      <c r="D213" s="11"/>
      <c r="E213" s="11"/>
      <c r="F213" s="11"/>
      <c r="G213" s="11"/>
      <c r="H213" s="6"/>
    </row>
    <row r="214" spans="1:8" ht="20.25" x14ac:dyDescent="0.25">
      <c r="A214" s="10"/>
      <c r="B214" s="11"/>
      <c r="C214" s="11"/>
      <c r="D214" s="11"/>
      <c r="E214" s="11"/>
      <c r="F214" s="11"/>
      <c r="G214" s="11"/>
      <c r="H214" s="6"/>
    </row>
    <row r="215" spans="1:8" ht="20.25" x14ac:dyDescent="0.25">
      <c r="A215" s="10"/>
      <c r="B215" s="11"/>
      <c r="C215" s="11"/>
      <c r="D215" s="11"/>
      <c r="E215" s="11"/>
      <c r="F215" s="11"/>
      <c r="G215" s="11"/>
      <c r="H215" s="6"/>
    </row>
    <row r="216" spans="1:8" ht="20.25" x14ac:dyDescent="0.25">
      <c r="A216" s="12"/>
      <c r="B216" s="13"/>
      <c r="C216" s="13"/>
      <c r="D216" s="13"/>
      <c r="E216" s="13"/>
      <c r="F216" s="13"/>
      <c r="G216" s="13"/>
      <c r="H216" s="7"/>
    </row>
    <row r="217" spans="1:8" ht="20.25" x14ac:dyDescent="0.25">
      <c r="A217" s="141" t="s">
        <v>159</v>
      </c>
      <c r="B217" s="141"/>
      <c r="C217" s="141"/>
      <c r="D217" s="141"/>
      <c r="E217" s="141"/>
      <c r="F217" s="141"/>
      <c r="G217" s="141"/>
      <c r="H217" s="141"/>
    </row>
    <row r="218" spans="1:8" ht="20.25" x14ac:dyDescent="0.25">
      <c r="A218" s="8"/>
      <c r="B218" s="9"/>
      <c r="C218" s="9"/>
      <c r="D218" s="9"/>
      <c r="E218" s="9"/>
      <c r="F218" s="9"/>
      <c r="G218" s="9"/>
      <c r="H218" s="5"/>
    </row>
    <row r="219" spans="1:8" ht="20.25" x14ac:dyDescent="0.25">
      <c r="A219" s="10"/>
      <c r="B219" s="57"/>
      <c r="C219" s="57"/>
      <c r="D219" s="57"/>
      <c r="E219" s="57"/>
      <c r="F219" s="57"/>
      <c r="G219" s="57"/>
      <c r="H219" s="6"/>
    </row>
    <row r="220" spans="1:8" ht="20.25" x14ac:dyDescent="0.25">
      <c r="A220" s="10"/>
      <c r="B220" s="57"/>
      <c r="C220" s="57"/>
      <c r="D220" s="57"/>
      <c r="E220" s="57"/>
      <c r="F220" s="57"/>
      <c r="G220" s="57"/>
      <c r="H220" s="6"/>
    </row>
    <row r="221" spans="1:8" ht="20.25" x14ac:dyDescent="0.25">
      <c r="A221" s="10"/>
      <c r="B221" s="57"/>
      <c r="C221" s="57"/>
      <c r="D221" s="57"/>
      <c r="E221" s="57"/>
      <c r="F221" s="57"/>
      <c r="G221" s="57"/>
      <c r="H221" s="6"/>
    </row>
    <row r="222" spans="1:8" ht="20.25" x14ac:dyDescent="0.25">
      <c r="A222" s="10"/>
      <c r="B222" s="57"/>
      <c r="C222" s="57"/>
      <c r="D222" s="57"/>
      <c r="E222" s="57"/>
      <c r="F222" s="57"/>
      <c r="G222" s="57"/>
      <c r="H222" s="6"/>
    </row>
    <row r="223" spans="1:8" ht="20.25" x14ac:dyDescent="0.25">
      <c r="A223" s="10"/>
      <c r="B223" s="57"/>
      <c r="C223" s="57"/>
      <c r="D223" s="57"/>
      <c r="E223" s="57"/>
      <c r="F223" s="57"/>
      <c r="G223" s="57"/>
      <c r="H223" s="6"/>
    </row>
    <row r="224" spans="1:8" ht="20.25" x14ac:dyDescent="0.25">
      <c r="A224" s="10"/>
      <c r="B224" s="57"/>
      <c r="C224" s="57"/>
      <c r="D224" s="57"/>
      <c r="E224" s="57"/>
      <c r="F224" s="57"/>
      <c r="G224" s="57"/>
      <c r="H224" s="6"/>
    </row>
    <row r="225" spans="1:8" ht="20.25" x14ac:dyDescent="0.25">
      <c r="A225" s="10"/>
      <c r="B225" s="57"/>
      <c r="C225" s="57"/>
      <c r="D225" s="57"/>
      <c r="E225" s="57"/>
      <c r="F225" s="57"/>
      <c r="G225" s="57"/>
      <c r="H225" s="6"/>
    </row>
    <row r="226" spans="1:8" ht="20.25" x14ac:dyDescent="0.25">
      <c r="A226" s="10"/>
      <c r="B226" s="57"/>
      <c r="C226" s="57"/>
      <c r="D226" s="57"/>
      <c r="E226" s="57"/>
      <c r="F226" s="57"/>
      <c r="G226" s="57"/>
      <c r="H226" s="6"/>
    </row>
    <row r="227" spans="1:8" ht="20.25" x14ac:dyDescent="0.25">
      <c r="A227" s="10"/>
      <c r="B227" s="57"/>
      <c r="C227" s="57"/>
      <c r="D227" s="57"/>
      <c r="E227" s="57"/>
      <c r="F227" s="57"/>
      <c r="G227" s="57"/>
      <c r="H227" s="6"/>
    </row>
    <row r="228" spans="1:8" ht="20.25" x14ac:dyDescent="0.25">
      <c r="A228" s="10"/>
      <c r="B228" s="57"/>
      <c r="C228" s="57"/>
      <c r="D228" s="57"/>
      <c r="E228" s="57"/>
      <c r="F228" s="57"/>
      <c r="G228" s="57"/>
      <c r="H228" s="6"/>
    </row>
    <row r="229" spans="1:8" ht="20.25" x14ac:dyDescent="0.25">
      <c r="A229" s="10"/>
      <c r="B229" s="57"/>
      <c r="C229" s="57"/>
      <c r="D229" s="57"/>
      <c r="E229" s="57"/>
      <c r="F229" s="57"/>
      <c r="G229" s="57"/>
      <c r="H229" s="6"/>
    </row>
    <row r="230" spans="1:8" ht="20.25" x14ac:dyDescent="0.25">
      <c r="A230" s="10"/>
      <c r="B230" s="57"/>
      <c r="C230" s="57"/>
      <c r="D230" s="57"/>
      <c r="E230" s="57"/>
      <c r="F230" s="57"/>
      <c r="G230" s="57"/>
      <c r="H230" s="6"/>
    </row>
    <row r="231" spans="1:8" ht="20.25" x14ac:dyDescent="0.25">
      <c r="A231" s="10"/>
      <c r="B231" s="57"/>
      <c r="C231" s="57"/>
      <c r="D231" s="57"/>
      <c r="E231" s="57"/>
      <c r="F231" s="57"/>
      <c r="G231" s="57"/>
      <c r="H231" s="6"/>
    </row>
    <row r="232" spans="1:8" ht="20.25" x14ac:dyDescent="0.25">
      <c r="A232" s="10"/>
      <c r="B232" s="57"/>
      <c r="C232" s="57"/>
      <c r="D232" s="57"/>
      <c r="E232" s="57"/>
      <c r="F232" s="57"/>
      <c r="G232" s="57"/>
      <c r="H232" s="6"/>
    </row>
    <row r="233" spans="1:8" ht="20.25" x14ac:dyDescent="0.25">
      <c r="A233" s="10"/>
      <c r="B233" s="57"/>
      <c r="C233" s="57"/>
      <c r="D233" s="57"/>
      <c r="E233" s="57"/>
      <c r="F233" s="57"/>
      <c r="G233" s="57"/>
      <c r="H233" s="6"/>
    </row>
    <row r="234" spans="1:8" ht="20.25" x14ac:dyDescent="0.25">
      <c r="A234" s="10"/>
      <c r="B234" s="57"/>
      <c r="C234" s="57"/>
      <c r="D234" s="57"/>
      <c r="E234" s="57"/>
      <c r="F234" s="57"/>
      <c r="G234" s="57"/>
      <c r="H234" s="6"/>
    </row>
    <row r="235" spans="1:8" ht="20.25" x14ac:dyDescent="0.25">
      <c r="A235" s="10"/>
      <c r="B235" s="57"/>
      <c r="C235" s="57"/>
      <c r="D235" s="57"/>
      <c r="E235" s="57"/>
      <c r="F235" s="57"/>
      <c r="G235" s="57"/>
      <c r="H235" s="6"/>
    </row>
    <row r="236" spans="1:8" ht="20.25" x14ac:dyDescent="0.25">
      <c r="A236" s="10"/>
      <c r="B236" s="57"/>
      <c r="C236" s="57"/>
      <c r="D236" s="57"/>
      <c r="E236" s="57"/>
      <c r="F236" s="57"/>
      <c r="G236" s="57"/>
      <c r="H236" s="6"/>
    </row>
    <row r="237" spans="1:8" ht="20.25" x14ac:dyDescent="0.25">
      <c r="A237" s="10"/>
      <c r="B237" s="57"/>
      <c r="C237" s="57"/>
      <c r="D237" s="57"/>
      <c r="E237" s="57"/>
      <c r="F237" s="57"/>
      <c r="G237" s="57"/>
      <c r="H237" s="6"/>
    </row>
    <row r="238" spans="1:8" ht="20.25" x14ac:dyDescent="0.25">
      <c r="A238" s="10"/>
      <c r="B238" s="57"/>
      <c r="C238" s="57"/>
      <c r="D238" s="57"/>
      <c r="E238" s="57"/>
      <c r="F238" s="57"/>
      <c r="G238" s="57"/>
      <c r="H238" s="6"/>
    </row>
    <row r="239" spans="1:8" ht="20.25" x14ac:dyDescent="0.25">
      <c r="A239" s="10"/>
      <c r="B239" s="57"/>
      <c r="C239" s="57"/>
      <c r="D239" s="57"/>
      <c r="E239" s="57"/>
      <c r="F239" s="57"/>
      <c r="G239" s="57"/>
      <c r="H239" s="6"/>
    </row>
    <row r="240" spans="1:8" ht="20.25" x14ac:dyDescent="0.25">
      <c r="A240" s="10"/>
      <c r="B240" s="57"/>
      <c r="C240" s="57"/>
      <c r="D240" s="57"/>
      <c r="E240" s="57"/>
      <c r="F240" s="57"/>
      <c r="G240" s="57"/>
      <c r="H240" s="6"/>
    </row>
    <row r="241" spans="1:8" ht="20.25" x14ac:dyDescent="0.25">
      <c r="A241" s="10"/>
      <c r="B241" s="57"/>
      <c r="C241" s="57"/>
      <c r="D241" s="57"/>
      <c r="E241" s="57"/>
      <c r="F241" s="57"/>
      <c r="G241" s="57"/>
      <c r="H241" s="6"/>
    </row>
    <row r="242" spans="1:8" ht="20.25" x14ac:dyDescent="0.25">
      <c r="A242" s="10"/>
      <c r="B242" s="57"/>
      <c r="C242" s="57"/>
      <c r="D242" s="57"/>
      <c r="E242" s="57"/>
      <c r="F242" s="57"/>
      <c r="G242" s="57"/>
      <c r="H242" s="6"/>
    </row>
    <row r="243" spans="1:8" ht="20.25" x14ac:dyDescent="0.25">
      <c r="A243" s="10"/>
      <c r="B243" s="57"/>
      <c r="C243" s="57"/>
      <c r="D243" s="57"/>
      <c r="E243" s="57"/>
      <c r="F243" s="57"/>
      <c r="G243" s="57"/>
      <c r="H243" s="6"/>
    </row>
    <row r="244" spans="1:8" ht="20.25" x14ac:dyDescent="0.25">
      <c r="A244" s="10"/>
      <c r="B244" s="57"/>
      <c r="C244" s="57"/>
      <c r="D244" s="57"/>
      <c r="E244" s="57"/>
      <c r="F244" s="57"/>
      <c r="G244" s="57"/>
      <c r="H244" s="6"/>
    </row>
    <row r="245" spans="1:8" ht="20.25" x14ac:dyDescent="0.25">
      <c r="A245" s="10"/>
      <c r="B245" s="57"/>
      <c r="C245" s="57"/>
      <c r="D245" s="57"/>
      <c r="E245" s="57"/>
      <c r="F245" s="57"/>
      <c r="G245" s="57"/>
      <c r="H245" s="6"/>
    </row>
    <row r="246" spans="1:8" ht="20.25" x14ac:dyDescent="0.25">
      <c r="A246" s="10"/>
      <c r="B246" s="57"/>
      <c r="C246" s="57"/>
      <c r="D246" s="57"/>
      <c r="E246" s="57"/>
      <c r="F246" s="57"/>
      <c r="G246" s="57"/>
      <c r="H246" s="6"/>
    </row>
    <row r="247" spans="1:8" ht="20.25" x14ac:dyDescent="0.25">
      <c r="A247" s="10"/>
      <c r="B247" s="57"/>
      <c r="C247" s="57"/>
      <c r="D247" s="57"/>
      <c r="E247" s="57"/>
      <c r="F247" s="57"/>
      <c r="G247" s="57"/>
      <c r="H247" s="6"/>
    </row>
    <row r="248" spans="1:8" ht="20.25" x14ac:dyDescent="0.25">
      <c r="A248" s="10"/>
      <c r="B248" s="57"/>
      <c r="C248" s="57"/>
      <c r="D248" s="57"/>
      <c r="E248" s="57"/>
      <c r="F248" s="57"/>
      <c r="G248" s="57"/>
      <c r="H248" s="6"/>
    </row>
    <row r="249" spans="1:8" ht="20.25" x14ac:dyDescent="0.25">
      <c r="A249" s="10"/>
      <c r="B249" s="57"/>
      <c r="C249" s="57"/>
      <c r="D249" s="57"/>
      <c r="E249" s="57"/>
      <c r="F249" s="57"/>
      <c r="G249" s="57"/>
      <c r="H249" s="6"/>
    </row>
    <row r="250" spans="1:8" ht="20.25" x14ac:dyDescent="0.25">
      <c r="A250" s="10"/>
      <c r="B250" s="57"/>
      <c r="C250" s="57"/>
      <c r="D250" s="57"/>
      <c r="E250" s="57"/>
      <c r="F250" s="57"/>
      <c r="G250" s="57"/>
      <c r="H250" s="6"/>
    </row>
    <row r="251" spans="1:8" ht="20.25" x14ac:dyDescent="0.25">
      <c r="A251" s="10"/>
      <c r="B251" s="57"/>
      <c r="C251" s="57"/>
      <c r="D251" s="57"/>
      <c r="E251" s="57"/>
      <c r="F251" s="57"/>
      <c r="G251" s="57"/>
      <c r="H251" s="6"/>
    </row>
    <row r="252" spans="1:8" ht="20.25" x14ac:dyDescent="0.25">
      <c r="A252" s="10"/>
      <c r="B252" s="57"/>
      <c r="C252" s="57"/>
      <c r="D252" s="57"/>
      <c r="E252" s="57"/>
      <c r="F252" s="57"/>
      <c r="G252" s="57"/>
      <c r="H252" s="6"/>
    </row>
    <row r="253" spans="1:8" ht="20.25" x14ac:dyDescent="0.25">
      <c r="A253" s="10"/>
      <c r="B253" s="57"/>
      <c r="C253" s="57"/>
      <c r="D253" s="57"/>
      <c r="E253" s="57"/>
      <c r="F253" s="57"/>
      <c r="G253" s="57"/>
      <c r="H253" s="6"/>
    </row>
    <row r="254" spans="1:8" ht="20.25" x14ac:dyDescent="0.25">
      <c r="A254" s="10"/>
      <c r="B254" s="57"/>
      <c r="C254" s="57"/>
      <c r="D254" s="57"/>
      <c r="E254" s="57"/>
      <c r="F254" s="57"/>
      <c r="G254" s="57"/>
      <c r="H254" s="6"/>
    </row>
    <row r="255" spans="1:8" ht="20.25" x14ac:dyDescent="0.25">
      <c r="A255" s="10"/>
      <c r="B255" s="57"/>
      <c r="C255" s="57"/>
      <c r="D255" s="57"/>
      <c r="E255" s="57"/>
      <c r="F255" s="57"/>
      <c r="G255" s="57"/>
      <c r="H255" s="6"/>
    </row>
    <row r="256" spans="1:8" ht="20.25" x14ac:dyDescent="0.25">
      <c r="A256" s="10"/>
      <c r="B256" s="57"/>
      <c r="C256" s="57"/>
      <c r="D256" s="57"/>
      <c r="E256" s="57"/>
      <c r="F256" s="57"/>
      <c r="G256" s="57"/>
      <c r="H256" s="6"/>
    </row>
    <row r="257" spans="1:8" ht="20.25" x14ac:dyDescent="0.25">
      <c r="A257" s="10"/>
      <c r="B257" s="57"/>
      <c r="C257" s="57"/>
      <c r="D257" s="57"/>
      <c r="E257" s="57"/>
      <c r="F257" s="57"/>
      <c r="G257" s="57"/>
      <c r="H257" s="6"/>
    </row>
    <row r="258" spans="1:8" ht="20.25" x14ac:dyDescent="0.25">
      <c r="A258" s="10"/>
      <c r="B258" s="57"/>
      <c r="C258" s="57"/>
      <c r="D258" s="57"/>
      <c r="E258" s="57"/>
      <c r="F258" s="57"/>
      <c r="G258" s="57"/>
      <c r="H258" s="6"/>
    </row>
    <row r="259" spans="1:8" ht="20.25" x14ac:dyDescent="0.25">
      <c r="A259" s="10"/>
      <c r="B259" s="57"/>
      <c r="C259" s="57"/>
      <c r="D259" s="57"/>
      <c r="E259" s="57"/>
      <c r="F259" s="57"/>
      <c r="G259" s="57"/>
      <c r="H259" s="6"/>
    </row>
    <row r="260" spans="1:8" ht="20.25" x14ac:dyDescent="0.25">
      <c r="A260" s="10"/>
      <c r="B260" s="57"/>
      <c r="C260" s="57"/>
      <c r="D260" s="57"/>
      <c r="E260" s="57"/>
      <c r="F260" s="57"/>
      <c r="G260" s="57"/>
      <c r="H260" s="6"/>
    </row>
    <row r="261" spans="1:8" ht="20.25" x14ac:dyDescent="0.25">
      <c r="A261" s="10"/>
      <c r="B261" s="57"/>
      <c r="C261" s="57"/>
      <c r="D261" s="57"/>
      <c r="E261" s="57"/>
      <c r="F261" s="57"/>
      <c r="G261" s="57"/>
      <c r="H261" s="6"/>
    </row>
    <row r="262" spans="1:8" ht="20.25" x14ac:dyDescent="0.25">
      <c r="A262" s="10"/>
      <c r="B262" s="57"/>
      <c r="C262" s="57"/>
      <c r="D262" s="57"/>
      <c r="E262" s="57"/>
      <c r="F262" s="57"/>
      <c r="G262" s="57"/>
      <c r="H262" s="6"/>
    </row>
    <row r="263" spans="1:8" ht="20.25" x14ac:dyDescent="0.25">
      <c r="A263" s="10"/>
      <c r="B263" s="57"/>
      <c r="C263" s="57"/>
      <c r="D263" s="57"/>
      <c r="E263" s="57"/>
      <c r="F263" s="57"/>
      <c r="G263" s="57"/>
      <c r="H263" s="6"/>
    </row>
    <row r="264" spans="1:8" ht="20.25" x14ac:dyDescent="0.25">
      <c r="A264" s="10"/>
      <c r="B264" s="57"/>
      <c r="C264" s="57"/>
      <c r="D264" s="57"/>
      <c r="E264" s="57"/>
      <c r="F264" s="57"/>
      <c r="G264" s="57"/>
      <c r="H264" s="6"/>
    </row>
    <row r="265" spans="1:8" ht="20.25" x14ac:dyDescent="0.25">
      <c r="A265" s="10"/>
      <c r="B265" s="57"/>
      <c r="C265" s="57"/>
      <c r="D265" s="57"/>
      <c r="E265" s="57"/>
      <c r="F265" s="57"/>
      <c r="G265" s="57"/>
      <c r="H265" s="6"/>
    </row>
    <row r="266" spans="1:8" ht="20.25" x14ac:dyDescent="0.25">
      <c r="A266" s="12"/>
      <c r="B266" s="13"/>
      <c r="C266" s="13"/>
      <c r="D266" s="13"/>
      <c r="E266" s="13"/>
      <c r="F266" s="13"/>
      <c r="G266" s="13"/>
      <c r="H266" s="7"/>
    </row>
    <row r="267" spans="1:8" ht="20.25" x14ac:dyDescent="0.25">
      <c r="A267" s="158" t="s">
        <v>77</v>
      </c>
      <c r="B267" s="159"/>
      <c r="C267" s="159"/>
      <c r="D267" s="159"/>
      <c r="E267" s="159"/>
      <c r="F267" s="159"/>
      <c r="G267" s="159"/>
      <c r="H267" s="160"/>
    </row>
    <row r="268" spans="1:8" ht="20.25" x14ac:dyDescent="0.25">
      <c r="A268" s="8"/>
      <c r="B268" s="9"/>
      <c r="C268" s="9"/>
      <c r="D268" s="9"/>
      <c r="E268" s="9"/>
      <c r="F268" s="9"/>
      <c r="G268" s="9"/>
      <c r="H268" s="5"/>
    </row>
    <row r="269" spans="1:8" ht="20.25" x14ac:dyDescent="0.25">
      <c r="A269" s="10"/>
      <c r="B269" s="11"/>
      <c r="C269" s="11"/>
      <c r="D269" s="11"/>
      <c r="E269" s="11"/>
      <c r="F269" s="11"/>
      <c r="G269" s="11"/>
      <c r="H269" s="6"/>
    </row>
    <row r="270" spans="1:8" ht="20.25" x14ac:dyDescent="0.25">
      <c r="A270" s="10"/>
      <c r="B270" s="11"/>
      <c r="C270" s="11"/>
      <c r="D270" s="11"/>
      <c r="E270" s="11"/>
      <c r="F270" s="11"/>
      <c r="G270" s="11"/>
      <c r="H270" s="6"/>
    </row>
    <row r="271" spans="1:8" ht="20.25" x14ac:dyDescent="0.25">
      <c r="A271" s="10"/>
      <c r="B271" s="11"/>
      <c r="C271" s="11"/>
      <c r="D271" s="11"/>
      <c r="E271" s="11"/>
      <c r="F271" s="11"/>
      <c r="G271" s="11"/>
      <c r="H271" s="6"/>
    </row>
    <row r="272" spans="1:8" ht="20.25" x14ac:dyDescent="0.25">
      <c r="A272" s="10"/>
      <c r="B272" s="11"/>
      <c r="C272" s="11"/>
      <c r="D272" s="11"/>
      <c r="E272" s="11"/>
      <c r="F272" s="11"/>
      <c r="G272" s="11"/>
      <c r="H272" s="6"/>
    </row>
    <row r="273" spans="1:8" ht="20.25" x14ac:dyDescent="0.25">
      <c r="A273" s="10"/>
      <c r="B273" s="11"/>
      <c r="C273" s="11"/>
      <c r="D273" s="11"/>
      <c r="E273" s="11"/>
      <c r="F273" s="11"/>
      <c r="G273" s="11"/>
      <c r="H273" s="6"/>
    </row>
    <row r="274" spans="1:8" ht="20.25" x14ac:dyDescent="0.25">
      <c r="A274" s="10"/>
      <c r="B274" s="11"/>
      <c r="C274" s="11"/>
      <c r="D274" s="11"/>
      <c r="E274" s="11"/>
      <c r="F274" s="11"/>
      <c r="G274" s="11"/>
      <c r="H274" s="6"/>
    </row>
    <row r="275" spans="1:8" ht="20.25" x14ac:dyDescent="0.25">
      <c r="A275" s="10"/>
      <c r="B275" s="11"/>
      <c r="C275" s="11"/>
      <c r="D275" s="11"/>
      <c r="E275" s="11"/>
      <c r="F275" s="11"/>
      <c r="G275" s="11"/>
      <c r="H275" s="6"/>
    </row>
    <row r="276" spans="1:8" ht="20.25" x14ac:dyDescent="0.25">
      <c r="A276" s="10"/>
      <c r="B276" s="11"/>
      <c r="C276" s="11"/>
      <c r="D276" s="11"/>
      <c r="E276" s="11"/>
      <c r="F276" s="11"/>
      <c r="G276" s="11"/>
      <c r="H276" s="6"/>
    </row>
    <row r="277" spans="1:8" ht="20.25" x14ac:dyDescent="0.25">
      <c r="A277" s="10"/>
      <c r="B277" s="11"/>
      <c r="C277" s="11"/>
      <c r="D277" s="11"/>
      <c r="E277" s="11"/>
      <c r="F277" s="11"/>
      <c r="G277" s="11"/>
      <c r="H277" s="6"/>
    </row>
    <row r="278" spans="1:8" ht="20.25" x14ac:dyDescent="0.25">
      <c r="A278" s="10"/>
      <c r="B278" s="11"/>
      <c r="C278" s="11"/>
      <c r="D278" s="11"/>
      <c r="E278" s="11"/>
      <c r="F278" s="11"/>
      <c r="G278" s="11"/>
      <c r="H278" s="6"/>
    </row>
    <row r="279" spans="1:8" ht="20.25" x14ac:dyDescent="0.25">
      <c r="A279" s="10"/>
      <c r="B279" s="11"/>
      <c r="C279" s="11"/>
      <c r="D279" s="11"/>
      <c r="E279" s="11"/>
      <c r="F279" s="11"/>
      <c r="G279" s="11"/>
      <c r="H279" s="6"/>
    </row>
    <row r="280" spans="1:8" ht="20.25" x14ac:dyDescent="0.25">
      <c r="A280" s="10"/>
      <c r="B280" s="11"/>
      <c r="C280" s="11"/>
      <c r="D280" s="11"/>
      <c r="E280" s="11"/>
      <c r="F280" s="11"/>
      <c r="G280" s="11"/>
      <c r="H280" s="6"/>
    </row>
    <row r="281" spans="1:8" ht="20.25" x14ac:dyDescent="0.25">
      <c r="A281" s="10"/>
      <c r="B281" s="11"/>
      <c r="C281" s="11"/>
      <c r="D281" s="11"/>
      <c r="E281" s="11"/>
      <c r="F281" s="11"/>
      <c r="G281" s="11"/>
      <c r="H281" s="6"/>
    </row>
    <row r="282" spans="1:8" ht="20.25" x14ac:dyDescent="0.25">
      <c r="A282" s="10"/>
      <c r="B282" s="11"/>
      <c r="C282" s="11"/>
      <c r="D282" s="11"/>
      <c r="E282" s="11"/>
      <c r="F282" s="11"/>
      <c r="G282" s="11"/>
      <c r="H282" s="6"/>
    </row>
    <row r="283" spans="1:8" ht="20.25" x14ac:dyDescent="0.25">
      <c r="A283" s="10"/>
      <c r="B283" s="11"/>
      <c r="C283" s="11"/>
      <c r="D283" s="11"/>
      <c r="E283" s="11"/>
      <c r="F283" s="11"/>
      <c r="G283" s="11"/>
      <c r="H283" s="6"/>
    </row>
    <row r="284" spans="1:8" ht="20.25" x14ac:dyDescent="0.25">
      <c r="A284" s="10"/>
      <c r="B284" s="11"/>
      <c r="C284" s="11"/>
      <c r="D284" s="11"/>
      <c r="E284" s="11"/>
      <c r="F284" s="11"/>
      <c r="G284" s="11"/>
      <c r="H284" s="6"/>
    </row>
    <row r="285" spans="1:8" ht="20.25" x14ac:dyDescent="0.25">
      <c r="A285" s="10"/>
      <c r="B285" s="11"/>
      <c r="C285" s="11"/>
      <c r="D285" s="11"/>
      <c r="E285" s="11"/>
      <c r="F285" s="11"/>
      <c r="G285" s="11"/>
      <c r="H285" s="6"/>
    </row>
    <row r="286" spans="1:8" ht="20.25" x14ac:dyDescent="0.25">
      <c r="A286" s="10"/>
      <c r="B286" s="11"/>
      <c r="C286" s="11"/>
      <c r="D286" s="11"/>
      <c r="E286" s="11"/>
      <c r="F286" s="11"/>
      <c r="G286" s="11"/>
      <c r="H286" s="6"/>
    </row>
    <row r="287" spans="1:8" ht="20.25" x14ac:dyDescent="0.25">
      <c r="A287" s="10"/>
      <c r="B287" s="11"/>
      <c r="C287" s="11"/>
      <c r="D287" s="11"/>
      <c r="E287" s="11"/>
      <c r="F287" s="11"/>
      <c r="G287" s="11"/>
      <c r="H287" s="6"/>
    </row>
    <row r="288" spans="1:8" ht="20.25" x14ac:dyDescent="0.25">
      <c r="A288" s="10"/>
      <c r="B288" s="11"/>
      <c r="C288" s="11"/>
      <c r="D288" s="11"/>
      <c r="E288" s="11"/>
      <c r="F288" s="11"/>
      <c r="G288" s="11"/>
      <c r="H288" s="6"/>
    </row>
    <row r="289" spans="1:8" ht="20.25" x14ac:dyDescent="0.25">
      <c r="A289" s="10"/>
      <c r="B289" s="11"/>
      <c r="C289" s="11"/>
      <c r="D289" s="11"/>
      <c r="E289" s="11"/>
      <c r="F289" s="11"/>
      <c r="G289" s="11"/>
      <c r="H289" s="6"/>
    </row>
    <row r="290" spans="1:8" ht="20.25" x14ac:dyDescent="0.25">
      <c r="A290" s="10"/>
      <c r="B290" s="11"/>
      <c r="C290" s="11"/>
      <c r="D290" s="11"/>
      <c r="E290" s="11"/>
      <c r="F290" s="11"/>
      <c r="G290" s="11"/>
      <c r="H290" s="6"/>
    </row>
    <row r="291" spans="1:8" ht="20.25" x14ac:dyDescent="0.25">
      <c r="A291" s="10"/>
      <c r="B291" s="11"/>
      <c r="C291" s="11"/>
      <c r="D291" s="11"/>
      <c r="E291" s="11"/>
      <c r="F291" s="11"/>
      <c r="G291" s="11"/>
      <c r="H291" s="6"/>
    </row>
    <row r="292" spans="1:8" ht="20.25" x14ac:dyDescent="0.25">
      <c r="A292" s="10"/>
      <c r="B292" s="11"/>
      <c r="C292" s="11"/>
      <c r="D292" s="11"/>
      <c r="E292" s="11"/>
      <c r="F292" s="11"/>
      <c r="G292" s="11"/>
      <c r="H292" s="6"/>
    </row>
    <row r="293" spans="1:8" ht="20.25" x14ac:dyDescent="0.25">
      <c r="A293" s="10"/>
      <c r="B293" s="11"/>
      <c r="C293" s="11"/>
      <c r="D293" s="11"/>
      <c r="E293" s="11"/>
      <c r="F293" s="11"/>
      <c r="G293" s="11"/>
      <c r="H293" s="6"/>
    </row>
    <row r="294" spans="1:8" ht="20.25" x14ac:dyDescent="0.25">
      <c r="A294" s="10"/>
      <c r="B294" s="11"/>
      <c r="C294" s="11"/>
      <c r="D294" s="11"/>
      <c r="E294" s="11"/>
      <c r="F294" s="11"/>
      <c r="G294" s="11"/>
      <c r="H294" s="6"/>
    </row>
    <row r="295" spans="1:8" ht="20.25" x14ac:dyDescent="0.25">
      <c r="A295" s="10"/>
      <c r="B295" s="11"/>
      <c r="C295" s="11"/>
      <c r="D295" s="11"/>
      <c r="E295" s="11"/>
      <c r="F295" s="11"/>
      <c r="G295" s="11"/>
      <c r="H295" s="6"/>
    </row>
    <row r="296" spans="1:8" ht="20.25" x14ac:dyDescent="0.25">
      <c r="A296" s="10"/>
      <c r="B296" s="11"/>
      <c r="C296" s="11"/>
      <c r="D296" s="11"/>
      <c r="E296" s="11"/>
      <c r="F296" s="11"/>
      <c r="G296" s="11"/>
      <c r="H296" s="6"/>
    </row>
    <row r="297" spans="1:8" ht="20.25" x14ac:dyDescent="0.25">
      <c r="A297" s="10"/>
      <c r="B297" s="11"/>
      <c r="C297" s="11"/>
      <c r="D297" s="11"/>
      <c r="E297" s="11"/>
      <c r="F297" s="11"/>
      <c r="G297" s="11"/>
      <c r="H297" s="6"/>
    </row>
    <row r="298" spans="1:8" ht="20.25" x14ac:dyDescent="0.25">
      <c r="A298" s="141" t="s">
        <v>24</v>
      </c>
      <c r="B298" s="141"/>
      <c r="C298" s="141"/>
      <c r="D298" s="141"/>
      <c r="E298" s="141"/>
      <c r="F298" s="141"/>
      <c r="G298" s="141"/>
      <c r="H298" s="141"/>
    </row>
    <row r="299" spans="1:8" ht="20.25" x14ac:dyDescent="0.25">
      <c r="A299" s="165" t="s">
        <v>78</v>
      </c>
      <c r="B299" s="166"/>
      <c r="C299" s="166"/>
      <c r="D299" s="166"/>
      <c r="E299" s="166"/>
      <c r="F299" s="166"/>
      <c r="G299" s="166"/>
      <c r="H299" s="167"/>
    </row>
    <row r="300" spans="1:8" ht="20.25" x14ac:dyDescent="0.25">
      <c r="A300" s="168" t="s">
        <v>79</v>
      </c>
      <c r="B300" s="169"/>
      <c r="C300" s="169"/>
      <c r="D300" s="169"/>
      <c r="E300" s="169"/>
      <c r="F300" s="169"/>
      <c r="G300" s="169"/>
      <c r="H300" s="170"/>
    </row>
    <row r="301" spans="1:8" ht="45" customHeight="1" x14ac:dyDescent="0.25">
      <c r="A301" s="168" t="s">
        <v>80</v>
      </c>
      <c r="B301" s="169"/>
      <c r="C301" s="169"/>
      <c r="D301" s="169"/>
      <c r="E301" s="169"/>
      <c r="F301" s="169"/>
      <c r="G301" s="169"/>
      <c r="H301" s="170"/>
    </row>
    <row r="302" spans="1:8" ht="42.75" customHeight="1" x14ac:dyDescent="0.25">
      <c r="A302" s="168" t="s">
        <v>81</v>
      </c>
      <c r="B302" s="169"/>
      <c r="C302" s="169"/>
      <c r="D302" s="169"/>
      <c r="E302" s="169"/>
      <c r="F302" s="169"/>
      <c r="G302" s="169"/>
      <c r="H302" s="170"/>
    </row>
    <row r="303" spans="1:8" ht="20.25" x14ac:dyDescent="0.25">
      <c r="A303" s="168" t="s">
        <v>82</v>
      </c>
      <c r="B303" s="169"/>
      <c r="C303" s="169"/>
      <c r="D303" s="169"/>
      <c r="E303" s="169"/>
      <c r="F303" s="169"/>
      <c r="G303" s="169"/>
      <c r="H303" s="170"/>
    </row>
    <row r="304" spans="1:8" ht="20.25" x14ac:dyDescent="0.25">
      <c r="A304" s="168" t="s">
        <v>83</v>
      </c>
      <c r="B304" s="169"/>
      <c r="C304" s="169"/>
      <c r="D304" s="169"/>
      <c r="E304" s="169"/>
      <c r="F304" s="169"/>
      <c r="G304" s="169"/>
      <c r="H304" s="170"/>
    </row>
    <row r="305" spans="1:8" ht="45" customHeight="1" x14ac:dyDescent="0.25">
      <c r="A305" s="168" t="s">
        <v>84</v>
      </c>
      <c r="B305" s="169"/>
      <c r="C305" s="169"/>
      <c r="D305" s="169"/>
      <c r="E305" s="169"/>
      <c r="F305" s="169"/>
      <c r="G305" s="169"/>
      <c r="H305" s="170"/>
    </row>
    <row r="306" spans="1:8" ht="45" customHeight="1" x14ac:dyDescent="0.25">
      <c r="A306" s="168" t="s">
        <v>85</v>
      </c>
      <c r="B306" s="169"/>
      <c r="C306" s="169"/>
      <c r="D306" s="169"/>
      <c r="E306" s="169"/>
      <c r="F306" s="169"/>
      <c r="G306" s="169"/>
      <c r="H306" s="170"/>
    </row>
    <row r="307" spans="1:8" ht="20.25" x14ac:dyDescent="0.25">
      <c r="A307" s="171" t="s">
        <v>86</v>
      </c>
      <c r="B307" s="172"/>
      <c r="C307" s="172"/>
      <c r="D307" s="172"/>
      <c r="E307" s="172"/>
      <c r="F307" s="172"/>
      <c r="G307" s="172"/>
      <c r="H307" s="173"/>
    </row>
    <row r="308" spans="1:8" ht="57" customHeight="1" x14ac:dyDescent="0.25">
      <c r="A308" s="175" t="s">
        <v>30</v>
      </c>
      <c r="B308" s="176"/>
      <c r="C308" s="177" t="s">
        <v>339</v>
      </c>
      <c r="D308" s="178"/>
      <c r="E308" s="175" t="s">
        <v>9</v>
      </c>
      <c r="F308" s="176"/>
      <c r="G308" s="137"/>
      <c r="H308" s="137"/>
    </row>
  </sheetData>
  <mergeCells count="347">
    <mergeCell ref="I7:J7"/>
    <mergeCell ref="A108:F108"/>
    <mergeCell ref="A127:H127"/>
    <mergeCell ref="E118:F118"/>
    <mergeCell ref="E119:F119"/>
    <mergeCell ref="E120:F120"/>
    <mergeCell ref="A118:B118"/>
    <mergeCell ref="A119:B119"/>
    <mergeCell ref="C118:D118"/>
    <mergeCell ref="A120:B120"/>
    <mergeCell ref="C119:D119"/>
    <mergeCell ref="G118:H118"/>
    <mergeCell ref="G119:H119"/>
    <mergeCell ref="G120:H120"/>
    <mergeCell ref="C120:D120"/>
    <mergeCell ref="G122:H122"/>
    <mergeCell ref="A123:B123"/>
    <mergeCell ref="G123:H123"/>
    <mergeCell ref="A124:B124"/>
    <mergeCell ref="G124:H124"/>
    <mergeCell ref="A125:B125"/>
    <mergeCell ref="G125:H125"/>
    <mergeCell ref="G108:H108"/>
    <mergeCell ref="E126:F126"/>
    <mergeCell ref="E93:F93"/>
    <mergeCell ref="E94:F94"/>
    <mergeCell ref="A92:H92"/>
    <mergeCell ref="A93:C94"/>
    <mergeCell ref="A68:B68"/>
    <mergeCell ref="A71:B71"/>
    <mergeCell ref="E78:F78"/>
    <mergeCell ref="A79:B79"/>
    <mergeCell ref="E79:F79"/>
    <mergeCell ref="A80:B80"/>
    <mergeCell ref="E64:F75"/>
    <mergeCell ref="A58:B58"/>
    <mergeCell ref="A59:B59"/>
    <mergeCell ref="C56:F56"/>
    <mergeCell ref="C57:F57"/>
    <mergeCell ref="C58:F58"/>
    <mergeCell ref="C59:F59"/>
    <mergeCell ref="A76:H76"/>
    <mergeCell ref="A77:C78"/>
    <mergeCell ref="E77:F77"/>
    <mergeCell ref="G64:H75"/>
    <mergeCell ref="A60:H60"/>
    <mergeCell ref="A63:B63"/>
    <mergeCell ref="E308:F308"/>
    <mergeCell ref="A308:B308"/>
    <mergeCell ref="C308:D308"/>
    <mergeCell ref="A1:H1"/>
    <mergeCell ref="A170:C170"/>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114:H114"/>
    <mergeCell ref="A126:B126"/>
    <mergeCell ref="G126:H126"/>
    <mergeCell ref="A121:H121"/>
    <mergeCell ref="G46:H46"/>
    <mergeCell ref="G31:H31"/>
    <mergeCell ref="G22:H22"/>
    <mergeCell ref="G36:H36"/>
    <mergeCell ref="G35:H35"/>
    <mergeCell ref="G308:H308"/>
    <mergeCell ref="A169:H169"/>
    <mergeCell ref="D171:H171"/>
    <mergeCell ref="A299:H299"/>
    <mergeCell ref="A305:H305"/>
    <mergeCell ref="A306:H306"/>
    <mergeCell ref="A307:H307"/>
    <mergeCell ref="A300:H300"/>
    <mergeCell ref="A301:H301"/>
    <mergeCell ref="A302:H302"/>
    <mergeCell ref="A303:H303"/>
    <mergeCell ref="A171:C171"/>
    <mergeCell ref="A298:H298"/>
    <mergeCell ref="A304:H304"/>
    <mergeCell ref="A267:H267"/>
    <mergeCell ref="D170:H170"/>
    <mergeCell ref="A172:C172"/>
    <mergeCell ref="D172:H172"/>
    <mergeCell ref="A217:H217"/>
    <mergeCell ref="E125:F125"/>
    <mergeCell ref="E123:F123"/>
    <mergeCell ref="C122:D122"/>
    <mergeCell ref="E124:F124"/>
    <mergeCell ref="G112:H112"/>
    <mergeCell ref="G116:H116"/>
    <mergeCell ref="A113:H113"/>
    <mergeCell ref="A109:H109"/>
    <mergeCell ref="G110:H110"/>
    <mergeCell ref="A111:B111"/>
    <mergeCell ref="A122:B122"/>
    <mergeCell ref="E122:F122"/>
    <mergeCell ref="C123:D123"/>
    <mergeCell ref="C125:D125"/>
    <mergeCell ref="B168:H168"/>
    <mergeCell ref="B161:H161"/>
    <mergeCell ref="B160:H160"/>
    <mergeCell ref="B165:H165"/>
    <mergeCell ref="B163:H163"/>
    <mergeCell ref="B162:H162"/>
    <mergeCell ref="B166:H166"/>
    <mergeCell ref="E110:F110"/>
    <mergeCell ref="A112:B112"/>
    <mergeCell ref="E111:F111"/>
    <mergeCell ref="G111:H111"/>
    <mergeCell ref="C126:D126"/>
    <mergeCell ref="B164:H164"/>
    <mergeCell ref="B167:H167"/>
    <mergeCell ref="A159:H159"/>
    <mergeCell ref="C124:D124"/>
    <mergeCell ref="A110:B110"/>
    <mergeCell ref="C110:D110"/>
    <mergeCell ref="C111:D111"/>
    <mergeCell ref="C112:D112"/>
    <mergeCell ref="E112:F112"/>
    <mergeCell ref="A114:F114"/>
    <mergeCell ref="A115:F115"/>
    <mergeCell ref="A116:F116"/>
    <mergeCell ref="A65:B65"/>
    <mergeCell ref="C27:D27"/>
    <mergeCell ref="A72:B72"/>
    <mergeCell ref="A73:B73"/>
    <mergeCell ref="A74:B74"/>
    <mergeCell ref="A75:B75"/>
    <mergeCell ref="A66:B66"/>
    <mergeCell ref="A67:B67"/>
    <mergeCell ref="A69:B69"/>
    <mergeCell ref="A33:H33"/>
    <mergeCell ref="G30:H30"/>
    <mergeCell ref="G29:H29"/>
    <mergeCell ref="A64:B64"/>
    <mergeCell ref="E63:F63"/>
    <mergeCell ref="E61:F61"/>
    <mergeCell ref="E62:F62"/>
    <mergeCell ref="A61:C62"/>
    <mergeCell ref="A70:B70"/>
    <mergeCell ref="A45:B45"/>
    <mergeCell ref="A46:B46"/>
    <mergeCell ref="A47:B47"/>
    <mergeCell ref="D46:F46"/>
    <mergeCell ref="D45:F45"/>
    <mergeCell ref="D47:F47"/>
    <mergeCell ref="E80:F91"/>
    <mergeCell ref="G80:H91"/>
    <mergeCell ref="A81:B81"/>
    <mergeCell ref="A82:B82"/>
    <mergeCell ref="A83:B83"/>
    <mergeCell ref="A84:B84"/>
    <mergeCell ref="A85:B85"/>
    <mergeCell ref="A86:B86"/>
    <mergeCell ref="A87:B87"/>
    <mergeCell ref="A88:B88"/>
    <mergeCell ref="A89:B89"/>
    <mergeCell ref="A90:B90"/>
    <mergeCell ref="A91:B91"/>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G6:H6"/>
    <mergeCell ref="E16:F16"/>
    <mergeCell ref="E17:F17"/>
    <mergeCell ref="E18:F18"/>
    <mergeCell ref="E19:F19"/>
    <mergeCell ref="C18:D18"/>
    <mergeCell ref="C19:D19"/>
    <mergeCell ref="A23:B23"/>
    <mergeCell ref="G2:H2"/>
    <mergeCell ref="G3:H3"/>
    <mergeCell ref="G4:H4"/>
    <mergeCell ref="A5:H5"/>
    <mergeCell ref="A13:H13"/>
    <mergeCell ref="G14:H14"/>
    <mergeCell ref="G16:H16"/>
    <mergeCell ref="G17:H17"/>
    <mergeCell ref="G15:H15"/>
    <mergeCell ref="G18:H18"/>
    <mergeCell ref="G19:H19"/>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20:D20"/>
    <mergeCell ref="C21:D21"/>
    <mergeCell ref="C22:D22"/>
    <mergeCell ref="C24:H24"/>
    <mergeCell ref="C23:H23"/>
    <mergeCell ref="E14:F14"/>
    <mergeCell ref="E15:F15"/>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C26:D26"/>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A48:B48"/>
    <mergeCell ref="D48:F48"/>
    <mergeCell ref="A95:B95"/>
    <mergeCell ref="E95:F95"/>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A107:B107"/>
    <mergeCell ref="A129:H129"/>
    <mergeCell ref="A130:H130"/>
    <mergeCell ref="A131:B131"/>
    <mergeCell ref="A132:B132"/>
    <mergeCell ref="A133:B133"/>
    <mergeCell ref="A134:B134"/>
    <mergeCell ref="A135:B135"/>
    <mergeCell ref="A136:B136"/>
    <mergeCell ref="A137:H137"/>
    <mergeCell ref="A138:B138"/>
    <mergeCell ref="A139:B139"/>
    <mergeCell ref="A140:B140"/>
    <mergeCell ref="A141:B141"/>
    <mergeCell ref="A142:B142"/>
    <mergeCell ref="A143:H143"/>
    <mergeCell ref="A158:B158"/>
    <mergeCell ref="A147:B147"/>
    <mergeCell ref="A148:B148"/>
    <mergeCell ref="A149:H149"/>
    <mergeCell ref="A150:H150"/>
    <mergeCell ref="A144:B144"/>
    <mergeCell ref="A145:B145"/>
    <mergeCell ref="A146:B146"/>
    <mergeCell ref="A156:B156"/>
    <mergeCell ref="A157:B157"/>
    <mergeCell ref="A151:H151"/>
    <mergeCell ref="A152:B152"/>
    <mergeCell ref="A153:B153"/>
    <mergeCell ref="A154:B154"/>
    <mergeCell ref="A155:B155"/>
  </mergeCells>
  <dataValidations disablePrompts="1" count="7">
    <dataValidation type="list" allowBlank="1" showInputMessage="1" showErrorMessage="1" sqref="G6:H6">
      <formula1>"Ms. Rupali Munagekar,Mr. Suraj Khare,Mr.Vinayak,Mr.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F128">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28">
      <formula1>"Sale /         Rehab /           PAP,Sale / Mhada,Sale / Landowner"</formula1>
    </dataValidation>
    <dataValidation type="list" allowBlank="1" showInputMessage="1" showErrorMessage="1" sqref="C112:D112">
      <formula1>"200000,300000,350000,400000,500000,600000,700000,800000,900000,1000000,1200000,1400000,1500000,1600000"</formula1>
    </dataValidation>
  </dataValidations>
  <hyperlinks>
    <hyperlink ref="C23" r:id="rId1"/>
    <hyperlink ref="J116" r:id="rId2"/>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5" manualBreakCount="5">
    <brk id="75" max="7" man="1"/>
    <brk id="136" max="7" man="1"/>
    <brk id="168" max="8" man="1"/>
    <brk id="216" max="16383" man="1"/>
    <brk id="266"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41" t="s">
        <v>69</v>
      </c>
      <c r="B3" s="141"/>
      <c r="C3" s="141"/>
      <c r="D3" s="141"/>
      <c r="E3" s="141"/>
      <c r="F3" s="141"/>
      <c r="G3" s="141"/>
      <c r="H3" s="141"/>
      <c r="I3" s="141"/>
    </row>
    <row r="4" spans="1:11" s="1" customFormat="1" ht="20.25" customHeight="1" x14ac:dyDescent="0.3">
      <c r="A4" s="190">
        <v>1</v>
      </c>
      <c r="B4" s="190"/>
      <c r="C4" s="190"/>
      <c r="D4" s="191" t="s">
        <v>4</v>
      </c>
      <c r="E4" s="28" t="s">
        <v>117</v>
      </c>
      <c r="F4" s="146" t="s">
        <v>104</v>
      </c>
      <c r="G4" s="146"/>
      <c r="H4" s="28" t="s">
        <v>118</v>
      </c>
      <c r="I4" s="28" t="s">
        <v>119</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25" x14ac:dyDescent="0.3">
      <c r="A5" s="190"/>
      <c r="B5" s="190"/>
      <c r="C5" s="190"/>
      <c r="D5" s="191"/>
      <c r="E5" s="28">
        <v>3</v>
      </c>
      <c r="F5" s="146">
        <v>1</v>
      </c>
      <c r="G5" s="146"/>
      <c r="H5" s="28">
        <v>0</v>
      </c>
      <c r="I5" s="28">
        <f ca="1">--TRIM(RIGHT(SUBSTITUTE(LEFT(A4,_xlfn.AGGREGATE(16,6,FIND({0,1,2,3,4,5,6,7,8,9},A4,ROW(INDIRECT("1:"&amp;LEN(A4)))),1))," ",REPT(" ",LEN(A4))),LEN(A4)))</f>
        <v>1</v>
      </c>
      <c r="J5" s="15" t="s">
        <v>123</v>
      </c>
      <c r="K5" s="16"/>
    </row>
    <row r="6" spans="1:11" s="1" customFormat="1" ht="20.25" customHeight="1" x14ac:dyDescent="0.3">
      <c r="A6" s="115" t="s">
        <v>121</v>
      </c>
      <c r="B6" s="115"/>
      <c r="C6" s="115" t="s">
        <v>131</v>
      </c>
      <c r="D6" s="115"/>
      <c r="E6" s="29" t="s">
        <v>132</v>
      </c>
      <c r="F6" s="115" t="s">
        <v>122</v>
      </c>
      <c r="G6" s="115"/>
      <c r="H6" s="25" t="s">
        <v>120</v>
      </c>
      <c r="I6" s="25"/>
      <c r="J6" s="18" t="s">
        <v>133</v>
      </c>
      <c r="K6" s="17">
        <f ca="1">I5*25%</f>
        <v>0.25</v>
      </c>
    </row>
    <row r="7" spans="1:11" s="1" customFormat="1" ht="20.25" customHeight="1" x14ac:dyDescent="0.3">
      <c r="A7" s="116" t="s">
        <v>134</v>
      </c>
      <c r="B7" s="116"/>
      <c r="C7" s="146">
        <f ca="1">K8</f>
        <v>1</v>
      </c>
      <c r="D7" s="146"/>
      <c r="E7" s="27">
        <f ca="1">((100/I5)*C7)/100</f>
        <v>1</v>
      </c>
      <c r="F7" s="116">
        <f ca="1">(((C7/I5*5)+(C8/I5*20)+(25/(F5+H5+I5)*C9)+(5/(I5)*C10)+(2.5/(I5)*C11)+(2.5/(I5)*C12)+(5/I5*C13)+(10/I5*C14)+(2.5/I5*C15)+(2.5/I5*C16)+(10/I5*C17)+(10/I5*C18))/100)</f>
        <v>0.25</v>
      </c>
      <c r="G7" s="116"/>
      <c r="H7" s="116" t="str">
        <f ca="1">J4</f>
        <v>Excavation work Completed. Plinth work completed</v>
      </c>
      <c r="I7" s="116"/>
      <c r="J7" s="18" t="s">
        <v>124</v>
      </c>
      <c r="K7" s="21">
        <f ca="1">I5*50%</f>
        <v>0.5</v>
      </c>
    </row>
    <row r="8" spans="1:11" s="1" customFormat="1" ht="20.25" x14ac:dyDescent="0.3">
      <c r="A8" s="116" t="s">
        <v>105</v>
      </c>
      <c r="B8" s="116"/>
      <c r="C8" s="192">
        <f ca="1">K16</f>
        <v>1</v>
      </c>
      <c r="D8" s="146"/>
      <c r="E8" s="27">
        <f ca="1">((100/I5)*C8)/100</f>
        <v>1</v>
      </c>
      <c r="F8" s="116"/>
      <c r="G8" s="116"/>
      <c r="H8" s="116"/>
      <c r="I8" s="116"/>
      <c r="J8" s="18" t="s">
        <v>125</v>
      </c>
      <c r="K8" s="21">
        <f ca="1">I5</f>
        <v>1</v>
      </c>
    </row>
    <row r="9" spans="1:11" s="1" customFormat="1" ht="21" customHeight="1" x14ac:dyDescent="0.35">
      <c r="A9" s="116" t="s">
        <v>135</v>
      </c>
      <c r="B9" s="116"/>
      <c r="C9" s="146">
        <v>0</v>
      </c>
      <c r="D9" s="146"/>
      <c r="E9" s="27">
        <f ca="1">((100/(F5+H5+I5))*C9)/100</f>
        <v>0</v>
      </c>
      <c r="F9" s="116"/>
      <c r="G9" s="116"/>
      <c r="H9" s="116"/>
      <c r="I9" s="116"/>
      <c r="J9" s="18" t="s">
        <v>126</v>
      </c>
      <c r="K9" s="22">
        <f ca="1">(IF(E5&gt;1,(I5/(E5+2)),I5*0.2))</f>
        <v>0.2</v>
      </c>
    </row>
    <row r="10" spans="1:11" s="1" customFormat="1" ht="21" customHeight="1" x14ac:dyDescent="0.35">
      <c r="A10" s="116" t="s">
        <v>136</v>
      </c>
      <c r="B10" s="116"/>
      <c r="C10" s="146">
        <v>0</v>
      </c>
      <c r="D10" s="146"/>
      <c r="E10" s="27">
        <f ca="1">((100/I5)*C10)/100</f>
        <v>0</v>
      </c>
      <c r="F10" s="116"/>
      <c r="G10" s="116"/>
      <c r="H10" s="116"/>
      <c r="I10" s="116"/>
      <c r="J10" s="18" t="s">
        <v>127</v>
      </c>
      <c r="K10" s="22">
        <f ca="1">(IF(E5&gt;1,(I5/(E5+2)+K9),I5*0.2+K9))</f>
        <v>0.4</v>
      </c>
    </row>
    <row r="11" spans="1:11" s="1" customFormat="1" ht="21" customHeight="1" x14ac:dyDescent="0.35">
      <c r="A11" s="123" t="s">
        <v>137</v>
      </c>
      <c r="B11" s="124"/>
      <c r="C11" s="146">
        <v>0</v>
      </c>
      <c r="D11" s="146"/>
      <c r="E11" s="27">
        <f ca="1">((100/I5)*C11)/100</f>
        <v>0</v>
      </c>
      <c r="F11" s="116"/>
      <c r="G11" s="116"/>
      <c r="H11" s="116"/>
      <c r="I11" s="116"/>
      <c r="J11" s="18" t="s">
        <v>138</v>
      </c>
      <c r="K11" s="22">
        <f ca="1">(IF(E5&gt;1,(I5/(E5+2)+K10),0))</f>
        <v>0.60000000000000009</v>
      </c>
    </row>
    <row r="12" spans="1:11" s="1" customFormat="1" ht="21" customHeight="1" x14ac:dyDescent="0.35">
      <c r="A12" s="123" t="s">
        <v>168</v>
      </c>
      <c r="B12" s="124"/>
      <c r="C12" s="146">
        <v>0</v>
      </c>
      <c r="D12" s="146"/>
      <c r="E12" s="27">
        <f ca="1">((100/I5)*C12)/100</f>
        <v>0</v>
      </c>
      <c r="F12" s="116"/>
      <c r="G12" s="116"/>
      <c r="H12" s="116"/>
      <c r="I12" s="116"/>
      <c r="J12" s="18" t="s">
        <v>139</v>
      </c>
      <c r="K12" s="22">
        <f ca="1">(IF(E5&gt;2,(I5/(E5+2)+K11),0))</f>
        <v>0.8</v>
      </c>
    </row>
    <row r="13" spans="1:11" s="1" customFormat="1" ht="57.75" customHeight="1" x14ac:dyDescent="0.35">
      <c r="A13" s="123" t="s">
        <v>165</v>
      </c>
      <c r="B13" s="124"/>
      <c r="C13" s="146">
        <v>0</v>
      </c>
      <c r="D13" s="146"/>
      <c r="E13" s="27">
        <f ca="1">((100/(I5))*C13)/100</f>
        <v>0</v>
      </c>
      <c r="F13" s="116"/>
      <c r="G13" s="116"/>
      <c r="H13" s="116"/>
      <c r="I13" s="116"/>
      <c r="J13" s="18" t="s">
        <v>141</v>
      </c>
      <c r="K13" s="23">
        <f>(IF(E5&gt;3,(I5/(E5+2)+K12),0))</f>
        <v>0</v>
      </c>
    </row>
    <row r="14" spans="1:11" s="1" customFormat="1" ht="21" x14ac:dyDescent="0.35">
      <c r="A14" s="116" t="s">
        <v>140</v>
      </c>
      <c r="B14" s="116"/>
      <c r="C14" s="146">
        <v>0</v>
      </c>
      <c r="D14" s="146"/>
      <c r="E14" s="27">
        <f ca="1">((100/(I5))*C14)/100</f>
        <v>0</v>
      </c>
      <c r="F14" s="116"/>
      <c r="G14" s="116"/>
      <c r="H14" s="116"/>
      <c r="I14" s="116"/>
      <c r="J14" s="18" t="s">
        <v>142</v>
      </c>
      <c r="K14" s="22">
        <f>(IF(E5&gt;4,(I5/(E5+2)+K13),0))</f>
        <v>0</v>
      </c>
    </row>
    <row r="15" spans="1:11" s="1" customFormat="1" ht="21" customHeight="1" x14ac:dyDescent="0.35">
      <c r="A15" s="116" t="s">
        <v>167</v>
      </c>
      <c r="B15" s="116"/>
      <c r="C15" s="146">
        <v>0</v>
      </c>
      <c r="D15" s="146"/>
      <c r="E15" s="27">
        <f ca="1">((100/I5)*C15)/100</f>
        <v>0</v>
      </c>
      <c r="F15" s="116"/>
      <c r="G15" s="116"/>
      <c r="H15" s="116"/>
      <c r="I15" s="116"/>
      <c r="J15" s="18" t="s">
        <v>128</v>
      </c>
      <c r="K15" s="22">
        <f>(IF(E5=1,(I5/(E5+3)+K10),IF(E5=0,(I5*0.3+K10),IF(E5&gt;1,0))))</f>
        <v>0</v>
      </c>
    </row>
    <row r="16" spans="1:11" s="1" customFormat="1" ht="21.75" thickBot="1" x14ac:dyDescent="0.4">
      <c r="A16" s="116" t="s">
        <v>166</v>
      </c>
      <c r="B16" s="116"/>
      <c r="C16" s="146">
        <v>0</v>
      </c>
      <c r="D16" s="146"/>
      <c r="E16" s="27">
        <f ca="1">((100/I5)*C16)/100</f>
        <v>0</v>
      </c>
      <c r="F16" s="116"/>
      <c r="G16" s="116"/>
      <c r="H16" s="116"/>
      <c r="I16" s="116"/>
      <c r="J16" s="20" t="s">
        <v>129</v>
      </c>
      <c r="K16" s="24">
        <f ca="1">(IF(E5&gt;1.5,(I5/(E5+2)+K10+MAX(0,K11-K10)+MAX(0,K12-K11)+MAX(0,K13-K12)+MAX(0,K14-K13)+MAX(0,K15-K14)),IF(E5=1,(I5/(E5+3)+K15),IF(E5=0,I5*0.3+K15))))</f>
        <v>1</v>
      </c>
    </row>
    <row r="17" spans="1:9" s="1" customFormat="1" ht="20.25" x14ac:dyDescent="0.25">
      <c r="A17" s="116" t="s">
        <v>143</v>
      </c>
      <c r="B17" s="116"/>
      <c r="C17" s="146">
        <v>0</v>
      </c>
      <c r="D17" s="146"/>
      <c r="E17" s="27">
        <f ca="1">((100/(I5))*C17)/100</f>
        <v>0</v>
      </c>
      <c r="F17" s="116"/>
      <c r="G17" s="116"/>
      <c r="H17" s="116"/>
      <c r="I17" s="116"/>
    </row>
    <row r="18" spans="1:9" s="1" customFormat="1" ht="20.25" x14ac:dyDescent="0.25">
      <c r="A18" s="116" t="s">
        <v>144</v>
      </c>
      <c r="B18" s="116"/>
      <c r="C18" s="146">
        <v>0</v>
      </c>
      <c r="D18" s="146"/>
      <c r="E18" s="27">
        <f ca="1">((100/(I5))*C18)/100</f>
        <v>0</v>
      </c>
      <c r="F18" s="116"/>
      <c r="G18" s="116"/>
      <c r="H18" s="116"/>
      <c r="I18" s="116"/>
    </row>
    <row r="23" spans="1:9" x14ac:dyDescent="0.25">
      <c r="B23" s="193" t="s">
        <v>169</v>
      </c>
      <c r="C23" s="193"/>
      <c r="D23" s="193"/>
      <c r="E23" s="193"/>
      <c r="F23" s="193"/>
      <c r="G23" s="193"/>
    </row>
    <row r="24" spans="1:9" ht="14.45" customHeight="1" x14ac:dyDescent="0.25">
      <c r="B24" s="196" t="s">
        <v>170</v>
      </c>
      <c r="C24" s="196" t="s">
        <v>171</v>
      </c>
      <c r="D24" s="199" t="s">
        <v>172</v>
      </c>
      <c r="E24" s="200" t="s">
        <v>173</v>
      </c>
      <c r="F24" s="197" t="s">
        <v>174</v>
      </c>
      <c r="G24" s="196" t="s">
        <v>175</v>
      </c>
    </row>
    <row r="25" spans="1:9" x14ac:dyDescent="0.25">
      <c r="B25" s="196"/>
      <c r="C25" s="196"/>
      <c r="D25" s="199"/>
      <c r="E25" s="200"/>
      <c r="F25" s="197"/>
      <c r="G25" s="196"/>
    </row>
    <row r="26" spans="1:9" x14ac:dyDescent="0.25">
      <c r="B26" s="39" t="s">
        <v>176</v>
      </c>
      <c r="C26" s="40">
        <v>10</v>
      </c>
      <c r="D26" s="40">
        <v>1</v>
      </c>
      <c r="E26" s="41"/>
      <c r="F26" s="42">
        <f>((E26/D26)*0.05)*100</f>
        <v>0</v>
      </c>
      <c r="G26" s="42">
        <f t="shared" ref="G26:G37" si="0">((E26/D26)*(C26/100))*100</f>
        <v>0</v>
      </c>
    </row>
    <row r="27" spans="1:9" x14ac:dyDescent="0.25">
      <c r="B27" s="39" t="s">
        <v>177</v>
      </c>
      <c r="C27" s="41">
        <v>10</v>
      </c>
      <c r="D27" s="41">
        <v>1</v>
      </c>
      <c r="E27" s="41"/>
      <c r="F27" s="42">
        <f>((E27/D27)*0.05)*100</f>
        <v>0</v>
      </c>
      <c r="G27" s="42">
        <f t="shared" si="0"/>
        <v>0</v>
      </c>
    </row>
    <row r="28" spans="1:9" x14ac:dyDescent="0.25">
      <c r="B28" s="39" t="s">
        <v>178</v>
      </c>
      <c r="C28" s="41">
        <v>15</v>
      </c>
      <c r="D28" s="41">
        <v>1</v>
      </c>
      <c r="E28" s="41"/>
      <c r="F28" s="42">
        <f>((E28/D28)*0.15)*100</f>
        <v>0</v>
      </c>
      <c r="G28" s="42">
        <f t="shared" si="0"/>
        <v>0</v>
      </c>
    </row>
    <row r="29" spans="1:9" x14ac:dyDescent="0.25">
      <c r="B29" s="43" t="s">
        <v>179</v>
      </c>
      <c r="C29" s="41">
        <v>25</v>
      </c>
      <c r="D29" s="41">
        <v>40</v>
      </c>
      <c r="E29" s="41"/>
      <c r="F29" s="42">
        <f>((E29/D29)*0.25)*100</f>
        <v>0</v>
      </c>
      <c r="G29" s="42">
        <f t="shared" si="0"/>
        <v>0</v>
      </c>
    </row>
    <row r="30" spans="1:9" x14ac:dyDescent="0.25">
      <c r="B30" s="43" t="s">
        <v>180</v>
      </c>
      <c r="C30" s="41">
        <v>5</v>
      </c>
      <c r="D30" s="41">
        <v>39</v>
      </c>
      <c r="E30" s="41"/>
      <c r="F30" s="42">
        <f>((E30/D30)*0.05)*100</f>
        <v>0</v>
      </c>
      <c r="G30" s="42">
        <f t="shared" si="0"/>
        <v>0</v>
      </c>
    </row>
    <row r="31" spans="1:9" ht="30" x14ac:dyDescent="0.25">
      <c r="B31" s="43" t="s">
        <v>181</v>
      </c>
      <c r="C31" s="41">
        <v>2.5</v>
      </c>
      <c r="D31" s="41">
        <v>39</v>
      </c>
      <c r="E31" s="41"/>
      <c r="F31" s="42">
        <f>((E31/D31)*0.025)*100</f>
        <v>0</v>
      </c>
      <c r="G31" s="42">
        <f t="shared" si="0"/>
        <v>0</v>
      </c>
    </row>
    <row r="32" spans="1:9" ht="30" x14ac:dyDescent="0.25">
      <c r="B32" s="43" t="s">
        <v>182</v>
      </c>
      <c r="C32" s="41">
        <v>2.5</v>
      </c>
      <c r="D32" s="41">
        <v>39</v>
      </c>
      <c r="E32" s="41"/>
      <c r="F32" s="42">
        <f>((E32/D32)*0.025)*100</f>
        <v>0</v>
      </c>
      <c r="G32" s="42">
        <f t="shared" si="0"/>
        <v>0</v>
      </c>
    </row>
    <row r="33" spans="1:7" ht="45" x14ac:dyDescent="0.25">
      <c r="B33" s="44" t="s">
        <v>183</v>
      </c>
      <c r="C33" s="41">
        <v>5</v>
      </c>
      <c r="D33" s="41">
        <v>39</v>
      </c>
      <c r="E33" s="41"/>
      <c r="F33" s="42">
        <f>((E33/D33)*0.05)*100</f>
        <v>0</v>
      </c>
      <c r="G33" s="42">
        <f t="shared" si="0"/>
        <v>0</v>
      </c>
    </row>
    <row r="34" spans="1:7" ht="30" x14ac:dyDescent="0.25">
      <c r="B34" s="44" t="s">
        <v>184</v>
      </c>
      <c r="C34" s="41">
        <v>5</v>
      </c>
      <c r="D34" s="41">
        <v>39</v>
      </c>
      <c r="E34" s="41"/>
      <c r="F34" s="42">
        <f>((E34/D34)*0.1)*100</f>
        <v>0</v>
      </c>
      <c r="G34" s="42">
        <f t="shared" si="0"/>
        <v>0</v>
      </c>
    </row>
    <row r="35" spans="1:7" ht="30" x14ac:dyDescent="0.25">
      <c r="B35" s="44" t="s">
        <v>185</v>
      </c>
      <c r="C35" s="41">
        <v>5</v>
      </c>
      <c r="D35" s="41">
        <v>39</v>
      </c>
      <c r="E35" s="41"/>
      <c r="F35" s="42">
        <f>((E35/D35)*0.05)*100</f>
        <v>0</v>
      </c>
      <c r="G35" s="42">
        <f t="shared" si="0"/>
        <v>0</v>
      </c>
    </row>
    <row r="36" spans="1:7" ht="60" x14ac:dyDescent="0.25">
      <c r="B36" s="44" t="s">
        <v>186</v>
      </c>
      <c r="C36" s="41">
        <v>10</v>
      </c>
      <c r="D36" s="41">
        <v>39</v>
      </c>
      <c r="E36" s="41"/>
      <c r="F36" s="42">
        <f>((E36/D36)*0.1)*100</f>
        <v>0</v>
      </c>
      <c r="G36" s="42">
        <f t="shared" si="0"/>
        <v>0</v>
      </c>
    </row>
    <row r="37" spans="1:7" ht="45" x14ac:dyDescent="0.25">
      <c r="B37" s="44" t="s">
        <v>187</v>
      </c>
      <c r="C37" s="41">
        <v>5</v>
      </c>
      <c r="D37" s="41">
        <v>39</v>
      </c>
      <c r="E37" s="41"/>
      <c r="F37" s="42">
        <f>((E37/D37)*0.1)*100</f>
        <v>0</v>
      </c>
      <c r="G37" s="42">
        <f t="shared" si="0"/>
        <v>0</v>
      </c>
    </row>
    <row r="38" spans="1:7" ht="15.75" x14ac:dyDescent="0.25">
      <c r="B38" s="45" t="s">
        <v>188</v>
      </c>
      <c r="C38" s="46">
        <f>SUM(C26:C37)</f>
        <v>100</v>
      </c>
      <c r="D38" s="45"/>
      <c r="E38" s="45"/>
      <c r="F38" s="46">
        <f>SUM(F26:F37)</f>
        <v>0</v>
      </c>
      <c r="G38" s="46">
        <f>SUM(G26:G37)</f>
        <v>0</v>
      </c>
    </row>
    <row r="39" spans="1:7" x14ac:dyDescent="0.25">
      <c r="B39" s="197" t="s">
        <v>189</v>
      </c>
      <c r="C39" s="197"/>
      <c r="D39" s="197"/>
      <c r="E39" s="197"/>
      <c r="F39" s="197"/>
      <c r="G39" s="197"/>
    </row>
    <row r="40" spans="1:7" x14ac:dyDescent="0.25">
      <c r="B40" s="198" t="s">
        <v>190</v>
      </c>
      <c r="C40" s="198"/>
      <c r="D40" s="198"/>
      <c r="E40" s="198" t="s">
        <v>191</v>
      </c>
      <c r="F40" s="198"/>
      <c r="G40" s="198"/>
    </row>
    <row r="41" spans="1:7" x14ac:dyDescent="0.25">
      <c r="B41" s="194" t="s">
        <v>192</v>
      </c>
      <c r="C41" s="194"/>
      <c r="D41" s="194"/>
      <c r="E41" s="194" t="s">
        <v>193</v>
      </c>
      <c r="F41" s="194"/>
      <c r="G41" s="194"/>
    </row>
    <row r="42" spans="1:7" x14ac:dyDescent="0.25">
      <c r="B42" s="194" t="s">
        <v>194</v>
      </c>
      <c r="C42" s="194"/>
      <c r="D42" s="194"/>
      <c r="E42" s="194" t="s">
        <v>195</v>
      </c>
      <c r="F42" s="194"/>
      <c r="G42" s="194"/>
    </row>
    <row r="43" spans="1:7" x14ac:dyDescent="0.25">
      <c r="B43" s="195" t="s">
        <v>196</v>
      </c>
      <c r="C43" s="195"/>
      <c r="D43" s="195"/>
      <c r="E43" s="195" t="s">
        <v>197</v>
      </c>
      <c r="F43" s="195"/>
      <c r="G43" s="195"/>
    </row>
    <row r="45" spans="1:7" ht="15.75" thickBot="1" x14ac:dyDescent="0.3"/>
    <row r="46" spans="1:7" ht="17.25" thickTop="1" thickBot="1" x14ac:dyDescent="0.3">
      <c r="A46" s="47" t="s">
        <v>198</v>
      </c>
      <c r="B46" s="47" t="s">
        <v>170</v>
      </c>
      <c r="C46" s="48" t="s">
        <v>199</v>
      </c>
      <c r="D46" s="48" t="s">
        <v>200</v>
      </c>
      <c r="E46" s="48" t="s">
        <v>201</v>
      </c>
    </row>
    <row r="47" spans="1:7" ht="31.5" thickTop="1" thickBot="1" x14ac:dyDescent="0.3">
      <c r="A47" s="49">
        <v>1</v>
      </c>
      <c r="B47" s="50" t="s">
        <v>202</v>
      </c>
      <c r="C47" s="51">
        <v>0</v>
      </c>
      <c r="D47" s="52">
        <v>0.1</v>
      </c>
      <c r="E47" s="51">
        <v>0.1</v>
      </c>
    </row>
    <row r="48" spans="1:7" ht="31.5" thickTop="1" thickBot="1" x14ac:dyDescent="0.3">
      <c r="A48" s="49">
        <v>2</v>
      </c>
      <c r="B48" s="50" t="s">
        <v>203</v>
      </c>
      <c r="C48" s="51" t="s">
        <v>204</v>
      </c>
      <c r="D48" s="52" t="s">
        <v>205</v>
      </c>
      <c r="E48" s="51">
        <v>0.3</v>
      </c>
    </row>
    <row r="49" spans="1:5" ht="61.5" thickTop="1" thickBot="1" x14ac:dyDescent="0.3">
      <c r="A49" s="49">
        <v>3</v>
      </c>
      <c r="B49" s="50" t="s">
        <v>206</v>
      </c>
      <c r="C49" s="51" t="s">
        <v>207</v>
      </c>
      <c r="D49" s="52" t="s">
        <v>208</v>
      </c>
      <c r="E49" s="51">
        <v>0.45</v>
      </c>
    </row>
    <row r="50" spans="1:5" ht="76.5" thickTop="1" thickBot="1" x14ac:dyDescent="0.3">
      <c r="A50" s="49">
        <v>4</v>
      </c>
      <c r="B50" s="50" t="s">
        <v>209</v>
      </c>
      <c r="C50" s="51" t="s">
        <v>210</v>
      </c>
      <c r="D50" s="52" t="s">
        <v>211</v>
      </c>
      <c r="E50" s="51">
        <v>0.7</v>
      </c>
    </row>
    <row r="51" spans="1:5" ht="76.5" thickTop="1" thickBot="1" x14ac:dyDescent="0.3">
      <c r="A51" s="49">
        <v>5</v>
      </c>
      <c r="B51" s="50" t="s">
        <v>212</v>
      </c>
      <c r="C51" s="51" t="s">
        <v>213</v>
      </c>
      <c r="D51" s="52" t="s">
        <v>214</v>
      </c>
      <c r="E51" s="51">
        <v>0.75</v>
      </c>
    </row>
    <row r="52" spans="1:5" ht="76.5" thickTop="1" thickBot="1" x14ac:dyDescent="0.3">
      <c r="A52" s="49">
        <v>6</v>
      </c>
      <c r="B52" s="50" t="s">
        <v>215</v>
      </c>
      <c r="C52" s="51" t="s">
        <v>216</v>
      </c>
      <c r="D52" s="52" t="s">
        <v>217</v>
      </c>
      <c r="E52" s="51">
        <v>0.8</v>
      </c>
    </row>
    <row r="53" spans="1:5" ht="121.5" thickTop="1" thickBot="1" x14ac:dyDescent="0.3">
      <c r="A53" s="49">
        <v>7</v>
      </c>
      <c r="B53" s="50" t="s">
        <v>218</v>
      </c>
      <c r="C53" s="51" t="s">
        <v>219</v>
      </c>
      <c r="D53" s="52" t="s">
        <v>220</v>
      </c>
      <c r="E53" s="51">
        <v>0.85</v>
      </c>
    </row>
    <row r="54" spans="1:5" ht="211.5" thickTop="1" thickBot="1" x14ac:dyDescent="0.3">
      <c r="A54" s="49">
        <v>8</v>
      </c>
      <c r="B54" s="50" t="s">
        <v>221</v>
      </c>
      <c r="C54" s="51" t="s">
        <v>222</v>
      </c>
      <c r="D54" s="52" t="s">
        <v>223</v>
      </c>
      <c r="E54" s="51">
        <v>0.95</v>
      </c>
    </row>
    <row r="55" spans="1:5" ht="91.5" thickTop="1" thickBot="1" x14ac:dyDescent="0.3">
      <c r="A55" s="49">
        <v>9</v>
      </c>
      <c r="B55" s="50" t="s">
        <v>224</v>
      </c>
      <c r="C55" s="51" t="s">
        <v>225</v>
      </c>
      <c r="D55" s="52" t="s">
        <v>226</v>
      </c>
      <c r="E55" s="51">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41">
        <v>1</v>
      </c>
      <c r="C2" s="60" t="s">
        <v>245</v>
      </c>
    </row>
    <row r="3" spans="2:3" x14ac:dyDescent="0.25">
      <c r="B3" s="41">
        <v>2</v>
      </c>
      <c r="C3" s="61" t="s">
        <v>246</v>
      </c>
    </row>
    <row r="4" spans="2:3" x14ac:dyDescent="0.25">
      <c r="B4" s="41">
        <v>3</v>
      </c>
      <c r="C4" s="62" t="s">
        <v>247</v>
      </c>
    </row>
    <row r="5" spans="2:3" x14ac:dyDescent="0.25">
      <c r="B5" s="41">
        <v>4</v>
      </c>
      <c r="C5" s="61" t="s">
        <v>248</v>
      </c>
    </row>
    <row r="6" spans="2:3" x14ac:dyDescent="0.25">
      <c r="B6" s="41">
        <v>5</v>
      </c>
      <c r="C6" s="62" t="s">
        <v>249</v>
      </c>
    </row>
    <row r="7" spans="2:3" ht="30" x14ac:dyDescent="0.25">
      <c r="B7" s="41">
        <v>6</v>
      </c>
      <c r="C7" s="61" t="s">
        <v>250</v>
      </c>
    </row>
    <row r="8" spans="2:3" ht="75" x14ac:dyDescent="0.25">
      <c r="B8" s="41">
        <v>7</v>
      </c>
      <c r="C8" s="61" t="s">
        <v>251</v>
      </c>
    </row>
    <row r="9" spans="2:3" x14ac:dyDescent="0.25">
      <c r="B9" s="41">
        <v>8</v>
      </c>
      <c r="C9" s="62" t="s">
        <v>252</v>
      </c>
    </row>
    <row r="10" spans="2:3" x14ac:dyDescent="0.25">
      <c r="B10" s="41">
        <v>9</v>
      </c>
      <c r="C10" s="62" t="s">
        <v>253</v>
      </c>
    </row>
    <row r="11" spans="2:3" x14ac:dyDescent="0.25">
      <c r="B11" s="41">
        <v>10</v>
      </c>
      <c r="C11" s="62" t="s">
        <v>254</v>
      </c>
    </row>
    <row r="12" spans="2:3" x14ac:dyDescent="0.25">
      <c r="B12" s="41">
        <v>11</v>
      </c>
      <c r="C12" s="62" t="s">
        <v>255</v>
      </c>
    </row>
    <row r="13" spans="2:3" x14ac:dyDescent="0.25">
      <c r="B13" s="41">
        <v>12</v>
      </c>
      <c r="C13" s="62" t="s">
        <v>256</v>
      </c>
    </row>
    <row r="14" spans="2:3" x14ac:dyDescent="0.25">
      <c r="B14" s="41">
        <v>13</v>
      </c>
      <c r="C14" s="62" t="s">
        <v>257</v>
      </c>
    </row>
    <row r="15" spans="2:3" x14ac:dyDescent="0.25">
      <c r="B15" s="41">
        <v>14</v>
      </c>
      <c r="C15" s="62" t="s">
        <v>247</v>
      </c>
    </row>
    <row r="16" spans="2:3" x14ac:dyDescent="0.25">
      <c r="B16" s="41">
        <v>15</v>
      </c>
      <c r="C16" s="62" t="s">
        <v>239</v>
      </c>
    </row>
    <row r="17" spans="2:3" x14ac:dyDescent="0.25">
      <c r="B17" s="63">
        <v>16</v>
      </c>
      <c r="C17" s="64" t="s">
        <v>258</v>
      </c>
    </row>
    <row r="18" spans="2:3" x14ac:dyDescent="0.25">
      <c r="B18" s="65">
        <v>17</v>
      </c>
      <c r="C18" s="64" t="s">
        <v>259</v>
      </c>
    </row>
    <row r="19" spans="2:3" x14ac:dyDescent="0.25">
      <c r="B19" s="66">
        <v>18</v>
      </c>
      <c r="C19" s="41" t="s">
        <v>260</v>
      </c>
    </row>
    <row r="20" spans="2:3" x14ac:dyDescent="0.25">
      <c r="B20" s="65">
        <v>19</v>
      </c>
      <c r="C20" s="41" t="s">
        <v>261</v>
      </c>
    </row>
    <row r="21" spans="2:3" x14ac:dyDescent="0.25">
      <c r="B21" s="67">
        <v>20</v>
      </c>
      <c r="C21" s="41" t="s">
        <v>262</v>
      </c>
    </row>
    <row r="22" spans="2:3" x14ac:dyDescent="0.25">
      <c r="B22" s="65">
        <v>21</v>
      </c>
      <c r="C22" s="41" t="s">
        <v>260</v>
      </c>
    </row>
    <row r="23" spans="2:3" s="69" customFormat="1" ht="30" x14ac:dyDescent="0.25">
      <c r="B23" s="68">
        <v>22</v>
      </c>
      <c r="C23" s="60" t="s">
        <v>263</v>
      </c>
    </row>
    <row r="24" spans="2:3" s="69" customFormat="1" ht="30" x14ac:dyDescent="0.25">
      <c r="B24" s="70">
        <v>23</v>
      </c>
      <c r="C24" s="60" t="s">
        <v>264</v>
      </c>
    </row>
    <row r="25" spans="2:3" x14ac:dyDescent="0.25">
      <c r="B25" s="67">
        <v>24</v>
      </c>
      <c r="C25" s="41" t="s">
        <v>265</v>
      </c>
    </row>
    <row r="26" spans="2:3" x14ac:dyDescent="0.25">
      <c r="B26" s="65">
        <v>25</v>
      </c>
      <c r="C26" s="41" t="s">
        <v>266</v>
      </c>
    </row>
    <row r="27" spans="2:3" x14ac:dyDescent="0.25">
      <c r="B27" s="70">
        <v>26</v>
      </c>
      <c r="C27" s="67" t="s">
        <v>267</v>
      </c>
    </row>
    <row r="28" spans="2:3" x14ac:dyDescent="0.25">
      <c r="B28" s="71">
        <v>27</v>
      </c>
      <c r="C28" s="41" t="s">
        <v>268</v>
      </c>
    </row>
    <row r="29" spans="2:3" ht="60" x14ac:dyDescent="0.25">
      <c r="B29" s="72">
        <v>28</v>
      </c>
      <c r="C29" s="61" t="s">
        <v>269</v>
      </c>
    </row>
    <row r="30" spans="2:3" x14ac:dyDescent="0.25">
      <c r="B30" s="70">
        <v>29</v>
      </c>
      <c r="C30" s="41" t="s">
        <v>270</v>
      </c>
    </row>
    <row r="31" spans="2:3" ht="30" x14ac:dyDescent="0.25">
      <c r="B31" s="73">
        <v>30</v>
      </c>
      <c r="C31" s="61" t="s">
        <v>298</v>
      </c>
    </row>
    <row r="32" spans="2:3" x14ac:dyDescent="0.25">
      <c r="B32" s="70">
        <v>31</v>
      </c>
      <c r="C32" s="41" t="s">
        <v>299</v>
      </c>
    </row>
    <row r="33" spans="2:3" x14ac:dyDescent="0.25">
      <c r="B33" s="70">
        <v>32</v>
      </c>
      <c r="C33" s="41" t="s">
        <v>300</v>
      </c>
    </row>
    <row r="34" spans="2:3" ht="30" x14ac:dyDescent="0.25">
      <c r="B34" s="73">
        <v>33</v>
      </c>
      <c r="C34" s="64" t="s">
        <v>301</v>
      </c>
    </row>
    <row r="35" spans="2:3" x14ac:dyDescent="0.25">
      <c r="B35" s="70">
        <v>34</v>
      </c>
      <c r="C35" s="41"/>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74"/>
    <col min="2" max="2" width="12.28515625" style="74" customWidth="1"/>
    <col min="3" max="16384" width="9.140625" style="74"/>
  </cols>
  <sheetData>
    <row r="2" spans="1:12" x14ac:dyDescent="0.25">
      <c r="B2" s="75" t="s">
        <v>271</v>
      </c>
      <c r="C2" s="201"/>
      <c r="D2" s="201"/>
    </row>
    <row r="3" spans="1:12" x14ac:dyDescent="0.25">
      <c r="D3" s="76"/>
      <c r="E3" s="76"/>
      <c r="F3" s="76"/>
      <c r="G3" s="76"/>
      <c r="H3" s="76"/>
      <c r="I3" s="76"/>
    </row>
    <row r="4" spans="1:12" x14ac:dyDescent="0.25">
      <c r="A4" s="75" t="s">
        <v>272</v>
      </c>
      <c r="B4" s="59" t="s">
        <v>273</v>
      </c>
      <c r="C4" s="202" t="s">
        <v>274</v>
      </c>
      <c r="D4" s="202"/>
      <c r="E4" s="202"/>
      <c r="F4" s="59"/>
      <c r="G4" s="203" t="s">
        <v>275</v>
      </c>
      <c r="H4" s="203"/>
      <c r="I4" s="203"/>
      <c r="J4" s="204" t="s">
        <v>276</v>
      </c>
      <c r="K4" s="204"/>
      <c r="L4" s="204"/>
    </row>
    <row r="5" spans="1:12" x14ac:dyDescent="0.25">
      <c r="A5" s="75"/>
      <c r="B5" s="59"/>
      <c r="C5" s="59" t="s">
        <v>277</v>
      </c>
      <c r="D5" s="59" t="s">
        <v>278</v>
      </c>
      <c r="E5" s="59" t="s">
        <v>279</v>
      </c>
      <c r="F5" s="59"/>
      <c r="G5" s="59" t="s">
        <v>277</v>
      </c>
      <c r="H5" s="59" t="s">
        <v>278</v>
      </c>
      <c r="I5" s="59" t="s">
        <v>279</v>
      </c>
      <c r="J5" s="59" t="s">
        <v>277</v>
      </c>
      <c r="K5" s="59" t="s">
        <v>278</v>
      </c>
      <c r="L5" s="59" t="s">
        <v>279</v>
      </c>
    </row>
    <row r="6" spans="1:12" x14ac:dyDescent="0.25">
      <c r="B6" s="58" t="s">
        <v>280</v>
      </c>
      <c r="C6" s="58"/>
      <c r="D6" s="58"/>
      <c r="E6" s="58">
        <f>C6*D6</f>
        <v>0</v>
      </c>
      <c r="F6" s="58" t="s">
        <v>281</v>
      </c>
      <c r="G6" s="58"/>
      <c r="H6" s="58"/>
      <c r="I6" s="58">
        <f>G6*H6</f>
        <v>0</v>
      </c>
      <c r="J6" s="58"/>
      <c r="K6" s="58"/>
      <c r="L6" s="58">
        <f>J6*K6</f>
        <v>0</v>
      </c>
    </row>
    <row r="7" spans="1:12" x14ac:dyDescent="0.25">
      <c r="B7" s="58"/>
      <c r="C7" s="58"/>
      <c r="D7" s="58"/>
      <c r="E7" s="58">
        <f t="shared" ref="E7:E41" si="0">C7*D7</f>
        <v>0</v>
      </c>
      <c r="F7" s="58" t="s">
        <v>281</v>
      </c>
      <c r="G7" s="58"/>
      <c r="H7" s="58"/>
      <c r="I7" s="58">
        <f t="shared" ref="I7:I35" si="1">G7*H7</f>
        <v>0</v>
      </c>
      <c r="J7" s="58"/>
      <c r="K7" s="58"/>
      <c r="L7" s="58">
        <f t="shared" ref="L7:L35" si="2">J7*K7</f>
        <v>0</v>
      </c>
    </row>
    <row r="8" spans="1:12" x14ac:dyDescent="0.25">
      <c r="B8" s="58"/>
      <c r="C8" s="58"/>
      <c r="D8" s="58"/>
      <c r="E8" s="58">
        <f t="shared" si="0"/>
        <v>0</v>
      </c>
      <c r="F8" s="58"/>
      <c r="G8" s="58"/>
      <c r="H8" s="58"/>
      <c r="I8" s="58">
        <f t="shared" si="1"/>
        <v>0</v>
      </c>
      <c r="J8" s="58"/>
      <c r="K8" s="58"/>
      <c r="L8" s="58">
        <f t="shared" si="2"/>
        <v>0</v>
      </c>
    </row>
    <row r="9" spans="1:12" x14ac:dyDescent="0.25">
      <c r="B9" s="58"/>
      <c r="C9" s="58"/>
      <c r="D9" s="58"/>
      <c r="E9" s="58">
        <f t="shared" si="0"/>
        <v>0</v>
      </c>
      <c r="F9" s="58" t="s">
        <v>282</v>
      </c>
      <c r="G9" s="58"/>
      <c r="H9" s="58"/>
      <c r="I9" s="58">
        <f t="shared" si="1"/>
        <v>0</v>
      </c>
      <c r="J9" s="58"/>
      <c r="K9" s="58"/>
      <c r="L9" s="58">
        <f t="shared" si="2"/>
        <v>0</v>
      </c>
    </row>
    <row r="10" spans="1:12" x14ac:dyDescent="0.25">
      <c r="B10" s="58" t="s">
        <v>283</v>
      </c>
      <c r="C10" s="58"/>
      <c r="D10" s="58"/>
      <c r="E10" s="58">
        <f t="shared" si="0"/>
        <v>0</v>
      </c>
      <c r="F10" s="58" t="s">
        <v>282</v>
      </c>
      <c r="G10" s="58"/>
      <c r="H10" s="58"/>
      <c r="I10" s="58">
        <f t="shared" si="1"/>
        <v>0</v>
      </c>
      <c r="J10" s="58"/>
      <c r="K10" s="58"/>
      <c r="L10" s="58">
        <f t="shared" si="2"/>
        <v>0</v>
      </c>
    </row>
    <row r="11" spans="1:12" x14ac:dyDescent="0.25">
      <c r="B11" s="58"/>
      <c r="C11" s="58"/>
      <c r="D11" s="58"/>
      <c r="E11" s="58">
        <f t="shared" si="0"/>
        <v>0</v>
      </c>
      <c r="F11" s="58" t="s">
        <v>284</v>
      </c>
      <c r="G11" s="58"/>
      <c r="H11" s="58"/>
      <c r="I11" s="58">
        <f t="shared" si="1"/>
        <v>0</v>
      </c>
      <c r="J11" s="58"/>
      <c r="K11" s="58"/>
      <c r="L11" s="58">
        <f t="shared" si="2"/>
        <v>0</v>
      </c>
    </row>
    <row r="12" spans="1:12" x14ac:dyDescent="0.25">
      <c r="B12" s="58"/>
      <c r="C12" s="58"/>
      <c r="D12" s="58"/>
      <c r="E12" s="58">
        <f t="shared" si="0"/>
        <v>0</v>
      </c>
      <c r="F12" s="58"/>
      <c r="G12" s="58"/>
      <c r="H12" s="58"/>
      <c r="I12" s="58">
        <f t="shared" si="1"/>
        <v>0</v>
      </c>
      <c r="J12" s="58"/>
      <c r="K12" s="58"/>
      <c r="L12" s="58">
        <f t="shared" si="2"/>
        <v>0</v>
      </c>
    </row>
    <row r="13" spans="1:12" x14ac:dyDescent="0.25">
      <c r="B13" s="58"/>
      <c r="C13" s="58"/>
      <c r="D13" s="58"/>
      <c r="E13" s="58">
        <f t="shared" si="0"/>
        <v>0</v>
      </c>
      <c r="F13" s="58"/>
      <c r="G13" s="58"/>
      <c r="H13" s="58"/>
      <c r="I13" s="58">
        <f t="shared" si="1"/>
        <v>0</v>
      </c>
      <c r="J13" s="58"/>
      <c r="K13" s="58"/>
      <c r="L13" s="58">
        <f t="shared" si="2"/>
        <v>0</v>
      </c>
    </row>
    <row r="14" spans="1:12" x14ac:dyDescent="0.25">
      <c r="B14" s="58" t="s">
        <v>285</v>
      </c>
      <c r="C14" s="58"/>
      <c r="D14" s="58"/>
      <c r="E14" s="58">
        <f t="shared" si="0"/>
        <v>0</v>
      </c>
      <c r="F14" s="58" t="s">
        <v>282</v>
      </c>
      <c r="G14" s="58"/>
      <c r="H14" s="58"/>
      <c r="I14" s="58">
        <f t="shared" si="1"/>
        <v>0</v>
      </c>
      <c r="J14" s="58"/>
      <c r="K14" s="58"/>
      <c r="L14" s="58">
        <f t="shared" si="2"/>
        <v>0</v>
      </c>
    </row>
    <row r="15" spans="1:12" x14ac:dyDescent="0.25">
      <c r="B15" s="58"/>
      <c r="C15" s="58"/>
      <c r="D15" s="58"/>
      <c r="E15" s="58">
        <f t="shared" si="0"/>
        <v>0</v>
      </c>
      <c r="F15" s="58" t="s">
        <v>284</v>
      </c>
      <c r="G15" s="58"/>
      <c r="H15" s="58"/>
      <c r="I15" s="58">
        <f t="shared" si="1"/>
        <v>0</v>
      </c>
      <c r="J15" s="58"/>
      <c r="K15" s="58"/>
      <c r="L15" s="58">
        <f t="shared" si="2"/>
        <v>0</v>
      </c>
    </row>
    <row r="16" spans="1:12" x14ac:dyDescent="0.25">
      <c r="B16" s="58"/>
      <c r="C16" s="58"/>
      <c r="D16" s="58"/>
      <c r="E16" s="58">
        <f t="shared" si="0"/>
        <v>0</v>
      </c>
      <c r="F16" s="58"/>
      <c r="G16" s="58"/>
      <c r="H16" s="58"/>
      <c r="I16" s="58">
        <f t="shared" si="1"/>
        <v>0</v>
      </c>
      <c r="J16" s="58"/>
      <c r="K16" s="58"/>
      <c r="L16" s="58">
        <f t="shared" si="2"/>
        <v>0</v>
      </c>
    </row>
    <row r="17" spans="2:12" x14ac:dyDescent="0.25">
      <c r="B17" s="58"/>
      <c r="C17" s="58"/>
      <c r="D17" s="58"/>
      <c r="E17" s="58">
        <f t="shared" si="0"/>
        <v>0</v>
      </c>
      <c r="F17" s="58"/>
      <c r="G17" s="58"/>
      <c r="H17" s="58"/>
      <c r="I17" s="58">
        <f t="shared" si="1"/>
        <v>0</v>
      </c>
      <c r="J17" s="58"/>
      <c r="K17" s="58"/>
      <c r="L17" s="58">
        <f t="shared" si="2"/>
        <v>0</v>
      </c>
    </row>
    <row r="18" spans="2:12" x14ac:dyDescent="0.25">
      <c r="B18" s="58" t="s">
        <v>286</v>
      </c>
      <c r="C18" s="58"/>
      <c r="D18" s="58"/>
      <c r="E18" s="58">
        <f t="shared" si="0"/>
        <v>0</v>
      </c>
      <c r="F18" s="58" t="s">
        <v>282</v>
      </c>
      <c r="G18" s="58"/>
      <c r="H18" s="58"/>
      <c r="I18" s="58">
        <f t="shared" si="1"/>
        <v>0</v>
      </c>
      <c r="J18" s="58"/>
      <c r="K18" s="58"/>
      <c r="L18" s="58">
        <f t="shared" si="2"/>
        <v>0</v>
      </c>
    </row>
    <row r="19" spans="2:12" x14ac:dyDescent="0.25">
      <c r="B19" s="58"/>
      <c r="C19" s="58"/>
      <c r="D19" s="58"/>
      <c r="E19" s="58">
        <f t="shared" si="0"/>
        <v>0</v>
      </c>
      <c r="F19" s="58" t="s">
        <v>284</v>
      </c>
      <c r="G19" s="58"/>
      <c r="H19" s="58"/>
      <c r="I19" s="58">
        <f t="shared" si="1"/>
        <v>0</v>
      </c>
      <c r="J19" s="58"/>
      <c r="K19" s="58"/>
      <c r="L19" s="58">
        <f t="shared" si="2"/>
        <v>0</v>
      </c>
    </row>
    <row r="20" spans="2:12" x14ac:dyDescent="0.25">
      <c r="B20" s="58"/>
      <c r="C20" s="58"/>
      <c r="D20" s="58"/>
      <c r="E20" s="58">
        <f t="shared" si="0"/>
        <v>0</v>
      </c>
      <c r="F20" s="58"/>
      <c r="G20" s="58"/>
      <c r="H20" s="58"/>
      <c r="I20" s="58">
        <f t="shared" si="1"/>
        <v>0</v>
      </c>
      <c r="J20" s="58"/>
      <c r="K20" s="58"/>
      <c r="L20" s="58">
        <f t="shared" si="2"/>
        <v>0</v>
      </c>
    </row>
    <row r="21" spans="2:12" x14ac:dyDescent="0.25">
      <c r="B21" s="58" t="s">
        <v>287</v>
      </c>
      <c r="C21" s="58"/>
      <c r="D21" s="58"/>
      <c r="E21" s="58">
        <f t="shared" si="0"/>
        <v>0</v>
      </c>
      <c r="F21" s="58" t="s">
        <v>282</v>
      </c>
      <c r="G21" s="58"/>
      <c r="H21" s="58"/>
      <c r="I21" s="58">
        <f t="shared" si="1"/>
        <v>0</v>
      </c>
      <c r="J21" s="58"/>
      <c r="K21" s="58"/>
      <c r="L21" s="58">
        <f t="shared" si="2"/>
        <v>0</v>
      </c>
    </row>
    <row r="22" spans="2:12" x14ac:dyDescent="0.25">
      <c r="B22" s="58"/>
      <c r="C22" s="58"/>
      <c r="D22" s="58"/>
      <c r="E22" s="58">
        <f t="shared" si="0"/>
        <v>0</v>
      </c>
      <c r="F22" s="58" t="s">
        <v>284</v>
      </c>
      <c r="G22" s="58"/>
      <c r="H22" s="58"/>
      <c r="I22" s="58">
        <f t="shared" si="1"/>
        <v>0</v>
      </c>
      <c r="J22" s="58"/>
      <c r="K22" s="58"/>
      <c r="L22" s="58">
        <f t="shared" si="2"/>
        <v>0</v>
      </c>
    </row>
    <row r="23" spans="2:12" x14ac:dyDescent="0.25">
      <c r="B23" s="58"/>
      <c r="C23" s="58"/>
      <c r="D23" s="58"/>
      <c r="E23" s="58">
        <f t="shared" si="0"/>
        <v>0</v>
      </c>
      <c r="F23" s="58"/>
      <c r="G23" s="58"/>
      <c r="H23" s="58"/>
      <c r="I23" s="58">
        <f t="shared" si="1"/>
        <v>0</v>
      </c>
      <c r="J23" s="58"/>
      <c r="K23" s="58"/>
      <c r="L23" s="58">
        <f t="shared" si="2"/>
        <v>0</v>
      </c>
    </row>
    <row r="24" spans="2:12" x14ac:dyDescent="0.25">
      <c r="B24" s="58" t="s">
        <v>288</v>
      </c>
      <c r="C24" s="58"/>
      <c r="D24" s="58"/>
      <c r="E24" s="58">
        <f t="shared" si="0"/>
        <v>0</v>
      </c>
      <c r="F24" s="58" t="s">
        <v>289</v>
      </c>
      <c r="G24" s="58"/>
      <c r="H24" s="58"/>
      <c r="I24" s="58">
        <f t="shared" si="1"/>
        <v>0</v>
      </c>
      <c r="J24" s="58"/>
      <c r="K24" s="58"/>
      <c r="L24" s="58">
        <f t="shared" si="2"/>
        <v>0</v>
      </c>
    </row>
    <row r="25" spans="2:12" x14ac:dyDescent="0.25">
      <c r="B25" s="58"/>
      <c r="C25" s="58"/>
      <c r="D25" s="58"/>
      <c r="E25" s="58">
        <f t="shared" si="0"/>
        <v>0</v>
      </c>
      <c r="F25" s="58" t="s">
        <v>289</v>
      </c>
      <c r="G25" s="58"/>
      <c r="H25" s="58"/>
      <c r="I25" s="58">
        <f t="shared" si="1"/>
        <v>0</v>
      </c>
      <c r="J25" s="58"/>
      <c r="K25" s="58"/>
      <c r="L25" s="58">
        <f t="shared" si="2"/>
        <v>0</v>
      </c>
    </row>
    <row r="26" spans="2:12" x14ac:dyDescent="0.25">
      <c r="B26" s="58"/>
      <c r="C26" s="58"/>
      <c r="D26" s="58"/>
      <c r="E26" s="58">
        <f t="shared" si="0"/>
        <v>0</v>
      </c>
      <c r="F26" s="58" t="s">
        <v>289</v>
      </c>
      <c r="G26" s="58"/>
      <c r="H26" s="58"/>
      <c r="I26" s="58">
        <f t="shared" si="1"/>
        <v>0</v>
      </c>
      <c r="J26" s="58"/>
      <c r="K26" s="58"/>
      <c r="L26" s="58">
        <f t="shared" si="2"/>
        <v>0</v>
      </c>
    </row>
    <row r="27" spans="2:12" x14ac:dyDescent="0.25">
      <c r="B27" s="58"/>
      <c r="C27" s="58"/>
      <c r="D27" s="58"/>
      <c r="E27" s="58">
        <f t="shared" si="0"/>
        <v>0</v>
      </c>
      <c r="F27" s="58" t="s">
        <v>289</v>
      </c>
      <c r="G27" s="58"/>
      <c r="H27" s="58"/>
      <c r="I27" s="58">
        <f t="shared" si="1"/>
        <v>0</v>
      </c>
      <c r="J27" s="58"/>
      <c r="K27" s="58"/>
      <c r="L27" s="58">
        <f t="shared" si="2"/>
        <v>0</v>
      </c>
    </row>
    <row r="28" spans="2:12" x14ac:dyDescent="0.25">
      <c r="B28" s="58" t="s">
        <v>290</v>
      </c>
      <c r="C28" s="58"/>
      <c r="D28" s="58"/>
      <c r="E28" s="58">
        <f t="shared" si="0"/>
        <v>0</v>
      </c>
      <c r="F28" s="58" t="s">
        <v>289</v>
      </c>
      <c r="G28" s="58"/>
      <c r="H28" s="58"/>
      <c r="I28" s="58">
        <f t="shared" si="1"/>
        <v>0</v>
      </c>
      <c r="J28" s="58"/>
      <c r="K28" s="58"/>
      <c r="L28" s="58">
        <f t="shared" si="2"/>
        <v>0</v>
      </c>
    </row>
    <row r="29" spans="2:12" x14ac:dyDescent="0.25">
      <c r="B29" s="58" t="s">
        <v>291</v>
      </c>
      <c r="C29" s="58"/>
      <c r="D29" s="58"/>
      <c r="E29" s="58">
        <f t="shared" si="0"/>
        <v>0</v>
      </c>
      <c r="F29" s="58" t="s">
        <v>289</v>
      </c>
      <c r="G29" s="58"/>
      <c r="H29" s="58"/>
      <c r="I29" s="58">
        <f t="shared" si="1"/>
        <v>0</v>
      </c>
      <c r="J29" s="58"/>
      <c r="K29" s="58"/>
      <c r="L29" s="58">
        <f t="shared" si="2"/>
        <v>0</v>
      </c>
    </row>
    <row r="30" spans="2:12" x14ac:dyDescent="0.25">
      <c r="B30" s="58" t="s">
        <v>292</v>
      </c>
      <c r="C30" s="58"/>
      <c r="D30" s="58"/>
      <c r="E30" s="58">
        <f t="shared" si="0"/>
        <v>0</v>
      </c>
      <c r="F30" s="58"/>
      <c r="G30" s="58"/>
      <c r="H30" s="58"/>
      <c r="I30" s="58">
        <f t="shared" si="1"/>
        <v>0</v>
      </c>
      <c r="J30" s="58"/>
      <c r="K30" s="58"/>
      <c r="L30" s="58">
        <f t="shared" si="2"/>
        <v>0</v>
      </c>
    </row>
    <row r="31" spans="2:12" x14ac:dyDescent="0.25">
      <c r="B31" s="58"/>
      <c r="C31" s="58"/>
      <c r="D31" s="58"/>
      <c r="E31" s="58">
        <f t="shared" si="0"/>
        <v>0</v>
      </c>
      <c r="F31" s="58"/>
      <c r="G31" s="58"/>
      <c r="H31" s="58"/>
      <c r="I31" s="58">
        <f t="shared" si="1"/>
        <v>0</v>
      </c>
      <c r="J31" s="58"/>
      <c r="K31" s="58"/>
      <c r="L31" s="58">
        <f t="shared" si="2"/>
        <v>0</v>
      </c>
    </row>
    <row r="32" spans="2:12" x14ac:dyDescent="0.25">
      <c r="B32" s="58"/>
      <c r="C32" s="58"/>
      <c r="D32" s="58"/>
      <c r="E32" s="58">
        <f t="shared" si="0"/>
        <v>0</v>
      </c>
      <c r="F32" s="58"/>
      <c r="G32" s="58"/>
      <c r="H32" s="58"/>
      <c r="I32" s="58">
        <f t="shared" si="1"/>
        <v>0</v>
      </c>
      <c r="J32" s="58"/>
      <c r="K32" s="58"/>
      <c r="L32" s="58">
        <f t="shared" si="2"/>
        <v>0</v>
      </c>
    </row>
    <row r="33" spans="2:12" x14ac:dyDescent="0.25">
      <c r="B33" s="58" t="s">
        <v>293</v>
      </c>
      <c r="C33" s="58"/>
      <c r="D33" s="58"/>
      <c r="E33" s="58">
        <f t="shared" si="0"/>
        <v>0</v>
      </c>
      <c r="F33" s="58"/>
      <c r="G33" s="58"/>
      <c r="H33" s="58"/>
      <c r="I33" s="58">
        <f t="shared" si="1"/>
        <v>0</v>
      </c>
      <c r="J33" s="58"/>
      <c r="K33" s="58"/>
      <c r="L33" s="58">
        <f t="shared" si="2"/>
        <v>0</v>
      </c>
    </row>
    <row r="34" spans="2:12" x14ac:dyDescent="0.25">
      <c r="B34" s="58" t="s">
        <v>294</v>
      </c>
      <c r="C34" s="58"/>
      <c r="D34" s="58"/>
      <c r="E34" s="58">
        <f t="shared" si="0"/>
        <v>0</v>
      </c>
      <c r="F34" s="58"/>
      <c r="G34" s="58"/>
      <c r="H34" s="58"/>
      <c r="I34" s="58">
        <f t="shared" si="1"/>
        <v>0</v>
      </c>
      <c r="J34" s="58"/>
      <c r="K34" s="58"/>
      <c r="L34" s="58">
        <f t="shared" si="2"/>
        <v>0</v>
      </c>
    </row>
    <row r="35" spans="2:12" x14ac:dyDescent="0.25">
      <c r="B35" s="58" t="s">
        <v>295</v>
      </c>
      <c r="C35" s="58"/>
      <c r="D35" s="58"/>
      <c r="E35" s="58">
        <f t="shared" si="0"/>
        <v>0</v>
      </c>
      <c r="F35" s="58"/>
      <c r="G35" s="58"/>
      <c r="H35" s="58"/>
      <c r="I35" s="58">
        <f t="shared" si="1"/>
        <v>0</v>
      </c>
      <c r="J35" s="58"/>
      <c r="K35" s="58"/>
      <c r="L35" s="58">
        <f t="shared" si="2"/>
        <v>0</v>
      </c>
    </row>
    <row r="36" spans="2:12" x14ac:dyDescent="0.25">
      <c r="B36" s="58" t="s">
        <v>296</v>
      </c>
      <c r="C36" s="58"/>
      <c r="D36" s="58"/>
      <c r="E36" s="58">
        <f t="shared" si="0"/>
        <v>0</v>
      </c>
      <c r="F36" s="58"/>
      <c r="G36" s="58"/>
      <c r="H36" s="58"/>
      <c r="I36" s="58">
        <f>G36*H36</f>
        <v>0</v>
      </c>
      <c r="J36" s="58"/>
      <c r="K36" s="58"/>
      <c r="L36" s="58">
        <f>J36*K36</f>
        <v>0</v>
      </c>
    </row>
    <row r="37" spans="2:12" x14ac:dyDescent="0.25">
      <c r="B37" s="58"/>
      <c r="C37" s="58"/>
      <c r="D37" s="58"/>
      <c r="E37" s="58">
        <f t="shared" si="0"/>
        <v>0</v>
      </c>
      <c r="F37" s="58"/>
      <c r="G37" s="58"/>
      <c r="H37" s="58"/>
      <c r="I37" s="58">
        <f t="shared" ref="I37:I38" si="3">G37*H37</f>
        <v>0</v>
      </c>
      <c r="J37" s="58"/>
      <c r="K37" s="58"/>
      <c r="L37" s="58">
        <f t="shared" ref="L37:L38" si="4">J37*K37</f>
        <v>0</v>
      </c>
    </row>
    <row r="38" spans="2:12" x14ac:dyDescent="0.25">
      <c r="B38" s="58" t="s">
        <v>297</v>
      </c>
      <c r="C38" s="58"/>
      <c r="D38" s="58"/>
      <c r="E38" s="58">
        <f t="shared" si="0"/>
        <v>0</v>
      </c>
      <c r="F38" s="58"/>
      <c r="G38" s="58"/>
      <c r="H38" s="58"/>
      <c r="I38" s="58">
        <f t="shared" si="3"/>
        <v>0</v>
      </c>
      <c r="J38" s="58"/>
      <c r="K38" s="58"/>
      <c r="L38" s="58">
        <f t="shared" si="4"/>
        <v>0</v>
      </c>
    </row>
    <row r="39" spans="2:12" x14ac:dyDescent="0.25">
      <c r="B39" s="58"/>
      <c r="C39" s="58"/>
      <c r="D39" s="58"/>
      <c r="E39" s="58">
        <f t="shared" si="0"/>
        <v>0</v>
      </c>
      <c r="F39" s="58"/>
      <c r="G39" s="58"/>
      <c r="H39" s="58"/>
      <c r="I39" s="58">
        <f>G39*H39</f>
        <v>0</v>
      </c>
      <c r="J39" s="58"/>
      <c r="K39" s="58"/>
      <c r="L39" s="58">
        <f>J39*K39</f>
        <v>0</v>
      </c>
    </row>
    <row r="40" spans="2:12" x14ac:dyDescent="0.25">
      <c r="B40" s="58"/>
      <c r="C40" s="58"/>
      <c r="D40" s="58"/>
      <c r="E40" s="58">
        <f t="shared" si="0"/>
        <v>0</v>
      </c>
      <c r="F40" s="58"/>
      <c r="G40" s="58"/>
      <c r="H40" s="58"/>
      <c r="I40" s="58">
        <f>G40*H40</f>
        <v>0</v>
      </c>
      <c r="J40" s="58"/>
      <c r="K40" s="58"/>
      <c r="L40" s="58">
        <f>J40*K40</f>
        <v>0</v>
      </c>
    </row>
    <row r="41" spans="2:12" x14ac:dyDescent="0.25">
      <c r="B41" s="58"/>
      <c r="C41" s="58"/>
      <c r="D41" s="58"/>
      <c r="E41" s="58">
        <f t="shared" si="0"/>
        <v>0</v>
      </c>
      <c r="F41" s="58"/>
      <c r="G41" s="58"/>
      <c r="H41" s="58"/>
      <c r="I41" s="58">
        <f>G41*H41</f>
        <v>0</v>
      </c>
      <c r="J41" s="58"/>
      <c r="K41" s="58"/>
      <c r="L41" s="58">
        <f>J41*K41</f>
        <v>0</v>
      </c>
    </row>
    <row r="42" spans="2:12" x14ac:dyDescent="0.25">
      <c r="B42" s="58" t="s">
        <v>153</v>
      </c>
      <c r="C42" s="58"/>
      <c r="D42" s="58">
        <f>E42*10.764</f>
        <v>0</v>
      </c>
      <c r="E42" s="77">
        <f>SUM(E6:E41)</f>
        <v>0</v>
      </c>
      <c r="F42" s="58"/>
      <c r="G42" s="58"/>
      <c r="H42" s="58">
        <f>I42*10.764</f>
        <v>0</v>
      </c>
      <c r="I42" s="78">
        <f>SUM(I6:I41)</f>
        <v>0</v>
      </c>
      <c r="J42" s="58"/>
      <c r="K42" s="58">
        <f>L42*10.764</f>
        <v>0</v>
      </c>
      <c r="L42" s="79">
        <f>SUM(L6:L41)</f>
        <v>0</v>
      </c>
    </row>
    <row r="44" spans="2:12" x14ac:dyDescent="0.25">
      <c r="D44" s="74">
        <f>D42+H42</f>
        <v>0</v>
      </c>
      <c r="E44" s="7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VSJC-06</cp:lastModifiedBy>
  <cp:lastPrinted>2025-07-04T11:31:00Z</cp:lastPrinted>
  <dcterms:created xsi:type="dcterms:W3CDTF">2010-11-23T11:42:48Z</dcterms:created>
  <dcterms:modified xsi:type="dcterms:W3CDTF">2025-07-04T11:38:02Z</dcterms:modified>
</cp:coreProperties>
</file>