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03-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Report!$A$1:$H$415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0" i="1" l="1"/>
  <c r="L230" i="1" s="1"/>
  <c r="K231" i="1"/>
  <c r="L231" i="1" s="1"/>
  <c r="K232" i="1"/>
  <c r="L232" i="1" s="1"/>
  <c r="K233" i="1"/>
  <c r="L233" i="1" s="1"/>
  <c r="K229" i="1"/>
  <c r="L229" i="1" s="1"/>
  <c r="E204" i="1"/>
  <c r="E202" i="1"/>
  <c r="E198" i="1"/>
  <c r="E195" i="1"/>
  <c r="E194" i="1"/>
  <c r="E193" i="1"/>
  <c r="E192" i="1"/>
  <c r="E189" i="1"/>
  <c r="E188" i="1"/>
  <c r="E180" i="1"/>
  <c r="E179" i="1"/>
  <c r="E178" i="1"/>
  <c r="E175" i="1"/>
  <c r="E173" i="1"/>
  <c r="E172" i="1"/>
  <c r="E171" i="1"/>
  <c r="E168" i="1"/>
  <c r="E159" i="1"/>
  <c r="E167" i="1"/>
  <c r="E158" i="1"/>
  <c r="E157" i="1"/>
  <c r="E43" i="1"/>
  <c r="O103" i="1" l="1"/>
  <c r="E233" i="1"/>
  <c r="D233" i="1"/>
  <c r="E236" i="1"/>
  <c r="D236" i="1"/>
  <c r="E235" i="1"/>
  <c r="D235" i="1"/>
  <c r="E234" i="1"/>
  <c r="F234" i="1" s="1"/>
  <c r="H234" i="1" s="1"/>
  <c r="D234" i="1"/>
  <c r="E227" i="1"/>
  <c r="D227" i="1"/>
  <c r="E226" i="1"/>
  <c r="D226" i="1"/>
  <c r="E225" i="1"/>
  <c r="D225" i="1"/>
  <c r="E224" i="1"/>
  <c r="D224" i="1"/>
  <c r="E223" i="1"/>
  <c r="D223" i="1"/>
  <c r="E222" i="1"/>
  <c r="D222" i="1"/>
  <c r="E221" i="1"/>
  <c r="D221" i="1"/>
  <c r="E220" i="1"/>
  <c r="F220" i="1" s="1"/>
  <c r="H220" i="1" s="1"/>
  <c r="J220" i="1" s="1"/>
  <c r="D220" i="1"/>
  <c r="G216" i="1"/>
  <c r="G215" i="1"/>
  <c r="G214" i="1"/>
  <c r="G213" i="1"/>
  <c r="E218" i="1"/>
  <c r="D218" i="1"/>
  <c r="E217" i="1"/>
  <c r="D217" i="1"/>
  <c r="E216" i="1"/>
  <c r="D216" i="1"/>
  <c r="D215" i="1"/>
  <c r="F215" i="1" s="1"/>
  <c r="D214" i="1"/>
  <c r="E213" i="1"/>
  <c r="D213" i="1"/>
  <c r="E212" i="1"/>
  <c r="D212" i="1"/>
  <c r="E211" i="1"/>
  <c r="D211" i="1"/>
  <c r="D204" i="1"/>
  <c r="D203" i="1"/>
  <c r="D202" i="1"/>
  <c r="D200" i="1"/>
  <c r="D199" i="1"/>
  <c r="F199" i="1" s="1"/>
  <c r="H199" i="1" s="1"/>
  <c r="D198" i="1"/>
  <c r="F198" i="1" s="1"/>
  <c r="H198" i="1" s="1"/>
  <c r="D197" i="1"/>
  <c r="F197" i="1" s="1"/>
  <c r="H197" i="1" s="1"/>
  <c r="D196" i="1"/>
  <c r="F196" i="1" s="1"/>
  <c r="H196" i="1" s="1"/>
  <c r="D195" i="1"/>
  <c r="D194" i="1"/>
  <c r="D193" i="1"/>
  <c r="D192" i="1"/>
  <c r="D191" i="1"/>
  <c r="F191" i="1" s="1"/>
  <c r="H191" i="1" s="1"/>
  <c r="D190" i="1"/>
  <c r="F190" i="1" s="1"/>
  <c r="H190" i="1" s="1"/>
  <c r="D189" i="1"/>
  <c r="F189" i="1" s="1"/>
  <c r="H189" i="1" s="1"/>
  <c r="D188" i="1"/>
  <c r="F188" i="1" s="1"/>
  <c r="H188" i="1" s="1"/>
  <c r="D187" i="1"/>
  <c r="F187" i="1" s="1"/>
  <c r="H187" i="1" s="1"/>
  <c r="D186" i="1"/>
  <c r="D185" i="1"/>
  <c r="D184" i="1"/>
  <c r="D183" i="1"/>
  <c r="F183" i="1" s="1"/>
  <c r="H183" i="1" s="1"/>
  <c r="D182" i="1"/>
  <c r="F182" i="1" s="1"/>
  <c r="H182" i="1" s="1"/>
  <c r="D181" i="1"/>
  <c r="F181" i="1" s="1"/>
  <c r="H181" i="1" s="1"/>
  <c r="D180" i="1"/>
  <c r="F180" i="1" s="1"/>
  <c r="H180" i="1" s="1"/>
  <c r="D179" i="1"/>
  <c r="D178" i="1"/>
  <c r="D176" i="1"/>
  <c r="D175" i="1"/>
  <c r="D174" i="1"/>
  <c r="D173" i="1"/>
  <c r="D172" i="1"/>
  <c r="D171" i="1"/>
  <c r="D170" i="1"/>
  <c r="D169" i="1"/>
  <c r="D168" i="1"/>
  <c r="D167" i="1"/>
  <c r="D166" i="1"/>
  <c r="D165" i="1"/>
  <c r="D164" i="1"/>
  <c r="D163" i="1"/>
  <c r="D162" i="1"/>
  <c r="D161" i="1"/>
  <c r="D160" i="1"/>
  <c r="D159" i="1"/>
  <c r="D158" i="1"/>
  <c r="D157" i="1"/>
  <c r="E155" i="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F235" i="1"/>
  <c r="H235" i="1" s="1"/>
  <c r="A230" i="1"/>
  <c r="A231" i="1" s="1"/>
  <c r="A232" i="1" s="1"/>
  <c r="A233" i="1" s="1"/>
  <c r="A234" i="1" s="1"/>
  <c r="A235" i="1" s="1"/>
  <c r="A236" i="1" s="1"/>
  <c r="F221" i="1"/>
  <c r="H221" i="1" s="1"/>
  <c r="J221" i="1" s="1"/>
  <c r="A221" i="1"/>
  <c r="A222" i="1" s="1"/>
  <c r="A223" i="1" s="1"/>
  <c r="A224" i="1" s="1"/>
  <c r="A225" i="1" s="1"/>
  <c r="A226" i="1" s="1"/>
  <c r="A227" i="1" s="1"/>
  <c r="I211" i="1"/>
  <c r="F214" i="1"/>
  <c r="A212" i="1"/>
  <c r="A213" i="1" s="1"/>
  <c r="A214" i="1" s="1"/>
  <c r="A215" i="1" s="1"/>
  <c r="A216" i="1" s="1"/>
  <c r="A217" i="1" s="1"/>
  <c r="A218" i="1" s="1"/>
  <c r="F200" i="1"/>
  <c r="H200" i="1" s="1"/>
  <c r="F195" i="1"/>
  <c r="H195" i="1" s="1"/>
  <c r="F194" i="1"/>
  <c r="H194" i="1" s="1"/>
  <c r="F193" i="1"/>
  <c r="H193" i="1" s="1"/>
  <c r="F186" i="1"/>
  <c r="H186" i="1" s="1"/>
  <c r="F185" i="1"/>
  <c r="H185" i="1" s="1"/>
  <c r="F184" i="1"/>
  <c r="H184" i="1" s="1"/>
  <c r="F179" i="1"/>
  <c r="H179" i="1" s="1"/>
  <c r="F178" i="1"/>
  <c r="H178" i="1" s="1"/>
  <c r="F192" i="1"/>
  <c r="H192" i="1" s="1"/>
  <c r="A179" i="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F236" i="1" l="1"/>
  <c r="H236" i="1" s="1"/>
  <c r="F233" i="1"/>
  <c r="H233" i="1" s="1"/>
  <c r="F227" i="1"/>
  <c r="H227" i="1" s="1"/>
  <c r="K220" i="1"/>
  <c r="F226" i="1"/>
  <c r="H226" i="1" s="1"/>
  <c r="F218" i="1"/>
  <c r="H218" i="1" s="1"/>
  <c r="K218" i="1" s="1"/>
  <c r="F222" i="1"/>
  <c r="H222" i="1" s="1"/>
  <c r="J222" i="1" s="1"/>
  <c r="F216" i="1"/>
  <c r="H216" i="1" s="1"/>
  <c r="F217" i="1"/>
  <c r="H217" i="1" s="1"/>
  <c r="F225" i="1"/>
  <c r="H225" i="1" s="1"/>
  <c r="F223" i="1"/>
  <c r="H223" i="1" s="1"/>
  <c r="F224" i="1"/>
  <c r="H224" i="1" s="1"/>
  <c r="H215" i="1"/>
  <c r="J215" i="1" s="1"/>
  <c r="H214" i="1"/>
  <c r="J214" i="1" s="1"/>
  <c r="F213" i="1"/>
  <c r="H213" i="1" s="1"/>
  <c r="F212" i="1"/>
  <c r="H212" i="1" s="1"/>
  <c r="J212" i="1" s="1"/>
  <c r="F211" i="1"/>
  <c r="F176" i="1"/>
  <c r="H176" i="1" s="1"/>
  <c r="F175" i="1"/>
  <c r="H175" i="1" s="1"/>
  <c r="F174" i="1"/>
  <c r="H174" i="1" s="1"/>
  <c r="F173" i="1"/>
  <c r="H173" i="1" s="1"/>
  <c r="F172" i="1"/>
  <c r="H172" i="1" s="1"/>
  <c r="F171" i="1"/>
  <c r="H171" i="1" s="1"/>
  <c r="F170" i="1"/>
  <c r="H170" i="1" s="1"/>
  <c r="F169" i="1"/>
  <c r="H169" i="1" s="1"/>
  <c r="F168" i="1"/>
  <c r="H168" i="1" s="1"/>
  <c r="F167" i="1"/>
  <c r="H167" i="1" s="1"/>
  <c r="F166" i="1"/>
  <c r="H166" i="1" s="1"/>
  <c r="F165" i="1"/>
  <c r="H165" i="1" s="1"/>
  <c r="F164" i="1"/>
  <c r="H164" i="1" s="1"/>
  <c r="F163" i="1"/>
  <c r="H163" i="1" s="1"/>
  <c r="F162" i="1"/>
  <c r="H162" i="1" s="1"/>
  <c r="F161" i="1"/>
  <c r="H161" i="1" s="1"/>
  <c r="F160" i="1"/>
  <c r="H160" i="1" s="1"/>
  <c r="F159" i="1"/>
  <c r="H159" i="1" s="1"/>
  <c r="F158" i="1"/>
  <c r="H158" i="1" s="1"/>
  <c r="A158" i="1"/>
  <c r="A159" i="1" s="1"/>
  <c r="A160" i="1" s="1"/>
  <c r="A161" i="1" s="1"/>
  <c r="A162" i="1" s="1"/>
  <c r="A163" i="1" s="1"/>
  <c r="A164" i="1" s="1"/>
  <c r="A165" i="1" s="1"/>
  <c r="A166" i="1" s="1"/>
  <c r="A167" i="1" s="1"/>
  <c r="A168" i="1" s="1"/>
  <c r="A169" i="1" s="1"/>
  <c r="A170" i="1" s="1"/>
  <c r="A171" i="1" s="1"/>
  <c r="A172" i="1" s="1"/>
  <c r="A173" i="1" s="1"/>
  <c r="A174" i="1" s="1"/>
  <c r="A175" i="1" s="1"/>
  <c r="A176" i="1" s="1"/>
  <c r="F157" i="1"/>
  <c r="F155" i="1"/>
  <c r="H155" i="1" s="1"/>
  <c r="F154" i="1"/>
  <c r="H154" i="1" s="1"/>
  <c r="F153" i="1"/>
  <c r="H153" i="1" s="1"/>
  <c r="F152" i="1"/>
  <c r="H152" i="1" s="1"/>
  <c r="F151" i="1"/>
  <c r="H151" i="1" s="1"/>
  <c r="F149" i="1"/>
  <c r="H149" i="1" s="1"/>
  <c r="F148" i="1"/>
  <c r="H148" i="1" s="1"/>
  <c r="F147" i="1"/>
  <c r="H147" i="1" s="1"/>
  <c r="F146" i="1"/>
  <c r="H146" i="1" s="1"/>
  <c r="F145" i="1"/>
  <c r="H145" i="1" s="1"/>
  <c r="F144" i="1"/>
  <c r="H144" i="1" s="1"/>
  <c r="F143" i="1"/>
  <c r="H143" i="1" s="1"/>
  <c r="F142" i="1"/>
  <c r="H142" i="1" s="1"/>
  <c r="F141" i="1"/>
  <c r="H141" i="1" s="1"/>
  <c r="F140" i="1"/>
  <c r="H140" i="1" s="1"/>
  <c r="F139" i="1"/>
  <c r="H139" i="1" s="1"/>
  <c r="F138" i="1"/>
  <c r="H138" i="1" s="1"/>
  <c r="F137" i="1"/>
  <c r="H137" i="1" s="1"/>
  <c r="F136" i="1"/>
  <c r="H136" i="1" s="1"/>
  <c r="F135" i="1"/>
  <c r="H135" i="1" s="1"/>
  <c r="I134" i="1"/>
  <c r="F134" i="1"/>
  <c r="F150" i="1"/>
  <c r="H150" i="1" s="1"/>
  <c r="A135" i="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C16" i="1"/>
  <c r="H211" i="1" l="1"/>
  <c r="K211" i="1" s="1"/>
  <c r="C125" i="1"/>
  <c r="C126" i="1" s="1"/>
  <c r="E125" i="1"/>
  <c r="E126" i="1" s="1"/>
  <c r="H134" i="1"/>
  <c r="K217" i="1"/>
  <c r="J217" i="1"/>
  <c r="N103" i="1"/>
  <c r="H157" i="1"/>
  <c r="B268" i="1"/>
  <c r="M103" i="1" l="1"/>
  <c r="G125" i="1"/>
  <c r="G126" i="1" s="1"/>
  <c r="F203" i="1"/>
  <c r="H203" i="1" s="1"/>
  <c r="F204" i="1"/>
  <c r="H204" i="1" s="1"/>
  <c r="F202" i="1"/>
  <c r="C121" i="1" s="1"/>
  <c r="H202" i="1" l="1"/>
  <c r="E121" i="1"/>
  <c r="E122" i="1" s="1"/>
  <c r="C122" i="1"/>
  <c r="G58" i="1"/>
  <c r="G56" i="1"/>
  <c r="G121" i="1" l="1"/>
  <c r="G122" i="1" s="1"/>
  <c r="S33" i="1"/>
  <c r="F11" i="5" l="1"/>
  <c r="G11" i="5" s="1"/>
  <c r="F10" i="5"/>
  <c r="G10" i="5" s="1"/>
  <c r="F9" i="5"/>
  <c r="G9" i="5" s="1"/>
  <c r="F8" i="5"/>
  <c r="G8" i="5" s="1"/>
  <c r="F7" i="5"/>
  <c r="G7" i="5" s="1"/>
  <c r="F6" i="5"/>
  <c r="G6" i="5" s="1"/>
  <c r="F5" i="5"/>
  <c r="G5" i="5" s="1"/>
  <c r="G12" i="5" s="1"/>
  <c r="D290" i="1"/>
  <c r="B269" i="1"/>
  <c r="F265" i="1"/>
  <c r="H265" i="1" s="1"/>
  <c r="F264" i="1"/>
  <c r="H264" i="1" s="1"/>
  <c r="F263" i="1"/>
  <c r="H263" i="1" s="1"/>
  <c r="F262" i="1"/>
  <c r="H262" i="1" s="1"/>
  <c r="F261" i="1"/>
  <c r="H261" i="1" s="1"/>
  <c r="F259" i="1"/>
  <c r="H259" i="1" s="1"/>
  <c r="F258" i="1"/>
  <c r="H258" i="1" s="1"/>
  <c r="F257" i="1"/>
  <c r="H257" i="1" s="1"/>
  <c r="F256" i="1"/>
  <c r="H256" i="1" s="1"/>
  <c r="F255" i="1"/>
  <c r="H255" i="1" s="1"/>
  <c r="F253" i="1"/>
  <c r="H253" i="1" s="1"/>
  <c r="F252" i="1"/>
  <c r="H252" i="1" s="1"/>
  <c r="F251" i="1"/>
  <c r="H251" i="1" s="1"/>
  <c r="F250" i="1"/>
  <c r="H250" i="1" s="1"/>
  <c r="F249" i="1"/>
  <c r="H249" i="1" s="1"/>
  <c r="F247" i="1"/>
  <c r="H247" i="1" s="1"/>
  <c r="F246" i="1"/>
  <c r="H246" i="1" s="1"/>
  <c r="F245" i="1"/>
  <c r="H245" i="1" s="1"/>
  <c r="F244" i="1"/>
  <c r="H244" i="1" s="1"/>
  <c r="F243" i="1"/>
  <c r="H243" i="1" s="1"/>
  <c r="A243" i="1"/>
  <c r="A244" i="1" s="1"/>
  <c r="A245" i="1" s="1"/>
  <c r="A246" i="1" s="1"/>
  <c r="A247" i="1" s="1"/>
  <c r="F241" i="1"/>
  <c r="H241" i="1" s="1"/>
  <c r="F240" i="1"/>
  <c r="H240" i="1" s="1"/>
  <c r="F239" i="1"/>
  <c r="H239" i="1" s="1"/>
  <c r="A239" i="1"/>
  <c r="A240" i="1" s="1"/>
  <c r="A241" i="1" s="1"/>
  <c r="F238" i="1"/>
  <c r="H238" i="1" s="1"/>
  <c r="A203" i="1"/>
  <c r="A204" i="1" s="1"/>
  <c r="G127" i="1"/>
  <c r="E127" i="1"/>
  <c r="C127" i="1"/>
  <c r="F118" i="1"/>
  <c r="C88" i="1"/>
  <c r="C74" i="1"/>
  <c r="D68" i="1"/>
  <c r="D62" i="1"/>
  <c r="G51" i="1"/>
  <c r="G52" i="1" s="1"/>
  <c r="C51" i="1"/>
  <c r="C52" i="1" s="1"/>
  <c r="E44" i="1"/>
  <c r="E45" i="1" s="1"/>
  <c r="E31" i="1"/>
  <c r="E28" i="1"/>
  <c r="E26" i="1"/>
  <c r="I15" i="1"/>
  <c r="Z13" i="1"/>
  <c r="E8" i="1"/>
  <c r="E3" i="1"/>
  <c r="H89" i="1"/>
  <c r="A255" i="1"/>
  <c r="A261" i="1"/>
  <c r="A249" i="1"/>
  <c r="H75" i="1"/>
  <c r="J74" i="1" l="1"/>
  <c r="J76" i="1" s="1"/>
  <c r="J77" i="1"/>
  <c r="J78" i="1"/>
  <c r="J79" i="1"/>
  <c r="C78" i="1" s="1"/>
  <c r="J93" i="1"/>
  <c r="D97" i="1"/>
  <c r="D99" i="1"/>
  <c r="J92" i="1"/>
  <c r="D98" i="1"/>
  <c r="J88" i="1"/>
  <c r="J90" i="1" s="1"/>
  <c r="D96" i="1"/>
  <c r="J91" i="1"/>
  <c r="D95" i="1"/>
  <c r="D101" i="1"/>
  <c r="D100" i="1"/>
  <c r="D94" i="1"/>
  <c r="D82" i="1"/>
  <c r="D84" i="1"/>
  <c r="D83" i="1"/>
  <c r="D87" i="1"/>
  <c r="D81" i="1"/>
  <c r="D86" i="1"/>
  <c r="D80" i="1"/>
  <c r="D85" i="1"/>
  <c r="B89" i="1"/>
  <c r="B75" i="1"/>
  <c r="J80" i="1" s="1"/>
  <c r="A250" i="1"/>
  <c r="A262" i="1"/>
  <c r="A256" i="1"/>
  <c r="C92" i="1" l="1"/>
  <c r="D92" i="1" s="1"/>
  <c r="D78" i="1"/>
  <c r="J99" i="1"/>
  <c r="J96" i="1"/>
  <c r="J98" i="1"/>
  <c r="J97" i="1"/>
  <c r="J94" i="1"/>
  <c r="J95" i="1" s="1"/>
  <c r="J84" i="1"/>
  <c r="J82" i="1"/>
  <c r="J83" i="1"/>
  <c r="J81" i="1"/>
  <c r="J86" i="1" s="1"/>
  <c r="J87" i="1" s="1"/>
  <c r="C79" i="1" s="1"/>
  <c r="J85" i="1"/>
  <c r="A257" i="1"/>
  <c r="A251" i="1"/>
  <c r="A263" i="1"/>
  <c r="J75" i="1" l="1"/>
  <c r="J100" i="1"/>
  <c r="J101" i="1" s="1"/>
  <c r="E78" i="1"/>
  <c r="D79" i="1"/>
  <c r="I75" i="1" s="1"/>
  <c r="G78" i="1"/>
  <c r="D72" i="1" s="1"/>
  <c r="A264" i="1"/>
  <c r="A252" i="1"/>
  <c r="A258" i="1"/>
  <c r="C93" i="1" l="1"/>
  <c r="J89" i="1" s="1"/>
  <c r="F73" i="1"/>
  <c r="D73" i="1"/>
  <c r="I76" i="1"/>
  <c r="I74" i="1" s="1"/>
  <c r="C76" i="1" s="1"/>
  <c r="A265" i="1"/>
  <c r="A259" i="1"/>
  <c r="A253" i="1"/>
  <c r="E92" i="1" l="1"/>
  <c r="D93" i="1"/>
  <c r="I89" i="1" s="1"/>
  <c r="I90" i="1" s="1"/>
  <c r="G92" i="1"/>
  <c r="I88" i="1" l="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F11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0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<sst xmlns="http://schemas.openxmlformats.org/spreadsheetml/2006/main" count="668" uniqueCount="387">
  <si>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</si>
  <si>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</si>
  <si>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</si>
  <si>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</si>
  <si>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</si>
  <si>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</si>
  <si>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</si>
  <si>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</si>
  <si>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</si>
  <si>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</si>
  <si>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</si>
  <si>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</si>
  <si>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</si>
  <si>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</si>
  <si>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</si>
  <si>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</si>
  <si>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</si>
  <si>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</si>
  <si>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</si>
  <si>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</si>
  <si>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</si>
  <si>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</si>
  <si>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</si>
  <si>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</si>
  <si>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</si>
  <si>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</si>
  <si>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</si>
  <si>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</si>
  <si>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</si>
  <si>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</si>
  <si>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</si>
  <si>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</si>
  <si>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</si>
  <si>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</si>
  <si>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</si>
  <si>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</si>
  <si>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</si>
  <si>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</si>
  <si>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</si>
  <si>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</si>
  <si>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</si>
  <si>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</si>
  <si>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</si>
  <si>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</si>
  <si>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</si>
  <si>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</si>
  <si>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</si>
  <si>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</si>
  <si>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</si>
  <si>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</si>
  <si>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</si>
  <si>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</si>
  <si>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</si>
  <si>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</si>
  <si>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</si>
  <si>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</si>
  <si>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</si>
  <si>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</si>
  <si>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</si>
  <si>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</si>
  <si>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</si>
  <si>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</si>
  <si>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</si>
  <si>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</si>
  <si>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</si>
  <si>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</si>
  <si>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</si>
  <si>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</si>
  <si>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</si>
  <si>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</si>
  <si>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</si>
  <si>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</si>
  <si>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</si>
  <si>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</si>
  <si>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</si>
  <si>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</si>
  <si>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</si>
  <si>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</si>
  <si>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</si>
  <si>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</si>
  <si>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</si>
  <si>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</si>
  <si>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</si>
  <si>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</si>
  <si>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</si>
  <si>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</si>
  <si>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</si>
  <si>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</si>
  <si>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</si>
  <si>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</si>
  <si>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</si>
  <si>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</si>
  <si>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</si>
  <si>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</si>
  <si>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</si>
  <si>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</si>
  <si>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</si>
  <si>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</si>
  <si>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</si>
  <si>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</si>
  <si>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</si>
  <si>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</si>
  <si>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</si>
  <si>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</si>
  <si>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</si>
  <si>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</si>
  <si>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</si>
  <si>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</si>
  <si>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</si>
  <si>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</si>
  <si>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</si>
  <si>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</si>
  <si>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</si>
  <si>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</si>
  <si>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</si>
  <si>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</si>
  <si>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</si>
  <si>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</si>
  <si>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</si>
  <si>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</si>
  <si>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</si>
  <si>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</si>
  <si>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</si>
  <si>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</si>
  <si>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</si>
  <si>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</si>
  <si>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</si>
  <si>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</si>
  <si>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</si>
  <si>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</si>
  <si>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</si>
  <si>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</si>
  <si>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</si>
  <si>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</si>
  <si>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</si>
  <si>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</si>
  <si>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</si>
  <si>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</si>
  <si>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</si>
  <si>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</si>
  <si>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</si>
  <si>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</si>
  <si>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</si>
  <si>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</si>
  <si>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</si>
  <si>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</si>
  <si>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</si>
  <si>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</si>
  <si>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</si>
  <si>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</si>
  <si>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</si>
  <si>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</si>
  <si>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</si>
  <si>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</si>
  <si>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</si>
  <si>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</si>
  <si>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</si>
  <si>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</si>
  <si>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</si>
  <si>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</si>
  <si>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</si>
  <si>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</si>
  <si>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</si>
  <si>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</si>
  <si>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</si>
  <si>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</si>
  <si>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</si>
  <si>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</si>
  <si>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</si>
  <si>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</si>
  <si>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</si>
  <si>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</si>
  <si>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</si>
  <si>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</si>
  <si>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</si>
  <si>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</si>
  <si>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</si>
  <si>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</si>
  <si>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</si>
  <si>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</si>
  <si>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</si>
  <si>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</si>
  <si>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</si>
  <si>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</si>
  <si>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</si>
  <si>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</si>
  <si>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</si>
  <si>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</si>
  <si>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</si>
  <si>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</si>
  <si>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</si>
  <si>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</si>
  <si>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</si>
  <si>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</si>
  <si>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</si>
  <si>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</si>
  <si>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</si>
  <si>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</si>
  <si>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</si>
  <si>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</si>
  <si>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</si>
  <si>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</si>
  <si>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</si>
  <si>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</si>
  <si>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</si>
  <si>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</si>
  <si>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</si>
  <si>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</si>
  <si>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</si>
  <si>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</si>
  <si>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</si>
  <si>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</si>
  <si>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</si>
  <si>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</si>
  <si>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</si>
  <si>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</si>
  <si>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</si>
  <si>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</si>
  <si>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</si>
  <si>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</si>
  <si>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</si>
  <si>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</si>
  <si>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</si>
  <si>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</si>
  <si>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</si>
  <si>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</si>
  <si>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</si>
  <si>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</si>
  <si>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</si>
  <si>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</si>
  <si>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</si>
  <si>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</si>
  <si>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</si>
  <si>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</si>
  <si>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</si>
  <si>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</si>
  <si>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</si>
  <si>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</si>
  <si>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</si>
  <si>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</si>
  <si>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</si>
  <si>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</si>
  <si>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</si>
  <si>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</si>
  <si>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</si>
  <si>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</si>
  <si>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</si>
  <si>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</si>
  <si>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</si>
  <si>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</si>
  <si>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</si>
  <si>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</si>
  <si>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</si>
  <si>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</si>
  <si>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</si>
  <si>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</si>
  <si>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</si>
  <si>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</si>
  <si>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</si>
  <si>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</si>
  <si>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</si>
  <si>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</si>
  <si>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</si>
  <si>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</si>
  <si>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</si>
  <si>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</si>
  <si>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</si>
  <si>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</si>
  <si>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</si>
  <si>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</si>
  <si>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</si>
  <si>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</si>
  <si>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</si>
  <si>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</si>
  <si>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</si>
  <si>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</si>
  <si>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</si>
  <si>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</si>
  <si>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</si>
  <si>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</si>
  <si>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</si>
  <si>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</si>
  <si>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</si>
  <si>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</si>
  <si>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</si>
  <si>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</si>
  <si>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</si>
  <si>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</si>
  <si>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</si>
  <si>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</si>
  <si>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</si>
  <si>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</si>
  <si>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</si>
  <si>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</si>
  <si>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</si>
  <si>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</si>
  <si>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</si>
  <si>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</si>
  <si>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</si>
  <si>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</si>
  <si>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Khushi Axis Infratech Llp
</t>
  </si>
  <si>
    <t xml:space="preserve">Prashant Rao-9116819805
</t>
  </si>
  <si>
    <t>Industrial &amp; Residential Building</t>
  </si>
  <si>
    <t>Survey No</t>
  </si>
  <si>
    <t>21, H.No.1/C, 1d &amp; 1/e/1</t>
  </si>
  <si>
    <t>Mankoli</t>
  </si>
  <si>
    <t>https://maps.app.goo.gl/hTRwSEmhXFqF8KSL6</t>
  </si>
  <si>
    <t>19.2414724,73.0505598</t>
  </si>
  <si>
    <t>5.5 KM from Dombivli Railway Station</t>
  </si>
  <si>
    <t>Thane Dombivali Link Road</t>
  </si>
  <si>
    <t>Mankoli Stadium</t>
  </si>
  <si>
    <t>Khushi Axis World</t>
  </si>
  <si>
    <t>Open Plot</t>
  </si>
  <si>
    <t>45.00 M.Wide D.P. Road</t>
  </si>
  <si>
    <t>15.00 M.Wide D.P. Road</t>
  </si>
  <si>
    <t>Other Plot</t>
  </si>
  <si>
    <t>SROT/BSNA/2501/BP/Mankoli-14/CC/868/2021</t>
  </si>
  <si>
    <t>Industrial Building = Gr/Stilt + 1st to 5th Floor</t>
  </si>
  <si>
    <t>Industrial Building = Gr/Stilt + 1st to 5th Floor
Residential Building = Gr/Stilt + 1st to 8th Floor</t>
  </si>
  <si>
    <t>Mangesh</t>
  </si>
  <si>
    <t>Industrial Building</t>
  </si>
  <si>
    <t>Ground Floor for Commercial</t>
  </si>
  <si>
    <t>Unit 01</t>
  </si>
  <si>
    <t>Unit 02</t>
  </si>
  <si>
    <t>Unit 03</t>
  </si>
  <si>
    <t>Unit 04</t>
  </si>
  <si>
    <t>Unit 05</t>
  </si>
  <si>
    <t>Unit 06</t>
  </si>
  <si>
    <t>Unit 07</t>
  </si>
  <si>
    <t>Unit 08</t>
  </si>
  <si>
    <t>Unit 09</t>
  </si>
  <si>
    <t>Unit 10</t>
  </si>
  <si>
    <t>Unit 11</t>
  </si>
  <si>
    <t>Unit 12</t>
  </si>
  <si>
    <t>Unit 13</t>
  </si>
  <si>
    <t>Unit 14</t>
  </si>
  <si>
    <t>Unit 15</t>
  </si>
  <si>
    <t>Unit 16</t>
  </si>
  <si>
    <t>Unit 17</t>
  </si>
  <si>
    <t>Unit 18</t>
  </si>
  <si>
    <t>Unit 19</t>
  </si>
  <si>
    <t>Unit 20</t>
  </si>
  <si>
    <t>Unit 21</t>
  </si>
  <si>
    <t>Unit 22</t>
  </si>
  <si>
    <t>1st Floor</t>
  </si>
  <si>
    <t>2nd &amp; 3rd Floor</t>
  </si>
  <si>
    <t>4th &amp; 5th Floor</t>
  </si>
  <si>
    <t>Residential Building</t>
  </si>
  <si>
    <t>Ground Floor for Parking</t>
  </si>
  <si>
    <t>1st Floor for Residential</t>
  </si>
  <si>
    <t>1BHK</t>
  </si>
  <si>
    <t>2nd to 7th Floor</t>
  </si>
  <si>
    <t>Balcony + F.B/O.P. Area</t>
  </si>
  <si>
    <r>
      <t xml:space="preserve">Flat No.
</t>
    </r>
    <r>
      <rPr>
        <b/>
        <sz val="11"/>
        <rFont val="Times New Roman"/>
        <family val="1"/>
      </rPr>
      <t>(Approved Plan)</t>
    </r>
  </si>
  <si>
    <t>Commercial Units</t>
  </si>
  <si>
    <t>Flats</t>
  </si>
  <si>
    <r>
      <t xml:space="preserve">Shop No.
</t>
    </r>
    <r>
      <rPr>
        <b/>
        <sz val="11"/>
        <rFont val="Times New Roman"/>
        <family val="1"/>
      </rPr>
      <t>(Approved Plan)</t>
    </r>
  </si>
  <si>
    <t>We considered Gross carpet area = Net carpet + Balcony + O.P/F.B. Area.</t>
  </si>
  <si>
    <t>Flats - 60, Commercial Units - 94</t>
  </si>
  <si>
    <t>Industrial Building = Gr/Stilt + 1st to 5th Floor
Residential Building = Gr/Stilt + 1st to 8th Floor
(Total Built Up Area = 14724.58 Sq.M.)</t>
  </si>
  <si>
    <t>Jogging Track, Swimming Pool, Gymnasium, Kids Play Area</t>
  </si>
  <si>
    <r>
      <t xml:space="preserve">Proposed Amenities :                                                                                                                                                                                                                         </t>
    </r>
    <r>
      <rPr>
        <b/>
        <sz val="12"/>
        <rFont val="Times New Roman"/>
        <family val="1"/>
      </rPr>
      <t xml:space="preserve">                                               </t>
    </r>
  </si>
  <si>
    <t>-</t>
  </si>
  <si>
    <t>Residential Building = Gr/Stilt + 1st to 18th Floor</t>
  </si>
  <si>
    <t>Security Charges</t>
  </si>
  <si>
    <t>Share Money</t>
  </si>
  <si>
    <t>Online</t>
  </si>
  <si>
    <t>Visitor</t>
  </si>
  <si>
    <t>Builder</t>
  </si>
  <si>
    <t>Approved Plans, CC, Cost Sheet</t>
  </si>
  <si>
    <t>Internal Road/Mankoli Stadium</t>
  </si>
  <si>
    <t>Attached Otla area+OP/ FB Area</t>
  </si>
  <si>
    <t>8th Floor (Part Refuge Area &amp; Terrace Area)</t>
  </si>
  <si>
    <t>Part Refuge &amp; Terrace Area</t>
  </si>
  <si>
    <t>We refer approved layout plan from Rera on 29/03/2024.</t>
  </si>
  <si>
    <t>6500 to 7000</t>
  </si>
  <si>
    <t>Recommended rate of the Units Per Sq. Ft. For Ground Floor</t>
  </si>
  <si>
    <t>Recommended rate of the Units Per Sq. Ft. For 1st to 5th Floor</t>
  </si>
  <si>
    <t>6250 rate is given because of we are giving 2L other charges</t>
  </si>
  <si>
    <t>Amenities charges, Development, Society Formation &amp; Maintanace</t>
  </si>
  <si>
    <t>02 Buildings</t>
  </si>
  <si>
    <t>P51700031265</t>
  </si>
  <si>
    <t>Unit 23</t>
  </si>
  <si>
    <t>As per RERA - 31/12/2026</t>
  </si>
  <si>
    <t>Please provide revised approved plans &amp; CC for Residential Building.</t>
  </si>
  <si>
    <t>Industrial Building = Finishing work is in process.
Residential Building = Construction work is in process at the time of Visit.</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</si>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</sst>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2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0" xfId="0" applyFont="1" applyBorder="1" applyProtection="1">
      <protection hidden="1"/>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9" xfId="1" applyFont="1" applyBorder="1"/>
    <xf numFmtId="0" fontId="15"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29" xfId="0" applyFont="1" applyFill="1" applyBorder="1"/>
    <xf numFmtId="0" fontId="22" fillId="0" borderId="30" xfId="0" applyFont="1" applyBorder="1"/>
    <xf numFmtId="0" fontId="22" fillId="0" borderId="1" xfId="0" applyFont="1" applyBorder="1"/>
    <xf numFmtId="0" fontId="22" fillId="0" borderId="4"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Fill="1" applyBorder="1" applyAlignment="1" applyProtection="1">
      <alignment horizontal="center" vertical="center" wrapText="1"/>
      <protection locked="0"/>
    </xf>
    <xf numFmtId="0" fontId="0" fillId="0" borderId="24"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2" fontId="6" fillId="0" borderId="0" xfId="1" applyNumberFormat="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1" fontId="11" fillId="0" borderId="2" xfId="1" applyNumberFormat="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1" fontId="10" fillId="0" borderId="1" xfId="1" applyNumberFormat="1" applyFont="1" applyBorder="1" applyAlignment="1">
      <alignment horizontal="center" vertical="center"/>
    </xf>
    <xf numFmtId="0" fontId="13" fillId="0" borderId="0" xfId="1" applyFont="1" applyAlignment="1">
      <alignment horizontal="center" vertical="center"/>
    </xf>
    <xf numFmtId="0" fontId="29"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0" fontId="6" fillId="2" borderId="0" xfId="1" applyFont="1" applyFill="1"/>
    <xf numFmtId="1" fontId="13" fillId="2" borderId="0" xfId="1" applyNumberFormat="1" applyFont="1" applyFill="1" applyAlignment="1">
      <alignment horizontal="center" vertical="center"/>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0" fontId="6" fillId="0" borderId="24" xfId="1" applyFont="1" applyBorder="1" applyAlignment="1">
      <alignment horizontal="center"/>
    </xf>
    <xf numFmtId="0" fontId="6" fillId="0" borderId="0" xfId="1" applyFont="1" applyAlignment="1">
      <alignment horizontal="center"/>
    </xf>
    <xf numFmtId="167" fontId="6" fillId="0" borderId="1" xfId="9" applyNumberFormat="1" applyFont="1" applyFill="1" applyBorder="1" applyAlignment="1" applyProtection="1">
      <alignment horizontal="left" vertical="top"/>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0" fillId="0" borderId="7"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10" fillId="0" borderId="1" xfId="1" applyFont="1" applyBorder="1" applyAlignment="1" applyProtection="1">
      <alignment horizontal="left" vertical="top" wrapText="1"/>
      <protection locked="0"/>
    </xf>
    <xf numFmtId="0" fontId="10" fillId="0" borderId="2" xfId="1" applyFont="1" applyBorder="1" applyAlignment="1" applyProtection="1">
      <alignment horizontal="left" vertical="top"/>
      <protection locked="0"/>
    </xf>
    <xf numFmtId="16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1" fillId="0" borderId="21"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0" fillId="0" borderId="3"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11" fillId="0" borderId="2" xfId="1" applyNumberFormat="1" applyFont="1" applyBorder="1" applyAlignment="1" applyProtection="1">
      <alignment horizontal="center" vertical="top" wrapText="1"/>
      <protection locked="0"/>
    </xf>
    <xf numFmtId="1" fontId="11" fillId="0" borderId="15"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11" fillId="0" borderId="7"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9" fontId="10" fillId="0" borderId="16" xfId="8" applyFont="1" applyFill="1" applyBorder="1" applyAlignment="1" applyProtection="1">
      <alignment horizontal="center" vertical="center" wrapText="1"/>
      <protection locked="0"/>
    </xf>
    <xf numFmtId="9" fontId="10" fillId="0" borderId="17"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0" fontId="7" fillId="0" borderId="15" xfId="1" applyFont="1" applyBorder="1" applyAlignment="1" applyProtection="1">
      <alignment horizontal="center" vertical="top"/>
      <protection locked="0"/>
    </xf>
    <xf numFmtId="1" fontId="7" fillId="0" borderId="1" xfId="0" applyNumberFormat="1" applyFont="1" applyBorder="1" applyAlignment="1" applyProtection="1">
      <alignment horizontal="left" vertical="top" wrapText="1"/>
      <protection locked="0"/>
    </xf>
    <xf numFmtId="1" fontId="10" fillId="0" borderId="20"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0" fillId="0" borderId="1" xfId="1" applyFont="1" applyBorder="1" applyAlignment="1" applyProtection="1">
      <alignment vertical="top"/>
      <protection locked="0"/>
    </xf>
    <xf numFmtId="1" fontId="11" fillId="0" borderId="16" xfId="1" applyNumberFormat="1" applyFont="1" applyBorder="1" applyAlignment="1" applyProtection="1">
      <alignment horizontal="center" vertical="top" wrapText="1"/>
      <protection locked="0"/>
    </xf>
    <xf numFmtId="1" fontId="11" fillId="0" borderId="18" xfId="1" applyNumberFormat="1" applyFont="1" applyBorder="1" applyAlignment="1" applyProtection="1">
      <alignment horizontal="center" vertical="top" wrapText="1"/>
      <protection locked="0"/>
    </xf>
    <xf numFmtId="0" fontId="10" fillId="0" borderId="2"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1" fillId="0" borderId="3"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27"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wrapText="1"/>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0" fillId="0" borderId="7" xfId="1" applyFont="1" applyBorder="1" applyAlignment="1" applyProtection="1">
      <alignment horizontal="center" vertical="top"/>
      <protection locked="0"/>
    </xf>
    <xf numFmtId="0" fontId="10" fillId="0" borderId="20"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2" fontId="10" fillId="0" borderId="1"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1" fontId="10" fillId="0" borderId="1" xfId="1" applyNumberFormat="1" applyFont="1" applyBorder="1" applyAlignment="1" applyProtection="1">
      <alignment horizontal="left" vertical="top" wrapText="1"/>
      <protection locked="0"/>
    </xf>
    <xf numFmtId="2" fontId="10" fillId="0" borderId="1" xfId="1" applyNumberFormat="1" applyFont="1" applyBorder="1" applyAlignment="1" applyProtection="1">
      <alignment horizontal="left" vertical="top"/>
      <protection locked="0"/>
    </xf>
    <xf numFmtId="0" fontId="10" fillId="0" borderId="16"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6" fillId="0" borderId="0" xfId="1" applyFont="1" applyAlignment="1">
      <alignment horizontal="center" vertical="center"/>
    </xf>
    <xf numFmtId="1" fontId="28" fillId="0" borderId="2" xfId="1" applyNumberFormat="1" applyFont="1" applyBorder="1" applyAlignment="1" applyProtection="1">
      <alignment horizontal="center" vertical="top" wrapText="1"/>
      <protection locked="0"/>
    </xf>
    <xf numFmtId="1" fontId="28" fillId="0" borderId="15" xfId="1" applyNumberFormat="1" applyFont="1" applyBorder="1" applyAlignment="1" applyProtection="1">
      <alignment horizontal="center" vertical="top" wrapText="1"/>
      <protection locked="0"/>
    </xf>
    <xf numFmtId="0" fontId="10" fillId="0" borderId="17"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9" fontId="10" fillId="0" borderId="26"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0" fontId="23" fillId="0" borderId="1" xfId="10" applyFill="1" applyBorder="1" applyAlignment="1" applyProtection="1">
      <alignment horizontal="left"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1" fontId="5" fillId="0" borderId="16" xfId="1" applyNumberFormat="1" applyFont="1" applyBorder="1" applyAlignment="1" applyProtection="1">
      <alignment horizontal="center" vertical="center" wrapText="1"/>
      <protection locked="0"/>
    </xf>
    <xf numFmtId="1" fontId="5" fillId="0" borderId="23"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31"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21" fillId="2" borderId="14" xfId="0" applyFont="1" applyFill="1" applyBorder="1"/>
    <xf numFmtId="0" fontId="22" fillId="0" borderId="8" xfId="0" applyFont="1" applyBorder="1"/>
    <xf numFmtId="1" fontId="11" fillId="0" borderId="1" xfId="1" applyNumberFormat="1" applyFont="1" applyBorder="1" applyAlignment="1" applyProtection="1">
      <alignment horizontal="center" vertical="top" wrapText="1"/>
      <protection locked="0"/>
    </xf>
    <xf numFmtId="1" fontId="28" fillId="0" borderId="1" xfId="1" applyNumberFormat="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298450</xdr:colOff>
      <xdr:row>12</xdr:row>
      <xdr:rowOff>85725</xdr:rowOff>
    </xdr:from>
    <xdr:to>
      <xdr:col>14</xdr:col>
      <xdr:colOff>762783</xdr:colOff>
      <xdr:row>19</xdr:row>
      <xdr:rowOff>26618</xdr:rowOff>
    </xdr:to>
    <xdr:pic>
      <xdr:nvPicPr>
        <xdr:cNvPr id="10" name="Picture 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613525" y="2867025"/>
          <a:ext cx="5645933" cy="1760168"/>
        </a:xfrm>
        <a:prstGeom prst="rect">
          <a:avLst/>
        </a:prstGeom>
        <a:ln>
          <a:solidFill>
            <a:schemeClr val="tx1"/>
          </a:solidFill>
        </a:ln>
      </xdr:spPr>
    </xdr:pic>
    <xdr:clientData/>
  </xdr:twoCellAnchor>
  <xdr:twoCellAnchor editAs="oneCell">
    <xdr:from>
      <xdr:col>8</xdr:col>
      <xdr:colOff>889000</xdr:colOff>
      <xdr:row>44</xdr:row>
      <xdr:rowOff>12700</xdr:rowOff>
    </xdr:from>
    <xdr:to>
      <xdr:col>14</xdr:col>
      <xdr:colOff>88204</xdr:colOff>
      <xdr:row>61</xdr:row>
      <xdr:rowOff>91684</xdr:rowOff>
    </xdr:to>
    <xdr:pic>
      <xdr:nvPicPr>
        <xdr:cNvPr id="12" name="Picture 11"/>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7512050" y="9728200"/>
          <a:ext cx="4622104" cy="3457184"/>
        </a:xfrm>
        <a:prstGeom prst="rect">
          <a:avLst/>
        </a:prstGeom>
        <a:ln>
          <a:solidFill>
            <a:schemeClr val="tx1"/>
          </a:solidFill>
        </a:ln>
      </xdr:spPr>
    </xdr:pic>
    <xdr:clientData/>
  </xdr:twoCellAnchor>
  <xdr:twoCellAnchor editAs="oneCell">
    <xdr:from>
      <xdr:col>1</xdr:col>
      <xdr:colOff>397875</xdr:colOff>
      <xdr:row>374</xdr:row>
      <xdr:rowOff>82550</xdr:rowOff>
    </xdr:from>
    <xdr:to>
      <xdr:col>6</xdr:col>
      <xdr:colOff>433105</xdr:colOff>
      <xdr:row>393</xdr:row>
      <xdr:rowOff>25052</xdr:rowOff>
    </xdr:to>
    <xdr:pic>
      <xdr:nvPicPr>
        <xdr:cNvPr id="14" name="Picture 1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197975" y="64039750"/>
          <a:ext cx="4321480" cy="3682652"/>
        </a:xfrm>
        <a:prstGeom prst="rect">
          <a:avLst/>
        </a:prstGeom>
        <a:ln>
          <a:solidFill>
            <a:schemeClr val="tx1"/>
          </a:solidFill>
        </a:ln>
      </xdr:spPr>
    </xdr:pic>
    <xdr:clientData/>
  </xdr:twoCellAnchor>
  <xdr:twoCellAnchor>
    <xdr:from>
      <xdr:col>1</xdr:col>
      <xdr:colOff>241300</xdr:colOff>
      <xdr:row>393</xdr:row>
      <xdr:rowOff>117692</xdr:rowOff>
    </xdr:from>
    <xdr:to>
      <xdr:col>6</xdr:col>
      <xdr:colOff>589680</xdr:colOff>
      <xdr:row>413</xdr:row>
      <xdr:rowOff>98612</xdr:rowOff>
    </xdr:to>
    <xdr:grpSp>
      <xdr:nvGrpSpPr>
        <xdr:cNvPr id="2" name="Group 1"/>
        <xdr:cNvGrpSpPr/>
      </xdr:nvGrpSpPr>
      <xdr:grpSpPr>
        <a:xfrm>
          <a:off x="1041400" y="73168092"/>
          <a:ext cx="4609230" cy="3917920"/>
          <a:chOff x="1030194" y="73108327"/>
          <a:chExt cx="4543862" cy="4283980"/>
        </a:xfrm>
      </xdr:grpSpPr>
      <xdr:pic>
        <xdr:nvPicPr>
          <xdr:cNvPr id="13" name="Picture 12"/>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030194" y="73108327"/>
            <a:ext cx="4543862" cy="4283980"/>
          </a:xfrm>
          <a:prstGeom prst="rect">
            <a:avLst/>
          </a:prstGeom>
          <a:ln>
            <a:solidFill>
              <a:schemeClr val="tx1"/>
            </a:solidFill>
          </a:ln>
        </xdr:spPr>
      </xdr:pic>
      <xdr:sp macro="" textlink="">
        <xdr:nvSpPr>
          <xdr:cNvPr id="16" name="TextBox 15"/>
          <xdr:cNvSpPr txBox="1"/>
        </xdr:nvSpPr>
        <xdr:spPr>
          <a:xfrm>
            <a:off x="3849968" y="74196417"/>
            <a:ext cx="1031886"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Industrial Bldg</a:t>
            </a:r>
          </a:p>
        </xdr:txBody>
      </xdr:sp>
      <xdr:cxnSp macro="">
        <xdr:nvCxnSpPr>
          <xdr:cNvPr id="18" name="Straight Arrow Connector 17"/>
          <xdr:cNvCxnSpPr>
            <a:stCxn id="16" idx="2"/>
          </xdr:cNvCxnSpPr>
        </xdr:nvCxnSpPr>
        <xdr:spPr>
          <a:xfrm flipH="1">
            <a:off x="3703918" y="74461351"/>
            <a:ext cx="640701" cy="488446"/>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21" name="TextBox 20"/>
          <xdr:cNvSpPr txBox="1"/>
        </xdr:nvSpPr>
        <xdr:spPr>
          <a:xfrm>
            <a:off x="1106394" y="75017062"/>
            <a:ext cx="1098634"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Residential Bldg</a:t>
            </a:r>
          </a:p>
        </xdr:txBody>
      </xdr:sp>
      <xdr:cxnSp macro="">
        <xdr:nvCxnSpPr>
          <xdr:cNvPr id="22" name="Straight Arrow Connector 21"/>
          <xdr:cNvCxnSpPr>
            <a:stCxn id="21" idx="3"/>
          </xdr:cNvCxnSpPr>
        </xdr:nvCxnSpPr>
        <xdr:spPr>
          <a:xfrm>
            <a:off x="2191581" y="75149342"/>
            <a:ext cx="290746" cy="443299"/>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1</xdr:col>
      <xdr:colOff>571500</xdr:colOff>
      <xdr:row>332</xdr:row>
      <xdr:rowOff>76200</xdr:rowOff>
    </xdr:from>
    <xdr:to>
      <xdr:col>6</xdr:col>
      <xdr:colOff>230949</xdr:colOff>
      <xdr:row>356</xdr:row>
      <xdr:rowOff>36534</xdr:rowOff>
    </xdr:to>
    <xdr:pic>
      <xdr:nvPicPr>
        <xdr:cNvPr id="25" name="Picture 24"/>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371600" y="55372000"/>
          <a:ext cx="3945699" cy="4684734"/>
        </a:xfrm>
        <a:prstGeom prst="rect">
          <a:avLst/>
        </a:prstGeom>
        <a:ln>
          <a:solidFill>
            <a:schemeClr val="tx1"/>
          </a:solidFill>
        </a:ln>
      </xdr:spPr>
    </xdr:pic>
    <xdr:clientData/>
  </xdr:twoCellAnchor>
  <xdr:twoCellAnchor editAs="oneCell">
    <xdr:from>
      <xdr:col>2</xdr:col>
      <xdr:colOff>159184</xdr:colOff>
      <xdr:row>356</xdr:row>
      <xdr:rowOff>186846</xdr:rowOff>
    </xdr:from>
    <xdr:to>
      <xdr:col>5</xdr:col>
      <xdr:colOff>586113</xdr:colOff>
      <xdr:row>371</xdr:row>
      <xdr:rowOff>64978</xdr:rowOff>
    </xdr:to>
    <xdr:pic>
      <xdr:nvPicPr>
        <xdr:cNvPr id="26" name="Picture 25"/>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1797484" y="60207046"/>
          <a:ext cx="3093929" cy="2830882"/>
        </a:xfrm>
        <a:prstGeom prst="rect">
          <a:avLst/>
        </a:prstGeom>
        <a:ln>
          <a:solidFill>
            <a:schemeClr val="tx1"/>
          </a:solidFill>
        </a:ln>
      </xdr:spPr>
    </xdr:pic>
    <xdr:clientData/>
  </xdr:twoCellAnchor>
  <xdr:oneCellAnchor>
    <xdr:from>
      <xdr:col>4</xdr:col>
      <xdr:colOff>590550</xdr:colOff>
      <xdr:row>332</xdr:row>
      <xdr:rowOff>139700</xdr:rowOff>
    </xdr:from>
    <xdr:ext cx="1031886" cy="264560"/>
    <xdr:sp macro="" textlink="">
      <xdr:nvSpPr>
        <xdr:cNvPr id="27" name="TextBox 26"/>
        <xdr:cNvSpPr txBox="1"/>
      </xdr:nvSpPr>
      <xdr:spPr>
        <a:xfrm>
          <a:off x="4076700" y="55238650"/>
          <a:ext cx="1031886"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Industrial Bldg</a:t>
          </a:r>
        </a:p>
      </xdr:txBody>
    </xdr:sp>
    <xdr:clientData/>
  </xdr:oneCellAnchor>
  <xdr:twoCellAnchor>
    <xdr:from>
      <xdr:col>4</xdr:col>
      <xdr:colOff>571501</xdr:colOff>
      <xdr:row>334</xdr:row>
      <xdr:rowOff>10560</xdr:rowOff>
    </xdr:from>
    <xdr:to>
      <xdr:col>5</xdr:col>
      <xdr:colOff>287343</xdr:colOff>
      <xdr:row>336</xdr:row>
      <xdr:rowOff>120650</xdr:rowOff>
    </xdr:to>
    <xdr:cxnSp macro="">
      <xdr:nvCxnSpPr>
        <xdr:cNvPr id="28" name="Straight Arrow Connector 27"/>
        <xdr:cNvCxnSpPr>
          <a:stCxn id="27" idx="2"/>
        </xdr:cNvCxnSpPr>
      </xdr:nvCxnSpPr>
      <xdr:spPr>
        <a:xfrm flipH="1">
          <a:off x="4057651" y="55503210"/>
          <a:ext cx="534992" cy="503790"/>
        </a:xfrm>
        <a:prstGeom prst="straightConnector1">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755650</xdr:colOff>
      <xdr:row>349</xdr:row>
      <xdr:rowOff>152400</xdr:rowOff>
    </xdr:from>
    <xdr:ext cx="1098634" cy="264560"/>
    <xdr:sp macro="" textlink="">
      <xdr:nvSpPr>
        <xdr:cNvPr id="30" name="TextBox 29"/>
        <xdr:cNvSpPr txBox="1"/>
      </xdr:nvSpPr>
      <xdr:spPr>
        <a:xfrm>
          <a:off x="1555750" y="58597800"/>
          <a:ext cx="1098634"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Residential Bldg</a:t>
          </a:r>
        </a:p>
      </xdr:txBody>
    </xdr:sp>
    <xdr:clientData/>
  </xdr:oneCellAnchor>
  <xdr:twoCellAnchor>
    <xdr:from>
      <xdr:col>2</xdr:col>
      <xdr:colOff>466767</xdr:colOff>
      <xdr:row>344</xdr:row>
      <xdr:rowOff>165100</xdr:rowOff>
    </xdr:from>
    <xdr:to>
      <xdr:col>3</xdr:col>
      <xdr:colOff>25400</xdr:colOff>
      <xdr:row>349</xdr:row>
      <xdr:rowOff>152400</xdr:rowOff>
    </xdr:to>
    <xdr:cxnSp macro="">
      <xdr:nvCxnSpPr>
        <xdr:cNvPr id="31" name="Straight Arrow Connector 30"/>
        <xdr:cNvCxnSpPr>
          <a:stCxn id="30" idx="0"/>
        </xdr:cNvCxnSpPr>
      </xdr:nvCxnSpPr>
      <xdr:spPr>
        <a:xfrm flipV="1">
          <a:off x="2105067" y="57626250"/>
          <a:ext cx="447633" cy="971550"/>
        </a:xfrm>
        <a:prstGeom prst="straightConnector1">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292</xdr:row>
      <xdr:rowOff>0</xdr:rowOff>
    </xdr:from>
    <xdr:to>
      <xdr:col>10</xdr:col>
      <xdr:colOff>150001</xdr:colOff>
      <xdr:row>294</xdr:row>
      <xdr:rowOff>132108</xdr:rowOff>
    </xdr:to>
    <xdr:sp macro="" textlink="">
      <xdr:nvSpPr>
        <xdr:cNvPr id="45" name="TextBox 25"/>
        <xdr:cNvSpPr txBox="1"/>
      </xdr:nvSpPr>
      <xdr:spPr>
        <a:xfrm>
          <a:off x="7816850" y="53174900"/>
          <a:ext cx="950101" cy="51945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Industrial </a:t>
          </a:r>
        </a:p>
        <a:p>
          <a:r>
            <a:rPr lang="en-IN" sz="1400" b="1"/>
            <a:t>Building</a:t>
          </a:r>
        </a:p>
      </xdr:txBody>
    </xdr:sp>
    <xdr:clientData/>
  </xdr:twoCellAnchor>
  <xdr:twoCellAnchor>
    <xdr:from>
      <xdr:col>0</xdr:col>
      <xdr:colOff>88900</xdr:colOff>
      <xdr:row>290</xdr:row>
      <xdr:rowOff>82550</xdr:rowOff>
    </xdr:from>
    <xdr:to>
      <xdr:col>7</xdr:col>
      <xdr:colOff>667184</xdr:colOff>
      <xdr:row>326</xdr:row>
      <xdr:rowOff>110672</xdr:rowOff>
    </xdr:to>
    <xdr:grpSp>
      <xdr:nvGrpSpPr>
        <xdr:cNvPr id="3" name="Group 2"/>
        <xdr:cNvGrpSpPr/>
      </xdr:nvGrpSpPr>
      <xdr:grpSpPr>
        <a:xfrm>
          <a:off x="88900" y="52863750"/>
          <a:ext cx="6407584" cy="7108372"/>
          <a:chOff x="88900" y="52863750"/>
          <a:chExt cx="6407584" cy="7108372"/>
        </a:xfrm>
      </xdr:grpSpPr>
      <xdr:pic>
        <xdr:nvPicPr>
          <xdr:cNvPr id="47" name="Picture 4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986059" y="57956122"/>
            <a:ext cx="1510425" cy="2016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192491" y="52863750"/>
            <a:ext cx="2157751" cy="288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721287" y="57956122"/>
            <a:ext cx="1510425" cy="2016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88900" y="57956122"/>
            <a:ext cx="1510425" cy="2016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986059" y="55841936"/>
            <a:ext cx="1510425" cy="201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25843" y="52863750"/>
            <a:ext cx="3836952" cy="288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53672" y="57956122"/>
            <a:ext cx="1510425" cy="2016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721287" y="55841936"/>
            <a:ext cx="1510425" cy="2016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353673" y="55841936"/>
            <a:ext cx="1510425" cy="2016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88901" y="55841936"/>
            <a:ext cx="1510425" cy="2016000"/>
          </a:xfrm>
          <a:prstGeom prst="rect">
            <a:avLst/>
          </a:prstGeom>
          <a:ln>
            <a:solidFill>
              <a:schemeClr val="tx1"/>
            </a:solidFill>
          </a:ln>
        </xdr:spPr>
      </xdr:pic>
      <xdr:sp macro="" textlink="">
        <xdr:nvSpPr>
          <xdr:cNvPr id="57" name="TextBox 29"/>
          <xdr:cNvSpPr txBox="1"/>
        </xdr:nvSpPr>
        <xdr:spPr>
          <a:xfrm>
            <a:off x="4198841" y="52901850"/>
            <a:ext cx="789419" cy="39723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0" cap="none" spc="0">
                <a:ln w="0"/>
                <a:solidFill>
                  <a:sysClr val="windowText" lastClr="000000"/>
                </a:solidFill>
                <a:effectLst>
                  <a:outerShdw blurRad="38100" dist="25400" dir="5400000" algn="ctr" rotWithShape="0">
                    <a:srgbClr val="6E747A">
                      <a:alpha val="43000"/>
                    </a:srgbClr>
                  </a:outerShdw>
                </a:effectLst>
              </a:rPr>
              <a:t>Residential</a:t>
            </a:r>
          </a:p>
          <a:p>
            <a:r>
              <a:rPr lang="en-IN" sz="1000" b="0" cap="none" spc="0">
                <a:ln w="0"/>
                <a:solidFill>
                  <a:sysClr val="windowText" lastClr="000000"/>
                </a:solidFill>
                <a:effectLst>
                  <a:outerShdw blurRad="38100" dist="25400" dir="5400000" algn="ctr" rotWithShape="0">
                    <a:srgbClr val="6E747A">
                      <a:alpha val="43000"/>
                    </a:srgbClr>
                  </a:outerShdw>
                </a:effectLst>
              </a:rPr>
              <a:t>Building</a:t>
            </a:r>
          </a:p>
        </xdr:txBody>
      </xdr:sp>
      <xdr:sp macro="" textlink="">
        <xdr:nvSpPr>
          <xdr:cNvPr id="58" name="TextBox 29"/>
          <xdr:cNvSpPr txBox="1"/>
        </xdr:nvSpPr>
        <xdr:spPr>
          <a:xfrm>
            <a:off x="644943" y="53263800"/>
            <a:ext cx="726657" cy="39723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0" cap="none" spc="0">
                <a:ln w="0"/>
                <a:solidFill>
                  <a:sysClr val="windowText" lastClr="000000"/>
                </a:solidFill>
                <a:effectLst>
                  <a:outerShdw blurRad="38100" dist="25400" dir="5400000" algn="ctr" rotWithShape="0">
                    <a:srgbClr val="6E747A">
                      <a:alpha val="43000"/>
                    </a:srgbClr>
                  </a:outerShdw>
                </a:effectLst>
              </a:rPr>
              <a:t>Industrial</a:t>
            </a:r>
            <a:r>
              <a:rPr lang="en-IN" sz="1000" b="0" cap="none" spc="0" baseline="0">
                <a:ln w="0"/>
                <a:solidFill>
                  <a:sysClr val="windowText" lastClr="000000"/>
                </a:solidFill>
                <a:effectLst>
                  <a:outerShdw blurRad="38100" dist="25400" dir="5400000" algn="ctr" rotWithShape="0">
                    <a:srgbClr val="6E747A">
                      <a:alpha val="43000"/>
                    </a:srgbClr>
                  </a:outerShdw>
                </a:effectLst>
              </a:rPr>
              <a:t> </a:t>
            </a:r>
            <a:r>
              <a:rPr lang="en-IN" sz="1000" b="0" cap="none" spc="0">
                <a:ln w="0"/>
                <a:solidFill>
                  <a:sysClr val="windowText" lastClr="000000"/>
                </a:solidFill>
                <a:effectLst>
                  <a:outerShdw blurRad="38100" dist="25400" dir="5400000" algn="ctr" rotWithShape="0">
                    <a:srgbClr val="6E747A">
                      <a:alpha val="43000"/>
                    </a:srgbClr>
                  </a:outerShdw>
                </a:effectLst>
              </a:rPr>
              <a:t>Building</a:t>
            </a:r>
          </a:p>
        </xdr:txBody>
      </xdr:sp>
      <xdr:sp macro="" textlink="">
        <xdr:nvSpPr>
          <xdr:cNvPr id="59" name="TextBox 29"/>
          <xdr:cNvSpPr txBox="1"/>
        </xdr:nvSpPr>
        <xdr:spPr>
          <a:xfrm>
            <a:off x="2127687" y="57245286"/>
            <a:ext cx="726657" cy="39723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0" cap="none" spc="0">
                <a:ln w="0"/>
                <a:solidFill>
                  <a:sysClr val="windowText" lastClr="000000"/>
                </a:solidFill>
                <a:effectLst>
                  <a:outerShdw blurRad="38100" dist="25400" dir="5400000" algn="ctr" rotWithShape="0">
                    <a:srgbClr val="6E747A">
                      <a:alpha val="43000"/>
                    </a:srgbClr>
                  </a:outerShdw>
                </a:effectLst>
              </a:rPr>
              <a:t>Industrial</a:t>
            </a:r>
            <a:r>
              <a:rPr lang="en-IN" sz="1000" b="0" cap="none" spc="0" baseline="0">
                <a:ln w="0"/>
                <a:solidFill>
                  <a:sysClr val="windowText" lastClr="000000"/>
                </a:solidFill>
                <a:effectLst>
                  <a:outerShdw blurRad="38100" dist="25400" dir="5400000" algn="ctr" rotWithShape="0">
                    <a:srgbClr val="6E747A">
                      <a:alpha val="43000"/>
                    </a:srgbClr>
                  </a:outerShdw>
                </a:effectLst>
              </a:rPr>
              <a:t> </a:t>
            </a:r>
            <a:r>
              <a:rPr lang="en-IN" sz="1000" b="0" cap="none" spc="0">
                <a:ln w="0"/>
                <a:solidFill>
                  <a:sysClr val="windowText" lastClr="000000"/>
                </a:solidFill>
                <a:effectLst>
                  <a:outerShdw blurRad="38100" dist="25400" dir="5400000" algn="ctr" rotWithShape="0">
                    <a:srgbClr val="6E747A">
                      <a:alpha val="43000"/>
                    </a:srgbClr>
                  </a:outerShdw>
                </a:effectLst>
              </a:rPr>
              <a:t>Building</a:t>
            </a:r>
          </a:p>
        </xdr:txBody>
      </xdr:sp>
      <xdr:sp macro="" textlink="">
        <xdr:nvSpPr>
          <xdr:cNvPr id="60" name="TextBox 29"/>
          <xdr:cNvSpPr txBox="1"/>
        </xdr:nvSpPr>
        <xdr:spPr>
          <a:xfrm>
            <a:off x="508001" y="57359586"/>
            <a:ext cx="726657" cy="39723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0" cap="none" spc="0">
                <a:ln w="0"/>
                <a:solidFill>
                  <a:sysClr val="windowText" lastClr="000000"/>
                </a:solidFill>
                <a:effectLst>
                  <a:outerShdw blurRad="38100" dist="25400" dir="5400000" algn="ctr" rotWithShape="0">
                    <a:srgbClr val="6E747A">
                      <a:alpha val="43000"/>
                    </a:srgbClr>
                  </a:outerShdw>
                </a:effectLst>
              </a:rPr>
              <a:t>Industrial</a:t>
            </a:r>
            <a:r>
              <a:rPr lang="en-IN" sz="1000" b="0" cap="none" spc="0" baseline="0">
                <a:ln w="0"/>
                <a:solidFill>
                  <a:sysClr val="windowText" lastClr="000000"/>
                </a:solidFill>
                <a:effectLst>
                  <a:outerShdw blurRad="38100" dist="25400" dir="5400000" algn="ctr" rotWithShape="0">
                    <a:srgbClr val="6E747A">
                      <a:alpha val="43000"/>
                    </a:srgbClr>
                  </a:outerShdw>
                </a:effectLst>
              </a:rPr>
              <a:t> </a:t>
            </a:r>
            <a:r>
              <a:rPr lang="en-IN" sz="1000" b="0" cap="none" spc="0">
                <a:ln w="0"/>
                <a:solidFill>
                  <a:sysClr val="windowText" lastClr="000000"/>
                </a:solidFill>
                <a:effectLst>
                  <a:outerShdw blurRad="38100" dist="25400" dir="5400000" algn="ctr" rotWithShape="0">
                    <a:srgbClr val="6E747A">
                      <a:alpha val="43000"/>
                    </a:srgbClr>
                  </a:outerShdw>
                </a:effectLst>
              </a:rPr>
              <a:t>Building</a:t>
            </a:r>
          </a:p>
        </xdr:txBody>
      </xdr:sp>
      <xdr:sp macro="" textlink="">
        <xdr:nvSpPr>
          <xdr:cNvPr id="61" name="TextBox 29"/>
          <xdr:cNvSpPr txBox="1"/>
        </xdr:nvSpPr>
        <xdr:spPr>
          <a:xfrm>
            <a:off x="3721973" y="56927786"/>
            <a:ext cx="726657" cy="39723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0" cap="none" spc="0">
                <a:ln w="0"/>
                <a:solidFill>
                  <a:sysClr val="windowText" lastClr="000000"/>
                </a:solidFill>
                <a:effectLst>
                  <a:outerShdw blurRad="38100" dist="25400" dir="5400000" algn="ctr" rotWithShape="0">
                    <a:srgbClr val="6E747A">
                      <a:alpha val="43000"/>
                    </a:srgbClr>
                  </a:outerShdw>
                </a:effectLst>
              </a:rPr>
              <a:t>Industrial</a:t>
            </a:r>
            <a:r>
              <a:rPr lang="en-IN" sz="1000" b="0" cap="none" spc="0" baseline="0">
                <a:ln w="0"/>
                <a:solidFill>
                  <a:sysClr val="windowText" lastClr="000000"/>
                </a:solidFill>
                <a:effectLst>
                  <a:outerShdw blurRad="38100" dist="25400" dir="5400000" algn="ctr" rotWithShape="0">
                    <a:srgbClr val="6E747A">
                      <a:alpha val="43000"/>
                    </a:srgbClr>
                  </a:outerShdw>
                </a:effectLst>
              </a:rPr>
              <a:t> </a:t>
            </a:r>
            <a:r>
              <a:rPr lang="en-IN" sz="1000" b="0" cap="none" spc="0">
                <a:ln w="0"/>
                <a:solidFill>
                  <a:sysClr val="windowText" lastClr="000000"/>
                </a:solidFill>
                <a:effectLst>
                  <a:outerShdw blurRad="38100" dist="25400" dir="5400000" algn="ctr" rotWithShape="0">
                    <a:srgbClr val="6E747A">
                      <a:alpha val="43000"/>
                    </a:srgbClr>
                  </a:outerShdw>
                </a:effectLst>
              </a:rPr>
              <a:t>Building</a:t>
            </a:r>
          </a:p>
        </xdr:txBody>
      </xdr:sp>
      <xdr:sp macro="" textlink="">
        <xdr:nvSpPr>
          <xdr:cNvPr id="62" name="TextBox 29"/>
          <xdr:cNvSpPr txBox="1"/>
        </xdr:nvSpPr>
        <xdr:spPr>
          <a:xfrm>
            <a:off x="5411509" y="57257986"/>
            <a:ext cx="789419" cy="39723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0" cap="none" spc="0">
                <a:ln w="0"/>
                <a:solidFill>
                  <a:srgbClr val="FFFF00"/>
                </a:solidFill>
                <a:effectLst>
                  <a:outerShdw blurRad="38100" dist="25400" dir="5400000" algn="ctr" rotWithShape="0">
                    <a:srgbClr val="6E747A">
                      <a:alpha val="43000"/>
                    </a:srgbClr>
                  </a:outerShdw>
                </a:effectLst>
              </a:rPr>
              <a:t>Residential</a:t>
            </a:r>
          </a:p>
          <a:p>
            <a:r>
              <a:rPr lang="en-IN" sz="1000" b="0" cap="none" spc="0">
                <a:ln w="0"/>
                <a:solidFill>
                  <a:srgbClr val="FFFF00"/>
                </a:solidFill>
                <a:effectLst>
                  <a:outerShdw blurRad="38100" dist="25400" dir="5400000" algn="ctr" rotWithShape="0">
                    <a:srgbClr val="6E747A">
                      <a:alpha val="43000"/>
                    </a:srgbClr>
                  </a:outerShdw>
                </a:effectLst>
              </a:rPr>
              <a:t>Building</a:t>
            </a:r>
          </a:p>
        </xdr:txBody>
      </xdr:sp>
      <xdr:sp macro="" textlink="">
        <xdr:nvSpPr>
          <xdr:cNvPr id="63" name="TextBox 29"/>
          <xdr:cNvSpPr txBox="1"/>
        </xdr:nvSpPr>
        <xdr:spPr>
          <a:xfrm>
            <a:off x="546100" y="59435672"/>
            <a:ext cx="789419" cy="39723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0" cap="none" spc="0">
                <a:ln w="0"/>
                <a:solidFill>
                  <a:srgbClr val="FFFF00"/>
                </a:solidFill>
                <a:effectLst>
                  <a:outerShdw blurRad="38100" dist="25400" dir="5400000" algn="ctr" rotWithShape="0">
                    <a:srgbClr val="6E747A">
                      <a:alpha val="43000"/>
                    </a:srgbClr>
                  </a:outerShdw>
                </a:effectLst>
              </a:rPr>
              <a:t>Residential</a:t>
            </a:r>
          </a:p>
          <a:p>
            <a:r>
              <a:rPr lang="en-IN" sz="1000" b="0" cap="none" spc="0">
                <a:ln w="0"/>
                <a:solidFill>
                  <a:srgbClr val="FFFF00"/>
                </a:solidFill>
                <a:effectLst>
                  <a:outerShdw blurRad="38100" dist="25400" dir="5400000" algn="ctr" rotWithShape="0">
                    <a:srgbClr val="6E747A">
                      <a:alpha val="43000"/>
                    </a:srgbClr>
                  </a:outerShdw>
                </a:effectLst>
              </a:rPr>
              <a:t>Building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twoCellAnchor editAs="oneCell">
    <xdr:from>
      <xdr:col>6</xdr:col>
      <xdr:colOff>633752</xdr:colOff>
      <xdr:row>14</xdr:row>
      <xdr:rowOff>0</xdr:rowOff>
    </xdr:from>
    <xdr:to>
      <xdr:col>16</xdr:col>
      <xdr:colOff>385575</xdr:colOff>
      <xdr:row>35</xdr:row>
      <xdr:rowOff>113000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954928" y="2696882"/>
          <a:ext cx="7200000" cy="405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TRwSEmhXFqF8KSL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74"/>
  <sheetViews>
    <sheetView tabSelected="1" view="pageBreakPreview" topLeftCell="A16" zoomScaleNormal="100" zoomScaleSheetLayoutView="100" zoomScalePageLayoutView="85" workbookViewId="0">
      <selection activeCell="J24" sqref="J24"/>
    </sheetView>
  </sheetViews>
  <sheetFormatPr defaultColWidth="9.08984375" defaultRowHeight="15.5" x14ac:dyDescent="0.35"/>
  <cols>
    <col min="1" max="1" width="11.453125" style="37" customWidth="1"/>
    <col min="2" max="2" width="12" style="37" customWidth="1"/>
    <col min="3" max="3" width="12.6328125" style="37" customWidth="1"/>
    <col min="4" max="4" width="13.6328125" style="37" customWidth="1"/>
    <col min="5" max="5" width="11.6328125" style="37" customWidth="1"/>
    <col min="6" max="6" width="11.08984375" style="37" customWidth="1"/>
    <col min="7" max="8" width="11" style="37" customWidth="1"/>
    <col min="9" max="9" width="17.453125" style="18" customWidth="1"/>
    <col min="10" max="10" width="11.453125" style="18" customWidth="1"/>
    <col min="11" max="11" width="10.54296875" style="18" bestFit="1" customWidth="1"/>
    <col min="12" max="12" width="13.90625" style="18" bestFit="1" customWidth="1"/>
    <col min="13" max="13" width="11.90625" style="18" customWidth="1"/>
    <col min="14" max="14" width="12.54296875" style="18" customWidth="1"/>
    <col min="15" max="15" width="12.08984375" style="18" customWidth="1"/>
    <col min="16" max="16" width="11.6328125" style="18" customWidth="1"/>
    <col min="17" max="18" width="9.08984375" style="18"/>
    <col min="19" max="19" width="10.90625" style="18" bestFit="1" customWidth="1"/>
    <col min="20" max="20" width="10.6328125" style="18" customWidth="1"/>
    <col min="21" max="247" width="9.08984375" style="18"/>
    <col min="248" max="248" width="8.6328125" style="18" customWidth="1"/>
    <col min="249" max="249" width="9.90625" style="18" customWidth="1"/>
    <col min="250" max="250" width="14.453125" style="18" customWidth="1"/>
    <col min="251" max="251" width="7.36328125" style="18" customWidth="1"/>
    <col min="252" max="252" width="5.54296875" style="18" customWidth="1"/>
    <col min="253" max="253" width="9" style="18" customWidth="1"/>
    <col min="254" max="255" width="9.90625" style="18" customWidth="1"/>
    <col min="256" max="256" width="11.08984375" style="18" customWidth="1"/>
    <col min="257" max="257" width="2.90625" style="18" customWidth="1"/>
    <col min="258" max="258" width="3.54296875" style="18" customWidth="1"/>
    <col min="259" max="503" width="9.08984375" style="18"/>
    <col min="504" max="504" width="8.6328125" style="18" customWidth="1"/>
    <col min="505" max="505" width="9.90625" style="18" customWidth="1"/>
    <col min="506" max="506" width="14.453125" style="18" customWidth="1"/>
    <col min="507" max="507" width="7.36328125" style="18" customWidth="1"/>
    <col min="508" max="508" width="5.54296875" style="18" customWidth="1"/>
    <col min="509" max="509" width="9" style="18" customWidth="1"/>
    <col min="510" max="511" width="9.90625" style="18" customWidth="1"/>
    <col min="512" max="512" width="11.08984375" style="18" customWidth="1"/>
    <col min="513" max="513" width="2.90625" style="18" customWidth="1"/>
    <col min="514" max="514" width="3.54296875" style="18" customWidth="1"/>
    <col min="515" max="759" width="9.08984375" style="18"/>
    <col min="760" max="760" width="8.6328125" style="18" customWidth="1"/>
    <col min="761" max="761" width="9.90625" style="18" customWidth="1"/>
    <col min="762" max="762" width="14.453125" style="18" customWidth="1"/>
    <col min="763" max="763" width="7.36328125" style="18" customWidth="1"/>
    <col min="764" max="764" width="5.54296875" style="18" customWidth="1"/>
    <col min="765" max="765" width="9" style="18" customWidth="1"/>
    <col min="766" max="767" width="9.90625" style="18" customWidth="1"/>
    <col min="768" max="768" width="11.08984375" style="18" customWidth="1"/>
    <col min="769" max="769" width="2.90625" style="18" customWidth="1"/>
    <col min="770" max="770" width="3.54296875" style="18" customWidth="1"/>
    <col min="771" max="1015" width="9.08984375" style="18"/>
    <col min="1016" max="1016" width="8.6328125" style="18" customWidth="1"/>
    <col min="1017" max="1017" width="9.90625" style="18" customWidth="1"/>
    <col min="1018" max="1018" width="14.453125" style="18" customWidth="1"/>
    <col min="1019" max="1019" width="7.36328125" style="18" customWidth="1"/>
    <col min="1020" max="1020" width="5.54296875" style="18" customWidth="1"/>
    <col min="1021" max="1021" width="9" style="18" customWidth="1"/>
    <col min="1022" max="1023" width="9.90625" style="18" customWidth="1"/>
    <col min="1024" max="1024" width="11.08984375" style="18" customWidth="1"/>
    <col min="1025" max="1025" width="2.90625" style="18" customWidth="1"/>
    <col min="1026" max="1026" width="3.54296875" style="18" customWidth="1"/>
    <col min="1027" max="1271" width="9.08984375" style="18"/>
    <col min="1272" max="1272" width="8.6328125" style="18" customWidth="1"/>
    <col min="1273" max="1273" width="9.90625" style="18" customWidth="1"/>
    <col min="1274" max="1274" width="14.453125" style="18" customWidth="1"/>
    <col min="1275" max="1275" width="7.36328125" style="18" customWidth="1"/>
    <col min="1276" max="1276" width="5.54296875" style="18" customWidth="1"/>
    <col min="1277" max="1277" width="9" style="18" customWidth="1"/>
    <col min="1278" max="1279" width="9.90625" style="18" customWidth="1"/>
    <col min="1280" max="1280" width="11.08984375" style="18" customWidth="1"/>
    <col min="1281" max="1281" width="2.90625" style="18" customWidth="1"/>
    <col min="1282" max="1282" width="3.54296875" style="18" customWidth="1"/>
    <col min="1283" max="1527" width="9.08984375" style="18"/>
    <col min="1528" max="1528" width="8.6328125" style="18" customWidth="1"/>
    <col min="1529" max="1529" width="9.90625" style="18" customWidth="1"/>
    <col min="1530" max="1530" width="14.453125" style="18" customWidth="1"/>
    <col min="1531" max="1531" width="7.36328125" style="18" customWidth="1"/>
    <col min="1532" max="1532" width="5.54296875" style="18" customWidth="1"/>
    <col min="1533" max="1533" width="9" style="18" customWidth="1"/>
    <col min="1534" max="1535" width="9.90625" style="18" customWidth="1"/>
    <col min="1536" max="1536" width="11.08984375" style="18" customWidth="1"/>
    <col min="1537" max="1537" width="2.90625" style="18" customWidth="1"/>
    <col min="1538" max="1538" width="3.54296875" style="18" customWidth="1"/>
    <col min="1539" max="1783" width="9.08984375" style="18"/>
    <col min="1784" max="1784" width="8.6328125" style="18" customWidth="1"/>
    <col min="1785" max="1785" width="9.90625" style="18" customWidth="1"/>
    <col min="1786" max="1786" width="14.453125" style="18" customWidth="1"/>
    <col min="1787" max="1787" width="7.36328125" style="18" customWidth="1"/>
    <col min="1788" max="1788" width="5.54296875" style="18" customWidth="1"/>
    <col min="1789" max="1789" width="9" style="18" customWidth="1"/>
    <col min="1790" max="1791" width="9.90625" style="18" customWidth="1"/>
    <col min="1792" max="1792" width="11.08984375" style="18" customWidth="1"/>
    <col min="1793" max="1793" width="2.90625" style="18" customWidth="1"/>
    <col min="1794" max="1794" width="3.54296875" style="18" customWidth="1"/>
    <col min="1795" max="2039" width="9.08984375" style="18"/>
    <col min="2040" max="2040" width="8.6328125" style="18" customWidth="1"/>
    <col min="2041" max="2041" width="9.90625" style="18" customWidth="1"/>
    <col min="2042" max="2042" width="14.453125" style="18" customWidth="1"/>
    <col min="2043" max="2043" width="7.36328125" style="18" customWidth="1"/>
    <col min="2044" max="2044" width="5.54296875" style="18" customWidth="1"/>
    <col min="2045" max="2045" width="9" style="18" customWidth="1"/>
    <col min="2046" max="2047" width="9.90625" style="18" customWidth="1"/>
    <col min="2048" max="2048" width="11.08984375" style="18" customWidth="1"/>
    <col min="2049" max="2049" width="2.90625" style="18" customWidth="1"/>
    <col min="2050" max="2050" width="3.54296875" style="18" customWidth="1"/>
    <col min="2051" max="2295" width="9.08984375" style="18"/>
    <col min="2296" max="2296" width="8.6328125" style="18" customWidth="1"/>
    <col min="2297" max="2297" width="9.90625" style="18" customWidth="1"/>
    <col min="2298" max="2298" width="14.453125" style="18" customWidth="1"/>
    <col min="2299" max="2299" width="7.36328125" style="18" customWidth="1"/>
    <col min="2300" max="2300" width="5.54296875" style="18" customWidth="1"/>
    <col min="2301" max="2301" width="9" style="18" customWidth="1"/>
    <col min="2302" max="2303" width="9.90625" style="18" customWidth="1"/>
    <col min="2304" max="2304" width="11.08984375" style="18" customWidth="1"/>
    <col min="2305" max="2305" width="2.90625" style="18" customWidth="1"/>
    <col min="2306" max="2306" width="3.54296875" style="18" customWidth="1"/>
    <col min="2307" max="2551" width="9.08984375" style="18"/>
    <col min="2552" max="2552" width="8.6328125" style="18" customWidth="1"/>
    <col min="2553" max="2553" width="9.90625" style="18" customWidth="1"/>
    <col min="2554" max="2554" width="14.453125" style="18" customWidth="1"/>
    <col min="2555" max="2555" width="7.36328125" style="18" customWidth="1"/>
    <col min="2556" max="2556" width="5.54296875" style="18" customWidth="1"/>
    <col min="2557" max="2557" width="9" style="18" customWidth="1"/>
    <col min="2558" max="2559" width="9.90625" style="18" customWidth="1"/>
    <col min="2560" max="2560" width="11.08984375" style="18" customWidth="1"/>
    <col min="2561" max="2561" width="2.90625" style="18" customWidth="1"/>
    <col min="2562" max="2562" width="3.54296875" style="18" customWidth="1"/>
    <col min="2563" max="2807" width="9.08984375" style="18"/>
    <col min="2808" max="2808" width="8.6328125" style="18" customWidth="1"/>
    <col min="2809" max="2809" width="9.90625" style="18" customWidth="1"/>
    <col min="2810" max="2810" width="14.453125" style="18" customWidth="1"/>
    <col min="2811" max="2811" width="7.36328125" style="18" customWidth="1"/>
    <col min="2812" max="2812" width="5.54296875" style="18" customWidth="1"/>
    <col min="2813" max="2813" width="9" style="18" customWidth="1"/>
    <col min="2814" max="2815" width="9.90625" style="18" customWidth="1"/>
    <col min="2816" max="2816" width="11.08984375" style="18" customWidth="1"/>
    <col min="2817" max="2817" width="2.90625" style="18" customWidth="1"/>
    <col min="2818" max="2818" width="3.54296875" style="18" customWidth="1"/>
    <col min="2819" max="3063" width="9.08984375" style="18"/>
    <col min="3064" max="3064" width="8.6328125" style="18" customWidth="1"/>
    <col min="3065" max="3065" width="9.90625" style="18" customWidth="1"/>
    <col min="3066" max="3066" width="14.453125" style="18" customWidth="1"/>
    <col min="3067" max="3067" width="7.36328125" style="18" customWidth="1"/>
    <col min="3068" max="3068" width="5.54296875" style="18" customWidth="1"/>
    <col min="3069" max="3069" width="9" style="18" customWidth="1"/>
    <col min="3070" max="3071" width="9.90625" style="18" customWidth="1"/>
    <col min="3072" max="3072" width="11.08984375" style="18" customWidth="1"/>
    <col min="3073" max="3073" width="2.90625" style="18" customWidth="1"/>
    <col min="3074" max="3074" width="3.54296875" style="18" customWidth="1"/>
    <col min="3075" max="3319" width="9.08984375" style="18"/>
    <col min="3320" max="3320" width="8.6328125" style="18" customWidth="1"/>
    <col min="3321" max="3321" width="9.90625" style="18" customWidth="1"/>
    <col min="3322" max="3322" width="14.453125" style="18" customWidth="1"/>
    <col min="3323" max="3323" width="7.36328125" style="18" customWidth="1"/>
    <col min="3324" max="3324" width="5.54296875" style="18" customWidth="1"/>
    <col min="3325" max="3325" width="9" style="18" customWidth="1"/>
    <col min="3326" max="3327" width="9.90625" style="18" customWidth="1"/>
    <col min="3328" max="3328" width="11.08984375" style="18" customWidth="1"/>
    <col min="3329" max="3329" width="2.90625" style="18" customWidth="1"/>
    <col min="3330" max="3330" width="3.54296875" style="18" customWidth="1"/>
    <col min="3331" max="3575" width="9.08984375" style="18"/>
    <col min="3576" max="3576" width="8.6328125" style="18" customWidth="1"/>
    <col min="3577" max="3577" width="9.90625" style="18" customWidth="1"/>
    <col min="3578" max="3578" width="14.453125" style="18" customWidth="1"/>
    <col min="3579" max="3579" width="7.36328125" style="18" customWidth="1"/>
    <col min="3580" max="3580" width="5.54296875" style="18" customWidth="1"/>
    <col min="3581" max="3581" width="9" style="18" customWidth="1"/>
    <col min="3582" max="3583" width="9.90625" style="18" customWidth="1"/>
    <col min="3584" max="3584" width="11.08984375" style="18" customWidth="1"/>
    <col min="3585" max="3585" width="2.90625" style="18" customWidth="1"/>
    <col min="3586" max="3586" width="3.54296875" style="18" customWidth="1"/>
    <col min="3587" max="3831" width="9.08984375" style="18"/>
    <col min="3832" max="3832" width="8.6328125" style="18" customWidth="1"/>
    <col min="3833" max="3833" width="9.90625" style="18" customWidth="1"/>
    <col min="3834" max="3834" width="14.453125" style="18" customWidth="1"/>
    <col min="3835" max="3835" width="7.36328125" style="18" customWidth="1"/>
    <col min="3836" max="3836" width="5.54296875" style="18" customWidth="1"/>
    <col min="3837" max="3837" width="9" style="18" customWidth="1"/>
    <col min="3838" max="3839" width="9.90625" style="18" customWidth="1"/>
    <col min="3840" max="3840" width="11.08984375" style="18" customWidth="1"/>
    <col min="3841" max="3841" width="2.90625" style="18" customWidth="1"/>
    <col min="3842" max="3842" width="3.54296875" style="18" customWidth="1"/>
    <col min="3843" max="4087" width="9.08984375" style="18"/>
    <col min="4088" max="4088" width="8.6328125" style="18" customWidth="1"/>
    <col min="4089" max="4089" width="9.90625" style="18" customWidth="1"/>
    <col min="4090" max="4090" width="14.453125" style="18" customWidth="1"/>
    <col min="4091" max="4091" width="7.36328125" style="18" customWidth="1"/>
    <col min="4092" max="4092" width="5.54296875" style="18" customWidth="1"/>
    <col min="4093" max="4093" width="9" style="18" customWidth="1"/>
    <col min="4094" max="4095" width="9.90625" style="18" customWidth="1"/>
    <col min="4096" max="4096" width="11.08984375" style="18" customWidth="1"/>
    <col min="4097" max="4097" width="2.90625" style="18" customWidth="1"/>
    <col min="4098" max="4098" width="3.54296875" style="18" customWidth="1"/>
    <col min="4099" max="4343" width="9.08984375" style="18"/>
    <col min="4344" max="4344" width="8.6328125" style="18" customWidth="1"/>
    <col min="4345" max="4345" width="9.90625" style="18" customWidth="1"/>
    <col min="4346" max="4346" width="14.453125" style="18" customWidth="1"/>
    <col min="4347" max="4347" width="7.36328125" style="18" customWidth="1"/>
    <col min="4348" max="4348" width="5.54296875" style="18" customWidth="1"/>
    <col min="4349" max="4349" width="9" style="18" customWidth="1"/>
    <col min="4350" max="4351" width="9.90625" style="18" customWidth="1"/>
    <col min="4352" max="4352" width="11.08984375" style="18" customWidth="1"/>
    <col min="4353" max="4353" width="2.90625" style="18" customWidth="1"/>
    <col min="4354" max="4354" width="3.54296875" style="18" customWidth="1"/>
    <col min="4355" max="4599" width="9.08984375" style="18"/>
    <col min="4600" max="4600" width="8.6328125" style="18" customWidth="1"/>
    <col min="4601" max="4601" width="9.90625" style="18" customWidth="1"/>
    <col min="4602" max="4602" width="14.453125" style="18" customWidth="1"/>
    <col min="4603" max="4603" width="7.36328125" style="18" customWidth="1"/>
    <col min="4604" max="4604" width="5.54296875" style="18" customWidth="1"/>
    <col min="4605" max="4605" width="9" style="18" customWidth="1"/>
    <col min="4606" max="4607" width="9.90625" style="18" customWidth="1"/>
    <col min="4608" max="4608" width="11.08984375" style="18" customWidth="1"/>
    <col min="4609" max="4609" width="2.90625" style="18" customWidth="1"/>
    <col min="4610" max="4610" width="3.54296875" style="18" customWidth="1"/>
    <col min="4611" max="4855" width="9.08984375" style="18"/>
    <col min="4856" max="4856" width="8.6328125" style="18" customWidth="1"/>
    <col min="4857" max="4857" width="9.90625" style="18" customWidth="1"/>
    <col min="4858" max="4858" width="14.453125" style="18" customWidth="1"/>
    <col min="4859" max="4859" width="7.36328125" style="18" customWidth="1"/>
    <col min="4860" max="4860" width="5.54296875" style="18" customWidth="1"/>
    <col min="4861" max="4861" width="9" style="18" customWidth="1"/>
    <col min="4862" max="4863" width="9.90625" style="18" customWidth="1"/>
    <col min="4864" max="4864" width="11.08984375" style="18" customWidth="1"/>
    <col min="4865" max="4865" width="2.90625" style="18" customWidth="1"/>
    <col min="4866" max="4866" width="3.54296875" style="18" customWidth="1"/>
    <col min="4867" max="5111" width="9.08984375" style="18"/>
    <col min="5112" max="5112" width="8.6328125" style="18" customWidth="1"/>
    <col min="5113" max="5113" width="9.90625" style="18" customWidth="1"/>
    <col min="5114" max="5114" width="14.453125" style="18" customWidth="1"/>
    <col min="5115" max="5115" width="7.36328125" style="18" customWidth="1"/>
    <col min="5116" max="5116" width="5.54296875" style="18" customWidth="1"/>
    <col min="5117" max="5117" width="9" style="18" customWidth="1"/>
    <col min="5118" max="5119" width="9.90625" style="18" customWidth="1"/>
    <col min="5120" max="5120" width="11.08984375" style="18" customWidth="1"/>
    <col min="5121" max="5121" width="2.90625" style="18" customWidth="1"/>
    <col min="5122" max="5122" width="3.54296875" style="18" customWidth="1"/>
    <col min="5123" max="5367" width="9.08984375" style="18"/>
    <col min="5368" max="5368" width="8.6328125" style="18" customWidth="1"/>
    <col min="5369" max="5369" width="9.90625" style="18" customWidth="1"/>
    <col min="5370" max="5370" width="14.453125" style="18" customWidth="1"/>
    <col min="5371" max="5371" width="7.36328125" style="18" customWidth="1"/>
    <col min="5372" max="5372" width="5.54296875" style="18" customWidth="1"/>
    <col min="5373" max="5373" width="9" style="18" customWidth="1"/>
    <col min="5374" max="5375" width="9.90625" style="18" customWidth="1"/>
    <col min="5376" max="5376" width="11.08984375" style="18" customWidth="1"/>
    <col min="5377" max="5377" width="2.90625" style="18" customWidth="1"/>
    <col min="5378" max="5378" width="3.54296875" style="18" customWidth="1"/>
    <col min="5379" max="5623" width="9.08984375" style="18"/>
    <col min="5624" max="5624" width="8.6328125" style="18" customWidth="1"/>
    <col min="5625" max="5625" width="9.90625" style="18" customWidth="1"/>
    <col min="5626" max="5626" width="14.453125" style="18" customWidth="1"/>
    <col min="5627" max="5627" width="7.36328125" style="18" customWidth="1"/>
    <col min="5628" max="5628" width="5.54296875" style="18" customWidth="1"/>
    <col min="5629" max="5629" width="9" style="18" customWidth="1"/>
    <col min="5630" max="5631" width="9.90625" style="18" customWidth="1"/>
    <col min="5632" max="5632" width="11.08984375" style="18" customWidth="1"/>
    <col min="5633" max="5633" width="2.90625" style="18" customWidth="1"/>
    <col min="5634" max="5634" width="3.54296875" style="18" customWidth="1"/>
    <col min="5635" max="5879" width="9.08984375" style="18"/>
    <col min="5880" max="5880" width="8.6328125" style="18" customWidth="1"/>
    <col min="5881" max="5881" width="9.90625" style="18" customWidth="1"/>
    <col min="5882" max="5882" width="14.453125" style="18" customWidth="1"/>
    <col min="5883" max="5883" width="7.36328125" style="18" customWidth="1"/>
    <col min="5884" max="5884" width="5.54296875" style="18" customWidth="1"/>
    <col min="5885" max="5885" width="9" style="18" customWidth="1"/>
    <col min="5886" max="5887" width="9.90625" style="18" customWidth="1"/>
    <col min="5888" max="5888" width="11.08984375" style="18" customWidth="1"/>
    <col min="5889" max="5889" width="2.90625" style="18" customWidth="1"/>
    <col min="5890" max="5890" width="3.54296875" style="18" customWidth="1"/>
    <col min="5891" max="6135" width="9.08984375" style="18"/>
    <col min="6136" max="6136" width="8.6328125" style="18" customWidth="1"/>
    <col min="6137" max="6137" width="9.90625" style="18" customWidth="1"/>
    <col min="6138" max="6138" width="14.453125" style="18" customWidth="1"/>
    <col min="6139" max="6139" width="7.36328125" style="18" customWidth="1"/>
    <col min="6140" max="6140" width="5.54296875" style="18" customWidth="1"/>
    <col min="6141" max="6141" width="9" style="18" customWidth="1"/>
    <col min="6142" max="6143" width="9.90625" style="18" customWidth="1"/>
    <col min="6144" max="6144" width="11.08984375" style="18" customWidth="1"/>
    <col min="6145" max="6145" width="2.90625" style="18" customWidth="1"/>
    <col min="6146" max="6146" width="3.54296875" style="18" customWidth="1"/>
    <col min="6147" max="6391" width="9.08984375" style="18"/>
    <col min="6392" max="6392" width="8.6328125" style="18" customWidth="1"/>
    <col min="6393" max="6393" width="9.90625" style="18" customWidth="1"/>
    <col min="6394" max="6394" width="14.453125" style="18" customWidth="1"/>
    <col min="6395" max="6395" width="7.36328125" style="18" customWidth="1"/>
    <col min="6396" max="6396" width="5.54296875" style="18" customWidth="1"/>
    <col min="6397" max="6397" width="9" style="18" customWidth="1"/>
    <col min="6398" max="6399" width="9.90625" style="18" customWidth="1"/>
    <col min="6400" max="6400" width="11.08984375" style="18" customWidth="1"/>
    <col min="6401" max="6401" width="2.90625" style="18" customWidth="1"/>
    <col min="6402" max="6402" width="3.54296875" style="18" customWidth="1"/>
    <col min="6403" max="6647" width="9.08984375" style="18"/>
    <col min="6648" max="6648" width="8.6328125" style="18" customWidth="1"/>
    <col min="6649" max="6649" width="9.90625" style="18" customWidth="1"/>
    <col min="6650" max="6650" width="14.453125" style="18" customWidth="1"/>
    <col min="6651" max="6651" width="7.36328125" style="18" customWidth="1"/>
    <col min="6652" max="6652" width="5.54296875" style="18" customWidth="1"/>
    <col min="6653" max="6653" width="9" style="18" customWidth="1"/>
    <col min="6654" max="6655" width="9.90625" style="18" customWidth="1"/>
    <col min="6656" max="6656" width="11.08984375" style="18" customWidth="1"/>
    <col min="6657" max="6657" width="2.90625" style="18" customWidth="1"/>
    <col min="6658" max="6658" width="3.54296875" style="18" customWidth="1"/>
    <col min="6659" max="6903" width="9.08984375" style="18"/>
    <col min="6904" max="6904" width="8.6328125" style="18" customWidth="1"/>
    <col min="6905" max="6905" width="9.90625" style="18" customWidth="1"/>
    <col min="6906" max="6906" width="14.453125" style="18" customWidth="1"/>
    <col min="6907" max="6907" width="7.36328125" style="18" customWidth="1"/>
    <col min="6908" max="6908" width="5.54296875" style="18" customWidth="1"/>
    <col min="6909" max="6909" width="9" style="18" customWidth="1"/>
    <col min="6910" max="6911" width="9.90625" style="18" customWidth="1"/>
    <col min="6912" max="6912" width="11.08984375" style="18" customWidth="1"/>
    <col min="6913" max="6913" width="2.90625" style="18" customWidth="1"/>
    <col min="6914" max="6914" width="3.54296875" style="18" customWidth="1"/>
    <col min="6915" max="7159" width="9.08984375" style="18"/>
    <col min="7160" max="7160" width="8.6328125" style="18" customWidth="1"/>
    <col min="7161" max="7161" width="9.90625" style="18" customWidth="1"/>
    <col min="7162" max="7162" width="14.453125" style="18" customWidth="1"/>
    <col min="7163" max="7163" width="7.36328125" style="18" customWidth="1"/>
    <col min="7164" max="7164" width="5.54296875" style="18" customWidth="1"/>
    <col min="7165" max="7165" width="9" style="18" customWidth="1"/>
    <col min="7166" max="7167" width="9.90625" style="18" customWidth="1"/>
    <col min="7168" max="7168" width="11.08984375" style="18" customWidth="1"/>
    <col min="7169" max="7169" width="2.90625" style="18" customWidth="1"/>
    <col min="7170" max="7170" width="3.54296875" style="18" customWidth="1"/>
    <col min="7171" max="7415" width="9.08984375" style="18"/>
    <col min="7416" max="7416" width="8.6328125" style="18" customWidth="1"/>
    <col min="7417" max="7417" width="9.90625" style="18" customWidth="1"/>
    <col min="7418" max="7418" width="14.453125" style="18" customWidth="1"/>
    <col min="7419" max="7419" width="7.36328125" style="18" customWidth="1"/>
    <col min="7420" max="7420" width="5.54296875" style="18" customWidth="1"/>
    <col min="7421" max="7421" width="9" style="18" customWidth="1"/>
    <col min="7422" max="7423" width="9.90625" style="18" customWidth="1"/>
    <col min="7424" max="7424" width="11.08984375" style="18" customWidth="1"/>
    <col min="7425" max="7425" width="2.90625" style="18" customWidth="1"/>
    <col min="7426" max="7426" width="3.54296875" style="18" customWidth="1"/>
    <col min="7427" max="7671" width="9.08984375" style="18"/>
    <col min="7672" max="7672" width="8.6328125" style="18" customWidth="1"/>
    <col min="7673" max="7673" width="9.90625" style="18" customWidth="1"/>
    <col min="7674" max="7674" width="14.453125" style="18" customWidth="1"/>
    <col min="7675" max="7675" width="7.36328125" style="18" customWidth="1"/>
    <col min="7676" max="7676" width="5.54296875" style="18" customWidth="1"/>
    <col min="7677" max="7677" width="9" style="18" customWidth="1"/>
    <col min="7678" max="7679" width="9.90625" style="18" customWidth="1"/>
    <col min="7680" max="7680" width="11.08984375" style="18" customWidth="1"/>
    <col min="7681" max="7681" width="2.90625" style="18" customWidth="1"/>
    <col min="7682" max="7682" width="3.54296875" style="18" customWidth="1"/>
    <col min="7683" max="7927" width="9.08984375" style="18"/>
    <col min="7928" max="7928" width="8.6328125" style="18" customWidth="1"/>
    <col min="7929" max="7929" width="9.90625" style="18" customWidth="1"/>
    <col min="7930" max="7930" width="14.453125" style="18" customWidth="1"/>
    <col min="7931" max="7931" width="7.36328125" style="18" customWidth="1"/>
    <col min="7932" max="7932" width="5.54296875" style="18" customWidth="1"/>
    <col min="7933" max="7933" width="9" style="18" customWidth="1"/>
    <col min="7934" max="7935" width="9.90625" style="18" customWidth="1"/>
    <col min="7936" max="7936" width="11.08984375" style="18" customWidth="1"/>
    <col min="7937" max="7937" width="2.90625" style="18" customWidth="1"/>
    <col min="7938" max="7938" width="3.54296875" style="18" customWidth="1"/>
    <col min="7939" max="8183" width="9.08984375" style="18"/>
    <col min="8184" max="8184" width="8.6328125" style="18" customWidth="1"/>
    <col min="8185" max="8185" width="9.90625" style="18" customWidth="1"/>
    <col min="8186" max="8186" width="14.453125" style="18" customWidth="1"/>
    <col min="8187" max="8187" width="7.36328125" style="18" customWidth="1"/>
    <col min="8188" max="8188" width="5.54296875" style="18" customWidth="1"/>
    <col min="8189" max="8189" width="9" style="18" customWidth="1"/>
    <col min="8190" max="8191" width="9.90625" style="18" customWidth="1"/>
    <col min="8192" max="8192" width="11.08984375" style="18" customWidth="1"/>
    <col min="8193" max="8193" width="2.90625" style="18" customWidth="1"/>
    <col min="8194" max="8194" width="3.54296875" style="18" customWidth="1"/>
    <col min="8195" max="8439" width="9.08984375" style="18"/>
    <col min="8440" max="8440" width="8.6328125" style="18" customWidth="1"/>
    <col min="8441" max="8441" width="9.90625" style="18" customWidth="1"/>
    <col min="8442" max="8442" width="14.453125" style="18" customWidth="1"/>
    <col min="8443" max="8443" width="7.36328125" style="18" customWidth="1"/>
    <col min="8444" max="8444" width="5.54296875" style="18" customWidth="1"/>
    <col min="8445" max="8445" width="9" style="18" customWidth="1"/>
    <col min="8446" max="8447" width="9.90625" style="18" customWidth="1"/>
    <col min="8448" max="8448" width="11.08984375" style="18" customWidth="1"/>
    <col min="8449" max="8449" width="2.90625" style="18" customWidth="1"/>
    <col min="8450" max="8450" width="3.54296875" style="18" customWidth="1"/>
    <col min="8451" max="8695" width="9.08984375" style="18"/>
    <col min="8696" max="8696" width="8.6328125" style="18" customWidth="1"/>
    <col min="8697" max="8697" width="9.90625" style="18" customWidth="1"/>
    <col min="8698" max="8698" width="14.453125" style="18" customWidth="1"/>
    <col min="8699" max="8699" width="7.36328125" style="18" customWidth="1"/>
    <col min="8700" max="8700" width="5.54296875" style="18" customWidth="1"/>
    <col min="8701" max="8701" width="9" style="18" customWidth="1"/>
    <col min="8702" max="8703" width="9.90625" style="18" customWidth="1"/>
    <col min="8704" max="8704" width="11.08984375" style="18" customWidth="1"/>
    <col min="8705" max="8705" width="2.90625" style="18" customWidth="1"/>
    <col min="8706" max="8706" width="3.54296875" style="18" customWidth="1"/>
    <col min="8707" max="8951" width="9.08984375" style="18"/>
    <col min="8952" max="8952" width="8.6328125" style="18" customWidth="1"/>
    <col min="8953" max="8953" width="9.90625" style="18" customWidth="1"/>
    <col min="8954" max="8954" width="14.453125" style="18" customWidth="1"/>
    <col min="8955" max="8955" width="7.36328125" style="18" customWidth="1"/>
    <col min="8956" max="8956" width="5.54296875" style="18" customWidth="1"/>
    <col min="8957" max="8957" width="9" style="18" customWidth="1"/>
    <col min="8958" max="8959" width="9.90625" style="18" customWidth="1"/>
    <col min="8960" max="8960" width="11.08984375" style="18" customWidth="1"/>
    <col min="8961" max="8961" width="2.90625" style="18" customWidth="1"/>
    <col min="8962" max="8962" width="3.54296875" style="18" customWidth="1"/>
    <col min="8963" max="9207" width="9.08984375" style="18"/>
    <col min="9208" max="9208" width="8.6328125" style="18" customWidth="1"/>
    <col min="9209" max="9209" width="9.90625" style="18" customWidth="1"/>
    <col min="9210" max="9210" width="14.453125" style="18" customWidth="1"/>
    <col min="9211" max="9211" width="7.36328125" style="18" customWidth="1"/>
    <col min="9212" max="9212" width="5.54296875" style="18" customWidth="1"/>
    <col min="9213" max="9213" width="9" style="18" customWidth="1"/>
    <col min="9214" max="9215" width="9.90625" style="18" customWidth="1"/>
    <col min="9216" max="9216" width="11.08984375" style="18" customWidth="1"/>
    <col min="9217" max="9217" width="2.90625" style="18" customWidth="1"/>
    <col min="9218" max="9218" width="3.54296875" style="18" customWidth="1"/>
    <col min="9219" max="9463" width="9.08984375" style="18"/>
    <col min="9464" max="9464" width="8.6328125" style="18" customWidth="1"/>
    <col min="9465" max="9465" width="9.90625" style="18" customWidth="1"/>
    <col min="9466" max="9466" width="14.453125" style="18" customWidth="1"/>
    <col min="9467" max="9467" width="7.36328125" style="18" customWidth="1"/>
    <col min="9468" max="9468" width="5.54296875" style="18" customWidth="1"/>
    <col min="9469" max="9469" width="9" style="18" customWidth="1"/>
    <col min="9470" max="9471" width="9.90625" style="18" customWidth="1"/>
    <col min="9472" max="9472" width="11.08984375" style="18" customWidth="1"/>
    <col min="9473" max="9473" width="2.90625" style="18" customWidth="1"/>
    <col min="9474" max="9474" width="3.54296875" style="18" customWidth="1"/>
    <col min="9475" max="9719" width="9.08984375" style="18"/>
    <col min="9720" max="9720" width="8.6328125" style="18" customWidth="1"/>
    <col min="9721" max="9721" width="9.90625" style="18" customWidth="1"/>
    <col min="9722" max="9722" width="14.453125" style="18" customWidth="1"/>
    <col min="9723" max="9723" width="7.36328125" style="18" customWidth="1"/>
    <col min="9724" max="9724" width="5.54296875" style="18" customWidth="1"/>
    <col min="9725" max="9725" width="9" style="18" customWidth="1"/>
    <col min="9726" max="9727" width="9.90625" style="18" customWidth="1"/>
    <col min="9728" max="9728" width="11.08984375" style="18" customWidth="1"/>
    <col min="9729" max="9729" width="2.90625" style="18" customWidth="1"/>
    <col min="9730" max="9730" width="3.54296875" style="18" customWidth="1"/>
    <col min="9731" max="9975" width="9.08984375" style="18"/>
    <col min="9976" max="9976" width="8.6328125" style="18" customWidth="1"/>
    <col min="9977" max="9977" width="9.90625" style="18" customWidth="1"/>
    <col min="9978" max="9978" width="14.453125" style="18" customWidth="1"/>
    <col min="9979" max="9979" width="7.36328125" style="18" customWidth="1"/>
    <col min="9980" max="9980" width="5.54296875" style="18" customWidth="1"/>
    <col min="9981" max="9981" width="9" style="18" customWidth="1"/>
    <col min="9982" max="9983" width="9.90625" style="18" customWidth="1"/>
    <col min="9984" max="9984" width="11.08984375" style="18" customWidth="1"/>
    <col min="9985" max="9985" width="2.90625" style="18" customWidth="1"/>
    <col min="9986" max="9986" width="3.54296875" style="18" customWidth="1"/>
    <col min="9987" max="10231" width="9.08984375" style="18"/>
    <col min="10232" max="10232" width="8.6328125" style="18" customWidth="1"/>
    <col min="10233" max="10233" width="9.90625" style="18" customWidth="1"/>
    <col min="10234" max="10234" width="14.453125" style="18" customWidth="1"/>
    <col min="10235" max="10235" width="7.36328125" style="18" customWidth="1"/>
    <col min="10236" max="10236" width="5.54296875" style="18" customWidth="1"/>
    <col min="10237" max="10237" width="9" style="18" customWidth="1"/>
    <col min="10238" max="10239" width="9.90625" style="18" customWidth="1"/>
    <col min="10240" max="10240" width="11.08984375" style="18" customWidth="1"/>
    <col min="10241" max="10241" width="2.90625" style="18" customWidth="1"/>
    <col min="10242" max="10242" width="3.54296875" style="18" customWidth="1"/>
    <col min="10243" max="10487" width="9.08984375" style="18"/>
    <col min="10488" max="10488" width="8.6328125" style="18" customWidth="1"/>
    <col min="10489" max="10489" width="9.90625" style="18" customWidth="1"/>
    <col min="10490" max="10490" width="14.453125" style="18" customWidth="1"/>
    <col min="10491" max="10491" width="7.36328125" style="18" customWidth="1"/>
    <col min="10492" max="10492" width="5.54296875" style="18" customWidth="1"/>
    <col min="10493" max="10493" width="9" style="18" customWidth="1"/>
    <col min="10494" max="10495" width="9.90625" style="18" customWidth="1"/>
    <col min="10496" max="10496" width="11.08984375" style="18" customWidth="1"/>
    <col min="10497" max="10497" width="2.90625" style="18" customWidth="1"/>
    <col min="10498" max="10498" width="3.54296875" style="18" customWidth="1"/>
    <col min="10499" max="10743" width="9.08984375" style="18"/>
    <col min="10744" max="10744" width="8.6328125" style="18" customWidth="1"/>
    <col min="10745" max="10745" width="9.90625" style="18" customWidth="1"/>
    <col min="10746" max="10746" width="14.453125" style="18" customWidth="1"/>
    <col min="10747" max="10747" width="7.36328125" style="18" customWidth="1"/>
    <col min="10748" max="10748" width="5.54296875" style="18" customWidth="1"/>
    <col min="10749" max="10749" width="9" style="18" customWidth="1"/>
    <col min="10750" max="10751" width="9.90625" style="18" customWidth="1"/>
    <col min="10752" max="10752" width="11.08984375" style="18" customWidth="1"/>
    <col min="10753" max="10753" width="2.90625" style="18" customWidth="1"/>
    <col min="10754" max="10754" width="3.54296875" style="18" customWidth="1"/>
    <col min="10755" max="10999" width="9.08984375" style="18"/>
    <col min="11000" max="11000" width="8.6328125" style="18" customWidth="1"/>
    <col min="11001" max="11001" width="9.90625" style="18" customWidth="1"/>
    <col min="11002" max="11002" width="14.453125" style="18" customWidth="1"/>
    <col min="11003" max="11003" width="7.36328125" style="18" customWidth="1"/>
    <col min="11004" max="11004" width="5.54296875" style="18" customWidth="1"/>
    <col min="11005" max="11005" width="9" style="18" customWidth="1"/>
    <col min="11006" max="11007" width="9.90625" style="18" customWidth="1"/>
    <col min="11008" max="11008" width="11.08984375" style="18" customWidth="1"/>
    <col min="11009" max="11009" width="2.90625" style="18" customWidth="1"/>
    <col min="11010" max="11010" width="3.54296875" style="18" customWidth="1"/>
    <col min="11011" max="11255" width="9.08984375" style="18"/>
    <col min="11256" max="11256" width="8.6328125" style="18" customWidth="1"/>
    <col min="11257" max="11257" width="9.90625" style="18" customWidth="1"/>
    <col min="11258" max="11258" width="14.453125" style="18" customWidth="1"/>
    <col min="11259" max="11259" width="7.36328125" style="18" customWidth="1"/>
    <col min="11260" max="11260" width="5.54296875" style="18" customWidth="1"/>
    <col min="11261" max="11261" width="9" style="18" customWidth="1"/>
    <col min="11262" max="11263" width="9.90625" style="18" customWidth="1"/>
    <col min="11264" max="11264" width="11.08984375" style="18" customWidth="1"/>
    <col min="11265" max="11265" width="2.90625" style="18" customWidth="1"/>
    <col min="11266" max="11266" width="3.54296875" style="18" customWidth="1"/>
    <col min="11267" max="11511" width="9.08984375" style="18"/>
    <col min="11512" max="11512" width="8.6328125" style="18" customWidth="1"/>
    <col min="11513" max="11513" width="9.90625" style="18" customWidth="1"/>
    <col min="11514" max="11514" width="14.453125" style="18" customWidth="1"/>
    <col min="11515" max="11515" width="7.36328125" style="18" customWidth="1"/>
    <col min="11516" max="11516" width="5.54296875" style="18" customWidth="1"/>
    <col min="11517" max="11517" width="9" style="18" customWidth="1"/>
    <col min="11518" max="11519" width="9.90625" style="18" customWidth="1"/>
    <col min="11520" max="11520" width="11.08984375" style="18" customWidth="1"/>
    <col min="11521" max="11521" width="2.90625" style="18" customWidth="1"/>
    <col min="11522" max="11522" width="3.54296875" style="18" customWidth="1"/>
    <col min="11523" max="11767" width="9.08984375" style="18"/>
    <col min="11768" max="11768" width="8.6328125" style="18" customWidth="1"/>
    <col min="11769" max="11769" width="9.90625" style="18" customWidth="1"/>
    <col min="11770" max="11770" width="14.453125" style="18" customWidth="1"/>
    <col min="11771" max="11771" width="7.36328125" style="18" customWidth="1"/>
    <col min="11772" max="11772" width="5.54296875" style="18" customWidth="1"/>
    <col min="11773" max="11773" width="9" style="18" customWidth="1"/>
    <col min="11774" max="11775" width="9.90625" style="18" customWidth="1"/>
    <col min="11776" max="11776" width="11.08984375" style="18" customWidth="1"/>
    <col min="11777" max="11777" width="2.90625" style="18" customWidth="1"/>
    <col min="11778" max="11778" width="3.54296875" style="18" customWidth="1"/>
    <col min="11779" max="12023" width="9.08984375" style="18"/>
    <col min="12024" max="12024" width="8.6328125" style="18" customWidth="1"/>
    <col min="12025" max="12025" width="9.90625" style="18" customWidth="1"/>
    <col min="12026" max="12026" width="14.453125" style="18" customWidth="1"/>
    <col min="12027" max="12027" width="7.36328125" style="18" customWidth="1"/>
    <col min="12028" max="12028" width="5.54296875" style="18" customWidth="1"/>
    <col min="12029" max="12029" width="9" style="18" customWidth="1"/>
    <col min="12030" max="12031" width="9.90625" style="18" customWidth="1"/>
    <col min="12032" max="12032" width="11.08984375" style="18" customWidth="1"/>
    <col min="12033" max="12033" width="2.90625" style="18" customWidth="1"/>
    <col min="12034" max="12034" width="3.54296875" style="18" customWidth="1"/>
    <col min="12035" max="12279" width="9.08984375" style="18"/>
    <col min="12280" max="12280" width="8.6328125" style="18" customWidth="1"/>
    <col min="12281" max="12281" width="9.90625" style="18" customWidth="1"/>
    <col min="12282" max="12282" width="14.453125" style="18" customWidth="1"/>
    <col min="12283" max="12283" width="7.36328125" style="18" customWidth="1"/>
    <col min="12284" max="12284" width="5.54296875" style="18" customWidth="1"/>
    <col min="12285" max="12285" width="9" style="18" customWidth="1"/>
    <col min="12286" max="12287" width="9.90625" style="18" customWidth="1"/>
    <col min="12288" max="12288" width="11.08984375" style="18" customWidth="1"/>
    <col min="12289" max="12289" width="2.90625" style="18" customWidth="1"/>
    <col min="12290" max="12290" width="3.54296875" style="18" customWidth="1"/>
    <col min="12291" max="12535" width="9.08984375" style="18"/>
    <col min="12536" max="12536" width="8.6328125" style="18" customWidth="1"/>
    <col min="12537" max="12537" width="9.90625" style="18" customWidth="1"/>
    <col min="12538" max="12538" width="14.453125" style="18" customWidth="1"/>
    <col min="12539" max="12539" width="7.36328125" style="18" customWidth="1"/>
    <col min="12540" max="12540" width="5.54296875" style="18" customWidth="1"/>
    <col min="12541" max="12541" width="9" style="18" customWidth="1"/>
    <col min="12542" max="12543" width="9.90625" style="18" customWidth="1"/>
    <col min="12544" max="12544" width="11.08984375" style="18" customWidth="1"/>
    <col min="12545" max="12545" width="2.90625" style="18" customWidth="1"/>
    <col min="12546" max="12546" width="3.54296875" style="18" customWidth="1"/>
    <col min="12547" max="12791" width="9.08984375" style="18"/>
    <col min="12792" max="12792" width="8.6328125" style="18" customWidth="1"/>
    <col min="12793" max="12793" width="9.90625" style="18" customWidth="1"/>
    <col min="12794" max="12794" width="14.453125" style="18" customWidth="1"/>
    <col min="12795" max="12795" width="7.36328125" style="18" customWidth="1"/>
    <col min="12796" max="12796" width="5.54296875" style="18" customWidth="1"/>
    <col min="12797" max="12797" width="9" style="18" customWidth="1"/>
    <col min="12798" max="12799" width="9.90625" style="18" customWidth="1"/>
    <col min="12800" max="12800" width="11.08984375" style="18" customWidth="1"/>
    <col min="12801" max="12801" width="2.90625" style="18" customWidth="1"/>
    <col min="12802" max="12802" width="3.54296875" style="18" customWidth="1"/>
    <col min="12803" max="13047" width="9.08984375" style="18"/>
    <col min="13048" max="13048" width="8.6328125" style="18" customWidth="1"/>
    <col min="13049" max="13049" width="9.90625" style="18" customWidth="1"/>
    <col min="13050" max="13050" width="14.453125" style="18" customWidth="1"/>
    <col min="13051" max="13051" width="7.36328125" style="18" customWidth="1"/>
    <col min="13052" max="13052" width="5.54296875" style="18" customWidth="1"/>
    <col min="13053" max="13053" width="9" style="18" customWidth="1"/>
    <col min="13054" max="13055" width="9.90625" style="18" customWidth="1"/>
    <col min="13056" max="13056" width="11.08984375" style="18" customWidth="1"/>
    <col min="13057" max="13057" width="2.90625" style="18" customWidth="1"/>
    <col min="13058" max="13058" width="3.54296875" style="18" customWidth="1"/>
    <col min="13059" max="13303" width="9.08984375" style="18"/>
    <col min="13304" max="13304" width="8.6328125" style="18" customWidth="1"/>
    <col min="13305" max="13305" width="9.90625" style="18" customWidth="1"/>
    <col min="13306" max="13306" width="14.453125" style="18" customWidth="1"/>
    <col min="13307" max="13307" width="7.36328125" style="18" customWidth="1"/>
    <col min="13308" max="13308" width="5.54296875" style="18" customWidth="1"/>
    <col min="13309" max="13309" width="9" style="18" customWidth="1"/>
    <col min="13310" max="13311" width="9.90625" style="18" customWidth="1"/>
    <col min="13312" max="13312" width="11.08984375" style="18" customWidth="1"/>
    <col min="13313" max="13313" width="2.90625" style="18" customWidth="1"/>
    <col min="13314" max="13314" width="3.54296875" style="18" customWidth="1"/>
    <col min="13315" max="13559" width="9.08984375" style="18"/>
    <col min="13560" max="13560" width="8.6328125" style="18" customWidth="1"/>
    <col min="13561" max="13561" width="9.90625" style="18" customWidth="1"/>
    <col min="13562" max="13562" width="14.453125" style="18" customWidth="1"/>
    <col min="13563" max="13563" width="7.36328125" style="18" customWidth="1"/>
    <col min="13564" max="13564" width="5.54296875" style="18" customWidth="1"/>
    <col min="13565" max="13565" width="9" style="18" customWidth="1"/>
    <col min="13566" max="13567" width="9.90625" style="18" customWidth="1"/>
    <col min="13568" max="13568" width="11.08984375" style="18" customWidth="1"/>
    <col min="13569" max="13569" width="2.90625" style="18" customWidth="1"/>
    <col min="13570" max="13570" width="3.54296875" style="18" customWidth="1"/>
    <col min="13571" max="13815" width="9.08984375" style="18"/>
    <col min="13816" max="13816" width="8.6328125" style="18" customWidth="1"/>
    <col min="13817" max="13817" width="9.90625" style="18" customWidth="1"/>
    <col min="13818" max="13818" width="14.453125" style="18" customWidth="1"/>
    <col min="13819" max="13819" width="7.36328125" style="18" customWidth="1"/>
    <col min="13820" max="13820" width="5.54296875" style="18" customWidth="1"/>
    <col min="13821" max="13821" width="9" style="18" customWidth="1"/>
    <col min="13822" max="13823" width="9.90625" style="18" customWidth="1"/>
    <col min="13824" max="13824" width="11.08984375" style="18" customWidth="1"/>
    <col min="13825" max="13825" width="2.90625" style="18" customWidth="1"/>
    <col min="13826" max="13826" width="3.54296875" style="18" customWidth="1"/>
    <col min="13827" max="14071" width="9.08984375" style="18"/>
    <col min="14072" max="14072" width="8.6328125" style="18" customWidth="1"/>
    <col min="14073" max="14073" width="9.90625" style="18" customWidth="1"/>
    <col min="14074" max="14074" width="14.453125" style="18" customWidth="1"/>
    <col min="14075" max="14075" width="7.36328125" style="18" customWidth="1"/>
    <col min="14076" max="14076" width="5.54296875" style="18" customWidth="1"/>
    <col min="14077" max="14077" width="9" style="18" customWidth="1"/>
    <col min="14078" max="14079" width="9.90625" style="18" customWidth="1"/>
    <col min="14080" max="14080" width="11.08984375" style="18" customWidth="1"/>
    <col min="14081" max="14081" width="2.90625" style="18" customWidth="1"/>
    <col min="14082" max="14082" width="3.54296875" style="18" customWidth="1"/>
    <col min="14083" max="14327" width="9.08984375" style="18"/>
    <col min="14328" max="14328" width="8.6328125" style="18" customWidth="1"/>
    <col min="14329" max="14329" width="9.90625" style="18" customWidth="1"/>
    <col min="14330" max="14330" width="14.453125" style="18" customWidth="1"/>
    <col min="14331" max="14331" width="7.36328125" style="18" customWidth="1"/>
    <col min="14332" max="14332" width="5.54296875" style="18" customWidth="1"/>
    <col min="14333" max="14333" width="9" style="18" customWidth="1"/>
    <col min="14334" max="14335" width="9.90625" style="18" customWidth="1"/>
    <col min="14336" max="14336" width="11.08984375" style="18" customWidth="1"/>
    <col min="14337" max="14337" width="2.90625" style="18" customWidth="1"/>
    <col min="14338" max="14338" width="3.54296875" style="18" customWidth="1"/>
    <col min="14339" max="14583" width="9.08984375" style="18"/>
    <col min="14584" max="14584" width="8.6328125" style="18" customWidth="1"/>
    <col min="14585" max="14585" width="9.90625" style="18" customWidth="1"/>
    <col min="14586" max="14586" width="14.453125" style="18" customWidth="1"/>
    <col min="14587" max="14587" width="7.36328125" style="18" customWidth="1"/>
    <col min="14588" max="14588" width="5.54296875" style="18" customWidth="1"/>
    <col min="14589" max="14589" width="9" style="18" customWidth="1"/>
    <col min="14590" max="14591" width="9.90625" style="18" customWidth="1"/>
    <col min="14592" max="14592" width="11.08984375" style="18" customWidth="1"/>
    <col min="14593" max="14593" width="2.90625" style="18" customWidth="1"/>
    <col min="14594" max="14594" width="3.54296875" style="18" customWidth="1"/>
    <col min="14595" max="14839" width="9.08984375" style="18"/>
    <col min="14840" max="14840" width="8.6328125" style="18" customWidth="1"/>
    <col min="14841" max="14841" width="9.90625" style="18" customWidth="1"/>
    <col min="14842" max="14842" width="14.453125" style="18" customWidth="1"/>
    <col min="14843" max="14843" width="7.36328125" style="18" customWidth="1"/>
    <col min="14844" max="14844" width="5.54296875" style="18" customWidth="1"/>
    <col min="14845" max="14845" width="9" style="18" customWidth="1"/>
    <col min="14846" max="14847" width="9.90625" style="18" customWidth="1"/>
    <col min="14848" max="14848" width="11.08984375" style="18" customWidth="1"/>
    <col min="14849" max="14849" width="2.90625" style="18" customWidth="1"/>
    <col min="14850" max="14850" width="3.54296875" style="18" customWidth="1"/>
    <col min="14851" max="15095" width="9.08984375" style="18"/>
    <col min="15096" max="15096" width="8.6328125" style="18" customWidth="1"/>
    <col min="15097" max="15097" width="9.90625" style="18" customWidth="1"/>
    <col min="15098" max="15098" width="14.453125" style="18" customWidth="1"/>
    <col min="15099" max="15099" width="7.36328125" style="18" customWidth="1"/>
    <col min="15100" max="15100" width="5.54296875" style="18" customWidth="1"/>
    <col min="15101" max="15101" width="9" style="18" customWidth="1"/>
    <col min="15102" max="15103" width="9.90625" style="18" customWidth="1"/>
    <col min="15104" max="15104" width="11.08984375" style="18" customWidth="1"/>
    <col min="15105" max="15105" width="2.90625" style="18" customWidth="1"/>
    <col min="15106" max="15106" width="3.54296875" style="18" customWidth="1"/>
    <col min="15107" max="15351" width="9.08984375" style="18"/>
    <col min="15352" max="15352" width="8.6328125" style="18" customWidth="1"/>
    <col min="15353" max="15353" width="9.90625" style="18" customWidth="1"/>
    <col min="15354" max="15354" width="14.453125" style="18" customWidth="1"/>
    <col min="15355" max="15355" width="7.36328125" style="18" customWidth="1"/>
    <col min="15356" max="15356" width="5.54296875" style="18" customWidth="1"/>
    <col min="15357" max="15357" width="9" style="18" customWidth="1"/>
    <col min="15358" max="15359" width="9.90625" style="18" customWidth="1"/>
    <col min="15360" max="15360" width="11.08984375" style="18" customWidth="1"/>
    <col min="15361" max="15361" width="2.90625" style="18" customWidth="1"/>
    <col min="15362" max="15362" width="3.54296875" style="18" customWidth="1"/>
    <col min="15363" max="15607" width="9.08984375" style="18"/>
    <col min="15608" max="15608" width="8.6328125" style="18" customWidth="1"/>
    <col min="15609" max="15609" width="9.90625" style="18" customWidth="1"/>
    <col min="15610" max="15610" width="14.453125" style="18" customWidth="1"/>
    <col min="15611" max="15611" width="7.36328125" style="18" customWidth="1"/>
    <col min="15612" max="15612" width="5.54296875" style="18" customWidth="1"/>
    <col min="15613" max="15613" width="9" style="18" customWidth="1"/>
    <col min="15614" max="15615" width="9.90625" style="18" customWidth="1"/>
    <col min="15616" max="15616" width="11.08984375" style="18" customWidth="1"/>
    <col min="15617" max="15617" width="2.90625" style="18" customWidth="1"/>
    <col min="15618" max="15618" width="3.54296875" style="18" customWidth="1"/>
    <col min="15619" max="15863" width="9.08984375" style="18"/>
    <col min="15864" max="15864" width="8.6328125" style="18" customWidth="1"/>
    <col min="15865" max="15865" width="9.90625" style="18" customWidth="1"/>
    <col min="15866" max="15866" width="14.453125" style="18" customWidth="1"/>
    <col min="15867" max="15867" width="7.36328125" style="18" customWidth="1"/>
    <col min="15868" max="15868" width="5.54296875" style="18" customWidth="1"/>
    <col min="15869" max="15869" width="9" style="18" customWidth="1"/>
    <col min="15870" max="15871" width="9.90625" style="18" customWidth="1"/>
    <col min="15872" max="15872" width="11.08984375" style="18" customWidth="1"/>
    <col min="15873" max="15873" width="2.90625" style="18" customWidth="1"/>
    <col min="15874" max="15874" width="3.54296875" style="18" customWidth="1"/>
    <col min="15875" max="16119" width="9.08984375" style="18"/>
    <col min="16120" max="16120" width="8.6328125" style="18" customWidth="1"/>
    <col min="16121" max="16121" width="9.90625" style="18" customWidth="1"/>
    <col min="16122" max="16122" width="14.453125" style="18" customWidth="1"/>
    <col min="16123" max="16123" width="7.36328125" style="18" customWidth="1"/>
    <col min="16124" max="16124" width="5.54296875" style="18" customWidth="1"/>
    <col min="16125" max="16125" width="9" style="18" customWidth="1"/>
    <col min="16126" max="16127" width="9.90625" style="18" customWidth="1"/>
    <col min="16128" max="16128" width="11.08984375" style="18" customWidth="1"/>
    <col min="16129" max="16129" width="2.90625" style="18" customWidth="1"/>
    <col min="16130" max="16130" width="3.54296875" style="18" customWidth="1"/>
    <col min="16131" max="16384" width="9.08984375" style="18"/>
  </cols>
  <sheetData>
    <row r="1" spans="1:26" ht="46.5" customHeight="1" x14ac:dyDescent="0.35">
      <c r="A1" s="170" t="s">
        <v>163</v>
      </c>
      <c r="B1" s="170"/>
      <c r="C1" s="170"/>
      <c r="D1" s="170"/>
      <c r="E1" s="170"/>
      <c r="F1" s="170"/>
      <c r="G1" s="170"/>
      <c r="H1" s="170"/>
    </row>
    <row r="2" spans="1:26" ht="16.5" customHeight="1" x14ac:dyDescent="0.35">
      <c r="A2" s="95" t="s">
        <v>0</v>
      </c>
      <c r="B2" s="95"/>
      <c r="C2" s="95"/>
      <c r="D2" s="95"/>
      <c r="E2" s="95"/>
      <c r="F2" s="95"/>
      <c r="G2" s="95"/>
      <c r="H2" s="95"/>
    </row>
    <row r="3" spans="1:26" x14ac:dyDescent="0.35">
      <c r="A3" s="108" t="s">
        <v>1</v>
      </c>
      <c r="B3" s="108"/>
      <c r="C3" s="108"/>
      <c r="D3" s="108"/>
      <c r="E3" s="108" t="str">
        <f ca="1">TEXT(TODAY(),"DD/MM/YYYY")</f>
        <v>03/07/2025</v>
      </c>
      <c r="F3" s="108"/>
      <c r="G3" s="108"/>
      <c r="H3" s="108"/>
      <c r="K3" s="50" t="s">
        <v>234</v>
      </c>
      <c r="L3" s="48" t="s">
        <v>232</v>
      </c>
      <c r="M3" s="48" t="s">
        <v>237</v>
      </c>
      <c r="N3" s="48" t="s">
        <v>235</v>
      </c>
      <c r="O3" s="48" t="s">
        <v>236</v>
      </c>
      <c r="P3" s="48" t="s">
        <v>238</v>
      </c>
    </row>
    <row r="4" spans="1:26" ht="15" customHeight="1" x14ac:dyDescent="0.35">
      <c r="A4" s="108" t="s">
        <v>231</v>
      </c>
      <c r="B4" s="108"/>
      <c r="C4" s="108"/>
      <c r="D4" s="108"/>
      <c r="E4" s="108" t="s">
        <v>232</v>
      </c>
      <c r="F4" s="108"/>
      <c r="G4" s="108"/>
      <c r="H4" s="108"/>
      <c r="K4" s="47" t="s">
        <v>233</v>
      </c>
      <c r="L4" s="48" t="s">
        <v>169</v>
      </c>
      <c r="M4" s="48" t="s">
        <v>242</v>
      </c>
      <c r="N4" s="48" t="s">
        <v>244</v>
      </c>
      <c r="O4" s="48" t="s">
        <v>246</v>
      </c>
      <c r="P4" s="48"/>
    </row>
    <row r="5" spans="1:26" ht="15" customHeight="1" x14ac:dyDescent="0.35">
      <c r="A5" s="108" t="s">
        <v>2</v>
      </c>
      <c r="B5" s="108"/>
      <c r="C5" s="108"/>
      <c r="D5" s="108"/>
      <c r="E5" s="108" t="s">
        <v>239</v>
      </c>
      <c r="F5" s="108"/>
      <c r="G5" s="108"/>
      <c r="H5" s="108"/>
      <c r="K5" s="47"/>
      <c r="L5" s="48" t="s">
        <v>239</v>
      </c>
      <c r="M5" s="48" t="s">
        <v>243</v>
      </c>
      <c r="N5" s="48" t="s">
        <v>245</v>
      </c>
      <c r="O5" s="48" t="s">
        <v>247</v>
      </c>
      <c r="P5" s="48"/>
    </row>
    <row r="6" spans="1:26" x14ac:dyDescent="0.35">
      <c r="A6" s="108" t="s">
        <v>3</v>
      </c>
      <c r="B6" s="108"/>
      <c r="C6" s="108"/>
      <c r="D6" s="108"/>
      <c r="E6" s="172">
        <v>45841</v>
      </c>
      <c r="F6" s="108"/>
      <c r="G6" s="108"/>
      <c r="H6" s="108"/>
      <c r="K6" s="47"/>
      <c r="L6" s="48" t="s">
        <v>240</v>
      </c>
      <c r="M6" s="48"/>
      <c r="N6" s="48"/>
      <c r="O6" s="48" t="s">
        <v>248</v>
      </c>
      <c r="P6" s="48"/>
    </row>
    <row r="7" spans="1:26" ht="16.5" customHeight="1" x14ac:dyDescent="0.35">
      <c r="A7" s="108" t="s">
        <v>4</v>
      </c>
      <c r="B7" s="108"/>
      <c r="C7" s="108"/>
      <c r="D7" s="108"/>
      <c r="E7" s="105" t="s">
        <v>300</v>
      </c>
      <c r="F7" s="108"/>
      <c r="G7" s="108"/>
      <c r="H7" s="108"/>
      <c r="K7" s="47"/>
      <c r="L7" s="48" t="s">
        <v>241</v>
      </c>
      <c r="M7" s="48"/>
      <c r="N7" s="48"/>
      <c r="O7" s="48" t="s">
        <v>248</v>
      </c>
      <c r="P7" s="48"/>
    </row>
    <row r="8" spans="1:26" ht="15" customHeight="1" x14ac:dyDescent="0.35">
      <c r="A8" s="108" t="s">
        <v>5</v>
      </c>
      <c r="B8" s="108"/>
      <c r="C8" s="108"/>
      <c r="D8" s="108"/>
      <c r="E8" s="108" t="str">
        <f>E7</f>
        <v xml:space="preserve">Khushi Axis Infratech Llp
</v>
      </c>
      <c r="F8" s="108"/>
      <c r="G8" s="108"/>
      <c r="H8" s="108"/>
      <c r="K8" s="47"/>
      <c r="L8" s="48"/>
      <c r="M8" s="48"/>
      <c r="N8" s="48"/>
      <c r="O8" s="48" t="s">
        <v>249</v>
      </c>
      <c r="P8" s="48"/>
    </row>
    <row r="9" spans="1:26" x14ac:dyDescent="0.35">
      <c r="A9" s="108" t="s">
        <v>6</v>
      </c>
      <c r="B9" s="108"/>
      <c r="C9" s="108"/>
      <c r="D9" s="108"/>
      <c r="E9" s="171" t="s">
        <v>311</v>
      </c>
      <c r="F9" s="168"/>
      <c r="G9" s="168"/>
      <c r="H9" s="168"/>
      <c r="K9" s="47"/>
      <c r="L9" s="48"/>
      <c r="M9" s="48"/>
      <c r="N9" s="48"/>
      <c r="O9" s="48" t="s">
        <v>250</v>
      </c>
      <c r="P9" s="48"/>
    </row>
    <row r="10" spans="1:26" x14ac:dyDescent="0.35">
      <c r="A10" s="108" t="s">
        <v>166</v>
      </c>
      <c r="B10" s="108"/>
      <c r="C10" s="108"/>
      <c r="D10" s="108"/>
      <c r="E10" s="105" t="s">
        <v>301</v>
      </c>
      <c r="F10" s="108"/>
      <c r="G10" s="108"/>
      <c r="H10" s="108"/>
      <c r="K10" s="47"/>
      <c r="L10" s="48"/>
      <c r="M10" s="48"/>
      <c r="N10" s="48"/>
      <c r="O10" s="48"/>
      <c r="P10" s="48"/>
    </row>
    <row r="11" spans="1:26" x14ac:dyDescent="0.35">
      <c r="A11" s="108" t="s">
        <v>167</v>
      </c>
      <c r="B11" s="108"/>
      <c r="C11" s="108"/>
      <c r="D11" s="108"/>
      <c r="E11" s="105" t="s">
        <v>301</v>
      </c>
      <c r="F11" s="108"/>
      <c r="G11" s="108"/>
      <c r="H11" s="108"/>
    </row>
    <row r="12" spans="1:26" x14ac:dyDescent="0.35">
      <c r="A12" s="108" t="s">
        <v>7</v>
      </c>
      <c r="B12" s="108"/>
      <c r="C12" s="108"/>
      <c r="D12" s="108"/>
      <c r="E12" s="122" t="s">
        <v>302</v>
      </c>
      <c r="F12" s="122"/>
      <c r="G12" s="122"/>
      <c r="H12" s="122"/>
    </row>
    <row r="13" spans="1:26" x14ac:dyDescent="0.35">
      <c r="A13" s="108" t="s">
        <v>170</v>
      </c>
      <c r="B13" s="108"/>
      <c r="C13" s="108"/>
      <c r="D13" s="108"/>
      <c r="E13" s="108" t="s">
        <v>28</v>
      </c>
      <c r="F13" s="108"/>
      <c r="G13" s="108"/>
      <c r="H13" s="108"/>
      <c r="S13" s="48" t="s">
        <v>177</v>
      </c>
      <c r="T13" s="48" t="s">
        <v>187</v>
      </c>
      <c r="U13" s="48" t="s">
        <v>171</v>
      </c>
      <c r="V13" s="48" t="s">
        <v>192</v>
      </c>
      <c r="W13" s="48" t="s">
        <v>210</v>
      </c>
      <c r="X13"/>
      <c r="Y13" t="s">
        <v>192</v>
      </c>
      <c r="Z13" t="e">
        <f ca="1">OFFSET($S$13,1,MATCH($G20,$S$13:$W$13,0)-1,15,1)</f>
        <v>#VALUE!</v>
      </c>
    </row>
    <row r="14" spans="1:26" x14ac:dyDescent="0.35">
      <c r="A14" s="108" t="s">
        <v>277</v>
      </c>
      <c r="B14" s="108"/>
      <c r="C14" s="108"/>
      <c r="D14" s="108"/>
      <c r="E14" s="105" t="s">
        <v>369</v>
      </c>
      <c r="F14" s="105"/>
      <c r="G14" s="105"/>
      <c r="H14" s="105"/>
      <c r="S14" s="48" t="s">
        <v>178</v>
      </c>
      <c r="T14" s="48" t="s">
        <v>185</v>
      </c>
      <c r="U14" s="48" t="s">
        <v>207</v>
      </c>
      <c r="V14" s="48" t="s">
        <v>193</v>
      </c>
      <c r="W14" s="48" t="s">
        <v>211</v>
      </c>
      <c r="X14"/>
      <c r="Y14"/>
      <c r="Z14"/>
    </row>
    <row r="15" spans="1:26" x14ac:dyDescent="0.35">
      <c r="A15" s="108" t="s">
        <v>8</v>
      </c>
      <c r="B15" s="108"/>
      <c r="C15" s="108"/>
      <c r="D15" s="108"/>
      <c r="E15" s="105" t="s">
        <v>381</v>
      </c>
      <c r="F15" s="108"/>
      <c r="G15" s="108"/>
      <c r="H15" s="108"/>
      <c r="I15" s="90" t="e">
        <f ca="1">OFFSET($D$5,1,MATCH($J13,$D$5:$H$5,0)-1,15,1)</f>
        <v>#N/A</v>
      </c>
      <c r="J15" s="91"/>
      <c r="K15" s="91"/>
      <c r="L15" s="91"/>
      <c r="M15" s="91"/>
      <c r="N15" s="91"/>
      <c r="O15" s="91"/>
      <c r="P15" s="91"/>
      <c r="S15" s="48" t="s">
        <v>179</v>
      </c>
      <c r="T15" s="48" t="s">
        <v>186</v>
      </c>
      <c r="U15" s="48" t="s">
        <v>208</v>
      </c>
      <c r="V15" s="48" t="s">
        <v>194</v>
      </c>
      <c r="W15" s="48" t="s">
        <v>224</v>
      </c>
      <c r="X15"/>
      <c r="Y15"/>
      <c r="Z15"/>
    </row>
    <row r="16" spans="1:26" ht="48.75" customHeight="1" x14ac:dyDescent="0.35">
      <c r="A16" s="105" t="s">
        <v>9</v>
      </c>
      <c r="B16" s="105"/>
      <c r="C16" s="105" t="str">
        <f>CONCATENATE((IF(OR(E9="",E9="NA"),"",E9)),", ",(IF(OR(A17="",A17="NA"),"",A17)),".",(IF(OR(C17="",C17="NA"),"",C17)),", Oppo. ",(IF(OR(C22="",C22="NA"),"",C22)),", ",(IF(OR(C19="",C19="NA"),"",C19)),", ",(IF(OR(C18="",C18="NA"),"",C18)),", ",(IF(OR(G19="",G19="NA"),"",G19)),", ",(IF(OR(C20="",C20="NA"),"",C20)),", ",(IF(OR(C21="",C21="NA"),"",C21)),", ",(IF(OR(G20="",G20="NA"),"",G20))," - ",(IF(OR(G21="",G21="NA"),"",G21)),".")</f>
        <v>Khushi Axis World, Survey No.21, H.No.1/C, 1d &amp; 1/e/1, Oppo. Mankoli Stadium, Thane Dombivali Link Road, , Mankoli, Bhiwandi, Bhiwandi, Thane  - 421302.</v>
      </c>
      <c r="D16" s="105"/>
      <c r="E16" s="105"/>
      <c r="F16" s="105"/>
      <c r="G16" s="105"/>
      <c r="H16" s="105"/>
      <c r="S16" s="48" t="s">
        <v>180</v>
      </c>
      <c r="T16" s="48" t="s">
        <v>188</v>
      </c>
      <c r="U16" s="48" t="s">
        <v>209</v>
      </c>
      <c r="V16" s="48" t="s">
        <v>195</v>
      </c>
      <c r="W16" s="48" t="s">
        <v>212</v>
      </c>
      <c r="X16"/>
      <c r="Y16"/>
      <c r="Z16"/>
    </row>
    <row r="17" spans="1:26" x14ac:dyDescent="0.35">
      <c r="A17" s="105" t="s">
        <v>303</v>
      </c>
      <c r="B17" s="105"/>
      <c r="C17" s="105" t="s">
        <v>304</v>
      </c>
      <c r="D17" s="105"/>
      <c r="E17" s="105"/>
      <c r="F17" s="105"/>
      <c r="G17" s="105"/>
      <c r="H17" s="105"/>
      <c r="S17" s="48" t="s">
        <v>181</v>
      </c>
      <c r="T17" s="48" t="s">
        <v>189</v>
      </c>
      <c r="U17" s="48" t="s">
        <v>171</v>
      </c>
      <c r="V17" s="48" t="s">
        <v>196</v>
      </c>
      <c r="W17" s="48" t="s">
        <v>213</v>
      </c>
      <c r="X17"/>
      <c r="Y17"/>
      <c r="Z17"/>
    </row>
    <row r="18" spans="1:26" ht="15.75" customHeight="1" x14ac:dyDescent="0.35">
      <c r="A18" s="105" t="s">
        <v>161</v>
      </c>
      <c r="B18" s="105"/>
      <c r="C18" s="105" t="s">
        <v>28</v>
      </c>
      <c r="D18" s="105"/>
      <c r="E18" s="105"/>
      <c r="F18" s="105"/>
      <c r="G18" s="105"/>
      <c r="H18" s="105"/>
      <c r="S18" s="48" t="s">
        <v>182</v>
      </c>
      <c r="T18" s="48" t="s">
        <v>187</v>
      </c>
      <c r="U18" s="48"/>
      <c r="V18" s="48" t="s">
        <v>197</v>
      </c>
      <c r="W18" s="48" t="s">
        <v>214</v>
      </c>
      <c r="X18"/>
      <c r="Y18"/>
      <c r="Z18"/>
    </row>
    <row r="19" spans="1:26" ht="15.75" customHeight="1" x14ac:dyDescent="0.35">
      <c r="A19" s="105" t="s">
        <v>10</v>
      </c>
      <c r="B19" s="105"/>
      <c r="C19" s="108" t="s">
        <v>309</v>
      </c>
      <c r="D19" s="108"/>
      <c r="E19" s="105" t="s">
        <v>70</v>
      </c>
      <c r="F19" s="105"/>
      <c r="G19" s="105" t="s">
        <v>305</v>
      </c>
      <c r="H19" s="105"/>
      <c r="S19" s="48" t="s">
        <v>183</v>
      </c>
      <c r="T19" s="48" t="s">
        <v>190</v>
      </c>
      <c r="U19" s="48"/>
      <c r="V19" s="48" t="s">
        <v>198</v>
      </c>
      <c r="W19" s="48" t="s">
        <v>215</v>
      </c>
      <c r="X19"/>
      <c r="Y19"/>
      <c r="Z19"/>
    </row>
    <row r="20" spans="1:26" x14ac:dyDescent="0.35">
      <c r="A20" s="108" t="s">
        <v>12</v>
      </c>
      <c r="B20" s="108"/>
      <c r="C20" s="105" t="s">
        <v>181</v>
      </c>
      <c r="D20" s="105"/>
      <c r="E20" s="105" t="s">
        <v>11</v>
      </c>
      <c r="F20" s="105"/>
      <c r="G20" s="173" t="s">
        <v>177</v>
      </c>
      <c r="H20" s="173"/>
      <c r="S20" s="48" t="s">
        <v>184</v>
      </c>
      <c r="T20" s="48" t="s">
        <v>191</v>
      </c>
      <c r="U20" s="48"/>
      <c r="V20" s="48" t="s">
        <v>199</v>
      </c>
      <c r="W20" s="48" t="s">
        <v>216</v>
      </c>
      <c r="X20"/>
      <c r="Y20"/>
      <c r="Z20"/>
    </row>
    <row r="21" spans="1:26" x14ac:dyDescent="0.35">
      <c r="A21" s="108" t="s">
        <v>71</v>
      </c>
      <c r="B21" s="108"/>
      <c r="C21" s="105" t="s">
        <v>181</v>
      </c>
      <c r="D21" s="105"/>
      <c r="E21" s="105" t="s">
        <v>13</v>
      </c>
      <c r="F21" s="105"/>
      <c r="G21" s="105">
        <v>421302</v>
      </c>
      <c r="H21" s="105"/>
      <c r="S21" s="48"/>
      <c r="T21" s="48"/>
      <c r="U21" s="48"/>
      <c r="V21" s="48" t="s">
        <v>200</v>
      </c>
      <c r="W21" s="48" t="s">
        <v>217</v>
      </c>
      <c r="X21"/>
      <c r="Y21"/>
      <c r="Z21"/>
    </row>
    <row r="22" spans="1:26" ht="32.25" customHeight="1" x14ac:dyDescent="0.35">
      <c r="A22" s="108" t="s">
        <v>119</v>
      </c>
      <c r="B22" s="108"/>
      <c r="C22" s="105" t="s">
        <v>310</v>
      </c>
      <c r="D22" s="105"/>
      <c r="E22" s="105" t="s">
        <v>14</v>
      </c>
      <c r="F22" s="105"/>
      <c r="G22" s="105" t="s">
        <v>308</v>
      </c>
      <c r="H22" s="105"/>
      <c r="S22" s="48"/>
      <c r="T22" s="48"/>
      <c r="U22" s="48"/>
      <c r="V22" s="48" t="s">
        <v>201</v>
      </c>
      <c r="W22" s="48" t="s">
        <v>218</v>
      </c>
      <c r="X22"/>
      <c r="Y22"/>
      <c r="Z22"/>
    </row>
    <row r="23" spans="1:26" ht="15" customHeight="1" x14ac:dyDescent="0.35">
      <c r="A23" s="121" t="s">
        <v>73</v>
      </c>
      <c r="B23" s="121"/>
      <c r="C23" s="121"/>
      <c r="D23" s="121"/>
      <c r="E23" s="108" t="s">
        <v>15</v>
      </c>
      <c r="F23" s="108"/>
      <c r="G23" s="108"/>
      <c r="H23" s="108"/>
      <c r="S23" s="48"/>
      <c r="T23" s="48"/>
      <c r="U23" s="48"/>
      <c r="V23" s="48" t="s">
        <v>202</v>
      </c>
      <c r="W23" s="48" t="s">
        <v>219</v>
      </c>
      <c r="X23"/>
      <c r="Y23"/>
      <c r="Z23"/>
    </row>
    <row r="24" spans="1:26" ht="18.75" customHeight="1" x14ac:dyDescent="0.35">
      <c r="A24" s="121"/>
      <c r="B24" s="121"/>
      <c r="C24" s="121"/>
      <c r="D24" s="121"/>
      <c r="E24" s="108"/>
      <c r="F24" s="108"/>
      <c r="G24" s="108"/>
      <c r="H24" s="108"/>
      <c r="S24" s="48"/>
      <c r="T24" s="48"/>
      <c r="U24" s="48"/>
      <c r="V24" s="48" t="s">
        <v>203</v>
      </c>
      <c r="W24" s="48" t="s">
        <v>220</v>
      </c>
      <c r="X24"/>
      <c r="Y24"/>
      <c r="Z24"/>
    </row>
    <row r="25" spans="1:26" ht="15" customHeight="1" x14ac:dyDescent="0.35">
      <c r="A25" s="121" t="s">
        <v>16</v>
      </c>
      <c r="B25" s="121"/>
      <c r="C25" s="121"/>
      <c r="D25" s="121"/>
      <c r="E25" s="105" t="s">
        <v>17</v>
      </c>
      <c r="F25" s="105"/>
      <c r="G25" s="105"/>
      <c r="H25" s="105"/>
      <c r="S25" s="48"/>
      <c r="T25" s="48"/>
      <c r="U25" s="48"/>
      <c r="V25" s="48" t="s">
        <v>204</v>
      </c>
      <c r="W25" s="48" t="s">
        <v>221</v>
      </c>
      <c r="X25"/>
      <c r="Y25"/>
      <c r="Z25"/>
    </row>
    <row r="26" spans="1:26" ht="15" customHeight="1" x14ac:dyDescent="0.35">
      <c r="A26" s="97" t="s">
        <v>18</v>
      </c>
      <c r="B26" s="97"/>
      <c r="C26" s="97"/>
      <c r="D26" s="97"/>
      <c r="E26" s="105" t="str">
        <f>IF(AND(G20="Mumbai"),"Upper Class","Middle Class")</f>
        <v>Middle Class</v>
      </c>
      <c r="F26" s="105"/>
      <c r="G26" s="105"/>
      <c r="H26" s="105"/>
      <c r="S26" s="48"/>
      <c r="T26" s="48"/>
      <c r="U26" s="48"/>
      <c r="V26" s="48" t="s">
        <v>205</v>
      </c>
      <c r="W26" s="48" t="s">
        <v>222</v>
      </c>
      <c r="X26"/>
      <c r="Y26"/>
      <c r="Z26"/>
    </row>
    <row r="27" spans="1:26" x14ac:dyDescent="0.35">
      <c r="A27" s="97" t="s">
        <v>19</v>
      </c>
      <c r="B27" s="97"/>
      <c r="C27" s="97"/>
      <c r="D27" s="97"/>
      <c r="E27" s="105" t="s">
        <v>20</v>
      </c>
      <c r="F27" s="105"/>
      <c r="G27" s="105"/>
      <c r="H27" s="105"/>
      <c r="S27" s="48"/>
      <c r="T27" s="48"/>
      <c r="U27" s="48"/>
      <c r="V27" s="48" t="s">
        <v>206</v>
      </c>
      <c r="W27" s="48" t="s">
        <v>223</v>
      </c>
      <c r="X27"/>
      <c r="Y27"/>
      <c r="Z27"/>
    </row>
    <row r="28" spans="1:26" ht="15.75" customHeight="1" x14ac:dyDescent="0.35">
      <c r="A28" s="97" t="s">
        <v>21</v>
      </c>
      <c r="B28" s="97"/>
      <c r="C28" s="97"/>
      <c r="D28" s="97"/>
      <c r="E28" s="105" t="str">
        <f>IF(AND(G20="Mumbai"),"Developed","Developing")</f>
        <v>Developing</v>
      </c>
      <c r="F28" s="105"/>
      <c r="G28" s="105"/>
      <c r="H28" s="105"/>
    </row>
    <row r="29" spans="1:26" x14ac:dyDescent="0.35">
      <c r="A29" s="97" t="s">
        <v>22</v>
      </c>
      <c r="B29" s="97"/>
      <c r="C29" s="97"/>
      <c r="D29" s="97"/>
      <c r="E29" s="105" t="s">
        <v>23</v>
      </c>
      <c r="F29" s="105"/>
      <c r="G29" s="105"/>
      <c r="H29" s="105"/>
    </row>
    <row r="30" spans="1:26" ht="15.75" customHeight="1" x14ac:dyDescent="0.35">
      <c r="A30" s="97" t="s">
        <v>78</v>
      </c>
      <c r="B30" s="97"/>
      <c r="C30" s="97"/>
      <c r="D30" s="97"/>
      <c r="E30" s="105" t="s">
        <v>79</v>
      </c>
      <c r="F30" s="105"/>
      <c r="G30" s="105"/>
      <c r="H30" s="105"/>
    </row>
    <row r="31" spans="1:26" ht="15" customHeight="1" x14ac:dyDescent="0.35">
      <c r="A31" s="97" t="s">
        <v>30</v>
      </c>
      <c r="B31" s="97"/>
      <c r="C31" s="97"/>
      <c r="D31" s="97"/>
      <c r="E31" s="10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05"/>
      <c r="G31" s="105"/>
      <c r="H31" s="105"/>
    </row>
    <row r="32" spans="1:26" ht="15.75" customHeight="1" x14ac:dyDescent="0.35">
      <c r="A32" s="97" t="s">
        <v>90</v>
      </c>
      <c r="B32" s="97"/>
      <c r="C32" s="97"/>
      <c r="D32" s="97"/>
      <c r="E32" s="105" t="s">
        <v>31</v>
      </c>
      <c r="F32" s="105"/>
      <c r="G32" s="105"/>
      <c r="H32" s="105"/>
    </row>
    <row r="33" spans="1:19" s="19" customFormat="1" x14ac:dyDescent="0.35">
      <c r="A33" s="181" t="s">
        <v>91</v>
      </c>
      <c r="B33" s="181"/>
      <c r="C33" s="178" t="s">
        <v>172</v>
      </c>
      <c r="D33" s="179"/>
      <c r="E33" s="180"/>
      <c r="F33" s="178" t="s">
        <v>29</v>
      </c>
      <c r="G33" s="179"/>
      <c r="H33" s="180"/>
      <c r="S33" s="19" t="e">
        <f ca="1">OFFSET($S$13,1,MATCH($G20,$S$13:$W$13,0)-1,15,1)</f>
        <v>#VALUE!</v>
      </c>
    </row>
    <row r="34" spans="1:19" s="19" customFormat="1" x14ac:dyDescent="0.35">
      <c r="A34" s="174" t="s">
        <v>24</v>
      </c>
      <c r="B34" s="174" t="s">
        <v>28</v>
      </c>
      <c r="C34" s="175" t="s">
        <v>313</v>
      </c>
      <c r="D34" s="176"/>
      <c r="E34" s="177"/>
      <c r="F34" s="175" t="s">
        <v>309</v>
      </c>
      <c r="G34" s="176"/>
      <c r="H34" s="177"/>
    </row>
    <row r="35" spans="1:19" x14ac:dyDescent="0.35">
      <c r="A35" s="174" t="s">
        <v>25</v>
      </c>
      <c r="B35" s="174" t="s">
        <v>28</v>
      </c>
      <c r="C35" s="175" t="s">
        <v>315</v>
      </c>
      <c r="D35" s="176"/>
      <c r="E35" s="177"/>
      <c r="F35" s="175" t="s">
        <v>312</v>
      </c>
      <c r="G35" s="176"/>
      <c r="H35" s="177"/>
    </row>
    <row r="36" spans="1:19" s="19" customFormat="1" x14ac:dyDescent="0.35">
      <c r="A36" s="174" t="s">
        <v>27</v>
      </c>
      <c r="B36" s="174" t="s">
        <v>28</v>
      </c>
      <c r="C36" s="175" t="s">
        <v>314</v>
      </c>
      <c r="D36" s="176"/>
      <c r="E36" s="177"/>
      <c r="F36" s="175" t="s">
        <v>370</v>
      </c>
      <c r="G36" s="176"/>
      <c r="H36" s="177"/>
    </row>
    <row r="37" spans="1:19" x14ac:dyDescent="0.35">
      <c r="A37" s="174" t="s">
        <v>26</v>
      </c>
      <c r="B37" s="174" t="s">
        <v>28</v>
      </c>
      <c r="C37" s="175" t="s">
        <v>315</v>
      </c>
      <c r="D37" s="176"/>
      <c r="E37" s="177"/>
      <c r="F37" s="175" t="s">
        <v>312</v>
      </c>
      <c r="G37" s="176"/>
      <c r="H37" s="177"/>
    </row>
    <row r="38" spans="1:19" x14ac:dyDescent="0.35">
      <c r="A38" s="97" t="s">
        <v>278</v>
      </c>
      <c r="B38" s="97"/>
      <c r="C38" s="97"/>
      <c r="D38" s="97"/>
      <c r="E38" s="97"/>
      <c r="F38" s="97"/>
      <c r="G38" s="97"/>
      <c r="H38" s="97"/>
    </row>
    <row r="39" spans="1:19" ht="15.75" customHeight="1" x14ac:dyDescent="0.35">
      <c r="A39" s="97" t="s">
        <v>164</v>
      </c>
      <c r="B39" s="97"/>
      <c r="C39" s="169" t="s">
        <v>307</v>
      </c>
      <c r="D39" s="169"/>
      <c r="E39" s="169"/>
      <c r="F39" s="169"/>
      <c r="G39" s="169"/>
      <c r="H39" s="169"/>
    </row>
    <row r="40" spans="1:19" x14ac:dyDescent="0.35">
      <c r="A40" s="97" t="s">
        <v>160</v>
      </c>
      <c r="B40" s="97"/>
      <c r="C40" s="198" t="s">
        <v>306</v>
      </c>
      <c r="D40" s="105"/>
      <c r="E40" s="105"/>
      <c r="F40" s="105"/>
      <c r="G40" s="105"/>
      <c r="H40" s="105"/>
    </row>
    <row r="41" spans="1:19" x14ac:dyDescent="0.35">
      <c r="A41" s="169" t="s">
        <v>32</v>
      </c>
      <c r="B41" s="169"/>
      <c r="C41" s="169"/>
      <c r="D41" s="169"/>
      <c r="E41" s="169"/>
      <c r="F41" s="169"/>
      <c r="G41" s="169"/>
      <c r="H41" s="169"/>
    </row>
    <row r="42" spans="1:19" x14ac:dyDescent="0.35">
      <c r="A42" s="108" t="s">
        <v>33</v>
      </c>
      <c r="B42" s="108"/>
      <c r="C42" s="108"/>
      <c r="D42" s="108"/>
      <c r="E42" s="182">
        <v>6225.41</v>
      </c>
      <c r="F42" s="182"/>
      <c r="G42" s="182"/>
      <c r="H42" s="182"/>
    </row>
    <row r="43" spans="1:19" x14ac:dyDescent="0.35">
      <c r="A43" s="108" t="s">
        <v>34</v>
      </c>
      <c r="B43" s="108"/>
      <c r="C43" s="108"/>
      <c r="D43" s="108"/>
      <c r="E43" s="107">
        <f>8225.41/E42</f>
        <v>1.3212639810068734</v>
      </c>
      <c r="F43" s="107"/>
      <c r="G43" s="107"/>
      <c r="H43" s="107"/>
    </row>
    <row r="44" spans="1:19" x14ac:dyDescent="0.35">
      <c r="A44" s="108" t="s">
        <v>35</v>
      </c>
      <c r="B44" s="108"/>
      <c r="C44" s="108"/>
      <c r="D44" s="108"/>
      <c r="E44" s="107">
        <f>E46/E42-E43</f>
        <v>1.043974613720221</v>
      </c>
      <c r="F44" s="107"/>
      <c r="G44" s="107"/>
      <c r="H44" s="107"/>
    </row>
    <row r="45" spans="1:19" x14ac:dyDescent="0.35">
      <c r="A45" s="108" t="s">
        <v>36</v>
      </c>
      <c r="B45" s="108"/>
      <c r="C45" s="108"/>
      <c r="D45" s="108"/>
      <c r="E45" s="107">
        <f>E43+E44</f>
        <v>2.3652385947270944</v>
      </c>
      <c r="F45" s="107"/>
      <c r="G45" s="107"/>
      <c r="H45" s="107"/>
    </row>
    <row r="46" spans="1:19" x14ac:dyDescent="0.35">
      <c r="A46" s="108" t="s">
        <v>89</v>
      </c>
      <c r="B46" s="108"/>
      <c r="C46" s="108"/>
      <c r="D46" s="108"/>
      <c r="E46" s="185">
        <v>14724.58</v>
      </c>
      <c r="F46" s="185"/>
      <c r="G46" s="185"/>
      <c r="H46" s="185"/>
    </row>
    <row r="47" spans="1:19" x14ac:dyDescent="0.35">
      <c r="A47" s="108" t="s">
        <v>37</v>
      </c>
      <c r="B47" s="108"/>
      <c r="C47" s="108"/>
      <c r="D47" s="108"/>
      <c r="E47" s="108" t="s">
        <v>380</v>
      </c>
      <c r="F47" s="108"/>
      <c r="G47" s="108"/>
      <c r="H47" s="108"/>
    </row>
    <row r="48" spans="1:19" x14ac:dyDescent="0.35">
      <c r="A48" s="168" t="s">
        <v>38</v>
      </c>
      <c r="B48" s="168"/>
      <c r="C48" s="168"/>
      <c r="D48" s="168"/>
      <c r="E48" s="168"/>
      <c r="F48" s="168"/>
      <c r="G48" s="168"/>
      <c r="H48" s="168"/>
    </row>
    <row r="49" spans="1:24" ht="33.75" customHeight="1" x14ac:dyDescent="0.35">
      <c r="A49" s="116" t="s">
        <v>151</v>
      </c>
      <c r="B49" s="117"/>
      <c r="C49" s="205" t="s">
        <v>255</v>
      </c>
      <c r="D49" s="206"/>
      <c r="E49" s="206"/>
      <c r="F49" s="206"/>
      <c r="G49" s="206"/>
      <c r="H49" s="207"/>
      <c r="R49" t="s">
        <v>251</v>
      </c>
      <c r="S49" t="s">
        <v>171</v>
      </c>
      <c r="T49" t="s">
        <v>177</v>
      </c>
      <c r="U49" t="s">
        <v>192</v>
      </c>
      <c r="V49" t="s">
        <v>187</v>
      </c>
    </row>
    <row r="50" spans="1:24" ht="30.9" customHeight="1" x14ac:dyDescent="0.35">
      <c r="A50" s="116" t="s">
        <v>39</v>
      </c>
      <c r="B50" s="117"/>
      <c r="C50" s="116" t="s">
        <v>316</v>
      </c>
      <c r="D50" s="129"/>
      <c r="E50" s="117"/>
      <c r="F50" s="17" t="s">
        <v>40</v>
      </c>
      <c r="G50" s="118">
        <v>44441</v>
      </c>
      <c r="H50" s="119"/>
      <c r="R50"/>
      <c r="S50" t="s">
        <v>252</v>
      </c>
      <c r="T50" t="s">
        <v>257</v>
      </c>
      <c r="U50" t="s">
        <v>268</v>
      </c>
      <c r="V50" t="s">
        <v>273</v>
      </c>
    </row>
    <row r="51" spans="1:24" ht="30.9" customHeight="1" x14ac:dyDescent="0.35">
      <c r="A51" s="116" t="s">
        <v>41</v>
      </c>
      <c r="B51" s="117"/>
      <c r="C51" s="116" t="str">
        <f>C50</f>
        <v>SROT/BSNA/2501/BP/Mankoli-14/CC/868/2021</v>
      </c>
      <c r="D51" s="129"/>
      <c r="E51" s="117"/>
      <c r="F51" s="17" t="s">
        <v>40</v>
      </c>
      <c r="G51" s="118">
        <f>G50</f>
        <v>44441</v>
      </c>
      <c r="H51" s="119"/>
      <c r="R51"/>
      <c r="S51" t="s">
        <v>253</v>
      </c>
      <c r="T51" t="s">
        <v>258</v>
      </c>
      <c r="U51" t="s">
        <v>266</v>
      </c>
      <c r="V51" t="s">
        <v>274</v>
      </c>
    </row>
    <row r="52" spans="1:24" s="20" customFormat="1" ht="30.9" customHeight="1" x14ac:dyDescent="0.35">
      <c r="A52" s="130" t="s">
        <v>155</v>
      </c>
      <c r="B52" s="131"/>
      <c r="C52" s="116" t="str">
        <f>C51</f>
        <v>SROT/BSNA/2501/BP/Mankoli-14/CC/868/2021</v>
      </c>
      <c r="D52" s="129"/>
      <c r="E52" s="117"/>
      <c r="F52" s="17" t="s">
        <v>40</v>
      </c>
      <c r="G52" s="118">
        <f>G51</f>
        <v>44441</v>
      </c>
      <c r="H52" s="119"/>
      <c r="R52"/>
      <c r="S52" t="s">
        <v>254</v>
      </c>
      <c r="T52" t="s">
        <v>259</v>
      </c>
      <c r="U52" t="s">
        <v>256</v>
      </c>
      <c r="V52" t="s">
        <v>275</v>
      </c>
    </row>
    <row r="53" spans="1:24" s="20" customFormat="1" ht="46.5" customHeight="1" x14ac:dyDescent="0.35">
      <c r="A53" s="132"/>
      <c r="B53" s="133"/>
      <c r="C53" s="134" t="s">
        <v>359</v>
      </c>
      <c r="D53" s="135"/>
      <c r="E53" s="135"/>
      <c r="F53" s="135"/>
      <c r="G53" s="135"/>
      <c r="H53" s="136"/>
      <c r="R53"/>
      <c r="S53" t="s">
        <v>255</v>
      </c>
      <c r="T53" t="s">
        <v>262</v>
      </c>
      <c r="U53" t="s">
        <v>269</v>
      </c>
    </row>
    <row r="54" spans="1:24" s="20" customFormat="1" hidden="1" x14ac:dyDescent="0.35">
      <c r="A54" s="125" t="s">
        <v>279</v>
      </c>
      <c r="B54" s="126"/>
      <c r="C54" s="116"/>
      <c r="D54" s="129"/>
      <c r="E54" s="117"/>
      <c r="F54" s="17" t="s">
        <v>40</v>
      </c>
      <c r="G54" s="116"/>
      <c r="H54" s="117"/>
      <c r="R54"/>
      <c r="S54" t="s">
        <v>254</v>
      </c>
      <c r="T54" t="s">
        <v>259</v>
      </c>
      <c r="U54" t="s">
        <v>256</v>
      </c>
      <c r="V54" t="s">
        <v>275</v>
      </c>
    </row>
    <row r="55" spans="1:24" s="20" customFormat="1" ht="32.25" hidden="1" customHeight="1" x14ac:dyDescent="0.35">
      <c r="A55" s="127"/>
      <c r="B55" s="128"/>
      <c r="C55" s="199"/>
      <c r="D55" s="200"/>
      <c r="E55" s="200"/>
      <c r="F55" s="200"/>
      <c r="G55" s="200"/>
      <c r="H55" s="201"/>
      <c r="R55"/>
      <c r="S55" t="s">
        <v>256</v>
      </c>
      <c r="T55" t="s">
        <v>260</v>
      </c>
      <c r="U55" t="s">
        <v>270</v>
      </c>
      <c r="V55" s="18"/>
      <c r="W55" s="18"/>
      <c r="X55" s="18"/>
    </row>
    <row r="56" spans="1:24" s="20" customFormat="1" ht="34.5" hidden="1" customHeight="1" x14ac:dyDescent="0.35">
      <c r="A56" s="125" t="s">
        <v>280</v>
      </c>
      <c r="B56" s="126"/>
      <c r="C56" s="116"/>
      <c r="D56" s="129"/>
      <c r="E56" s="117"/>
      <c r="F56" s="17" t="s">
        <v>40</v>
      </c>
      <c r="G56" s="116">
        <f>G55</f>
        <v>0</v>
      </c>
      <c r="H56" s="117"/>
      <c r="R56"/>
      <c r="S56" s="18"/>
      <c r="T56" t="s">
        <v>261</v>
      </c>
      <c r="U56" t="s">
        <v>271</v>
      </c>
      <c r="V56" s="18"/>
      <c r="W56" s="18"/>
      <c r="X56" s="18"/>
    </row>
    <row r="57" spans="1:24" s="20" customFormat="1" ht="41.25" hidden="1" customHeight="1" x14ac:dyDescent="0.35">
      <c r="A57" s="127"/>
      <c r="B57" s="128"/>
      <c r="C57" s="116"/>
      <c r="D57" s="129"/>
      <c r="E57" s="129"/>
      <c r="F57" s="129"/>
      <c r="G57" s="129"/>
      <c r="H57" s="117"/>
      <c r="R57"/>
      <c r="S57" s="18"/>
      <c r="T57" t="s">
        <v>263</v>
      </c>
      <c r="U57" t="s">
        <v>272</v>
      </c>
      <c r="V57" s="18"/>
      <c r="W57" s="18"/>
      <c r="X57" s="18"/>
    </row>
    <row r="58" spans="1:24" s="20" customFormat="1" ht="15.75" hidden="1" customHeight="1" x14ac:dyDescent="0.35">
      <c r="A58" s="125" t="s">
        <v>281</v>
      </c>
      <c r="B58" s="126"/>
      <c r="C58" s="116"/>
      <c r="D58" s="129"/>
      <c r="E58" s="117"/>
      <c r="F58" s="17" t="s">
        <v>40</v>
      </c>
      <c r="G58" s="116">
        <f>G57</f>
        <v>0</v>
      </c>
      <c r="H58" s="117"/>
      <c r="R58"/>
      <c r="S58" s="18"/>
      <c r="T58" t="s">
        <v>264</v>
      </c>
      <c r="U58" s="18" t="s">
        <v>295</v>
      </c>
      <c r="V58" s="18"/>
      <c r="W58" s="18"/>
      <c r="X58" s="18"/>
    </row>
    <row r="59" spans="1:24" s="20" customFormat="1" ht="33.75" hidden="1" customHeight="1" x14ac:dyDescent="0.35">
      <c r="A59" s="127"/>
      <c r="B59" s="128"/>
      <c r="C59" s="116"/>
      <c r="D59" s="129"/>
      <c r="E59" s="129"/>
      <c r="F59" s="129"/>
      <c r="G59" s="129"/>
      <c r="H59" s="117"/>
      <c r="R59"/>
      <c r="S59" s="18"/>
      <c r="T59" t="s">
        <v>265</v>
      </c>
      <c r="U59" s="18"/>
      <c r="V59" s="18"/>
      <c r="W59" s="18"/>
      <c r="X59" s="18"/>
    </row>
    <row r="60" spans="1:24" x14ac:dyDescent="0.35">
      <c r="A60" s="100" t="s">
        <v>42</v>
      </c>
      <c r="B60" s="101"/>
      <c r="C60" s="100" t="s">
        <v>103</v>
      </c>
      <c r="D60" s="102"/>
      <c r="E60" s="101"/>
      <c r="F60" s="40" t="s">
        <v>40</v>
      </c>
      <c r="G60" s="123" t="s">
        <v>28</v>
      </c>
      <c r="H60" s="124"/>
      <c r="R60"/>
      <c r="T60" t="s">
        <v>267</v>
      </c>
    </row>
    <row r="61" spans="1:24" x14ac:dyDescent="0.35">
      <c r="A61" s="120" t="s">
        <v>44</v>
      </c>
      <c r="B61" s="120"/>
      <c r="C61" s="120"/>
      <c r="D61" s="120"/>
      <c r="E61" s="120"/>
      <c r="F61" s="120"/>
      <c r="G61" s="120"/>
      <c r="H61" s="120"/>
      <c r="T61" t="s">
        <v>276</v>
      </c>
    </row>
    <row r="62" spans="1:24" x14ac:dyDescent="0.35">
      <c r="A62" s="121" t="s">
        <v>88</v>
      </c>
      <c r="B62" s="121"/>
      <c r="C62" s="121"/>
      <c r="D62" s="97">
        <f>E46</f>
        <v>14724.58</v>
      </c>
      <c r="E62" s="97"/>
      <c r="F62" s="97"/>
      <c r="G62" s="97"/>
      <c r="H62" s="97"/>
      <c r="R62"/>
      <c r="T62" s="18" t="s">
        <v>255</v>
      </c>
    </row>
    <row r="63" spans="1:24" x14ac:dyDescent="0.35">
      <c r="A63" s="105" t="s">
        <v>45</v>
      </c>
      <c r="B63" s="108"/>
      <c r="C63" s="108"/>
      <c r="D63" s="122" t="s">
        <v>358</v>
      </c>
      <c r="E63" s="122"/>
      <c r="F63" s="122"/>
      <c r="G63" s="122"/>
      <c r="H63" s="122"/>
      <c r="I63" s="21"/>
      <c r="R63"/>
    </row>
    <row r="64" spans="1:24" ht="32.15" customHeight="1" x14ac:dyDescent="0.35">
      <c r="A64" s="186" t="s">
        <v>46</v>
      </c>
      <c r="B64" s="187"/>
      <c r="C64" s="193"/>
      <c r="D64" s="163" t="s">
        <v>318</v>
      </c>
      <c r="E64" s="106"/>
      <c r="F64" s="106"/>
      <c r="G64" s="106"/>
      <c r="H64" s="106"/>
      <c r="R64"/>
    </row>
    <row r="65" spans="1:19" ht="15.75" customHeight="1" x14ac:dyDescent="0.35">
      <c r="A65" s="186" t="s">
        <v>86</v>
      </c>
      <c r="B65" s="187"/>
      <c r="C65" s="187"/>
      <c r="D65" s="108" t="s">
        <v>317</v>
      </c>
      <c r="E65" s="108"/>
      <c r="F65" s="108"/>
      <c r="G65" s="108"/>
      <c r="H65" s="108"/>
      <c r="R65"/>
    </row>
    <row r="66" spans="1:19" ht="15.75" customHeight="1" x14ac:dyDescent="0.35">
      <c r="A66" s="188"/>
      <c r="B66" s="189"/>
      <c r="C66" s="189"/>
      <c r="D66" s="108" t="s">
        <v>363</v>
      </c>
      <c r="E66" s="108"/>
      <c r="F66" s="108"/>
      <c r="G66" s="108"/>
      <c r="H66" s="108"/>
      <c r="R66"/>
    </row>
    <row r="67" spans="1:19" ht="15.75" customHeight="1" x14ac:dyDescent="0.35">
      <c r="A67" s="97" t="s">
        <v>43</v>
      </c>
      <c r="B67" s="97"/>
      <c r="C67" s="97"/>
      <c r="D67" s="183" t="s">
        <v>383</v>
      </c>
      <c r="E67" s="183"/>
      <c r="F67" s="183"/>
      <c r="G67" s="183"/>
      <c r="H67" s="183"/>
      <c r="J67" s="22"/>
      <c r="K67" s="21"/>
      <c r="N67" s="21"/>
      <c r="S67"/>
    </row>
    <row r="68" spans="1:19" ht="15.75" customHeight="1" x14ac:dyDescent="0.35">
      <c r="A68" s="108" t="s">
        <v>84</v>
      </c>
      <c r="B68" s="108"/>
      <c r="C68" s="108"/>
      <c r="D68" s="184" t="str">
        <f>(IF(G60="NA","60 Years After Completion",IF(G60&lt;&gt;"NA",""&amp;60-ROUNDDOWN((E3-G60)/360,0)&amp;" Years"," ")))</f>
        <v>60 Years After Completion</v>
      </c>
      <c r="E68" s="184"/>
      <c r="F68" s="184"/>
      <c r="G68" s="184"/>
      <c r="H68" s="184"/>
      <c r="N68" s="21"/>
      <c r="S68"/>
    </row>
    <row r="69" spans="1:19" ht="15.75" customHeight="1" x14ac:dyDescent="0.35">
      <c r="A69" s="108" t="s">
        <v>85</v>
      </c>
      <c r="B69" s="108"/>
      <c r="C69" s="108"/>
      <c r="D69" s="105" t="s">
        <v>23</v>
      </c>
      <c r="E69" s="105"/>
      <c r="F69" s="105"/>
      <c r="G69" s="105"/>
      <c r="H69" s="105"/>
      <c r="J69" s="23" t="s">
        <v>362</v>
      </c>
      <c r="K69" s="23"/>
      <c r="S69"/>
    </row>
    <row r="70" spans="1:19" x14ac:dyDescent="0.35">
      <c r="A70" s="108" t="s">
        <v>361</v>
      </c>
      <c r="B70" s="108"/>
      <c r="C70" s="108"/>
      <c r="D70" s="105" t="s">
        <v>360</v>
      </c>
      <c r="E70" s="105"/>
      <c r="F70" s="105"/>
      <c r="G70" s="105"/>
      <c r="H70" s="105"/>
      <c r="S70"/>
    </row>
    <row r="71" spans="1:19" x14ac:dyDescent="0.35">
      <c r="A71" s="105" t="s">
        <v>147</v>
      </c>
      <c r="B71" s="105"/>
      <c r="C71" s="105"/>
      <c r="D71" s="105" t="s">
        <v>28</v>
      </c>
      <c r="E71" s="105"/>
      <c r="F71" s="105"/>
      <c r="G71" s="105"/>
      <c r="H71" s="105"/>
      <c r="I71" s="24"/>
      <c r="J71" s="24"/>
      <c r="K71" s="24"/>
      <c r="L71" s="24"/>
      <c r="M71" s="24"/>
      <c r="N71" s="24"/>
    </row>
    <row r="72" spans="1:19" ht="15.75" customHeight="1" x14ac:dyDescent="0.35">
      <c r="A72" s="106" t="s">
        <v>83</v>
      </c>
      <c r="B72" s="106"/>
      <c r="C72" s="106"/>
      <c r="D72" s="163" t="str">
        <f ca="1">(IF(G78&gt;95%,"Nothing",IF(G78&gt;0%,"Cement, Aggregate, Steel, etc",IF(G78=0%,"Work not yet Started"))))</f>
        <v>Cement, Aggregate, Steel, etc</v>
      </c>
      <c r="E72" s="163"/>
      <c r="F72" s="163"/>
      <c r="G72" s="163"/>
      <c r="H72" s="163"/>
      <c r="J72" s="23"/>
      <c r="S72"/>
    </row>
    <row r="73" spans="1:19" ht="33.75" customHeight="1" thickBot="1" x14ac:dyDescent="0.4">
      <c r="A73" s="105" t="s">
        <v>116</v>
      </c>
      <c r="B73" s="105"/>
      <c r="C73" s="105"/>
      <c r="D73" s="105" t="str">
        <f ca="1">(IF(D72="Nothing","Yes",IF(D72="Cement, Aggregate, Steel, etc","Under Construction",IF(D72="Work not yet Started","Work not yet Started"))))</f>
        <v>Under Construction</v>
      </c>
      <c r="E73" s="105"/>
      <c r="F73" s="105" t="str">
        <f ca="1">(IF(D72="Nothing","Yes",IF(D72="Cement, Aggregate, Steel, etc","Under Construction",IF(D72="Work not yet Started","Work not yet Started"))))</f>
        <v>Under Construction</v>
      </c>
      <c r="G73" s="105"/>
      <c r="H73" s="105"/>
      <c r="S73"/>
    </row>
    <row r="74" spans="1:19" ht="15.75" customHeight="1" x14ac:dyDescent="0.35">
      <c r="A74" s="171" t="s">
        <v>137</v>
      </c>
      <c r="B74" s="171"/>
      <c r="C74" s="171" t="str">
        <f>D65</f>
        <v>Industrial Building = Gr/Stilt + 1st to 5th Floor</v>
      </c>
      <c r="D74" s="171"/>
      <c r="E74" s="171"/>
      <c r="F74" s="171"/>
      <c r="G74" s="171"/>
      <c r="H74" s="171"/>
      <c r="I74" s="219" t="str">
        <f ca="1">IF(D87=100%,"All work Completed. Possession granted to the Building.",IF(D86=100%,"All work Completed, Waiting for OC",I75&amp;""&amp;I76&amp;""&amp;J75&amp;""&amp;J74&amp;" "&amp;J76))</f>
        <v>Excavation, Plinth, RCC Slab, Brickwork, Internal Plaster, External Plaster, Flooring Completed, Painting upto 3 Floor, Finishing upto 2 Floor Completed</v>
      </c>
      <c r="J74" s="43"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Painting upto 3 Floor, Finishing upto 2 Floor</v>
      </c>
      <c r="S74"/>
    </row>
    <row r="75" spans="1:19" x14ac:dyDescent="0.35">
      <c r="A75" s="46" t="s">
        <v>139</v>
      </c>
      <c r="B75" s="46">
        <f>IF(AND(ISNUMBER(SEARCH("1B",C74))),1,IF(AND(ISNUMBER(SEARCH("2B",C74))),2,IF(AND(ISNUMBER(SEARCH("3B",C74))),3,IF(AND(ISNUMBER(SEARCH("4B",C74))),4,IF(ISNUMBER(SEARCH("5B",C74)),5,0)))))</f>
        <v>0</v>
      </c>
      <c r="C75" s="46" t="s">
        <v>69</v>
      </c>
      <c r="D75" s="46">
        <v>1</v>
      </c>
      <c r="E75" s="46" t="s">
        <v>68</v>
      </c>
      <c r="F75" s="46">
        <v>0</v>
      </c>
      <c r="G75" s="46" t="s">
        <v>77</v>
      </c>
      <c r="H75" s="46">
        <f ca="1">--TRIM(RIGHT(SUBSTITUTE(LEFT(C74,_xlfn.AGGREGATE(16,6,FIND({0,1,2,3,4,5,6,7,8,9},C74,ROW(INDIRECT("1:"&amp;LEN(C74)))),1))," ",REPT(" ",LEN(C74))),LEN(C74)))</f>
        <v>5</v>
      </c>
      <c r="I75" s="220" t="str">
        <f ca="1">IF(D78=100%,"Excavation","")&amp;IF(D79=100%,", Plinth","")&amp;IF(D80=100%,", RCC Slab","")&amp;IF(D81=100%,", Brickwork","")&amp;IF(D82=100%,", Internal Plaster","")&amp;IF(D83=100%,", External Plaster","")&amp;IF(D84=100%,", Flooring","")&amp;IF(D85=100%,", Painting","")&amp;IF(D86=100%,", Building common Amenities","")</f>
        <v>Excavation, Plinth, RCC Slab, Brickwork, Internal Plaster, External Plaster, Flooring</v>
      </c>
      <c r="J75" s="45"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48" customHeight="1" x14ac:dyDescent="0.35">
      <c r="A76" s="168" t="s">
        <v>87</v>
      </c>
      <c r="B76" s="168"/>
      <c r="C76" s="171" t="str">
        <f ca="1">I74</f>
        <v>Excavation, Plinth, RCC Slab, Brickwork, Internal Plaster, External Plaster, Flooring Completed, Painting upto 3 Floor, Finishing upto 2 Floor Completed</v>
      </c>
      <c r="D76" s="171"/>
      <c r="E76" s="171"/>
      <c r="F76" s="171"/>
      <c r="G76" s="171"/>
      <c r="H76" s="171"/>
      <c r="I76" s="220" t="str">
        <f ca="1">IF(I75&lt;&gt;""," Completed","")</f>
        <v xml:space="preserve"> Completed</v>
      </c>
      <c r="J76" s="45" t="str">
        <f ca="1">IF(J74&lt;&gt;"","Completed","")</f>
        <v>Completed</v>
      </c>
      <c r="S76"/>
    </row>
    <row r="77" spans="1:19" ht="15.75" customHeight="1" x14ac:dyDescent="0.35">
      <c r="A77" s="115" t="s">
        <v>47</v>
      </c>
      <c r="B77" s="115"/>
      <c r="C77" s="85" t="s">
        <v>136</v>
      </c>
      <c r="D77" s="85" t="s">
        <v>80</v>
      </c>
      <c r="E77" s="115" t="s">
        <v>82</v>
      </c>
      <c r="F77" s="115"/>
      <c r="G77" s="115" t="s">
        <v>81</v>
      </c>
      <c r="H77" s="115"/>
      <c r="I77" s="13" t="s">
        <v>138</v>
      </c>
      <c r="J77" s="25">
        <f ca="1">H75*25%</f>
        <v>1.25</v>
      </c>
      <c r="S77"/>
    </row>
    <row r="78" spans="1:19" x14ac:dyDescent="0.35">
      <c r="A78" s="114" t="s">
        <v>125</v>
      </c>
      <c r="B78" s="115"/>
      <c r="C78" s="63">
        <f ca="1">J79</f>
        <v>5</v>
      </c>
      <c r="D78" s="64">
        <f ca="1">((100/H75)*C78)/100</f>
        <v>1</v>
      </c>
      <c r="E78" s="149">
        <f ca="1">(((C79/H75*10)+(40/(D75+F75+H75)*C80)+(7.5/(H75)*C81)+(7.5/(H75)*C82)+(10/H75*C83)+(10/H75*C84)+(5/H75*C85)+(5/H75*C86)+(5/H75*C87))/100)</f>
        <v>0.9</v>
      </c>
      <c r="F78" s="150"/>
      <c r="G78" s="149">
        <f ca="1">((((C78/H75)*20)+((C79/H75)*25)+(30/(H75+F75+D75)*C80)+(5/H75*C81)+(5/H75*C82)+(5/H75*C83)+(5/H75*C84)+(0/H75*C85)+(0/H75*C86)+(5/H75*C87))/100)</f>
        <v>0.95</v>
      </c>
      <c r="H78" s="195"/>
      <c r="I78" s="13" t="s">
        <v>98</v>
      </c>
      <c r="J78" s="26">
        <f ca="1">H75*50%</f>
        <v>2.5</v>
      </c>
    </row>
    <row r="79" spans="1:19" x14ac:dyDescent="0.35">
      <c r="A79" s="114" t="s">
        <v>48</v>
      </c>
      <c r="B79" s="115"/>
      <c r="C79" s="63">
        <f ca="1">J87</f>
        <v>5</v>
      </c>
      <c r="D79" s="64">
        <f ca="1">((100/H75)*C79)/100</f>
        <v>1</v>
      </c>
      <c r="E79" s="151"/>
      <c r="F79" s="152"/>
      <c r="G79" s="151"/>
      <c r="H79" s="196"/>
      <c r="I79" s="13" t="s">
        <v>99</v>
      </c>
      <c r="J79" s="26">
        <f ca="1">H75</f>
        <v>5</v>
      </c>
      <c r="S79"/>
    </row>
    <row r="80" spans="1:19" ht="15.75" customHeight="1" x14ac:dyDescent="0.35">
      <c r="A80" s="114" t="s">
        <v>126</v>
      </c>
      <c r="B80" s="115"/>
      <c r="C80" s="63">
        <v>6</v>
      </c>
      <c r="D80" s="64">
        <f ca="1">((100/(D75+F75+H75))*C80)/100</f>
        <v>1</v>
      </c>
      <c r="E80" s="151"/>
      <c r="F80" s="152"/>
      <c r="G80" s="151"/>
      <c r="H80" s="196"/>
      <c r="I80" s="13" t="s">
        <v>100</v>
      </c>
      <c r="J80" s="27">
        <f ca="1">(IF(B75&gt;1,(H75/(B75+2)),H75/4))</f>
        <v>1.25</v>
      </c>
      <c r="S80"/>
    </row>
    <row r="81" spans="1:10" ht="15.75" customHeight="1" x14ac:dyDescent="0.35">
      <c r="A81" s="114" t="s">
        <v>133</v>
      </c>
      <c r="B81" s="115" t="s">
        <v>127</v>
      </c>
      <c r="C81" s="63">
        <v>5</v>
      </c>
      <c r="D81" s="64">
        <f ca="1">((100/H75)*C81)/100</f>
        <v>1</v>
      </c>
      <c r="E81" s="151"/>
      <c r="F81" s="152"/>
      <c r="G81" s="151"/>
      <c r="H81" s="196"/>
      <c r="I81" s="13" t="s">
        <v>101</v>
      </c>
      <c r="J81" s="27">
        <f ca="1">(IF(B75&gt;1,(H75/(B75+2)+J80),H75/4+J80))</f>
        <v>2.5</v>
      </c>
    </row>
    <row r="82" spans="1:10" ht="15.75" customHeight="1" x14ac:dyDescent="0.35">
      <c r="A82" s="114" t="s">
        <v>134</v>
      </c>
      <c r="B82" s="115" t="s">
        <v>127</v>
      </c>
      <c r="C82" s="63">
        <v>5</v>
      </c>
      <c r="D82" s="64">
        <f ca="1">((100/H75)*C82)/100</f>
        <v>1</v>
      </c>
      <c r="E82" s="151"/>
      <c r="F82" s="152"/>
      <c r="G82" s="151"/>
      <c r="H82" s="196"/>
      <c r="I82" s="13" t="s">
        <v>145</v>
      </c>
      <c r="J82" s="27">
        <f>(IF(B75&gt;1,(H75/(B75+2)+J81),0))</f>
        <v>0</v>
      </c>
    </row>
    <row r="83" spans="1:10" ht="15" customHeight="1" x14ac:dyDescent="0.35">
      <c r="A83" s="114" t="s">
        <v>132</v>
      </c>
      <c r="B83" s="115" t="s">
        <v>129</v>
      </c>
      <c r="C83" s="63">
        <v>5</v>
      </c>
      <c r="D83" s="64">
        <f ca="1">((100/(H75))*C83)/100</f>
        <v>1</v>
      </c>
      <c r="E83" s="151"/>
      <c r="F83" s="152"/>
      <c r="G83" s="151"/>
      <c r="H83" s="196"/>
      <c r="I83" s="13" t="s">
        <v>140</v>
      </c>
      <c r="J83" s="27">
        <f>(IF(B75&gt;2,(H75/(B75+2)+J82),0))</f>
        <v>0</v>
      </c>
    </row>
    <row r="84" spans="1:10" ht="15.75" customHeight="1" x14ac:dyDescent="0.35">
      <c r="A84" s="114" t="s">
        <v>128</v>
      </c>
      <c r="B84" s="115" t="s">
        <v>128</v>
      </c>
      <c r="C84" s="63">
        <v>5</v>
      </c>
      <c r="D84" s="64">
        <f ca="1">((100/H75)*C84)/100</f>
        <v>1</v>
      </c>
      <c r="E84" s="151"/>
      <c r="F84" s="152"/>
      <c r="G84" s="151"/>
      <c r="H84" s="196"/>
      <c r="I84" s="13" t="s">
        <v>141</v>
      </c>
      <c r="J84" s="28">
        <f>(IF(B75&gt;3,(H75/(B75+2)+J83),0))</f>
        <v>0</v>
      </c>
    </row>
    <row r="85" spans="1:10" ht="15.75" customHeight="1" x14ac:dyDescent="0.35">
      <c r="A85" s="114" t="s">
        <v>135</v>
      </c>
      <c r="B85" s="115"/>
      <c r="C85" s="63">
        <v>3</v>
      </c>
      <c r="D85" s="64">
        <f ca="1">((100/H75)*C85)/100</f>
        <v>0.6</v>
      </c>
      <c r="E85" s="151"/>
      <c r="F85" s="152"/>
      <c r="G85" s="151"/>
      <c r="H85" s="196"/>
      <c r="I85" s="13" t="s">
        <v>142</v>
      </c>
      <c r="J85" s="27">
        <f>(IF(B75&gt;4,(H75/(B75+2)+J84),0))</f>
        <v>0</v>
      </c>
    </row>
    <row r="86" spans="1:10" ht="15.75" customHeight="1" x14ac:dyDescent="0.35">
      <c r="A86" s="114" t="s">
        <v>130</v>
      </c>
      <c r="B86" s="115" t="s">
        <v>130</v>
      </c>
      <c r="C86" s="63">
        <v>2</v>
      </c>
      <c r="D86" s="64">
        <f ca="1">((100/(H75))*C86)/100</f>
        <v>0.4</v>
      </c>
      <c r="E86" s="151"/>
      <c r="F86" s="152"/>
      <c r="G86" s="151"/>
      <c r="H86" s="196"/>
      <c r="I86" s="13" t="s">
        <v>146</v>
      </c>
      <c r="J86" s="27">
        <f ca="1">(IF(B75=1,(H75/(B75+3)+J81),IF(B75=0,(H75/4+J81),IF(B75&gt;1,0))))</f>
        <v>3.75</v>
      </c>
    </row>
    <row r="87" spans="1:10" ht="16" thickBot="1" x14ac:dyDescent="0.4">
      <c r="A87" s="165" t="s">
        <v>131</v>
      </c>
      <c r="B87" s="166"/>
      <c r="C87" s="65">
        <v>0</v>
      </c>
      <c r="D87" s="66">
        <f ca="1">((100/(H75))*C87)/100</f>
        <v>0</v>
      </c>
      <c r="E87" s="153"/>
      <c r="F87" s="154"/>
      <c r="G87" s="153"/>
      <c r="H87" s="197"/>
      <c r="I87" s="14" t="s">
        <v>102</v>
      </c>
      <c r="J87" s="29">
        <f ca="1">(IF(B75&gt;1.5,(H75/(B75+2)+J81+MAX(0,J82-J81)+MAX(0,J83-J82)+MAX(0,J84-J83)+MAX(0,J85-J84)+MAX(0,J86-J85)),IF(B75=1,(H75/(B75+3)+J86),IF(B75=0,H75/4+J86))))</f>
        <v>5</v>
      </c>
    </row>
    <row r="88" spans="1:10" ht="15.75" customHeight="1" x14ac:dyDescent="0.35">
      <c r="A88" s="109" t="s">
        <v>137</v>
      </c>
      <c r="B88" s="110"/>
      <c r="C88" s="111" t="str">
        <f>D66</f>
        <v>Residential Building = Gr/Stilt + 1st to 18th Floor</v>
      </c>
      <c r="D88" s="112"/>
      <c r="E88" s="112"/>
      <c r="F88" s="112"/>
      <c r="G88" s="112"/>
      <c r="H88" s="113"/>
      <c r="I88" s="42" t="str">
        <f ca="1">IF(D101=100%,"All work Completed. Possession granted to the Building.",IF(D100=100%,"All work Completed, Waiting for OC",I89&amp;""&amp;I90&amp;""&amp;J89&amp;""&amp;J88&amp;" "&amp;J90))</f>
        <v>Excavation, Plinth Completed, RCC upto 12 Slab, Brickwork upto 6 Floor, Internal Plaster upto 5 Floor, External Plaster upto 4 Floor, Flooring upto 1 Floor Completed</v>
      </c>
      <c r="J88" s="43"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12 Slab, Brickwork upto 6 Floor, Internal Plaster upto 5 Floor, External Plaster upto 4 Floor, Flooring upto 1 Floor</v>
      </c>
    </row>
    <row r="89" spans="1:10" x14ac:dyDescent="0.35">
      <c r="A89" s="15" t="s">
        <v>139</v>
      </c>
      <c r="B89" s="46">
        <f>IF(AND(ISNUMBER(SEARCH("1B",C88))),1,IF(AND(ISNUMBER(SEARCH("2B",C88))),2,IF(AND(ISNUMBER(SEARCH("3B",C88))),3,IF(AND(ISNUMBER(SEARCH("4B",C88))),4,IF(ISNUMBER(SEARCH("5B",C88)),5,0)))))</f>
        <v>0</v>
      </c>
      <c r="C89" s="46" t="s">
        <v>69</v>
      </c>
      <c r="D89" s="46">
        <v>1</v>
      </c>
      <c r="E89" s="46" t="s">
        <v>68</v>
      </c>
      <c r="F89" s="46">
        <v>0</v>
      </c>
      <c r="G89" s="46" t="s">
        <v>77</v>
      </c>
      <c r="H89" s="16">
        <f ca="1">--TRIM(RIGHT(SUBSTITUTE(LEFT(C88,_xlfn.AGGREGATE(16,6,FIND({0,1,2,3,4,5,6,7,8,9},C88,ROW(INDIRECT("1:"&amp;LEN(C88)))),1))," ",REPT(" ",LEN(C88))),LEN(C88)))</f>
        <v>18</v>
      </c>
      <c r="I89" s="44" t="str">
        <f ca="1">IF(D92=100%,"Excavation","")&amp;IF(D93=100%,", Plinth","")&amp;IF(D94=100%,", RCC Slab","")&amp;IF(D95=100%,", Brickwork","")&amp;IF(D96=100%,", Internal Plaster","")&amp;IF(D97=100%,", External Plaster","")&amp;IF(D98=100%,", Flooring","")&amp;IF(D99=100%,", Painting","")&amp;IF(D100=100%,", Building common Amenities","")</f>
        <v>Excavation, Plinth</v>
      </c>
      <c r="J89" s="45"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t="46.5" customHeight="1" x14ac:dyDescent="0.35">
      <c r="A90" s="167" t="s">
        <v>87</v>
      </c>
      <c r="B90" s="168"/>
      <c r="C90" s="171" t="str">
        <f ca="1">(IF($G$60="NA",I88,"All work Completed. OC Received."))</f>
        <v>Excavation, Plinth Completed, RCC upto 12 Slab, Brickwork upto 6 Floor, Internal Plaster upto 5 Floor, External Plaster upto 4 Floor, Flooring upto 1 Floor Completed</v>
      </c>
      <c r="D90" s="171"/>
      <c r="E90" s="171"/>
      <c r="F90" s="171"/>
      <c r="G90" s="171"/>
      <c r="H90" s="194"/>
      <c r="I90" s="44" t="str">
        <f ca="1">IF(I89&lt;&gt;""," Completed","")</f>
        <v xml:space="preserve"> Completed</v>
      </c>
      <c r="J90" s="45" t="str">
        <f ca="1">IF(J88&lt;&gt;"","Completed","")</f>
        <v>Completed</v>
      </c>
    </row>
    <row r="91" spans="1:10" ht="15.75" customHeight="1" x14ac:dyDescent="0.35">
      <c r="A91" s="114" t="s">
        <v>47</v>
      </c>
      <c r="B91" s="115"/>
      <c r="C91" s="63" t="s">
        <v>136</v>
      </c>
      <c r="D91" s="63" t="s">
        <v>80</v>
      </c>
      <c r="E91" s="115" t="s">
        <v>82</v>
      </c>
      <c r="F91" s="115"/>
      <c r="G91" s="115" t="s">
        <v>81</v>
      </c>
      <c r="H91" s="164"/>
      <c r="I91" s="13" t="s">
        <v>138</v>
      </c>
      <c r="J91" s="25">
        <f ca="1">H89*25%</f>
        <v>4.5</v>
      </c>
    </row>
    <row r="92" spans="1:10" x14ac:dyDescent="0.35">
      <c r="A92" s="114" t="s">
        <v>125</v>
      </c>
      <c r="B92" s="115"/>
      <c r="C92" s="63">
        <f ca="1">J93</f>
        <v>18</v>
      </c>
      <c r="D92" s="64">
        <f ca="1">((100/H89)*C92)/100</f>
        <v>1</v>
      </c>
      <c r="E92" s="149">
        <f ca="1">(((C93/H89*10)+(40/(D89+F89+H89)*C94)+(7.5/(H89)*C95)+(7.5/(H89)*C96)+(10/H89*C97)+(10/H89*C98)+(5/H89*C99)+(5/H89*C100)+(5/H89*C101))/100)</f>
        <v>0.42624269005847959</v>
      </c>
      <c r="F92" s="150"/>
      <c r="G92" s="149">
        <f ca="1">((((C92/H89)*20)+((C93/H89)*25)+(30/(H89+F89+D89)*C94)+(5/H89*C95)+(5/H89*C96)+(5/H89*C97)+(5/H89*C98)+(0/H89*C99)+(0/H89*C100)+(5/H89*C101))/100)</f>
        <v>0.6839181286549707</v>
      </c>
      <c r="H92" s="195"/>
      <c r="I92" s="13" t="s">
        <v>98</v>
      </c>
      <c r="J92" s="26">
        <f ca="1">H89*50%</f>
        <v>9</v>
      </c>
    </row>
    <row r="93" spans="1:10" x14ac:dyDescent="0.35">
      <c r="A93" s="114" t="s">
        <v>48</v>
      </c>
      <c r="B93" s="115"/>
      <c r="C93" s="67">
        <f ca="1">J101</f>
        <v>18</v>
      </c>
      <c r="D93" s="64">
        <f ca="1">((100/H89)*C93)/100</f>
        <v>1</v>
      </c>
      <c r="E93" s="151"/>
      <c r="F93" s="152"/>
      <c r="G93" s="151"/>
      <c r="H93" s="196"/>
      <c r="I93" s="13" t="s">
        <v>99</v>
      </c>
      <c r="J93" s="26">
        <f ca="1">H89</f>
        <v>18</v>
      </c>
    </row>
    <row r="94" spans="1:10" ht="15.75" customHeight="1" x14ac:dyDescent="0.35">
      <c r="A94" s="114" t="s">
        <v>126</v>
      </c>
      <c r="B94" s="115"/>
      <c r="C94" s="63">
        <v>12</v>
      </c>
      <c r="D94" s="64">
        <f ca="1">((100/(D89+F89+H89))*C94)/100</f>
        <v>0.63157894736842113</v>
      </c>
      <c r="E94" s="151"/>
      <c r="F94" s="152"/>
      <c r="G94" s="151"/>
      <c r="H94" s="196"/>
      <c r="I94" s="13" t="s">
        <v>100</v>
      </c>
      <c r="J94" s="27">
        <f ca="1">(IF(B89&gt;1,(H89/(B89+2)),H89/4))</f>
        <v>4.5</v>
      </c>
    </row>
    <row r="95" spans="1:10" ht="15.75" customHeight="1" x14ac:dyDescent="0.35">
      <c r="A95" s="114" t="s">
        <v>133</v>
      </c>
      <c r="B95" s="115" t="s">
        <v>127</v>
      </c>
      <c r="C95" s="63">
        <v>6</v>
      </c>
      <c r="D95" s="64">
        <f ca="1">((100/H89)*C95)/100</f>
        <v>0.33333333333333326</v>
      </c>
      <c r="E95" s="151"/>
      <c r="F95" s="152"/>
      <c r="G95" s="151"/>
      <c r="H95" s="196"/>
      <c r="I95" s="13" t="s">
        <v>101</v>
      </c>
      <c r="J95" s="27">
        <f ca="1">(IF(B89&gt;1,(H89/(B89+2)+J94),H89/4+J94))</f>
        <v>9</v>
      </c>
    </row>
    <row r="96" spans="1:10" ht="15.75" customHeight="1" x14ac:dyDescent="0.35">
      <c r="A96" s="114" t="s">
        <v>134</v>
      </c>
      <c r="B96" s="115" t="s">
        <v>127</v>
      </c>
      <c r="C96" s="63">
        <v>5</v>
      </c>
      <c r="D96" s="64">
        <f ca="1">((100/H89)*C96)/100</f>
        <v>0.27777777777777779</v>
      </c>
      <c r="E96" s="151"/>
      <c r="F96" s="152"/>
      <c r="G96" s="151"/>
      <c r="H96" s="196"/>
      <c r="I96" s="13" t="s">
        <v>145</v>
      </c>
      <c r="J96" s="27">
        <f>(IF(B89&gt;1,(H89/(B89+2)+J95),0))</f>
        <v>0</v>
      </c>
    </row>
    <row r="97" spans="1:22" ht="15" customHeight="1" x14ac:dyDescent="0.35">
      <c r="A97" s="114" t="s">
        <v>132</v>
      </c>
      <c r="B97" s="115" t="s">
        <v>129</v>
      </c>
      <c r="C97" s="63">
        <v>4</v>
      </c>
      <c r="D97" s="64">
        <f ca="1">((100/(H89))*C97)/100</f>
        <v>0.22222222222222221</v>
      </c>
      <c r="E97" s="151"/>
      <c r="F97" s="152"/>
      <c r="G97" s="151"/>
      <c r="H97" s="196"/>
      <c r="I97" s="13" t="s">
        <v>140</v>
      </c>
      <c r="J97" s="27">
        <f>(IF(B89&gt;2,(H89/(B89+2)+J96),0))</f>
        <v>0</v>
      </c>
    </row>
    <row r="98" spans="1:22" ht="15.75" customHeight="1" x14ac:dyDescent="0.35">
      <c r="A98" s="114" t="s">
        <v>128</v>
      </c>
      <c r="B98" s="115" t="s">
        <v>128</v>
      </c>
      <c r="C98" s="63">
        <v>1</v>
      </c>
      <c r="D98" s="64">
        <f ca="1">((100/H89)*C98)/100</f>
        <v>5.5555555555555552E-2</v>
      </c>
      <c r="E98" s="151"/>
      <c r="F98" s="152"/>
      <c r="G98" s="151"/>
      <c r="H98" s="196"/>
      <c r="I98" s="13" t="s">
        <v>141</v>
      </c>
      <c r="J98" s="28">
        <f>(IF(B89&gt;3,(H89/(B89+2)+J97),0))</f>
        <v>0</v>
      </c>
    </row>
    <row r="99" spans="1:22" ht="15.75" customHeight="1" x14ac:dyDescent="0.35">
      <c r="A99" s="114" t="s">
        <v>135</v>
      </c>
      <c r="B99" s="115"/>
      <c r="C99" s="63">
        <v>0</v>
      </c>
      <c r="D99" s="64">
        <f ca="1">((100/H89)*C99)/100</f>
        <v>0</v>
      </c>
      <c r="E99" s="151"/>
      <c r="F99" s="152"/>
      <c r="G99" s="151"/>
      <c r="H99" s="196"/>
      <c r="I99" s="13" t="s">
        <v>142</v>
      </c>
      <c r="J99" s="27">
        <f>(IF(B89&gt;4,(H89/(B89+2)+J98),0))</f>
        <v>0</v>
      </c>
    </row>
    <row r="100" spans="1:22" ht="15.75" customHeight="1" x14ac:dyDescent="0.35">
      <c r="A100" s="114" t="s">
        <v>130</v>
      </c>
      <c r="B100" s="115" t="s">
        <v>130</v>
      </c>
      <c r="C100" s="63">
        <v>0</v>
      </c>
      <c r="D100" s="64">
        <f ca="1">((100/(H89))*C100)/100</f>
        <v>0</v>
      </c>
      <c r="E100" s="151"/>
      <c r="F100" s="152"/>
      <c r="G100" s="151"/>
      <c r="H100" s="196"/>
      <c r="I100" s="13" t="s">
        <v>146</v>
      </c>
      <c r="J100" s="27">
        <f ca="1">(IF(B89=1,(H89/(B89+3)+J95),IF(B89=0,(H89/4+J95),IF(B89&gt;1,0))))</f>
        <v>13.5</v>
      </c>
    </row>
    <row r="101" spans="1:22" ht="16" thickBot="1" x14ac:dyDescent="0.4">
      <c r="A101" s="165" t="s">
        <v>131</v>
      </c>
      <c r="B101" s="166"/>
      <c r="C101" s="65">
        <v>0</v>
      </c>
      <c r="D101" s="66">
        <f ca="1">((100/(H89))*C101)/100</f>
        <v>0</v>
      </c>
      <c r="E101" s="153"/>
      <c r="F101" s="154"/>
      <c r="G101" s="153"/>
      <c r="H101" s="197"/>
      <c r="I101" s="14" t="s">
        <v>102</v>
      </c>
      <c r="J101" s="29">
        <f ca="1">(IF(B89&gt;1.5,(H89/(B89+2)+J95+MAX(0,J96-J95)+MAX(0,J97-J96)+MAX(0,J98-J97)+MAX(0,J99-J98)+MAX(0,J100-J99)),IF(B89=1,(H89/(B89+3)+J100),IF(B89=0,H89/4+J100))))</f>
        <v>18</v>
      </c>
    </row>
    <row r="102" spans="1:22" x14ac:dyDescent="0.35">
      <c r="A102" s="208" t="s">
        <v>156</v>
      </c>
      <c r="B102" s="208"/>
      <c r="C102" s="208"/>
      <c r="D102" s="208"/>
      <c r="E102" s="208"/>
      <c r="F102" s="155" t="s">
        <v>159</v>
      </c>
      <c r="G102" s="155"/>
      <c r="H102" s="155"/>
      <c r="L102" s="78"/>
      <c r="M102" s="78" t="s">
        <v>366</v>
      </c>
      <c r="N102" s="78" t="s">
        <v>367</v>
      </c>
      <c r="O102" s="78" t="s">
        <v>368</v>
      </c>
      <c r="P102" s="78"/>
      <c r="R102" t="s">
        <v>251</v>
      </c>
      <c r="S102" t="s">
        <v>171</v>
      </c>
      <c r="T102" t="s">
        <v>177</v>
      </c>
      <c r="U102" t="s">
        <v>192</v>
      </c>
      <c r="V102" t="s">
        <v>187</v>
      </c>
    </row>
    <row r="103" spans="1:22" x14ac:dyDescent="0.35">
      <c r="A103" s="97" t="s">
        <v>157</v>
      </c>
      <c r="B103" s="97"/>
      <c r="C103" s="97"/>
      <c r="D103" s="97"/>
      <c r="E103" s="97"/>
      <c r="F103" s="92">
        <v>6250</v>
      </c>
      <c r="G103" s="92"/>
      <c r="H103" s="92"/>
      <c r="I103" s="82" t="s">
        <v>378</v>
      </c>
      <c r="J103" s="82"/>
      <c r="K103" s="82"/>
      <c r="L103" s="83"/>
      <c r="M103" s="81">
        <f>AVERAGE(K211,K217:K218,K220)</f>
        <v>6323.2374718573392</v>
      </c>
      <c r="N103" s="81">
        <f>AVERAGE(J212,J214:J215,J217)</f>
        <v>7293.922455201533</v>
      </c>
      <c r="O103" s="81">
        <f>10000/1.5</f>
        <v>6666.666666666667</v>
      </c>
      <c r="P103" s="78" t="s">
        <v>375</v>
      </c>
      <c r="R103"/>
      <c r="S103">
        <v>800000</v>
      </c>
      <c r="T103">
        <v>150000</v>
      </c>
      <c r="U103">
        <v>100000</v>
      </c>
      <c r="V103">
        <v>100000</v>
      </c>
    </row>
    <row r="104" spans="1:22" x14ac:dyDescent="0.35">
      <c r="A104" s="97" t="s">
        <v>376</v>
      </c>
      <c r="B104" s="97"/>
      <c r="C104" s="97"/>
      <c r="D104" s="97"/>
      <c r="E104" s="97"/>
      <c r="F104" s="92">
        <v>12000</v>
      </c>
      <c r="G104" s="92"/>
      <c r="H104" s="92"/>
      <c r="I104" s="78"/>
      <c r="J104" s="78"/>
      <c r="K104" s="78"/>
      <c r="L104" s="78"/>
      <c r="M104" s="78"/>
      <c r="R104"/>
      <c r="S104">
        <v>900000</v>
      </c>
      <c r="T104">
        <v>200000</v>
      </c>
      <c r="U104">
        <v>150000</v>
      </c>
      <c r="V104">
        <v>150000</v>
      </c>
    </row>
    <row r="105" spans="1:22" hidden="1" x14ac:dyDescent="0.35">
      <c r="A105" s="97" t="s">
        <v>158</v>
      </c>
      <c r="B105" s="97"/>
      <c r="C105" s="97"/>
      <c r="D105" s="97"/>
      <c r="E105" s="97"/>
      <c r="F105" s="92"/>
      <c r="G105" s="92"/>
      <c r="H105" s="92"/>
      <c r="I105" s="78"/>
      <c r="J105" s="78"/>
      <c r="K105" s="78"/>
      <c r="L105" s="78"/>
      <c r="M105" s="78"/>
      <c r="R105"/>
      <c r="S105">
        <v>1000000</v>
      </c>
      <c r="T105">
        <v>250000</v>
      </c>
      <c r="U105">
        <v>200000</v>
      </c>
      <c r="V105">
        <v>200000</v>
      </c>
    </row>
    <row r="106" spans="1:22" s="30" customFormat="1" hidden="1" x14ac:dyDescent="0.35">
      <c r="A106" s="97" t="s">
        <v>174</v>
      </c>
      <c r="B106" s="97"/>
      <c r="C106" s="97"/>
      <c r="D106" s="97"/>
      <c r="E106" s="97"/>
      <c r="F106" s="92"/>
      <c r="G106" s="92"/>
      <c r="H106" s="92"/>
      <c r="I106" s="79"/>
      <c r="J106" s="79"/>
      <c r="K106" s="79"/>
      <c r="L106" s="79"/>
      <c r="M106" s="79"/>
      <c r="R106"/>
      <c r="S106">
        <v>1100000</v>
      </c>
      <c r="T106">
        <v>300000</v>
      </c>
      <c r="U106">
        <v>250000</v>
      </c>
      <c r="V106" s="20">
        <v>250000</v>
      </c>
    </row>
    <row r="107" spans="1:22" x14ac:dyDescent="0.35">
      <c r="A107" s="97" t="s">
        <v>377</v>
      </c>
      <c r="B107" s="97"/>
      <c r="C107" s="97"/>
      <c r="D107" s="97"/>
      <c r="E107" s="97"/>
      <c r="F107" s="92">
        <v>10000</v>
      </c>
      <c r="G107" s="92"/>
      <c r="H107" s="92"/>
      <c r="I107" s="78"/>
      <c r="J107" s="78"/>
      <c r="K107" s="78"/>
      <c r="L107" s="78"/>
      <c r="M107" s="78"/>
      <c r="R107"/>
      <c r="S107">
        <v>900000</v>
      </c>
      <c r="T107">
        <v>200000</v>
      </c>
      <c r="U107">
        <v>150000</v>
      </c>
      <c r="V107">
        <v>150000</v>
      </c>
    </row>
    <row r="108" spans="1:22" s="30" customFormat="1" x14ac:dyDescent="0.35">
      <c r="A108" s="97" t="s">
        <v>379</v>
      </c>
      <c r="B108" s="97"/>
      <c r="C108" s="97"/>
      <c r="D108" s="97"/>
      <c r="E108" s="97"/>
      <c r="F108" s="92">
        <v>200000</v>
      </c>
      <c r="G108" s="92"/>
      <c r="H108" s="92"/>
      <c r="I108" s="79"/>
      <c r="J108" s="79"/>
      <c r="K108" s="79"/>
      <c r="L108" s="79"/>
      <c r="M108" s="79"/>
      <c r="R108"/>
      <c r="S108">
        <v>1200000</v>
      </c>
      <c r="T108">
        <v>350000</v>
      </c>
      <c r="U108">
        <v>300000</v>
      </c>
      <c r="V108">
        <v>300000</v>
      </c>
    </row>
    <row r="109" spans="1:22" s="30" customFormat="1" hidden="1" x14ac:dyDescent="0.35">
      <c r="A109" s="97" t="s">
        <v>364</v>
      </c>
      <c r="B109" s="97"/>
      <c r="C109" s="97"/>
      <c r="D109" s="97"/>
      <c r="E109" s="97"/>
      <c r="F109" s="92"/>
      <c r="G109" s="92"/>
      <c r="H109" s="92"/>
      <c r="I109" s="79"/>
      <c r="J109" s="79"/>
      <c r="K109" s="79"/>
      <c r="L109" s="79"/>
      <c r="M109" s="79"/>
      <c r="R109"/>
      <c r="S109">
        <v>1300000</v>
      </c>
      <c r="T109">
        <v>400000</v>
      </c>
      <c r="U109">
        <v>350000</v>
      </c>
      <c r="V109" s="20">
        <v>400000</v>
      </c>
    </row>
    <row r="110" spans="1:22" s="30" customFormat="1" hidden="1" x14ac:dyDescent="0.35">
      <c r="A110" s="97" t="s">
        <v>365</v>
      </c>
      <c r="B110" s="97"/>
      <c r="C110" s="97"/>
      <c r="D110" s="97"/>
      <c r="E110" s="97"/>
      <c r="F110" s="92"/>
      <c r="G110" s="92"/>
      <c r="H110" s="92"/>
      <c r="I110" s="79"/>
      <c r="J110" s="79"/>
      <c r="K110" s="79"/>
      <c r="L110" s="79"/>
      <c r="M110" s="79"/>
      <c r="R110"/>
      <c r="S110">
        <v>1300000</v>
      </c>
      <c r="T110">
        <v>400000</v>
      </c>
      <c r="U110">
        <v>350000</v>
      </c>
      <c r="V110" s="20">
        <v>400000</v>
      </c>
    </row>
    <row r="111" spans="1:22" s="30" customFormat="1" hidden="1" x14ac:dyDescent="0.35">
      <c r="A111" s="97" t="s">
        <v>92</v>
      </c>
      <c r="B111" s="97"/>
      <c r="C111" s="97"/>
      <c r="D111" s="97"/>
      <c r="E111" s="97"/>
      <c r="F111" s="92"/>
      <c r="G111" s="92"/>
      <c r="H111" s="92"/>
      <c r="I111" s="79"/>
      <c r="J111" s="79"/>
      <c r="K111" s="79"/>
      <c r="L111" s="79"/>
      <c r="M111" s="79"/>
      <c r="R111"/>
      <c r="S111">
        <v>1200000</v>
      </c>
      <c r="T111">
        <v>350000</v>
      </c>
      <c r="U111">
        <v>300000</v>
      </c>
      <c r="V111">
        <v>300000</v>
      </c>
    </row>
    <row r="112" spans="1:22" s="30" customFormat="1" hidden="1" x14ac:dyDescent="0.35">
      <c r="A112" s="97" t="s">
        <v>93</v>
      </c>
      <c r="B112" s="97"/>
      <c r="C112" s="97"/>
      <c r="D112" s="97"/>
      <c r="E112" s="97"/>
      <c r="F112" s="92"/>
      <c r="G112" s="92"/>
      <c r="H112" s="92"/>
      <c r="I112" s="79"/>
      <c r="J112" s="79"/>
      <c r="K112" s="79"/>
      <c r="L112" s="79"/>
      <c r="M112" s="79"/>
      <c r="R112"/>
      <c r="S112">
        <v>1300000</v>
      </c>
      <c r="T112">
        <v>400000</v>
      </c>
      <c r="U112">
        <v>350000</v>
      </c>
      <c r="V112" s="20">
        <v>400000</v>
      </c>
    </row>
    <row r="113" spans="1:22" s="30" customFormat="1" hidden="1" x14ac:dyDescent="0.35">
      <c r="A113" s="97" t="s">
        <v>94</v>
      </c>
      <c r="B113" s="97"/>
      <c r="C113" s="97"/>
      <c r="D113" s="97"/>
      <c r="E113" s="97"/>
      <c r="F113" s="92"/>
      <c r="G113" s="92"/>
      <c r="H113" s="92"/>
      <c r="I113" s="79"/>
      <c r="J113" s="79"/>
      <c r="K113" s="79"/>
      <c r="L113" s="79"/>
      <c r="M113" s="79"/>
      <c r="R113"/>
      <c r="S113">
        <v>1400000</v>
      </c>
      <c r="T113">
        <v>500000</v>
      </c>
      <c r="U113">
        <v>400000</v>
      </c>
      <c r="V113"/>
    </row>
    <row r="114" spans="1:22" s="30" customFormat="1" hidden="1" x14ac:dyDescent="0.35">
      <c r="A114" s="97" t="s">
        <v>95</v>
      </c>
      <c r="B114" s="97"/>
      <c r="C114" s="97"/>
      <c r="D114" s="97"/>
      <c r="E114" s="97"/>
      <c r="F114" s="92"/>
      <c r="G114" s="92"/>
      <c r="H114" s="92"/>
      <c r="I114" s="79"/>
      <c r="J114" s="79"/>
      <c r="K114" s="79"/>
      <c r="L114" s="79"/>
      <c r="M114" s="79"/>
      <c r="R114"/>
      <c r="S114">
        <v>1500000</v>
      </c>
      <c r="T114">
        <v>600000</v>
      </c>
      <c r="U114">
        <v>500000</v>
      </c>
      <c r="V114" s="20"/>
    </row>
    <row r="115" spans="1:22" s="30" customFormat="1" hidden="1" x14ac:dyDescent="0.35">
      <c r="A115" s="97" t="s">
        <v>96</v>
      </c>
      <c r="B115" s="97"/>
      <c r="C115" s="97"/>
      <c r="D115" s="97"/>
      <c r="E115" s="97"/>
      <c r="F115" s="92"/>
      <c r="G115" s="92"/>
      <c r="H115" s="92"/>
      <c r="I115" s="79"/>
      <c r="J115" s="79"/>
      <c r="K115" s="79"/>
      <c r="L115" s="79"/>
      <c r="M115" s="79"/>
      <c r="R115"/>
      <c r="S115">
        <v>1600000</v>
      </c>
      <c r="T115">
        <v>700000</v>
      </c>
      <c r="U115">
        <v>600000</v>
      </c>
      <c r="V115"/>
    </row>
    <row r="116" spans="1:22" s="30" customFormat="1" hidden="1" x14ac:dyDescent="0.35">
      <c r="A116" s="97" t="s">
        <v>97</v>
      </c>
      <c r="B116" s="97"/>
      <c r="C116" s="97"/>
      <c r="D116" s="97"/>
      <c r="E116" s="97"/>
      <c r="F116" s="92"/>
      <c r="G116" s="92"/>
      <c r="H116" s="92"/>
      <c r="I116" s="79"/>
      <c r="J116" s="79"/>
      <c r="K116" s="79"/>
      <c r="L116" s="79"/>
      <c r="M116" s="79"/>
      <c r="R116"/>
      <c r="S116">
        <v>1700000</v>
      </c>
      <c r="T116">
        <v>800000</v>
      </c>
      <c r="U116"/>
      <c r="V116" s="20"/>
    </row>
    <row r="117" spans="1:22" x14ac:dyDescent="0.35">
      <c r="A117" s="97" t="s">
        <v>49</v>
      </c>
      <c r="B117" s="97"/>
      <c r="C117" s="97"/>
      <c r="D117" s="97"/>
      <c r="E117" s="97"/>
      <c r="F117" s="92">
        <v>300000</v>
      </c>
      <c r="G117" s="92"/>
      <c r="H117" s="92"/>
      <c r="I117" s="78"/>
      <c r="J117" s="78"/>
      <c r="K117" s="78"/>
      <c r="L117" s="78"/>
      <c r="M117" s="78"/>
      <c r="R117"/>
      <c r="S117">
        <v>1800000</v>
      </c>
      <c r="T117">
        <v>900000</v>
      </c>
      <c r="U117"/>
    </row>
    <row r="118" spans="1:22" s="31" customFormat="1" x14ac:dyDescent="0.35">
      <c r="A118" s="169" t="s">
        <v>50</v>
      </c>
      <c r="B118" s="169"/>
      <c r="C118" s="169"/>
      <c r="D118" s="169"/>
      <c r="E118" s="169"/>
      <c r="F118" s="92">
        <f>F103*0.8</f>
        <v>5000</v>
      </c>
      <c r="G118" s="92"/>
      <c r="H118" s="92"/>
      <c r="I118" s="80"/>
      <c r="J118" s="80"/>
      <c r="K118" s="80"/>
      <c r="L118" s="80"/>
      <c r="M118" s="80"/>
      <c r="R118" s="18"/>
      <c r="S118" s="18"/>
      <c r="T118">
        <v>1000000</v>
      </c>
      <c r="U118"/>
      <c r="V118" s="18"/>
    </row>
    <row r="119" spans="1:22" s="32" customFormat="1" ht="15.75" customHeight="1" x14ac:dyDescent="0.35">
      <c r="A119" s="142" t="s">
        <v>72</v>
      </c>
      <c r="B119" s="142"/>
      <c r="C119" s="142"/>
      <c r="D119" s="142"/>
      <c r="E119" s="142"/>
      <c r="F119" s="142"/>
      <c r="G119" s="142"/>
      <c r="H119" s="142"/>
      <c r="R119"/>
      <c r="S119" s="18"/>
      <c r="T119"/>
      <c r="U119"/>
      <c r="V119" s="18"/>
    </row>
    <row r="120" spans="1:22" s="32" customFormat="1" ht="15.75" customHeight="1" x14ac:dyDescent="0.35">
      <c r="A120" s="96" t="s">
        <v>51</v>
      </c>
      <c r="B120" s="96"/>
      <c r="C120" s="104" t="s">
        <v>75</v>
      </c>
      <c r="D120" s="104"/>
      <c r="E120" s="103" t="s">
        <v>52</v>
      </c>
      <c r="F120" s="103"/>
      <c r="G120" s="96" t="s">
        <v>53</v>
      </c>
      <c r="H120" s="96"/>
      <c r="R120"/>
      <c r="S120" s="18"/>
      <c r="T120"/>
      <c r="U120" s="18"/>
      <c r="V120" s="18"/>
    </row>
    <row r="121" spans="1:22" s="32" customFormat="1" x14ac:dyDescent="0.35">
      <c r="A121" s="141" t="s">
        <v>354</v>
      </c>
      <c r="B121" s="141"/>
      <c r="C121" s="137">
        <f>COUNT(F134:F155)+COUNT(F157:F176)+COUNT(F178:F200)*2+COUNT(F202:F204)*2</f>
        <v>94</v>
      </c>
      <c r="D121" s="137"/>
      <c r="E121" s="137">
        <f>SUM(F134:F155)+SUM(F157:F176)+SUM(F178:F200)*2+SUM(F202:F204)*2</f>
        <v>104717.42222760004</v>
      </c>
      <c r="F121" s="137"/>
      <c r="G121" s="137">
        <f>SUM(H134:H155)+SUM(H157:H176)+SUM(H178:H200)*2+SUM(H202:H204)*2</f>
        <v>157076.13334140001</v>
      </c>
      <c r="H121" s="137"/>
      <c r="R121"/>
      <c r="S121" s="18"/>
      <c r="T121"/>
      <c r="U121" s="18"/>
      <c r="V121" s="18"/>
    </row>
    <row r="122" spans="1:22" s="32" customFormat="1" hidden="1" x14ac:dyDescent="0.35">
      <c r="A122" s="142" t="s">
        <v>150</v>
      </c>
      <c r="B122" s="142"/>
      <c r="C122" s="203">
        <f>SUM(C121)</f>
        <v>94</v>
      </c>
      <c r="D122" s="104"/>
      <c r="E122" s="204">
        <f>SUM(E121)</f>
        <v>104717.42222760004</v>
      </c>
      <c r="F122" s="103"/>
      <c r="G122" s="96">
        <f>SUM(G121)</f>
        <v>157076.13334140001</v>
      </c>
      <c r="H122" s="96"/>
      <c r="R122"/>
      <c r="S122" s="18"/>
      <c r="T122"/>
      <c r="U122" s="18"/>
      <c r="V122" s="18"/>
    </row>
    <row r="123" spans="1:22" s="32" customFormat="1" x14ac:dyDescent="0.35">
      <c r="A123" s="142" t="s">
        <v>67</v>
      </c>
      <c r="B123" s="142"/>
      <c r="C123" s="142"/>
      <c r="D123" s="142"/>
      <c r="E123" s="142"/>
      <c r="F123" s="142"/>
      <c r="G123" s="142"/>
      <c r="H123" s="142"/>
      <c r="T123"/>
    </row>
    <row r="124" spans="1:22" s="32" customFormat="1" ht="15.75" customHeight="1" x14ac:dyDescent="0.35">
      <c r="A124" s="96" t="s">
        <v>51</v>
      </c>
      <c r="B124" s="96"/>
      <c r="C124" s="104" t="s">
        <v>75</v>
      </c>
      <c r="D124" s="104"/>
      <c r="E124" s="103" t="s">
        <v>52</v>
      </c>
      <c r="F124" s="103"/>
      <c r="G124" s="96" t="s">
        <v>53</v>
      </c>
      <c r="H124" s="96"/>
      <c r="T124"/>
    </row>
    <row r="125" spans="1:22" s="32" customFormat="1" x14ac:dyDescent="0.35">
      <c r="A125" s="141" t="s">
        <v>355</v>
      </c>
      <c r="B125" s="141"/>
      <c r="C125" s="137">
        <f>COUNT(F211:F218)+COUNT(F220:F227)*6+COUNT(F233:F236)</f>
        <v>60</v>
      </c>
      <c r="D125" s="137"/>
      <c r="E125" s="137">
        <f>SUM(F211:F218)+SUM(F220:F227)*6+SUM(F233:F236)</f>
        <v>24753.690936000003</v>
      </c>
      <c r="F125" s="137"/>
      <c r="G125" s="137">
        <f>SUM(H211:H218)+SUM(H220:H227)*6+SUM(H233:H236)</f>
        <v>36200.289637199996</v>
      </c>
      <c r="H125" s="137"/>
      <c r="T125"/>
    </row>
    <row r="126" spans="1:22" s="32" customFormat="1" hidden="1" x14ac:dyDescent="0.35">
      <c r="A126" s="142" t="s">
        <v>150</v>
      </c>
      <c r="B126" s="142"/>
      <c r="C126" s="203">
        <f>SUM(C125)</f>
        <v>60</v>
      </c>
      <c r="D126" s="104"/>
      <c r="E126" s="204">
        <f>SUM(E125)</f>
        <v>24753.690936000003</v>
      </c>
      <c r="F126" s="103"/>
      <c r="G126" s="96">
        <f>SUM(G125)</f>
        <v>36200.289637199996</v>
      </c>
      <c r="H126" s="96"/>
      <c r="T126"/>
    </row>
    <row r="127" spans="1:22" s="32" customFormat="1" x14ac:dyDescent="0.35">
      <c r="A127" s="142" t="s">
        <v>165</v>
      </c>
      <c r="B127" s="142"/>
      <c r="C127" s="104">
        <f>C122+C126</f>
        <v>154</v>
      </c>
      <c r="D127" s="104"/>
      <c r="E127" s="204">
        <f>E122+E126</f>
        <v>129471.11316360004</v>
      </c>
      <c r="F127" s="204"/>
      <c r="G127" s="96">
        <f>G122+G126</f>
        <v>193276.42297860002</v>
      </c>
      <c r="H127" s="96"/>
      <c r="T127"/>
    </row>
    <row r="128" spans="1:22" s="31" customFormat="1" x14ac:dyDescent="0.35">
      <c r="A128" s="95" t="s">
        <v>54</v>
      </c>
      <c r="B128" s="95"/>
      <c r="C128" s="95"/>
      <c r="D128" s="95"/>
      <c r="E128" s="95"/>
      <c r="F128" s="95"/>
      <c r="G128" s="95"/>
      <c r="H128" s="95"/>
      <c r="T128" s="32"/>
    </row>
    <row r="129" spans="1:20" x14ac:dyDescent="0.35">
      <c r="A129" s="95" t="s">
        <v>173</v>
      </c>
      <c r="B129" s="95"/>
      <c r="C129" s="95"/>
      <c r="D129" s="95"/>
      <c r="E129" s="95"/>
      <c r="F129" s="95"/>
      <c r="G129" s="95"/>
      <c r="H129" s="95"/>
      <c r="T129" s="32"/>
    </row>
    <row r="130" spans="1:20" ht="47.25" customHeight="1" x14ac:dyDescent="0.35">
      <c r="A130" s="221" t="s">
        <v>356</v>
      </c>
      <c r="B130" s="221" t="s">
        <v>175</v>
      </c>
      <c r="C130" s="221" t="s">
        <v>55</v>
      </c>
      <c r="D130" s="221" t="s">
        <v>230</v>
      </c>
      <c r="E130" s="222" t="s">
        <v>371</v>
      </c>
      <c r="F130" s="221" t="s">
        <v>56</v>
      </c>
      <c r="G130" s="222" t="s">
        <v>57</v>
      </c>
      <c r="H130" s="223" t="s">
        <v>148</v>
      </c>
      <c r="T130" s="32"/>
    </row>
    <row r="131" spans="1:20" s="34" customFormat="1" x14ac:dyDescent="0.35">
      <c r="A131" s="221"/>
      <c r="B131" s="221"/>
      <c r="C131" s="221"/>
      <c r="D131" s="221"/>
      <c r="E131" s="222"/>
      <c r="F131" s="221"/>
      <c r="G131" s="222"/>
      <c r="H131" s="224">
        <v>0.5</v>
      </c>
      <c r="T131" s="32"/>
    </row>
    <row r="132" spans="1:20" s="62" customFormat="1" x14ac:dyDescent="0.35">
      <c r="A132" s="146" t="s">
        <v>320</v>
      </c>
      <c r="B132" s="147"/>
      <c r="C132" s="147"/>
      <c r="D132" s="147"/>
      <c r="E132" s="147"/>
      <c r="F132" s="147"/>
      <c r="G132" s="147"/>
      <c r="H132" s="148"/>
      <c r="J132" s="76">
        <v>10.763999999999999</v>
      </c>
      <c r="T132" s="32"/>
    </row>
    <row r="133" spans="1:20" s="62" customFormat="1" x14ac:dyDescent="0.35">
      <c r="A133" s="146" t="s">
        <v>321</v>
      </c>
      <c r="B133" s="147"/>
      <c r="C133" s="147"/>
      <c r="D133" s="147"/>
      <c r="E133" s="147"/>
      <c r="F133" s="147"/>
      <c r="G133" s="147"/>
      <c r="H133" s="148"/>
      <c r="J133" s="33"/>
      <c r="T133" s="32"/>
    </row>
    <row r="134" spans="1:20" s="62" customFormat="1" ht="15.75" customHeight="1" x14ac:dyDescent="0.35">
      <c r="A134" s="98">
        <v>1</v>
      </c>
      <c r="B134" s="99"/>
      <c r="C134" s="72" t="s">
        <v>322</v>
      </c>
      <c r="D134" s="77">
        <f>(60.91)*10.764</f>
        <v>655.63523999999995</v>
      </c>
      <c r="E134" s="77">
        <f>(3*4.8)*10.764</f>
        <v>155.00159999999997</v>
      </c>
      <c r="F134" s="72">
        <f>D134+(IF(E134&lt;201,E134,IF(E134&lt;301,E134/2,E134/3)))</f>
        <v>810.63683999999989</v>
      </c>
      <c r="G134" s="73">
        <v>0</v>
      </c>
      <c r="H134" s="72">
        <f>(F134+(IF(G134&lt;101,G134,IF(G134&lt;201,G134/2,IF(G134&lt;=301,G134/3,G134/4)))))*(($H$131)+1)</f>
        <v>1215.9552599999997</v>
      </c>
      <c r="I134" s="68">
        <f>4.8*12.69</f>
        <v>60.911999999999992</v>
      </c>
      <c r="L134" s="190"/>
      <c r="M134" s="190"/>
      <c r="N134" s="33"/>
      <c r="T134" s="32"/>
    </row>
    <row r="135" spans="1:20" s="62" customFormat="1" ht="15.75" customHeight="1" x14ac:dyDescent="0.35">
      <c r="A135" s="98">
        <f t="shared" ref="A135:A155" si="0">A134+1</f>
        <v>2</v>
      </c>
      <c r="B135" s="99"/>
      <c r="C135" s="72" t="s">
        <v>323</v>
      </c>
      <c r="D135" s="77">
        <f>(47.67)*10.764</f>
        <v>513.11987999999997</v>
      </c>
      <c r="E135" s="77">
        <f>(3*3.96)*10.764</f>
        <v>127.87631999999998</v>
      </c>
      <c r="F135" s="72">
        <f t="shared" ref="F135:F137" si="1">D135+(IF(E135&lt;201,E135,IF(E135&lt;301,E135/2,E135/3)))</f>
        <v>640.99619999999993</v>
      </c>
      <c r="G135" s="72">
        <v>0</v>
      </c>
      <c r="H135" s="72">
        <f t="shared" ref="H135:H137" si="2">(F135+(IF(G135&lt;101,G135,IF(G135&lt;201,G135/2,IF(G135&lt;=301,G135/3,G135/4)))))*(($H$131)+1)</f>
        <v>961.49429999999984</v>
      </c>
      <c r="I135" s="33"/>
      <c r="L135" s="190"/>
      <c r="M135" s="190"/>
      <c r="N135" s="33"/>
      <c r="T135" s="31"/>
    </row>
    <row r="136" spans="1:20" s="62" customFormat="1" ht="15.75" customHeight="1" x14ac:dyDescent="0.35">
      <c r="A136" s="98">
        <f t="shared" si="0"/>
        <v>3</v>
      </c>
      <c r="B136" s="99"/>
      <c r="C136" s="72" t="s">
        <v>324</v>
      </c>
      <c r="D136" s="77">
        <f>(70.5)*10.764</f>
        <v>758.86199999999997</v>
      </c>
      <c r="E136" s="77">
        <f>(3*3.98)*10.764</f>
        <v>128.52215999999999</v>
      </c>
      <c r="F136" s="72">
        <f t="shared" si="1"/>
        <v>887.38415999999995</v>
      </c>
      <c r="G136" s="72">
        <v>0</v>
      </c>
      <c r="H136" s="72">
        <f t="shared" si="2"/>
        <v>1331.0762399999999</v>
      </c>
      <c r="I136" s="33"/>
      <c r="L136" s="190"/>
      <c r="M136" s="190"/>
      <c r="N136" s="33"/>
      <c r="T136" s="18"/>
    </row>
    <row r="137" spans="1:20" s="62" customFormat="1" ht="15.75" customHeight="1" x14ac:dyDescent="0.35">
      <c r="A137" s="93">
        <f t="shared" si="0"/>
        <v>4</v>
      </c>
      <c r="B137" s="94"/>
      <c r="C137" s="61" t="s">
        <v>325</v>
      </c>
      <c r="D137" s="76">
        <f>(17.81)*10.764</f>
        <v>191.70683999999997</v>
      </c>
      <c r="E137" s="76">
        <f>(3*2.74)*10.764</f>
        <v>88.480080000000001</v>
      </c>
      <c r="F137" s="61">
        <f t="shared" si="1"/>
        <v>280.18691999999999</v>
      </c>
      <c r="G137" s="61">
        <v>0</v>
      </c>
      <c r="H137" s="61">
        <f t="shared" si="2"/>
        <v>420.28037999999998</v>
      </c>
      <c r="I137" s="33"/>
      <c r="L137" s="190"/>
      <c r="M137" s="190"/>
      <c r="N137" s="33"/>
      <c r="T137" s="18"/>
    </row>
    <row r="138" spans="1:20" s="62" customFormat="1" ht="15.75" customHeight="1" x14ac:dyDescent="0.35">
      <c r="A138" s="93">
        <f t="shared" si="0"/>
        <v>5</v>
      </c>
      <c r="B138" s="94"/>
      <c r="C138" s="61" t="s">
        <v>326</v>
      </c>
      <c r="D138" s="76">
        <f>(23.32)*10.764</f>
        <v>251.01648</v>
      </c>
      <c r="E138" s="76">
        <f>(3*3.96)*10.764</f>
        <v>127.87631999999998</v>
      </c>
      <c r="F138" s="61">
        <f t="shared" ref="F138:F143" si="3">D138+(IF(E138&lt;201,E138,IF(E138&lt;301,E138/2,E138/3)))</f>
        <v>378.89279999999997</v>
      </c>
      <c r="G138" s="61">
        <v>0</v>
      </c>
      <c r="H138" s="61">
        <f t="shared" ref="H138:H143" si="4">(F138+(IF(G138&lt;101,G138,IF(G138&lt;201,G138/2,IF(G138&lt;=301,G138/3,G138/4)))))*(($H$131)+1)</f>
        <v>568.33919999999989</v>
      </c>
      <c r="I138" s="33"/>
      <c r="L138" s="190"/>
      <c r="M138" s="190"/>
      <c r="N138" s="33"/>
      <c r="T138" s="31"/>
    </row>
    <row r="139" spans="1:20" s="62" customFormat="1" ht="15.75" customHeight="1" x14ac:dyDescent="0.35">
      <c r="A139" s="93">
        <f t="shared" si="0"/>
        <v>6</v>
      </c>
      <c r="B139" s="94"/>
      <c r="C139" s="61" t="s">
        <v>327</v>
      </c>
      <c r="D139" s="76">
        <f>(16.71)*10.764</f>
        <v>179.86644000000001</v>
      </c>
      <c r="E139" s="76">
        <f>(3*3.05)*10.764</f>
        <v>98.490599999999972</v>
      </c>
      <c r="F139" s="61">
        <f t="shared" si="3"/>
        <v>278.35703999999998</v>
      </c>
      <c r="G139" s="61">
        <v>0</v>
      </c>
      <c r="H139" s="61">
        <f t="shared" si="4"/>
        <v>417.53555999999998</v>
      </c>
      <c r="I139" s="33"/>
      <c r="L139" s="190"/>
      <c r="M139" s="190"/>
      <c r="N139" s="33"/>
      <c r="T139" s="18"/>
    </row>
    <row r="140" spans="1:20" s="62" customFormat="1" ht="15.75" customHeight="1" x14ac:dyDescent="0.35">
      <c r="A140" s="93">
        <f t="shared" si="0"/>
        <v>7</v>
      </c>
      <c r="B140" s="94"/>
      <c r="C140" s="61" t="s">
        <v>328</v>
      </c>
      <c r="D140" s="76">
        <f>(14.9)*10.764</f>
        <v>160.3836</v>
      </c>
      <c r="E140" s="76">
        <f>(3*2.9)*10.764</f>
        <v>93.646799999999985</v>
      </c>
      <c r="F140" s="61">
        <f t="shared" si="3"/>
        <v>254.03039999999999</v>
      </c>
      <c r="G140" s="61">
        <v>0</v>
      </c>
      <c r="H140" s="61">
        <f t="shared" si="4"/>
        <v>381.04559999999998</v>
      </c>
      <c r="I140" s="33"/>
      <c r="L140" s="190"/>
      <c r="M140" s="190"/>
      <c r="N140" s="33"/>
      <c r="T140" s="18"/>
    </row>
    <row r="141" spans="1:20" s="62" customFormat="1" ht="15.75" customHeight="1" x14ac:dyDescent="0.35">
      <c r="A141" s="93">
        <f t="shared" si="0"/>
        <v>8</v>
      </c>
      <c r="B141" s="94"/>
      <c r="C141" s="61" t="s">
        <v>329</v>
      </c>
      <c r="D141" s="76">
        <f>(10.3)*10.764</f>
        <v>110.86920000000001</v>
      </c>
      <c r="E141" s="76">
        <f>(3*2.13)*10.764</f>
        <v>68.781959999999998</v>
      </c>
      <c r="F141" s="61">
        <f t="shared" si="3"/>
        <v>179.65116</v>
      </c>
      <c r="G141" s="61">
        <v>0</v>
      </c>
      <c r="H141" s="61">
        <f t="shared" si="4"/>
        <v>269.47674000000001</v>
      </c>
      <c r="I141" s="33"/>
      <c r="L141" s="190"/>
      <c r="M141" s="190"/>
      <c r="N141" s="33"/>
      <c r="T141" s="31"/>
    </row>
    <row r="142" spans="1:20" s="62" customFormat="1" ht="15.75" customHeight="1" x14ac:dyDescent="0.35">
      <c r="A142" s="93">
        <f t="shared" si="0"/>
        <v>9</v>
      </c>
      <c r="B142" s="94"/>
      <c r="C142" s="61" t="s">
        <v>330</v>
      </c>
      <c r="D142" s="76">
        <f>(40.6)*10.764</f>
        <v>437.01839999999999</v>
      </c>
      <c r="E142" s="76">
        <f>(3*(12.9+3.65))*10.764</f>
        <v>534.43259999999998</v>
      </c>
      <c r="F142" s="61">
        <f t="shared" si="3"/>
        <v>615.1626</v>
      </c>
      <c r="G142" s="61">
        <v>0</v>
      </c>
      <c r="H142" s="61">
        <f t="shared" si="4"/>
        <v>922.74389999999994</v>
      </c>
      <c r="I142" s="33"/>
      <c r="L142" s="190"/>
      <c r="M142" s="190"/>
      <c r="N142" s="33"/>
      <c r="T142" s="18"/>
    </row>
    <row r="143" spans="1:20" s="62" customFormat="1" ht="15.75" customHeight="1" x14ac:dyDescent="0.35">
      <c r="A143" s="93">
        <f t="shared" si="0"/>
        <v>10</v>
      </c>
      <c r="B143" s="94"/>
      <c r="C143" s="61" t="s">
        <v>331</v>
      </c>
      <c r="D143" s="76">
        <f>(47.67)*10.764</f>
        <v>513.11987999999997</v>
      </c>
      <c r="E143" s="76">
        <f>(3*3.96)*10.764</f>
        <v>127.87631999999998</v>
      </c>
      <c r="F143" s="61">
        <f t="shared" si="3"/>
        <v>640.99619999999993</v>
      </c>
      <c r="G143" s="61">
        <v>0</v>
      </c>
      <c r="H143" s="61">
        <f t="shared" si="4"/>
        <v>961.49429999999984</v>
      </c>
      <c r="I143" s="33"/>
      <c r="L143" s="190"/>
      <c r="M143" s="190"/>
      <c r="N143" s="33"/>
      <c r="T143" s="18"/>
    </row>
    <row r="144" spans="1:20" s="62" customFormat="1" ht="15.75" customHeight="1" x14ac:dyDescent="0.35">
      <c r="A144" s="93">
        <f t="shared" si="0"/>
        <v>11</v>
      </c>
      <c r="B144" s="94"/>
      <c r="C144" s="61" t="s">
        <v>332</v>
      </c>
      <c r="D144" s="76">
        <f>(189.58)*10.764</f>
        <v>2040.63912</v>
      </c>
      <c r="E144" s="76">
        <f>(3*8.08)*10.764</f>
        <v>260.91935999999998</v>
      </c>
      <c r="F144" s="61">
        <f t="shared" ref="F144:F155" si="5">D144+(IF(E144&lt;201,E144,IF(E144&lt;301,E144/2,E144/3)))</f>
        <v>2171.0988000000002</v>
      </c>
      <c r="G144" s="61">
        <v>0</v>
      </c>
      <c r="H144" s="61">
        <f t="shared" ref="H144:H155" si="6">(F144+(IF(G144&lt;101,G144,IF(G144&lt;201,G144/2,IF(G144&lt;=301,G144/3,G144/4)))))*(($H$131)+1)</f>
        <v>3256.6482000000005</v>
      </c>
      <c r="I144" s="33"/>
      <c r="L144" s="190"/>
      <c r="M144" s="190"/>
      <c r="N144" s="33"/>
      <c r="T144" s="31"/>
    </row>
    <row r="145" spans="1:20" s="62" customFormat="1" ht="15.75" customHeight="1" x14ac:dyDescent="0.35">
      <c r="A145" s="93">
        <f t="shared" si="0"/>
        <v>12</v>
      </c>
      <c r="B145" s="94"/>
      <c r="C145" s="61" t="s">
        <v>333</v>
      </c>
      <c r="D145" s="76">
        <f>(116.75)*10.764</f>
        <v>1256.6969999999999</v>
      </c>
      <c r="E145" s="76">
        <f t="shared" ref="E145:E154" si="7">(3*3.96)*10.764</f>
        <v>127.87631999999998</v>
      </c>
      <c r="F145" s="61">
        <f t="shared" si="5"/>
        <v>1384.57332</v>
      </c>
      <c r="G145" s="61">
        <v>0</v>
      </c>
      <c r="H145" s="61">
        <f t="shared" si="6"/>
        <v>2076.8599800000002</v>
      </c>
      <c r="I145" s="33"/>
      <c r="L145" s="190"/>
      <c r="M145" s="190"/>
      <c r="N145" s="33"/>
      <c r="T145" s="18"/>
    </row>
    <row r="146" spans="1:20" s="62" customFormat="1" ht="15.75" customHeight="1" x14ac:dyDescent="0.35">
      <c r="A146" s="93">
        <f t="shared" si="0"/>
        <v>13</v>
      </c>
      <c r="B146" s="94"/>
      <c r="C146" s="61" t="s">
        <v>334</v>
      </c>
      <c r="D146" s="76">
        <f>(38.61)*10.764</f>
        <v>415.59803999999997</v>
      </c>
      <c r="E146" s="76">
        <f t="shared" si="7"/>
        <v>127.87631999999998</v>
      </c>
      <c r="F146" s="61">
        <f t="shared" si="5"/>
        <v>543.47435999999993</v>
      </c>
      <c r="G146" s="61">
        <v>0</v>
      </c>
      <c r="H146" s="61">
        <f t="shared" si="6"/>
        <v>815.2115399999999</v>
      </c>
      <c r="I146" s="33"/>
      <c r="L146" s="190"/>
      <c r="M146" s="190"/>
      <c r="N146" s="33"/>
      <c r="T146" s="18"/>
    </row>
    <row r="147" spans="1:20" s="62" customFormat="1" ht="15.75" customHeight="1" x14ac:dyDescent="0.35">
      <c r="A147" s="93">
        <f t="shared" si="0"/>
        <v>14</v>
      </c>
      <c r="B147" s="94"/>
      <c r="C147" s="61" t="s">
        <v>335</v>
      </c>
      <c r="D147" s="76">
        <f>(38.61)*10.764</f>
        <v>415.59803999999997</v>
      </c>
      <c r="E147" s="76">
        <f t="shared" si="7"/>
        <v>127.87631999999998</v>
      </c>
      <c r="F147" s="61">
        <f t="shared" si="5"/>
        <v>543.47435999999993</v>
      </c>
      <c r="G147" s="61">
        <v>0</v>
      </c>
      <c r="H147" s="61">
        <f t="shared" si="6"/>
        <v>815.2115399999999</v>
      </c>
      <c r="I147" s="33"/>
      <c r="L147" s="190"/>
      <c r="M147" s="190"/>
      <c r="N147" s="33"/>
      <c r="T147" s="31"/>
    </row>
    <row r="148" spans="1:20" s="62" customFormat="1" ht="15.75" customHeight="1" x14ac:dyDescent="0.35">
      <c r="A148" s="93">
        <f t="shared" si="0"/>
        <v>15</v>
      </c>
      <c r="B148" s="94"/>
      <c r="C148" s="61" t="s">
        <v>336</v>
      </c>
      <c r="D148" s="76">
        <f>(116.75)*10.764</f>
        <v>1256.6969999999999</v>
      </c>
      <c r="E148" s="76">
        <f t="shared" si="7"/>
        <v>127.87631999999998</v>
      </c>
      <c r="F148" s="61">
        <f t="shared" si="5"/>
        <v>1384.57332</v>
      </c>
      <c r="G148" s="61">
        <v>0</v>
      </c>
      <c r="H148" s="61">
        <f t="shared" si="6"/>
        <v>2076.8599800000002</v>
      </c>
      <c r="I148" s="33"/>
      <c r="L148" s="190"/>
      <c r="M148" s="190"/>
      <c r="N148" s="33"/>
      <c r="T148" s="18"/>
    </row>
    <row r="149" spans="1:20" s="62" customFormat="1" ht="15.75" customHeight="1" x14ac:dyDescent="0.35">
      <c r="A149" s="93">
        <f t="shared" si="0"/>
        <v>16</v>
      </c>
      <c r="B149" s="94"/>
      <c r="C149" s="61" t="s">
        <v>337</v>
      </c>
      <c r="D149" s="76">
        <f>(117.25)*10.764</f>
        <v>1262.079</v>
      </c>
      <c r="E149" s="76">
        <f t="shared" si="7"/>
        <v>127.87631999999998</v>
      </c>
      <c r="F149" s="61">
        <f t="shared" si="5"/>
        <v>1389.95532</v>
      </c>
      <c r="G149" s="61">
        <v>0</v>
      </c>
      <c r="H149" s="61">
        <f t="shared" si="6"/>
        <v>2084.93298</v>
      </c>
      <c r="I149" s="33"/>
      <c r="L149" s="190"/>
      <c r="M149" s="190"/>
      <c r="N149" s="33"/>
      <c r="T149" s="18"/>
    </row>
    <row r="150" spans="1:20" s="62" customFormat="1" ht="15.75" customHeight="1" x14ac:dyDescent="0.35">
      <c r="A150" s="93">
        <f t="shared" si="0"/>
        <v>17</v>
      </c>
      <c r="B150" s="94"/>
      <c r="C150" s="61" t="s">
        <v>338</v>
      </c>
      <c r="D150" s="76">
        <f>(107.75)*10.764</f>
        <v>1159.8209999999999</v>
      </c>
      <c r="E150" s="76">
        <f t="shared" si="7"/>
        <v>127.87631999999998</v>
      </c>
      <c r="F150" s="61">
        <f t="shared" si="5"/>
        <v>1287.69732</v>
      </c>
      <c r="G150" s="61">
        <v>0</v>
      </c>
      <c r="H150" s="61">
        <f t="shared" si="6"/>
        <v>1931.5459799999999</v>
      </c>
      <c r="I150" s="33"/>
      <c r="L150" s="190"/>
      <c r="M150" s="190"/>
      <c r="N150" s="33"/>
      <c r="T150" s="31"/>
    </row>
    <row r="151" spans="1:20" s="62" customFormat="1" ht="15.75" customHeight="1" x14ac:dyDescent="0.35">
      <c r="A151" s="93">
        <f t="shared" si="0"/>
        <v>18</v>
      </c>
      <c r="B151" s="94"/>
      <c r="C151" s="61" t="s">
        <v>339</v>
      </c>
      <c r="D151" s="76">
        <f>(156.25)*10.764</f>
        <v>1681.875</v>
      </c>
      <c r="E151" s="76">
        <f t="shared" si="7"/>
        <v>127.87631999999998</v>
      </c>
      <c r="F151" s="61">
        <f t="shared" si="5"/>
        <v>1809.7513200000001</v>
      </c>
      <c r="G151" s="61">
        <v>0</v>
      </c>
      <c r="H151" s="61">
        <f t="shared" si="6"/>
        <v>2714.62698</v>
      </c>
      <c r="I151" s="33"/>
      <c r="L151" s="190"/>
      <c r="M151" s="190"/>
      <c r="N151" s="33"/>
      <c r="T151" s="18"/>
    </row>
    <row r="152" spans="1:20" s="62" customFormat="1" ht="15.75" customHeight="1" x14ac:dyDescent="0.35">
      <c r="A152" s="93">
        <f t="shared" si="0"/>
        <v>19</v>
      </c>
      <c r="B152" s="94"/>
      <c r="C152" s="61" t="s">
        <v>340</v>
      </c>
      <c r="D152" s="76">
        <f>(38.61)*10.764</f>
        <v>415.59803999999997</v>
      </c>
      <c r="E152" s="76">
        <f t="shared" si="7"/>
        <v>127.87631999999998</v>
      </c>
      <c r="F152" s="61">
        <f t="shared" si="5"/>
        <v>543.47435999999993</v>
      </c>
      <c r="G152" s="61">
        <v>0</v>
      </c>
      <c r="H152" s="61">
        <f t="shared" si="6"/>
        <v>815.2115399999999</v>
      </c>
      <c r="I152" s="33"/>
      <c r="L152" s="190"/>
      <c r="M152" s="190"/>
      <c r="N152" s="33"/>
      <c r="T152" s="18"/>
    </row>
    <row r="153" spans="1:20" s="62" customFormat="1" ht="15.75" customHeight="1" x14ac:dyDescent="0.35">
      <c r="A153" s="93">
        <f t="shared" si="0"/>
        <v>20</v>
      </c>
      <c r="B153" s="94"/>
      <c r="C153" s="61" t="s">
        <v>341</v>
      </c>
      <c r="D153" s="76">
        <f>(38.61)*10.764</f>
        <v>415.59803999999997</v>
      </c>
      <c r="E153" s="76">
        <f t="shared" si="7"/>
        <v>127.87631999999998</v>
      </c>
      <c r="F153" s="61">
        <f t="shared" si="5"/>
        <v>543.47435999999993</v>
      </c>
      <c r="G153" s="61">
        <v>0</v>
      </c>
      <c r="H153" s="61">
        <f t="shared" si="6"/>
        <v>815.2115399999999</v>
      </c>
      <c r="I153" s="33"/>
      <c r="L153" s="190"/>
      <c r="M153" s="190"/>
      <c r="N153" s="33"/>
      <c r="T153" s="31"/>
    </row>
    <row r="154" spans="1:20" s="62" customFormat="1" ht="15.75" customHeight="1" x14ac:dyDescent="0.35">
      <c r="A154" s="93">
        <f t="shared" si="0"/>
        <v>21</v>
      </c>
      <c r="B154" s="94"/>
      <c r="C154" s="61" t="s">
        <v>342</v>
      </c>
      <c r="D154" s="76">
        <f>(38.61)*10.764</f>
        <v>415.59803999999997</v>
      </c>
      <c r="E154" s="76">
        <f t="shared" si="7"/>
        <v>127.87631999999998</v>
      </c>
      <c r="F154" s="61">
        <f t="shared" si="5"/>
        <v>543.47435999999993</v>
      </c>
      <c r="G154" s="61">
        <v>0</v>
      </c>
      <c r="H154" s="61">
        <f t="shared" si="6"/>
        <v>815.2115399999999</v>
      </c>
      <c r="I154" s="33"/>
      <c r="L154" s="190"/>
      <c r="M154" s="190"/>
      <c r="N154" s="33"/>
      <c r="T154" s="18"/>
    </row>
    <row r="155" spans="1:20" s="62" customFormat="1" ht="15.75" customHeight="1" x14ac:dyDescent="0.35">
      <c r="A155" s="93">
        <f t="shared" si="0"/>
        <v>22</v>
      </c>
      <c r="B155" s="94"/>
      <c r="C155" s="61" t="s">
        <v>343</v>
      </c>
      <c r="D155" s="76">
        <f>(172.94)*10.764</f>
        <v>1861.5261599999999</v>
      </c>
      <c r="E155" s="76">
        <f>(3*8.5)*10.764</f>
        <v>274.48199999999997</v>
      </c>
      <c r="F155" s="61">
        <f t="shared" si="5"/>
        <v>1998.7671599999999</v>
      </c>
      <c r="G155" s="61">
        <v>0</v>
      </c>
      <c r="H155" s="61">
        <f t="shared" si="6"/>
        <v>2998.15074</v>
      </c>
      <c r="I155" s="33"/>
      <c r="L155" s="190"/>
      <c r="M155" s="190"/>
      <c r="N155" s="33"/>
      <c r="T155" s="18"/>
    </row>
    <row r="156" spans="1:20" s="62" customFormat="1" x14ac:dyDescent="0.35">
      <c r="A156" s="138" t="s">
        <v>344</v>
      </c>
      <c r="B156" s="139"/>
      <c r="C156" s="139"/>
      <c r="D156" s="139"/>
      <c r="E156" s="139"/>
      <c r="F156" s="139"/>
      <c r="G156" s="139"/>
      <c r="H156" s="140"/>
      <c r="J156" s="33"/>
      <c r="T156" s="32"/>
    </row>
    <row r="157" spans="1:20" s="62" customFormat="1" ht="15.75" customHeight="1" x14ac:dyDescent="0.35">
      <c r="A157" s="93">
        <v>1</v>
      </c>
      <c r="B157" s="94"/>
      <c r="C157" s="61" t="s">
        <v>322</v>
      </c>
      <c r="D157" s="76">
        <f>(60.91)*10.764</f>
        <v>655.63523999999995</v>
      </c>
      <c r="E157" s="77">
        <f>(0.75*4.8)*10.764</f>
        <v>38.750399999999992</v>
      </c>
      <c r="F157" s="61">
        <f>D157+(IF(E157&lt;201,E157,IF(E157&lt;301,E157/2,E157/3)))</f>
        <v>694.38563999999997</v>
      </c>
      <c r="G157" s="55">
        <v>0</v>
      </c>
      <c r="H157" s="61">
        <f>(F157+(IF(G157&lt;101,G157,IF(G157&lt;201,G157/2,IF(G157&lt;=301,G157/3,G157/4)))))*(($H$131)+1)</f>
        <v>1041.57846</v>
      </c>
      <c r="I157" s="68"/>
      <c r="L157" s="190"/>
      <c r="M157" s="190"/>
      <c r="N157" s="33"/>
      <c r="T157" s="32"/>
    </row>
    <row r="158" spans="1:20" s="62" customFormat="1" ht="15.75" customHeight="1" x14ac:dyDescent="0.35">
      <c r="A158" s="93">
        <f t="shared" ref="A158:A176" si="8">A157+1</f>
        <v>2</v>
      </c>
      <c r="B158" s="94"/>
      <c r="C158" s="61" t="s">
        <v>323</v>
      </c>
      <c r="D158" s="76">
        <f>(47.67)*10.764</f>
        <v>513.11987999999997</v>
      </c>
      <c r="E158" s="77">
        <f>(0.75*3.96)*10.764</f>
        <v>31.969079999999995</v>
      </c>
      <c r="F158" s="61">
        <f t="shared" ref="F158:F176" si="9">D158+(IF(E158&lt;201,E158,IF(E158&lt;301,E158/2,E158/3)))</f>
        <v>545.08895999999993</v>
      </c>
      <c r="G158" s="61">
        <v>0</v>
      </c>
      <c r="H158" s="61">
        <f t="shared" ref="H158:H176" si="10">(F158+(IF(G158&lt;101,G158,IF(G158&lt;201,G158/2,IF(G158&lt;=301,G158/3,G158/4)))))*(($H$131)+1)</f>
        <v>817.63343999999984</v>
      </c>
      <c r="I158" s="33"/>
      <c r="L158" s="190"/>
      <c r="M158" s="190"/>
      <c r="N158" s="33"/>
      <c r="T158" s="31"/>
    </row>
    <row r="159" spans="1:20" s="62" customFormat="1" ht="15.75" customHeight="1" x14ac:dyDescent="0.35">
      <c r="A159" s="93">
        <f t="shared" si="8"/>
        <v>3</v>
      </c>
      <c r="B159" s="94"/>
      <c r="C159" s="61" t="s">
        <v>324</v>
      </c>
      <c r="D159" s="76">
        <f>(70.5)*10.764</f>
        <v>758.86199999999997</v>
      </c>
      <c r="E159" s="77">
        <f>(0.75*9.3)*10.764</f>
        <v>75.078900000000004</v>
      </c>
      <c r="F159" s="61">
        <f t="shared" si="9"/>
        <v>833.94089999999994</v>
      </c>
      <c r="G159" s="61">
        <v>0</v>
      </c>
      <c r="H159" s="61">
        <f t="shared" si="10"/>
        <v>1250.9113499999999</v>
      </c>
      <c r="I159" s="33"/>
      <c r="L159" s="190"/>
      <c r="M159" s="190"/>
      <c r="N159" s="33"/>
      <c r="T159" s="18"/>
    </row>
    <row r="160" spans="1:20" s="62" customFormat="1" ht="15.75" customHeight="1" x14ac:dyDescent="0.35">
      <c r="A160" s="93">
        <f t="shared" si="8"/>
        <v>4</v>
      </c>
      <c r="B160" s="94"/>
      <c r="C160" s="61" t="s">
        <v>325</v>
      </c>
      <c r="D160" s="76">
        <f>(17.81)*10.764</f>
        <v>191.70683999999997</v>
      </c>
      <c r="E160" s="76">
        <v>0</v>
      </c>
      <c r="F160" s="61">
        <f t="shared" si="9"/>
        <v>191.70683999999997</v>
      </c>
      <c r="G160" s="61">
        <v>0</v>
      </c>
      <c r="H160" s="61">
        <f t="shared" si="10"/>
        <v>287.56025999999997</v>
      </c>
      <c r="I160" s="33"/>
      <c r="L160" s="190"/>
      <c r="M160" s="190"/>
      <c r="N160" s="33"/>
      <c r="T160" s="18"/>
    </row>
    <row r="161" spans="1:20" s="62" customFormat="1" ht="15.75" customHeight="1" x14ac:dyDescent="0.35">
      <c r="A161" s="93">
        <f t="shared" si="8"/>
        <v>5</v>
      </c>
      <c r="B161" s="94"/>
      <c r="C161" s="61" t="s">
        <v>326</v>
      </c>
      <c r="D161" s="76">
        <f>(23.32)*10.764</f>
        <v>251.01648</v>
      </c>
      <c r="E161" s="76">
        <v>0</v>
      </c>
      <c r="F161" s="61">
        <f t="shared" si="9"/>
        <v>251.01648</v>
      </c>
      <c r="G161" s="61">
        <v>0</v>
      </c>
      <c r="H161" s="61">
        <f t="shared" si="10"/>
        <v>376.52472</v>
      </c>
      <c r="I161" s="33"/>
      <c r="L161" s="190"/>
      <c r="M161" s="190"/>
      <c r="N161" s="33"/>
      <c r="T161" s="31"/>
    </row>
    <row r="162" spans="1:20" s="62" customFormat="1" ht="15.75" customHeight="1" x14ac:dyDescent="0.35">
      <c r="A162" s="93">
        <f t="shared" si="8"/>
        <v>6</v>
      </c>
      <c r="B162" s="94"/>
      <c r="C162" s="61" t="s">
        <v>327</v>
      </c>
      <c r="D162" s="76">
        <f>(16.71)*10.764</f>
        <v>179.86644000000001</v>
      </c>
      <c r="E162" s="76">
        <v>0</v>
      </c>
      <c r="F162" s="61">
        <f t="shared" si="9"/>
        <v>179.86644000000001</v>
      </c>
      <c r="G162" s="61">
        <v>0</v>
      </c>
      <c r="H162" s="61">
        <f t="shared" si="10"/>
        <v>269.79966000000002</v>
      </c>
      <c r="I162" s="33"/>
      <c r="L162" s="190"/>
      <c r="M162" s="190"/>
      <c r="N162" s="33"/>
      <c r="T162" s="18"/>
    </row>
    <row r="163" spans="1:20" s="62" customFormat="1" ht="15.75" customHeight="1" x14ac:dyDescent="0.35">
      <c r="A163" s="93">
        <f t="shared" si="8"/>
        <v>7</v>
      </c>
      <c r="B163" s="94"/>
      <c r="C163" s="61" t="s">
        <v>328</v>
      </c>
      <c r="D163" s="76">
        <f>(14.9)*10.764</f>
        <v>160.3836</v>
      </c>
      <c r="E163" s="76">
        <v>0</v>
      </c>
      <c r="F163" s="61">
        <f t="shared" si="9"/>
        <v>160.3836</v>
      </c>
      <c r="G163" s="61">
        <v>0</v>
      </c>
      <c r="H163" s="61">
        <f t="shared" si="10"/>
        <v>240.5754</v>
      </c>
      <c r="I163" s="33"/>
      <c r="L163" s="190"/>
      <c r="M163" s="190"/>
      <c r="N163" s="33"/>
      <c r="T163" s="18"/>
    </row>
    <row r="164" spans="1:20" s="62" customFormat="1" ht="15.75" customHeight="1" x14ac:dyDescent="0.35">
      <c r="A164" s="93">
        <f t="shared" si="8"/>
        <v>8</v>
      </c>
      <c r="B164" s="94"/>
      <c r="C164" s="61" t="s">
        <v>329</v>
      </c>
      <c r="D164" s="76">
        <f>(10.3)*10.764</f>
        <v>110.86920000000001</v>
      </c>
      <c r="E164" s="76">
        <v>0</v>
      </c>
      <c r="F164" s="61">
        <f t="shared" si="9"/>
        <v>110.86920000000001</v>
      </c>
      <c r="G164" s="61">
        <v>0</v>
      </c>
      <c r="H164" s="61">
        <f t="shared" si="10"/>
        <v>166.30380000000002</v>
      </c>
      <c r="I164" s="33"/>
      <c r="L164" s="190"/>
      <c r="M164" s="190"/>
      <c r="N164" s="33"/>
      <c r="T164" s="31"/>
    </row>
    <row r="165" spans="1:20" s="62" customFormat="1" ht="15.75" customHeight="1" x14ac:dyDescent="0.35">
      <c r="A165" s="93">
        <f t="shared" si="8"/>
        <v>9</v>
      </c>
      <c r="B165" s="94"/>
      <c r="C165" s="61" t="s">
        <v>330</v>
      </c>
      <c r="D165" s="76">
        <f>(40.6)*10.764</f>
        <v>437.01839999999999</v>
      </c>
      <c r="E165" s="76">
        <v>0</v>
      </c>
      <c r="F165" s="61">
        <f t="shared" si="9"/>
        <v>437.01839999999999</v>
      </c>
      <c r="G165" s="61">
        <v>0</v>
      </c>
      <c r="H165" s="61">
        <f t="shared" si="10"/>
        <v>655.52760000000001</v>
      </c>
      <c r="I165" s="33"/>
      <c r="L165" s="190"/>
      <c r="M165" s="190"/>
      <c r="N165" s="33"/>
      <c r="T165" s="18"/>
    </row>
    <row r="166" spans="1:20" s="62" customFormat="1" ht="15.75" customHeight="1" x14ac:dyDescent="0.35">
      <c r="A166" s="93">
        <f t="shared" si="8"/>
        <v>10</v>
      </c>
      <c r="B166" s="94"/>
      <c r="C166" s="61" t="s">
        <v>331</v>
      </c>
      <c r="D166" s="76">
        <f>(47.67)*10.764</f>
        <v>513.11987999999997</v>
      </c>
      <c r="E166" s="76">
        <v>0</v>
      </c>
      <c r="F166" s="61">
        <f t="shared" si="9"/>
        <v>513.11987999999997</v>
      </c>
      <c r="G166" s="61">
        <v>0</v>
      </c>
      <c r="H166" s="61">
        <f t="shared" si="10"/>
        <v>769.67981999999995</v>
      </c>
      <c r="I166" s="33"/>
      <c r="L166" s="190"/>
      <c r="M166" s="190"/>
      <c r="N166" s="33"/>
      <c r="T166" s="18"/>
    </row>
    <row r="167" spans="1:20" s="62" customFormat="1" ht="15.75" customHeight="1" x14ac:dyDescent="0.35">
      <c r="A167" s="93">
        <f t="shared" si="8"/>
        <v>11</v>
      </c>
      <c r="B167" s="94"/>
      <c r="C167" s="61" t="s">
        <v>332</v>
      </c>
      <c r="D167" s="76">
        <f>(189.58)*10.764</f>
        <v>2040.63912</v>
      </c>
      <c r="E167" s="76">
        <f>(0.75*8.08)*10.764</f>
        <v>65.229839999999996</v>
      </c>
      <c r="F167" s="61">
        <f t="shared" si="9"/>
        <v>2105.8689600000002</v>
      </c>
      <c r="G167" s="61">
        <v>0</v>
      </c>
      <c r="H167" s="61">
        <f t="shared" si="10"/>
        <v>3158.8034400000006</v>
      </c>
      <c r="I167" s="33"/>
      <c r="L167" s="190"/>
      <c r="M167" s="190"/>
      <c r="N167" s="33"/>
      <c r="T167" s="31"/>
    </row>
    <row r="168" spans="1:20" s="62" customFormat="1" ht="15.75" customHeight="1" x14ac:dyDescent="0.35">
      <c r="A168" s="93">
        <f t="shared" si="8"/>
        <v>12</v>
      </c>
      <c r="B168" s="94"/>
      <c r="C168" s="61" t="s">
        <v>333</v>
      </c>
      <c r="D168" s="76">
        <f>(116.75)*10.764</f>
        <v>1256.6969999999999</v>
      </c>
      <c r="E168" s="76">
        <f>(0.75*(3.96+4.11))*10.764</f>
        <v>65.149109999999993</v>
      </c>
      <c r="F168" s="61">
        <f t="shared" si="9"/>
        <v>1321.84611</v>
      </c>
      <c r="G168" s="61">
        <v>0</v>
      </c>
      <c r="H168" s="61">
        <f t="shared" si="10"/>
        <v>1982.7691649999999</v>
      </c>
      <c r="I168" s="33"/>
      <c r="L168" s="190"/>
      <c r="M168" s="190"/>
      <c r="N168" s="33"/>
      <c r="T168" s="18"/>
    </row>
    <row r="169" spans="1:20" s="62" customFormat="1" ht="15.75" customHeight="1" x14ac:dyDescent="0.35">
      <c r="A169" s="93">
        <f t="shared" si="8"/>
        <v>13</v>
      </c>
      <c r="B169" s="94"/>
      <c r="C169" s="61" t="s">
        <v>334</v>
      </c>
      <c r="D169" s="76">
        <f>(38.61)*10.764</f>
        <v>415.59803999999997</v>
      </c>
      <c r="E169" s="76">
        <v>0</v>
      </c>
      <c r="F169" s="61">
        <f t="shared" si="9"/>
        <v>415.59803999999997</v>
      </c>
      <c r="G169" s="61">
        <v>0</v>
      </c>
      <c r="H169" s="61">
        <f t="shared" si="10"/>
        <v>623.39706000000001</v>
      </c>
      <c r="I169" s="33"/>
      <c r="L169" s="190"/>
      <c r="M169" s="190"/>
      <c r="N169" s="33"/>
      <c r="T169" s="18"/>
    </row>
    <row r="170" spans="1:20" s="62" customFormat="1" ht="15.75" customHeight="1" x14ac:dyDescent="0.35">
      <c r="A170" s="93">
        <f t="shared" si="8"/>
        <v>14</v>
      </c>
      <c r="B170" s="94"/>
      <c r="C170" s="61" t="s">
        <v>335</v>
      </c>
      <c r="D170" s="76">
        <f>(38.61)*10.764</f>
        <v>415.59803999999997</v>
      </c>
      <c r="E170" s="76">
        <v>0</v>
      </c>
      <c r="F170" s="61">
        <f t="shared" si="9"/>
        <v>415.59803999999997</v>
      </c>
      <c r="G170" s="61">
        <v>0</v>
      </c>
      <c r="H170" s="61">
        <f t="shared" si="10"/>
        <v>623.39706000000001</v>
      </c>
      <c r="I170" s="33"/>
      <c r="L170" s="190"/>
      <c r="M170" s="190"/>
      <c r="N170" s="33"/>
      <c r="T170" s="31"/>
    </row>
    <row r="171" spans="1:20" s="62" customFormat="1" ht="15.75" customHeight="1" x14ac:dyDescent="0.35">
      <c r="A171" s="93">
        <f t="shared" si="8"/>
        <v>15</v>
      </c>
      <c r="B171" s="94"/>
      <c r="C171" s="61" t="s">
        <v>336</v>
      </c>
      <c r="D171" s="76">
        <f>(116.75)*10.764</f>
        <v>1256.6969999999999</v>
      </c>
      <c r="E171" s="76">
        <f>(0.75*(3.96+4.11))*10.764</f>
        <v>65.149109999999993</v>
      </c>
      <c r="F171" s="61">
        <f t="shared" si="9"/>
        <v>1321.84611</v>
      </c>
      <c r="G171" s="61">
        <v>0</v>
      </c>
      <c r="H171" s="61">
        <f t="shared" si="10"/>
        <v>1982.7691649999999</v>
      </c>
      <c r="I171" s="33"/>
      <c r="L171" s="190"/>
      <c r="M171" s="190"/>
      <c r="N171" s="33"/>
      <c r="T171" s="18"/>
    </row>
    <row r="172" spans="1:20" s="62" customFormat="1" ht="15.75" customHeight="1" x14ac:dyDescent="0.35">
      <c r="A172" s="93">
        <f t="shared" si="8"/>
        <v>16</v>
      </c>
      <c r="B172" s="94"/>
      <c r="C172" s="61" t="s">
        <v>337</v>
      </c>
      <c r="D172" s="76">
        <f>(117.25)*10.764</f>
        <v>1262.079</v>
      </c>
      <c r="E172" s="76">
        <f>(0.75*(3.96+3.2))*10.764</f>
        <v>57.802679999999995</v>
      </c>
      <c r="F172" s="61">
        <f t="shared" si="9"/>
        <v>1319.88168</v>
      </c>
      <c r="G172" s="61">
        <v>0</v>
      </c>
      <c r="H172" s="61">
        <f t="shared" si="10"/>
        <v>1979.8225199999999</v>
      </c>
      <c r="I172" s="33"/>
      <c r="L172" s="190"/>
      <c r="M172" s="190"/>
      <c r="N172" s="33"/>
      <c r="T172" s="18"/>
    </row>
    <row r="173" spans="1:20" s="62" customFormat="1" ht="15.75" customHeight="1" x14ac:dyDescent="0.35">
      <c r="A173" s="93">
        <f t="shared" si="8"/>
        <v>17</v>
      </c>
      <c r="B173" s="94"/>
      <c r="C173" s="61" t="s">
        <v>338</v>
      </c>
      <c r="D173" s="76">
        <f>(107.75)*10.764</f>
        <v>1159.8209999999999</v>
      </c>
      <c r="E173" s="76">
        <f>(0.75*(3.96+1.98))*10.764</f>
        <v>47.953620000000001</v>
      </c>
      <c r="F173" s="61">
        <f t="shared" si="9"/>
        <v>1207.7746199999999</v>
      </c>
      <c r="G173" s="61">
        <v>0</v>
      </c>
      <c r="H173" s="61">
        <f t="shared" si="10"/>
        <v>1811.6619299999998</v>
      </c>
      <c r="I173" s="33"/>
      <c r="L173" s="190"/>
      <c r="M173" s="190"/>
      <c r="N173" s="33"/>
      <c r="T173" s="31"/>
    </row>
    <row r="174" spans="1:20" s="62" customFormat="1" ht="15.75" customHeight="1" x14ac:dyDescent="0.35">
      <c r="A174" s="93">
        <f t="shared" si="8"/>
        <v>18</v>
      </c>
      <c r="B174" s="94"/>
      <c r="C174" s="61" t="s">
        <v>339</v>
      </c>
      <c r="D174" s="76">
        <f>(38.61)*10.764</f>
        <v>415.59803999999997</v>
      </c>
      <c r="E174" s="76">
        <v>0</v>
      </c>
      <c r="F174" s="61">
        <f t="shared" si="9"/>
        <v>415.59803999999997</v>
      </c>
      <c r="G174" s="61">
        <v>0</v>
      </c>
      <c r="H174" s="61">
        <f t="shared" si="10"/>
        <v>623.39706000000001</v>
      </c>
      <c r="I174" s="33"/>
      <c r="L174" s="190"/>
      <c r="M174" s="190"/>
      <c r="N174" s="33"/>
      <c r="T174" s="18"/>
    </row>
    <row r="175" spans="1:20" s="62" customFormat="1" ht="15.75" customHeight="1" x14ac:dyDescent="0.35">
      <c r="A175" s="93">
        <f t="shared" si="8"/>
        <v>19</v>
      </c>
      <c r="B175" s="94"/>
      <c r="C175" s="61" t="s">
        <v>340</v>
      </c>
      <c r="D175" s="76">
        <f>(377.4)*10.764</f>
        <v>4062.3335999999995</v>
      </c>
      <c r="E175" s="76">
        <f>(0.75*(11.2+4.11))*10.764</f>
        <v>123.59762999999997</v>
      </c>
      <c r="F175" s="61">
        <f t="shared" si="9"/>
        <v>4185.9312299999992</v>
      </c>
      <c r="G175" s="61">
        <v>0</v>
      </c>
      <c r="H175" s="61">
        <f t="shared" si="10"/>
        <v>6278.8968449999993</v>
      </c>
      <c r="I175" s="33"/>
      <c r="L175" s="190"/>
      <c r="M175" s="190"/>
      <c r="N175" s="33"/>
      <c r="T175" s="18"/>
    </row>
    <row r="176" spans="1:20" s="62" customFormat="1" ht="15.75" customHeight="1" x14ac:dyDescent="0.35">
      <c r="A176" s="93">
        <f t="shared" si="8"/>
        <v>20</v>
      </c>
      <c r="B176" s="94"/>
      <c r="C176" s="61" t="s">
        <v>341</v>
      </c>
      <c r="D176" s="76">
        <f>(34.12)*10.764</f>
        <v>367.26767999999993</v>
      </c>
      <c r="E176" s="76">
        <v>0</v>
      </c>
      <c r="F176" s="61">
        <f t="shared" si="9"/>
        <v>367.26767999999993</v>
      </c>
      <c r="G176" s="61">
        <v>0</v>
      </c>
      <c r="H176" s="61">
        <f t="shared" si="10"/>
        <v>550.90151999999989</v>
      </c>
      <c r="I176" s="33"/>
      <c r="L176" s="190"/>
      <c r="M176" s="190"/>
      <c r="N176" s="33"/>
      <c r="T176" s="31"/>
    </row>
    <row r="177" spans="1:20" s="69" customFormat="1" x14ac:dyDescent="0.35">
      <c r="A177" s="138" t="s">
        <v>345</v>
      </c>
      <c r="B177" s="139"/>
      <c r="C177" s="139"/>
      <c r="D177" s="139"/>
      <c r="E177" s="139"/>
      <c r="F177" s="139"/>
      <c r="G177" s="139"/>
      <c r="H177" s="140"/>
      <c r="J177" s="33"/>
      <c r="T177" s="32"/>
    </row>
    <row r="178" spans="1:20" s="69" customFormat="1" ht="15.75" customHeight="1" x14ac:dyDescent="0.35">
      <c r="A178" s="93">
        <v>1</v>
      </c>
      <c r="B178" s="94"/>
      <c r="C178" s="70" t="s">
        <v>322</v>
      </c>
      <c r="D178" s="76">
        <f>(60.91)*10.764</f>
        <v>655.63523999999995</v>
      </c>
      <c r="E178" s="77">
        <f>(0.75*4.8)*10.764</f>
        <v>38.750399999999992</v>
      </c>
      <c r="F178" s="70">
        <f>D178+(IF(E178&lt;201,E178,IF(E178&lt;301,E178/2,E178/3)))</f>
        <v>694.38563999999997</v>
      </c>
      <c r="G178" s="55">
        <v>0</v>
      </c>
      <c r="H178" s="70">
        <f>(F178+(IF(G178&lt;101,G178,IF(G178&lt;201,G178/2,IF(G178&lt;=301,G178/3,G178/4)))))*(($H$131)+1)</f>
        <v>1041.57846</v>
      </c>
      <c r="I178" s="68"/>
      <c r="L178" s="190"/>
      <c r="M178" s="190"/>
      <c r="N178" s="33"/>
      <c r="T178" s="32"/>
    </row>
    <row r="179" spans="1:20" s="69" customFormat="1" ht="15.75" customHeight="1" x14ac:dyDescent="0.35">
      <c r="A179" s="93">
        <f t="shared" ref="A179:A200" si="11">A178+1</f>
        <v>2</v>
      </c>
      <c r="B179" s="94"/>
      <c r="C179" s="70" t="s">
        <v>323</v>
      </c>
      <c r="D179" s="76">
        <f>(47.67)*10.764</f>
        <v>513.11987999999997</v>
      </c>
      <c r="E179" s="77">
        <f>(0.75*3.96)*10.764</f>
        <v>31.969079999999995</v>
      </c>
      <c r="F179" s="70">
        <f t="shared" ref="F179:F199" si="12">D179+(IF(E179&lt;201,E179,IF(E179&lt;301,E179/2,E179/3)))</f>
        <v>545.08895999999993</v>
      </c>
      <c r="G179" s="70">
        <v>0</v>
      </c>
      <c r="H179" s="70">
        <f t="shared" ref="H179:H199" si="13">(F179+(IF(G179&lt;101,G179,IF(G179&lt;201,G179/2,IF(G179&lt;=301,G179/3,G179/4)))))*(($H$131)+1)</f>
        <v>817.63343999999984</v>
      </c>
      <c r="I179" s="33"/>
      <c r="L179" s="190"/>
      <c r="M179" s="190"/>
      <c r="N179" s="33"/>
      <c r="T179" s="31"/>
    </row>
    <row r="180" spans="1:20" s="69" customFormat="1" ht="15.75" customHeight="1" x14ac:dyDescent="0.35">
      <c r="A180" s="93">
        <f t="shared" si="11"/>
        <v>3</v>
      </c>
      <c r="B180" s="94"/>
      <c r="C180" s="70" t="s">
        <v>324</v>
      </c>
      <c r="D180" s="76">
        <f>(70.5)*10.764</f>
        <v>758.86199999999997</v>
      </c>
      <c r="E180" s="77">
        <f>(0.75*9.3)*10.764</f>
        <v>75.078900000000004</v>
      </c>
      <c r="F180" s="70">
        <f t="shared" si="12"/>
        <v>833.94089999999994</v>
      </c>
      <c r="G180" s="70">
        <v>0</v>
      </c>
      <c r="H180" s="70">
        <f t="shared" si="13"/>
        <v>1250.9113499999999</v>
      </c>
      <c r="I180" s="33"/>
      <c r="L180" s="190"/>
      <c r="M180" s="190"/>
      <c r="N180" s="33"/>
      <c r="T180" s="18"/>
    </row>
    <row r="181" spans="1:20" s="69" customFormat="1" ht="15.75" customHeight="1" x14ac:dyDescent="0.35">
      <c r="A181" s="93">
        <f t="shared" si="11"/>
        <v>4</v>
      </c>
      <c r="B181" s="94"/>
      <c r="C181" s="70" t="s">
        <v>325</v>
      </c>
      <c r="D181" s="76">
        <f>(17.81)*10.764</f>
        <v>191.70683999999997</v>
      </c>
      <c r="E181" s="76">
        <v>0</v>
      </c>
      <c r="F181" s="70">
        <f t="shared" si="12"/>
        <v>191.70683999999997</v>
      </c>
      <c r="G181" s="70">
        <v>0</v>
      </c>
      <c r="H181" s="70">
        <f t="shared" si="13"/>
        <v>287.56025999999997</v>
      </c>
      <c r="I181" s="33"/>
      <c r="L181" s="190"/>
      <c r="M181" s="190"/>
      <c r="N181" s="33"/>
      <c r="T181" s="18"/>
    </row>
    <row r="182" spans="1:20" s="69" customFormat="1" ht="15.75" customHeight="1" x14ac:dyDescent="0.35">
      <c r="A182" s="93">
        <f t="shared" si="11"/>
        <v>5</v>
      </c>
      <c r="B182" s="94"/>
      <c r="C182" s="70" t="s">
        <v>326</v>
      </c>
      <c r="D182" s="76">
        <f>(23.32)*10.764</f>
        <v>251.01648</v>
      </c>
      <c r="E182" s="76">
        <v>0</v>
      </c>
      <c r="F182" s="70">
        <f t="shared" si="12"/>
        <v>251.01648</v>
      </c>
      <c r="G182" s="70">
        <v>0</v>
      </c>
      <c r="H182" s="70">
        <f t="shared" si="13"/>
        <v>376.52472</v>
      </c>
      <c r="I182" s="33"/>
      <c r="L182" s="190"/>
      <c r="M182" s="190"/>
      <c r="N182" s="33"/>
      <c r="T182" s="31"/>
    </row>
    <row r="183" spans="1:20" s="69" customFormat="1" ht="15.75" customHeight="1" x14ac:dyDescent="0.35">
      <c r="A183" s="93">
        <f t="shared" si="11"/>
        <v>6</v>
      </c>
      <c r="B183" s="94"/>
      <c r="C183" s="70" t="s">
        <v>327</v>
      </c>
      <c r="D183" s="76">
        <f>(16.71)*10.764</f>
        <v>179.86644000000001</v>
      </c>
      <c r="E183" s="76">
        <v>0</v>
      </c>
      <c r="F183" s="70">
        <f t="shared" si="12"/>
        <v>179.86644000000001</v>
      </c>
      <c r="G183" s="70">
        <v>0</v>
      </c>
      <c r="H183" s="70">
        <f t="shared" si="13"/>
        <v>269.79966000000002</v>
      </c>
      <c r="I183" s="33"/>
      <c r="L183" s="190"/>
      <c r="M183" s="190"/>
      <c r="N183" s="33"/>
      <c r="T183" s="18"/>
    </row>
    <row r="184" spans="1:20" s="69" customFormat="1" ht="15.75" customHeight="1" x14ac:dyDescent="0.35">
      <c r="A184" s="93">
        <f t="shared" si="11"/>
        <v>7</v>
      </c>
      <c r="B184" s="94"/>
      <c r="C184" s="70" t="s">
        <v>328</v>
      </c>
      <c r="D184" s="76">
        <f>(14.9)*10.764</f>
        <v>160.3836</v>
      </c>
      <c r="E184" s="76">
        <v>0</v>
      </c>
      <c r="F184" s="70">
        <f t="shared" si="12"/>
        <v>160.3836</v>
      </c>
      <c r="G184" s="70">
        <v>0</v>
      </c>
      <c r="H184" s="70">
        <f t="shared" si="13"/>
        <v>240.5754</v>
      </c>
      <c r="I184" s="33"/>
      <c r="L184" s="190"/>
      <c r="M184" s="190"/>
      <c r="N184" s="33"/>
      <c r="T184" s="18"/>
    </row>
    <row r="185" spans="1:20" s="69" customFormat="1" ht="15.75" customHeight="1" x14ac:dyDescent="0.35">
      <c r="A185" s="93">
        <f t="shared" si="11"/>
        <v>8</v>
      </c>
      <c r="B185" s="94"/>
      <c r="C185" s="70" t="s">
        <v>329</v>
      </c>
      <c r="D185" s="76">
        <f>(10.3)*10.764</f>
        <v>110.86920000000001</v>
      </c>
      <c r="E185" s="76">
        <v>0</v>
      </c>
      <c r="F185" s="70">
        <f t="shared" si="12"/>
        <v>110.86920000000001</v>
      </c>
      <c r="G185" s="70">
        <v>0</v>
      </c>
      <c r="H185" s="70">
        <f t="shared" si="13"/>
        <v>166.30380000000002</v>
      </c>
      <c r="I185" s="33"/>
      <c r="L185" s="190"/>
      <c r="M185" s="190"/>
      <c r="N185" s="33"/>
      <c r="T185" s="31"/>
    </row>
    <row r="186" spans="1:20" s="69" customFormat="1" ht="15.75" customHeight="1" x14ac:dyDescent="0.35">
      <c r="A186" s="93">
        <f t="shared" si="11"/>
        <v>9</v>
      </c>
      <c r="B186" s="94"/>
      <c r="C186" s="70" t="s">
        <v>330</v>
      </c>
      <c r="D186" s="76">
        <f>(40.6)*10.764</f>
        <v>437.01839999999999</v>
      </c>
      <c r="E186" s="76">
        <v>0</v>
      </c>
      <c r="F186" s="70">
        <f t="shared" si="12"/>
        <v>437.01839999999999</v>
      </c>
      <c r="G186" s="70">
        <v>0</v>
      </c>
      <c r="H186" s="70">
        <f t="shared" si="13"/>
        <v>655.52760000000001</v>
      </c>
      <c r="I186" s="33"/>
      <c r="L186" s="190"/>
      <c r="M186" s="190"/>
      <c r="N186" s="33"/>
      <c r="T186" s="18"/>
    </row>
    <row r="187" spans="1:20" s="69" customFormat="1" ht="15.75" customHeight="1" x14ac:dyDescent="0.35">
      <c r="A187" s="93">
        <f t="shared" si="11"/>
        <v>10</v>
      </c>
      <c r="B187" s="94"/>
      <c r="C187" s="70" t="s">
        <v>331</v>
      </c>
      <c r="D187" s="76">
        <f>(47.67)*10.764</f>
        <v>513.11987999999997</v>
      </c>
      <c r="E187" s="76">
        <v>0</v>
      </c>
      <c r="F187" s="70">
        <f t="shared" si="12"/>
        <v>513.11987999999997</v>
      </c>
      <c r="G187" s="70">
        <v>0</v>
      </c>
      <c r="H187" s="70">
        <f t="shared" si="13"/>
        <v>769.67981999999995</v>
      </c>
      <c r="I187" s="33"/>
      <c r="L187" s="190"/>
      <c r="M187" s="190"/>
      <c r="N187" s="33"/>
      <c r="T187" s="18"/>
    </row>
    <row r="188" spans="1:20" s="69" customFormat="1" ht="15.75" customHeight="1" x14ac:dyDescent="0.35">
      <c r="A188" s="93">
        <f t="shared" si="11"/>
        <v>11</v>
      </c>
      <c r="B188" s="94"/>
      <c r="C188" s="70" t="s">
        <v>332</v>
      </c>
      <c r="D188" s="76">
        <f>(189.58)*10.764</f>
        <v>2040.63912</v>
      </c>
      <c r="E188" s="76">
        <f>(0.75*8.08)*10.764</f>
        <v>65.229839999999996</v>
      </c>
      <c r="F188" s="70">
        <f t="shared" si="12"/>
        <v>2105.8689600000002</v>
      </c>
      <c r="G188" s="70">
        <v>0</v>
      </c>
      <c r="H188" s="70">
        <f t="shared" si="13"/>
        <v>3158.8034400000006</v>
      </c>
      <c r="I188" s="33"/>
      <c r="L188" s="190"/>
      <c r="M188" s="190"/>
      <c r="N188" s="33"/>
      <c r="T188" s="31"/>
    </row>
    <row r="189" spans="1:20" s="69" customFormat="1" ht="15.75" customHeight="1" x14ac:dyDescent="0.35">
      <c r="A189" s="93">
        <f t="shared" si="11"/>
        <v>12</v>
      </c>
      <c r="B189" s="94"/>
      <c r="C189" s="70" t="s">
        <v>333</v>
      </c>
      <c r="D189" s="76">
        <f>(116.75)*10.764</f>
        <v>1256.6969999999999</v>
      </c>
      <c r="E189" s="76">
        <f>(0.75*(3.96+4.11))*10.764</f>
        <v>65.149109999999993</v>
      </c>
      <c r="F189" s="70">
        <f t="shared" si="12"/>
        <v>1321.84611</v>
      </c>
      <c r="G189" s="70">
        <v>0</v>
      </c>
      <c r="H189" s="70">
        <f t="shared" si="13"/>
        <v>1982.7691649999999</v>
      </c>
      <c r="I189" s="33"/>
      <c r="L189" s="190"/>
      <c r="M189" s="190"/>
      <c r="N189" s="33"/>
      <c r="T189" s="18"/>
    </row>
    <row r="190" spans="1:20" s="69" customFormat="1" ht="15.75" customHeight="1" x14ac:dyDescent="0.35">
      <c r="A190" s="93">
        <f t="shared" si="11"/>
        <v>13</v>
      </c>
      <c r="B190" s="94"/>
      <c r="C190" s="70" t="s">
        <v>334</v>
      </c>
      <c r="D190" s="76">
        <f>(38.61)*10.764</f>
        <v>415.59803999999997</v>
      </c>
      <c r="E190" s="76">
        <v>0</v>
      </c>
      <c r="F190" s="70">
        <f t="shared" si="12"/>
        <v>415.59803999999997</v>
      </c>
      <c r="G190" s="70">
        <v>0</v>
      </c>
      <c r="H190" s="70">
        <f t="shared" si="13"/>
        <v>623.39706000000001</v>
      </c>
      <c r="I190" s="33"/>
      <c r="L190" s="190"/>
      <c r="M190" s="190"/>
      <c r="N190" s="33"/>
      <c r="T190" s="18"/>
    </row>
    <row r="191" spans="1:20" s="69" customFormat="1" ht="15.75" customHeight="1" x14ac:dyDescent="0.35">
      <c r="A191" s="93">
        <f t="shared" si="11"/>
        <v>14</v>
      </c>
      <c r="B191" s="94"/>
      <c r="C191" s="70" t="s">
        <v>335</v>
      </c>
      <c r="D191" s="76">
        <f>(38.61)*10.764</f>
        <v>415.59803999999997</v>
      </c>
      <c r="E191" s="76">
        <v>0</v>
      </c>
      <c r="F191" s="70">
        <f t="shared" si="12"/>
        <v>415.59803999999997</v>
      </c>
      <c r="G191" s="70">
        <v>0</v>
      </c>
      <c r="H191" s="70">
        <f t="shared" si="13"/>
        <v>623.39706000000001</v>
      </c>
      <c r="I191" s="33"/>
      <c r="L191" s="190"/>
      <c r="M191" s="190"/>
      <c r="N191" s="33"/>
      <c r="T191" s="31"/>
    </row>
    <row r="192" spans="1:20" s="69" customFormat="1" ht="15.75" customHeight="1" x14ac:dyDescent="0.35">
      <c r="A192" s="93">
        <f t="shared" si="11"/>
        <v>15</v>
      </c>
      <c r="B192" s="94"/>
      <c r="C192" s="70" t="s">
        <v>336</v>
      </c>
      <c r="D192" s="76">
        <f>(116.75)*10.764</f>
        <v>1256.6969999999999</v>
      </c>
      <c r="E192" s="76">
        <f>(0.75*(3.96+4.11))*10.764</f>
        <v>65.149109999999993</v>
      </c>
      <c r="F192" s="70">
        <f t="shared" si="12"/>
        <v>1321.84611</v>
      </c>
      <c r="G192" s="70">
        <v>0</v>
      </c>
      <c r="H192" s="70">
        <f t="shared" si="13"/>
        <v>1982.7691649999999</v>
      </c>
      <c r="I192" s="33"/>
      <c r="L192" s="190"/>
      <c r="M192" s="190"/>
      <c r="N192" s="33"/>
      <c r="T192" s="18"/>
    </row>
    <row r="193" spans="1:20" s="69" customFormat="1" ht="15.75" customHeight="1" x14ac:dyDescent="0.35">
      <c r="A193" s="93">
        <f t="shared" si="11"/>
        <v>16</v>
      </c>
      <c r="B193" s="94"/>
      <c r="C193" s="70" t="s">
        <v>337</v>
      </c>
      <c r="D193" s="76">
        <f>(117.25)*10.764</f>
        <v>1262.079</v>
      </c>
      <c r="E193" s="76">
        <f>(0.75*(3.96+3.2))*10.764</f>
        <v>57.802679999999995</v>
      </c>
      <c r="F193" s="70">
        <f t="shared" si="12"/>
        <v>1319.88168</v>
      </c>
      <c r="G193" s="70">
        <v>0</v>
      </c>
      <c r="H193" s="70">
        <f t="shared" si="13"/>
        <v>1979.8225199999999</v>
      </c>
      <c r="I193" s="33"/>
      <c r="L193" s="190"/>
      <c r="M193" s="190"/>
      <c r="N193" s="33"/>
      <c r="T193" s="18"/>
    </row>
    <row r="194" spans="1:20" s="69" customFormat="1" ht="15.75" customHeight="1" x14ac:dyDescent="0.35">
      <c r="A194" s="93">
        <f t="shared" si="11"/>
        <v>17</v>
      </c>
      <c r="B194" s="94"/>
      <c r="C194" s="70" t="s">
        <v>338</v>
      </c>
      <c r="D194" s="76">
        <f>(107.75)*10.764</f>
        <v>1159.8209999999999</v>
      </c>
      <c r="E194" s="76">
        <f>(0.75*(3.96+1.98))*10.764</f>
        <v>47.953620000000001</v>
      </c>
      <c r="F194" s="70">
        <f t="shared" si="12"/>
        <v>1207.7746199999999</v>
      </c>
      <c r="G194" s="70">
        <v>0</v>
      </c>
      <c r="H194" s="70">
        <f t="shared" si="13"/>
        <v>1811.6619299999998</v>
      </c>
      <c r="I194" s="33"/>
      <c r="L194" s="190"/>
      <c r="M194" s="190"/>
      <c r="N194" s="33"/>
      <c r="T194" s="31"/>
    </row>
    <row r="195" spans="1:20" s="69" customFormat="1" ht="15.75" customHeight="1" x14ac:dyDescent="0.35">
      <c r="A195" s="93">
        <f t="shared" si="11"/>
        <v>18</v>
      </c>
      <c r="B195" s="94"/>
      <c r="C195" s="70" t="s">
        <v>339</v>
      </c>
      <c r="D195" s="76">
        <f>(116.75)*10.764</f>
        <v>1256.6969999999999</v>
      </c>
      <c r="E195" s="76">
        <f>(0.75*(3.96+4.11))*10.764</f>
        <v>65.149109999999993</v>
      </c>
      <c r="F195" s="70">
        <f t="shared" si="12"/>
        <v>1321.84611</v>
      </c>
      <c r="G195" s="70">
        <v>0</v>
      </c>
      <c r="H195" s="70">
        <f t="shared" si="13"/>
        <v>1982.7691649999999</v>
      </c>
      <c r="I195" s="33"/>
      <c r="L195" s="190"/>
      <c r="M195" s="190"/>
      <c r="N195" s="33"/>
      <c r="T195" s="18"/>
    </row>
    <row r="196" spans="1:20" s="69" customFormat="1" ht="15.75" customHeight="1" x14ac:dyDescent="0.35">
      <c r="A196" s="93">
        <f t="shared" si="11"/>
        <v>19</v>
      </c>
      <c r="B196" s="94"/>
      <c r="C196" s="70" t="s">
        <v>340</v>
      </c>
      <c r="D196" s="76">
        <f>(38.61)*10.764</f>
        <v>415.59803999999997</v>
      </c>
      <c r="E196" s="76">
        <v>0</v>
      </c>
      <c r="F196" s="70">
        <f t="shared" si="12"/>
        <v>415.59803999999997</v>
      </c>
      <c r="G196" s="70">
        <v>0</v>
      </c>
      <c r="H196" s="70">
        <f t="shared" si="13"/>
        <v>623.39706000000001</v>
      </c>
      <c r="I196" s="33"/>
      <c r="L196" s="190"/>
      <c r="M196" s="190"/>
      <c r="N196" s="33"/>
      <c r="T196" s="18"/>
    </row>
    <row r="197" spans="1:20" s="69" customFormat="1" ht="15.75" customHeight="1" x14ac:dyDescent="0.35">
      <c r="A197" s="93">
        <f t="shared" si="11"/>
        <v>20</v>
      </c>
      <c r="B197" s="94"/>
      <c r="C197" s="70" t="s">
        <v>341</v>
      </c>
      <c r="D197" s="76">
        <f>(38.61)*10.764</f>
        <v>415.59803999999997</v>
      </c>
      <c r="E197" s="76">
        <v>0</v>
      </c>
      <c r="F197" s="70">
        <f t="shared" si="12"/>
        <v>415.59803999999997</v>
      </c>
      <c r="G197" s="70">
        <v>0</v>
      </c>
      <c r="H197" s="70">
        <f t="shared" si="13"/>
        <v>623.39706000000001</v>
      </c>
      <c r="I197" s="33"/>
      <c r="L197" s="190"/>
      <c r="M197" s="190"/>
      <c r="N197" s="33"/>
      <c r="T197" s="31"/>
    </row>
    <row r="198" spans="1:20" s="69" customFormat="1" ht="15.75" customHeight="1" x14ac:dyDescent="0.35">
      <c r="A198" s="93">
        <f t="shared" si="11"/>
        <v>21</v>
      </c>
      <c r="B198" s="94"/>
      <c r="C198" s="70" t="s">
        <v>342</v>
      </c>
      <c r="D198" s="76">
        <f>(116.75)*10.764</f>
        <v>1256.6969999999999</v>
      </c>
      <c r="E198" s="76">
        <f>(0.75*(7))*10.764</f>
        <v>56.510999999999996</v>
      </c>
      <c r="F198" s="70">
        <f t="shared" si="12"/>
        <v>1313.2079999999999</v>
      </c>
      <c r="G198" s="70">
        <v>0</v>
      </c>
      <c r="H198" s="70">
        <f t="shared" si="13"/>
        <v>1969.8119999999999</v>
      </c>
      <c r="I198" s="33"/>
      <c r="L198" s="190"/>
      <c r="M198" s="190"/>
      <c r="N198" s="33"/>
      <c r="T198" s="18"/>
    </row>
    <row r="199" spans="1:20" s="69" customFormat="1" ht="15.75" customHeight="1" x14ac:dyDescent="0.35">
      <c r="A199" s="93">
        <f t="shared" si="11"/>
        <v>22</v>
      </c>
      <c r="B199" s="94"/>
      <c r="C199" s="70" t="s">
        <v>343</v>
      </c>
      <c r="D199" s="76">
        <f>(97.36)*10.764</f>
        <v>1047.9830399999998</v>
      </c>
      <c r="E199" s="70">
        <v>0</v>
      </c>
      <c r="F199" s="70">
        <f t="shared" si="12"/>
        <v>1047.9830399999998</v>
      </c>
      <c r="G199" s="70">
        <v>0</v>
      </c>
      <c r="H199" s="70">
        <f t="shared" si="13"/>
        <v>1571.9745599999997</v>
      </c>
      <c r="I199" s="33"/>
      <c r="L199" s="190"/>
      <c r="M199" s="190"/>
      <c r="N199" s="33"/>
      <c r="T199" s="18"/>
    </row>
    <row r="200" spans="1:20" s="69" customFormat="1" ht="15.75" customHeight="1" x14ac:dyDescent="0.35">
      <c r="A200" s="93">
        <f t="shared" si="11"/>
        <v>23</v>
      </c>
      <c r="B200" s="94"/>
      <c r="C200" s="70" t="s">
        <v>382</v>
      </c>
      <c r="D200" s="76">
        <f>(34.12)*10.764</f>
        <v>367.26767999999993</v>
      </c>
      <c r="E200" s="70">
        <v>0</v>
      </c>
      <c r="F200" s="70">
        <f t="shared" ref="F200" si="14">D200+(IF(E200&lt;201,E200,IF(E200&lt;301,E200/2,E200/3)))</f>
        <v>367.26767999999993</v>
      </c>
      <c r="G200" s="70">
        <v>0</v>
      </c>
      <c r="H200" s="70">
        <f t="shared" ref="H200" si="15">(F200+(IF(G200&lt;101,G200,IF(G200&lt;201,G200/2,IF(G200&lt;=301,G200/3,G200/4)))))*(($H$131)+1)</f>
        <v>550.90151999999989</v>
      </c>
      <c r="I200" s="33"/>
      <c r="L200" s="190"/>
      <c r="M200" s="190"/>
      <c r="N200" s="33"/>
      <c r="T200" s="18"/>
    </row>
    <row r="201" spans="1:20" s="34" customFormat="1" x14ac:dyDescent="0.35">
      <c r="A201" s="146" t="s">
        <v>346</v>
      </c>
      <c r="B201" s="147"/>
      <c r="C201" s="147"/>
      <c r="D201" s="147"/>
      <c r="E201" s="147"/>
      <c r="F201" s="147"/>
      <c r="G201" s="147"/>
      <c r="H201" s="148"/>
      <c r="J201" s="33"/>
      <c r="T201" s="32"/>
    </row>
    <row r="202" spans="1:20" s="34" customFormat="1" ht="15.75" customHeight="1" x14ac:dyDescent="0.35">
      <c r="A202" s="98">
        <v>1</v>
      </c>
      <c r="B202" s="99"/>
      <c r="C202" s="72" t="s">
        <v>322</v>
      </c>
      <c r="D202" s="76">
        <f>(12.67*12.48+1.98*6.55+3.2*3.65)*10.764</f>
        <v>1967.3427383999999</v>
      </c>
      <c r="E202" s="72">
        <f>(0.75*(12.67+1.98+3.2))*10.764</f>
        <v>144.10305</v>
      </c>
      <c r="F202" s="72">
        <f>D202+(IF(E202&lt;201,E202,IF(E202&lt;301,E202/2,E202/3)))</f>
        <v>2111.4457883999999</v>
      </c>
      <c r="G202" s="73">
        <v>0</v>
      </c>
      <c r="H202" s="72">
        <f>(F202+(IF(G202&lt;101,G202,IF(G202&lt;201,G202/2,IF(G202&lt;=301,G202/3,G202/4)))))*(($H$131)+1)</f>
        <v>3167.1686825999996</v>
      </c>
      <c r="I202" s="33"/>
      <c r="L202" s="190"/>
      <c r="M202" s="190"/>
      <c r="N202" s="33"/>
      <c r="T202" s="32"/>
    </row>
    <row r="203" spans="1:20" s="34" customFormat="1" ht="15.75" customHeight="1" x14ac:dyDescent="0.35">
      <c r="A203" s="98">
        <f>A202+1</f>
        <v>2</v>
      </c>
      <c r="B203" s="99"/>
      <c r="C203" s="72" t="s">
        <v>323</v>
      </c>
      <c r="D203" s="76">
        <f>(2.74*6.5)*10.764</f>
        <v>191.70684</v>
      </c>
      <c r="E203" s="72">
        <v>0</v>
      </c>
      <c r="F203" s="72">
        <f t="shared" ref="F203:F204" si="16">D203+(IF(E203&lt;201,E203,IF(E203&lt;301,E203/2,E203/3)))</f>
        <v>191.70684</v>
      </c>
      <c r="G203" s="72">
        <v>0</v>
      </c>
      <c r="H203" s="72">
        <f>(F203+(IF(G203&lt;101,G203,IF(G203&lt;201,G203/2,IF(G203&lt;=301,G203/3,G203/4)))))*(($H$131)+1)</f>
        <v>287.56025999999997</v>
      </c>
      <c r="I203" s="33"/>
      <c r="L203" s="190"/>
      <c r="M203" s="190"/>
      <c r="N203" s="33"/>
      <c r="T203" s="31"/>
    </row>
    <row r="204" spans="1:20" s="34" customFormat="1" ht="15.75" customHeight="1" x14ac:dyDescent="0.35">
      <c r="A204" s="98">
        <f>A203+1</f>
        <v>3</v>
      </c>
      <c r="B204" s="99"/>
      <c r="C204" s="72" t="s">
        <v>324</v>
      </c>
      <c r="D204" s="76">
        <f>(2.89*5.95+19.51*70.31)*10.764</f>
        <v>14950.588910400002</v>
      </c>
      <c r="E204" s="72">
        <f>(0.75*(9.5+8.5+13+14.5+8.5))*10.764</f>
        <v>435.94199999999995</v>
      </c>
      <c r="F204" s="72">
        <f t="shared" si="16"/>
        <v>15095.902910400002</v>
      </c>
      <c r="G204" s="72">
        <v>0</v>
      </c>
      <c r="H204" s="72">
        <f>(F204+(IF(G204&lt;101,G204,IF(G204&lt;201,G204/2,IF(G204&lt;=301,G204/3,G204/4)))))*(($H$131)+1)</f>
        <v>22643.854365600004</v>
      </c>
      <c r="I204" s="33"/>
      <c r="L204" s="190"/>
      <c r="M204" s="190"/>
      <c r="N204" s="33"/>
      <c r="T204" s="18"/>
    </row>
    <row r="205" spans="1:20" s="34" customFormat="1" x14ac:dyDescent="0.35">
      <c r="A205" s="98"/>
      <c r="B205" s="157"/>
      <c r="C205" s="157"/>
      <c r="D205" s="157"/>
      <c r="E205" s="157"/>
      <c r="F205" s="157"/>
      <c r="G205" s="157"/>
      <c r="H205" s="99"/>
      <c r="I205" s="33"/>
      <c r="N205" s="33"/>
    </row>
    <row r="206" spans="1:20" ht="47.25" customHeight="1" x14ac:dyDescent="0.35">
      <c r="A206" s="161" t="s">
        <v>353</v>
      </c>
      <c r="B206" s="143" t="s">
        <v>176</v>
      </c>
      <c r="C206" s="143" t="s">
        <v>55</v>
      </c>
      <c r="D206" s="143" t="s">
        <v>230</v>
      </c>
      <c r="E206" s="143" t="s">
        <v>352</v>
      </c>
      <c r="F206" s="143" t="s">
        <v>56</v>
      </c>
      <c r="G206" s="191" t="s">
        <v>57</v>
      </c>
      <c r="H206" s="74" t="s">
        <v>148</v>
      </c>
      <c r="I206" s="33"/>
      <c r="T206" s="34"/>
    </row>
    <row r="207" spans="1:20" s="34" customFormat="1" x14ac:dyDescent="0.35">
      <c r="A207" s="162"/>
      <c r="B207" s="144"/>
      <c r="C207" s="144"/>
      <c r="D207" s="144"/>
      <c r="E207" s="144"/>
      <c r="F207" s="144"/>
      <c r="G207" s="192"/>
      <c r="H207" s="75">
        <v>0.45</v>
      </c>
      <c r="I207" s="33"/>
    </row>
    <row r="208" spans="1:20" s="69" customFormat="1" x14ac:dyDescent="0.35">
      <c r="A208" s="146" t="s">
        <v>347</v>
      </c>
      <c r="B208" s="147"/>
      <c r="C208" s="147"/>
      <c r="D208" s="147"/>
      <c r="E208" s="147"/>
      <c r="F208" s="147"/>
      <c r="G208" s="147"/>
      <c r="H208" s="148"/>
      <c r="J208" s="33"/>
      <c r="T208" s="32"/>
    </row>
    <row r="209" spans="1:20" s="69" customFormat="1" x14ac:dyDescent="0.35">
      <c r="A209" s="146" t="s">
        <v>348</v>
      </c>
      <c r="B209" s="147"/>
      <c r="C209" s="147"/>
      <c r="D209" s="147"/>
      <c r="E209" s="147"/>
      <c r="F209" s="147"/>
      <c r="G209" s="147"/>
      <c r="H209" s="148"/>
      <c r="J209" s="33"/>
    </row>
    <row r="210" spans="1:20" s="69" customFormat="1" x14ac:dyDescent="0.35">
      <c r="A210" s="146" t="s">
        <v>349</v>
      </c>
      <c r="B210" s="147"/>
      <c r="C210" s="147"/>
      <c r="D210" s="147"/>
      <c r="E210" s="147"/>
      <c r="F210" s="147"/>
      <c r="G210" s="147"/>
      <c r="H210" s="148"/>
      <c r="J210" s="33"/>
    </row>
    <row r="211" spans="1:20" s="69" customFormat="1" ht="15.75" customHeight="1" x14ac:dyDescent="0.35">
      <c r="A211" s="98">
        <v>1</v>
      </c>
      <c r="B211" s="99"/>
      <c r="C211" s="72" t="s">
        <v>350</v>
      </c>
      <c r="D211" s="76">
        <f>(39.5)*10.764</f>
        <v>425.178</v>
      </c>
      <c r="E211" s="76">
        <f>(1.22*2.74+0.75*(2.14+2.9))*10.764</f>
        <v>76.669819199999992</v>
      </c>
      <c r="F211" s="72">
        <f t="shared" ref="F211:F218" si="17">D211+E211</f>
        <v>501.8478192</v>
      </c>
      <c r="G211" s="76">
        <v>0</v>
      </c>
      <c r="H211" s="72">
        <f t="shared" ref="H211:H218" si="18">F211*(($H$207)+1)+(IF(G211&lt;101,G211,IF(G211&lt;201,G211/2,IF(G211&lt;=301,G211/3,G211/4))))</f>
        <v>727.67933784000002</v>
      </c>
      <c r="I211" s="33">
        <f>2.74*5.18+2.14*2.59+2.9*3.05+1.22*2.29+2.14*1.22+2.14*1.07+1.45*0.6</f>
        <v>37.145199999999996</v>
      </c>
      <c r="J211" s="33"/>
      <c r="K211" s="33">
        <f>4500000/H211</f>
        <v>6184.0425665479688</v>
      </c>
      <c r="L211" s="190"/>
      <c r="M211" s="190"/>
      <c r="N211" s="33"/>
    </row>
    <row r="212" spans="1:20" s="69" customFormat="1" ht="15.75" customHeight="1" x14ac:dyDescent="0.35">
      <c r="A212" s="98">
        <f t="shared" ref="A212:A218" si="19">A211+1</f>
        <v>2</v>
      </c>
      <c r="B212" s="99"/>
      <c r="C212" s="72" t="s">
        <v>350</v>
      </c>
      <c r="D212" s="76">
        <f>(27.39)*10.764</f>
        <v>294.82596000000001</v>
      </c>
      <c r="E212" s="76">
        <f>(0.75*(2.75+2.74))*10.764</f>
        <v>44.320769999999996</v>
      </c>
      <c r="F212" s="72">
        <f t="shared" si="17"/>
        <v>339.14672999999999</v>
      </c>
      <c r="G212" s="76">
        <v>0</v>
      </c>
      <c r="H212" s="72">
        <f t="shared" si="18"/>
        <v>491.76275849999996</v>
      </c>
      <c r="I212" s="33"/>
      <c r="J212" s="33">
        <f t="shared" ref="J212:J217" si="20">3700000/H212</f>
        <v>7523.9532397409075</v>
      </c>
      <c r="L212" s="190"/>
      <c r="M212" s="190"/>
      <c r="N212" s="33"/>
    </row>
    <row r="213" spans="1:20" s="69" customFormat="1" ht="15.75" customHeight="1" x14ac:dyDescent="0.35">
      <c r="A213" s="93">
        <f t="shared" si="19"/>
        <v>3</v>
      </c>
      <c r="B213" s="94"/>
      <c r="C213" s="70" t="s">
        <v>350</v>
      </c>
      <c r="D213" s="76">
        <f>(37.1)*10.764</f>
        <v>399.34440000000001</v>
      </c>
      <c r="E213" s="76">
        <f>(1.22*2.74+0.75*(2.14+2.9))*10.764</f>
        <v>76.669819199999992</v>
      </c>
      <c r="F213" s="70">
        <f t="shared" si="17"/>
        <v>476.01421920000001</v>
      </c>
      <c r="G213" s="76">
        <f>(2.9*1.65+2.14*2.75)*10.764</f>
        <v>114.85187999999999</v>
      </c>
      <c r="H213" s="70">
        <f t="shared" si="18"/>
        <v>747.64655784000001</v>
      </c>
      <c r="I213" s="33"/>
      <c r="J213" s="33"/>
      <c r="L213" s="190"/>
      <c r="M213" s="190"/>
      <c r="N213" s="33"/>
    </row>
    <row r="214" spans="1:20" s="69" customFormat="1" ht="15.75" customHeight="1" x14ac:dyDescent="0.35">
      <c r="A214" s="93">
        <f t="shared" si="19"/>
        <v>4</v>
      </c>
      <c r="B214" s="94"/>
      <c r="C214" s="70" t="s">
        <v>350</v>
      </c>
      <c r="D214" s="76">
        <f>(27.39)*10.764</f>
        <v>294.82596000000001</v>
      </c>
      <c r="E214" s="76">
        <v>0</v>
      </c>
      <c r="F214" s="70">
        <f t="shared" si="17"/>
        <v>294.82596000000001</v>
      </c>
      <c r="G214" s="76">
        <f>(4.75*5.65)*10.764</f>
        <v>288.87885</v>
      </c>
      <c r="H214" s="70">
        <f t="shared" si="18"/>
        <v>523.79059199999995</v>
      </c>
      <c r="I214" s="33"/>
      <c r="J214" s="33">
        <f t="shared" si="20"/>
        <v>7063.8916706621576</v>
      </c>
      <c r="L214" s="190"/>
      <c r="M214" s="190"/>
      <c r="N214" s="33"/>
      <c r="T214" s="18"/>
    </row>
    <row r="215" spans="1:20" s="69" customFormat="1" ht="15.75" customHeight="1" x14ac:dyDescent="0.35">
      <c r="A215" s="93">
        <f t="shared" si="19"/>
        <v>5</v>
      </c>
      <c r="B215" s="94"/>
      <c r="C215" s="70" t="s">
        <v>350</v>
      </c>
      <c r="D215" s="76">
        <f>(27.39)*10.764</f>
        <v>294.82596000000001</v>
      </c>
      <c r="E215" s="76">
        <v>0</v>
      </c>
      <c r="F215" s="70">
        <f t="shared" si="17"/>
        <v>294.82596000000001</v>
      </c>
      <c r="G215" s="76">
        <f>(4.75*5.65)*10.764</f>
        <v>288.87885</v>
      </c>
      <c r="H215" s="70">
        <f t="shared" si="18"/>
        <v>523.79059199999995</v>
      </c>
      <c r="I215" s="33"/>
      <c r="J215" s="33">
        <f t="shared" si="20"/>
        <v>7063.8916706621576</v>
      </c>
      <c r="L215" s="190"/>
      <c r="M215" s="190"/>
      <c r="N215" s="33"/>
    </row>
    <row r="216" spans="1:20" s="69" customFormat="1" ht="15.75" customHeight="1" x14ac:dyDescent="0.35">
      <c r="A216" s="93">
        <f t="shared" si="19"/>
        <v>6</v>
      </c>
      <c r="B216" s="94"/>
      <c r="C216" s="70" t="s">
        <v>350</v>
      </c>
      <c r="D216" s="76">
        <f>(37.1)*10.764</f>
        <v>399.34440000000001</v>
      </c>
      <c r="E216" s="76">
        <f>(1.22*2.74+0.75*(2.14+2.9))*10.764</f>
        <v>76.669819199999992</v>
      </c>
      <c r="F216" s="70">
        <f t="shared" si="17"/>
        <v>476.01421920000001</v>
      </c>
      <c r="G216" s="76">
        <f>(2.9*1.65+2.14*2.75)*10.764</f>
        <v>114.85187999999999</v>
      </c>
      <c r="H216" s="70">
        <f t="shared" si="18"/>
        <v>747.64655784000001</v>
      </c>
      <c r="I216" s="33"/>
      <c r="J216" s="33"/>
      <c r="L216" s="190"/>
      <c r="M216" s="190"/>
      <c r="N216" s="33"/>
    </row>
    <row r="217" spans="1:20" s="69" customFormat="1" ht="15.75" customHeight="1" x14ac:dyDescent="0.35">
      <c r="A217" s="93">
        <f t="shared" si="19"/>
        <v>7</v>
      </c>
      <c r="B217" s="94"/>
      <c r="C217" s="70" t="s">
        <v>350</v>
      </c>
      <c r="D217" s="76">
        <f>(27.39)*10.764</f>
        <v>294.82596000000001</v>
      </c>
      <c r="E217" s="76">
        <f>(0.75*(2.75+2.74))*10.764</f>
        <v>44.320769999999996</v>
      </c>
      <c r="F217" s="70">
        <f t="shared" si="17"/>
        <v>339.14672999999999</v>
      </c>
      <c r="G217" s="76">
        <v>0</v>
      </c>
      <c r="H217" s="70">
        <f t="shared" si="18"/>
        <v>491.76275849999996</v>
      </c>
      <c r="I217" s="33"/>
      <c r="J217" s="33">
        <f t="shared" si="20"/>
        <v>7523.9532397409075</v>
      </c>
      <c r="K217" s="33">
        <f>3200000/H217</f>
        <v>6507.2028019380814</v>
      </c>
      <c r="L217" s="190"/>
      <c r="M217" s="190"/>
      <c r="N217" s="33"/>
      <c r="T217" s="18"/>
    </row>
    <row r="218" spans="1:20" s="69" customFormat="1" ht="15.75" customHeight="1" x14ac:dyDescent="0.35">
      <c r="A218" s="93">
        <f t="shared" si="19"/>
        <v>8</v>
      </c>
      <c r="B218" s="94"/>
      <c r="C218" s="70" t="s">
        <v>350</v>
      </c>
      <c r="D218" s="76">
        <f>(39.5)*10.764</f>
        <v>425.178</v>
      </c>
      <c r="E218" s="76">
        <f>(1.22*2.74+0.75*(2.14+2.9))*10.764</f>
        <v>76.669819199999992</v>
      </c>
      <c r="F218" s="70">
        <f t="shared" si="17"/>
        <v>501.8478192</v>
      </c>
      <c r="G218" s="76">
        <v>0</v>
      </c>
      <c r="H218" s="70">
        <f t="shared" si="18"/>
        <v>727.67933784000002</v>
      </c>
      <c r="I218" s="33"/>
      <c r="J218" s="33"/>
      <c r="K218" s="33">
        <f>4400000/H218</f>
        <v>6046.6193984024585</v>
      </c>
      <c r="L218" s="190"/>
      <c r="M218" s="190"/>
      <c r="N218" s="33"/>
      <c r="T218" s="18"/>
    </row>
    <row r="219" spans="1:20" s="69" customFormat="1" x14ac:dyDescent="0.35">
      <c r="A219" s="138" t="s">
        <v>351</v>
      </c>
      <c r="B219" s="139"/>
      <c r="C219" s="139"/>
      <c r="D219" s="139"/>
      <c r="E219" s="139"/>
      <c r="F219" s="139"/>
      <c r="G219" s="139"/>
      <c r="H219" s="140"/>
      <c r="J219" s="33"/>
    </row>
    <row r="220" spans="1:20" s="69" customFormat="1" ht="15.75" customHeight="1" x14ac:dyDescent="0.35">
      <c r="A220" s="93">
        <v>1</v>
      </c>
      <c r="B220" s="94"/>
      <c r="C220" s="70" t="s">
        <v>350</v>
      </c>
      <c r="D220" s="76">
        <f>(39.5)*10.764</f>
        <v>425.178</v>
      </c>
      <c r="E220" s="76">
        <f>(1.22*2.74+0.75*(2.14+2.9))*10.764</f>
        <v>76.669819199999992</v>
      </c>
      <c r="F220" s="70">
        <f t="shared" ref="F220:F227" si="21">D220+E220</f>
        <v>501.8478192</v>
      </c>
      <c r="G220" s="70">
        <v>0</v>
      </c>
      <c r="H220" s="70">
        <f t="shared" ref="H220:H227" si="22">F220*(($H$207)+1)+(IF(G220&lt;101,G220,IF(G220&lt;201,G220/2,IF(G220&lt;=301,G220/3,G220/4))))</f>
        <v>727.67933784000002</v>
      </c>
      <c r="I220" s="33"/>
      <c r="J220" s="69">
        <f>5100000/H220</f>
        <v>7008.5815754210307</v>
      </c>
      <c r="K220" s="33">
        <f>4770000/H220</f>
        <v>6555.0851205408471</v>
      </c>
      <c r="L220" s="190"/>
      <c r="M220" s="190"/>
      <c r="N220" s="33"/>
    </row>
    <row r="221" spans="1:20" s="69" customFormat="1" ht="15.75" customHeight="1" x14ac:dyDescent="0.35">
      <c r="A221" s="93">
        <f t="shared" ref="A221:A227" si="23">A220+1</f>
        <v>2</v>
      </c>
      <c r="B221" s="94"/>
      <c r="C221" s="70" t="s">
        <v>350</v>
      </c>
      <c r="D221" s="76">
        <f>(27.39)*10.764</f>
        <v>294.82596000000001</v>
      </c>
      <c r="E221" s="76">
        <f>(0.75*(2.75+2.74))*10.764</f>
        <v>44.320769999999996</v>
      </c>
      <c r="F221" s="70">
        <f t="shared" si="21"/>
        <v>339.14672999999999</v>
      </c>
      <c r="G221" s="70">
        <v>0</v>
      </c>
      <c r="H221" s="70">
        <f t="shared" si="22"/>
        <v>491.76275849999996</v>
      </c>
      <c r="I221" s="33"/>
      <c r="J221" s="69">
        <f>3300000/H221</f>
        <v>6710.5528894986464</v>
      </c>
      <c r="L221" s="190"/>
      <c r="M221" s="190"/>
      <c r="N221" s="33"/>
    </row>
    <row r="222" spans="1:20" s="69" customFormat="1" ht="15.75" customHeight="1" x14ac:dyDescent="0.35">
      <c r="A222" s="93">
        <f t="shared" si="23"/>
        <v>3</v>
      </c>
      <c r="B222" s="94"/>
      <c r="C222" s="70" t="s">
        <v>350</v>
      </c>
      <c r="D222" s="76">
        <f>(37.1)*10.764</f>
        <v>399.34440000000001</v>
      </c>
      <c r="E222" s="76">
        <f>(1.22*2.74+0.75*(2.14+2.9))*10.764</f>
        <v>76.669819199999992</v>
      </c>
      <c r="F222" s="70">
        <f t="shared" si="21"/>
        <v>476.01421920000001</v>
      </c>
      <c r="G222" s="70">
        <v>0</v>
      </c>
      <c r="H222" s="70">
        <f t="shared" si="22"/>
        <v>690.22061784000005</v>
      </c>
      <c r="I222" s="33"/>
      <c r="J222" s="69">
        <f>4500000/H222</f>
        <v>6519.6545621636942</v>
      </c>
      <c r="L222" s="190"/>
      <c r="M222" s="190"/>
      <c r="N222" s="33"/>
    </row>
    <row r="223" spans="1:20" s="69" customFormat="1" ht="15.75" customHeight="1" x14ac:dyDescent="0.35">
      <c r="A223" s="93">
        <f t="shared" si="23"/>
        <v>4</v>
      </c>
      <c r="B223" s="94"/>
      <c r="C223" s="70" t="s">
        <v>350</v>
      </c>
      <c r="D223" s="76">
        <f>(27.39)*10.764</f>
        <v>294.82596000000001</v>
      </c>
      <c r="E223" s="76">
        <f>(0.75*(2.75+2.74))*10.764</f>
        <v>44.320769999999996</v>
      </c>
      <c r="F223" s="70">
        <f t="shared" si="21"/>
        <v>339.14672999999999</v>
      </c>
      <c r="G223" s="70">
        <v>0</v>
      </c>
      <c r="H223" s="70">
        <f t="shared" si="22"/>
        <v>491.76275849999996</v>
      </c>
      <c r="I223" s="33"/>
      <c r="L223" s="190"/>
      <c r="M223" s="190"/>
      <c r="N223" s="33"/>
      <c r="T223" s="18"/>
    </row>
    <row r="224" spans="1:20" s="69" customFormat="1" ht="15.75" customHeight="1" x14ac:dyDescent="0.35">
      <c r="A224" s="93">
        <f t="shared" si="23"/>
        <v>5</v>
      </c>
      <c r="B224" s="94"/>
      <c r="C224" s="70" t="s">
        <v>350</v>
      </c>
      <c r="D224" s="76">
        <f>(27.39)*10.764</f>
        <v>294.82596000000001</v>
      </c>
      <c r="E224" s="76">
        <f>(0.75*(2.75+2.74))*10.764</f>
        <v>44.320769999999996</v>
      </c>
      <c r="F224" s="70">
        <f t="shared" si="21"/>
        <v>339.14672999999999</v>
      </c>
      <c r="G224" s="70">
        <v>0</v>
      </c>
      <c r="H224" s="70">
        <f t="shared" si="22"/>
        <v>491.76275849999996</v>
      </c>
      <c r="I224" s="33"/>
      <c r="L224" s="190"/>
      <c r="M224" s="190"/>
      <c r="N224" s="33"/>
    </row>
    <row r="225" spans="1:20" s="69" customFormat="1" ht="15.75" customHeight="1" x14ac:dyDescent="0.35">
      <c r="A225" s="93">
        <f t="shared" si="23"/>
        <v>6</v>
      </c>
      <c r="B225" s="94"/>
      <c r="C225" s="70" t="s">
        <v>350</v>
      </c>
      <c r="D225" s="76">
        <f>(37.1)*10.764</f>
        <v>399.34440000000001</v>
      </c>
      <c r="E225" s="76">
        <f>(1.22*2.74+0.75*(2.14+2.9))*10.764</f>
        <v>76.669819199999992</v>
      </c>
      <c r="F225" s="70">
        <f t="shared" si="21"/>
        <v>476.01421920000001</v>
      </c>
      <c r="G225" s="70">
        <v>0</v>
      </c>
      <c r="H225" s="70">
        <f t="shared" si="22"/>
        <v>690.22061784000005</v>
      </c>
      <c r="I225" s="33"/>
      <c r="L225" s="190"/>
      <c r="M225" s="190"/>
      <c r="N225" s="33"/>
    </row>
    <row r="226" spans="1:20" s="69" customFormat="1" ht="15.75" customHeight="1" x14ac:dyDescent="0.35">
      <c r="A226" s="93">
        <f t="shared" si="23"/>
        <v>7</v>
      </c>
      <c r="B226" s="94"/>
      <c r="C226" s="70" t="s">
        <v>350</v>
      </c>
      <c r="D226" s="76">
        <f>(27.39)*10.764</f>
        <v>294.82596000000001</v>
      </c>
      <c r="E226" s="76">
        <f>(0.75*(2.75+2.74))*10.764</f>
        <v>44.320769999999996</v>
      </c>
      <c r="F226" s="70">
        <f t="shared" si="21"/>
        <v>339.14672999999999</v>
      </c>
      <c r="G226" s="70">
        <v>0</v>
      </c>
      <c r="H226" s="70">
        <f t="shared" si="22"/>
        <v>491.76275849999996</v>
      </c>
      <c r="I226" s="33"/>
      <c r="L226" s="190"/>
      <c r="M226" s="190"/>
      <c r="N226" s="33"/>
      <c r="T226" s="18"/>
    </row>
    <row r="227" spans="1:20" s="69" customFormat="1" ht="15.75" customHeight="1" x14ac:dyDescent="0.35">
      <c r="A227" s="93">
        <f t="shared" si="23"/>
        <v>8</v>
      </c>
      <c r="B227" s="94"/>
      <c r="C227" s="70" t="s">
        <v>350</v>
      </c>
      <c r="D227" s="76">
        <f>(39.5)*10.764</f>
        <v>425.178</v>
      </c>
      <c r="E227" s="76">
        <f>(1.22*2.74+0.75*(2.14+2.9))*10.764</f>
        <v>76.669819199999992</v>
      </c>
      <c r="F227" s="70">
        <f t="shared" si="21"/>
        <v>501.8478192</v>
      </c>
      <c r="G227" s="70">
        <v>0</v>
      </c>
      <c r="H227" s="70">
        <f t="shared" si="22"/>
        <v>727.67933784000002</v>
      </c>
      <c r="I227" s="33"/>
      <c r="L227" s="190"/>
      <c r="M227" s="190"/>
      <c r="N227" s="33"/>
      <c r="T227" s="18"/>
    </row>
    <row r="228" spans="1:20" s="69" customFormat="1" x14ac:dyDescent="0.35">
      <c r="A228" s="138" t="s">
        <v>372</v>
      </c>
      <c r="B228" s="139"/>
      <c r="C228" s="139"/>
      <c r="D228" s="139"/>
      <c r="E228" s="139"/>
      <c r="F228" s="139"/>
      <c r="G228" s="139"/>
      <c r="H228" s="140"/>
      <c r="J228" s="33"/>
    </row>
    <row r="229" spans="1:20" s="69" customFormat="1" ht="15.75" customHeight="1" x14ac:dyDescent="0.35">
      <c r="A229" s="93">
        <v>1</v>
      </c>
      <c r="B229" s="94"/>
      <c r="C229" s="209" t="s">
        <v>373</v>
      </c>
      <c r="D229" s="210"/>
      <c r="E229" s="210"/>
      <c r="F229" s="210"/>
      <c r="G229" s="210"/>
      <c r="H229" s="211"/>
      <c r="I229" s="33"/>
      <c r="J229" s="69">
        <v>327</v>
      </c>
      <c r="K229" s="69">
        <f>J229*1.45</f>
        <v>474.15</v>
      </c>
      <c r="L229" s="190">
        <f>3270000/K229</f>
        <v>6896.5517241379312</v>
      </c>
      <c r="M229" s="190"/>
      <c r="N229" s="33"/>
    </row>
    <row r="230" spans="1:20" s="69" customFormat="1" ht="15.75" customHeight="1" x14ac:dyDescent="0.35">
      <c r="A230" s="93">
        <f t="shared" ref="A230:A236" si="24">A229+1</f>
        <v>2</v>
      </c>
      <c r="B230" s="94"/>
      <c r="C230" s="212"/>
      <c r="D230" s="213"/>
      <c r="E230" s="213"/>
      <c r="F230" s="213"/>
      <c r="G230" s="213"/>
      <c r="H230" s="214"/>
      <c r="I230" s="33"/>
      <c r="J230" s="69">
        <v>450</v>
      </c>
      <c r="K230" s="71">
        <f t="shared" ref="K230:K233" si="25">J230*1.45</f>
        <v>652.5</v>
      </c>
      <c r="L230" s="190">
        <f>4500000/K230</f>
        <v>6896.5517241379312</v>
      </c>
      <c r="M230" s="190"/>
      <c r="N230" s="33"/>
    </row>
    <row r="231" spans="1:20" s="69" customFormat="1" ht="15.75" customHeight="1" x14ac:dyDescent="0.35">
      <c r="A231" s="93">
        <f t="shared" si="24"/>
        <v>3</v>
      </c>
      <c r="B231" s="94"/>
      <c r="C231" s="212"/>
      <c r="D231" s="213"/>
      <c r="E231" s="213"/>
      <c r="F231" s="213"/>
      <c r="G231" s="213"/>
      <c r="H231" s="214"/>
      <c r="I231" s="33"/>
      <c r="J231" s="69">
        <v>477</v>
      </c>
      <c r="K231" s="71">
        <f t="shared" si="25"/>
        <v>691.65</v>
      </c>
      <c r="L231" s="190">
        <f>4770000/K231</f>
        <v>6896.5517241379312</v>
      </c>
      <c r="M231" s="190"/>
      <c r="N231" s="33"/>
    </row>
    <row r="232" spans="1:20" s="69" customFormat="1" ht="15.75" customHeight="1" x14ac:dyDescent="0.35">
      <c r="A232" s="93">
        <f t="shared" si="24"/>
        <v>4</v>
      </c>
      <c r="B232" s="94"/>
      <c r="C232" s="215"/>
      <c r="D232" s="216"/>
      <c r="E232" s="216"/>
      <c r="F232" s="216"/>
      <c r="G232" s="216"/>
      <c r="H232" s="217"/>
      <c r="I232" s="33"/>
      <c r="J232" s="69">
        <v>654</v>
      </c>
      <c r="K232" s="71">
        <f t="shared" si="25"/>
        <v>948.3</v>
      </c>
      <c r="L232" s="190">
        <f>6540000/K232</f>
        <v>6896.5517241379312</v>
      </c>
      <c r="M232" s="190"/>
      <c r="N232" s="33"/>
      <c r="T232" s="18"/>
    </row>
    <row r="233" spans="1:20" s="69" customFormat="1" ht="15.75" customHeight="1" x14ac:dyDescent="0.35">
      <c r="A233" s="93">
        <f t="shared" si="24"/>
        <v>5</v>
      </c>
      <c r="B233" s="94"/>
      <c r="C233" s="70" t="s">
        <v>350</v>
      </c>
      <c r="D233" s="76">
        <f>(27.39)*10.764</f>
        <v>294.82596000000001</v>
      </c>
      <c r="E233" s="76">
        <f>(0.75*(2.75+2.74))*10.764</f>
        <v>44.320769999999996</v>
      </c>
      <c r="F233" s="70">
        <f>D233+E233</f>
        <v>339.14672999999999</v>
      </c>
      <c r="G233" s="70">
        <v>0</v>
      </c>
      <c r="H233" s="70">
        <f>F233*(($H$207)+1)+(IF(G233&lt;101,G233,IF(G233&lt;201,G233/2,IF(G233&lt;=301,G233/3,G233/4))))</f>
        <v>491.76275849999996</v>
      </c>
      <c r="I233" s="33"/>
      <c r="J233" s="69">
        <v>77</v>
      </c>
      <c r="K233" s="71">
        <f t="shared" si="25"/>
        <v>111.64999999999999</v>
      </c>
      <c r="L233" s="190">
        <f>7770000/K233</f>
        <v>69592.476489028224</v>
      </c>
      <c r="M233" s="190"/>
      <c r="N233" s="33"/>
    </row>
    <row r="234" spans="1:20" s="69" customFormat="1" ht="15.75" customHeight="1" x14ac:dyDescent="0.35">
      <c r="A234" s="93">
        <f t="shared" si="24"/>
        <v>6</v>
      </c>
      <c r="B234" s="94"/>
      <c r="C234" s="70" t="s">
        <v>350</v>
      </c>
      <c r="D234" s="76">
        <f>(37.1)*10.764</f>
        <v>399.34440000000001</v>
      </c>
      <c r="E234" s="76">
        <f>(1.22*2.74+0.75*(2.14+2.9))*10.764</f>
        <v>76.669819199999992</v>
      </c>
      <c r="F234" s="70">
        <f>D234+E234</f>
        <v>476.01421920000001</v>
      </c>
      <c r="G234" s="70">
        <v>0</v>
      </c>
      <c r="H234" s="70">
        <f>F234*(($H$207)+1)+(IF(G234&lt;101,G234,IF(G234&lt;201,G234/2,IF(G234&lt;=301,G234/3,G234/4))))</f>
        <v>690.22061784000005</v>
      </c>
      <c r="I234" s="33"/>
      <c r="L234" s="190"/>
      <c r="M234" s="190"/>
      <c r="N234" s="33"/>
    </row>
    <row r="235" spans="1:20" s="69" customFormat="1" ht="15.75" customHeight="1" x14ac:dyDescent="0.35">
      <c r="A235" s="93">
        <f t="shared" si="24"/>
        <v>7</v>
      </c>
      <c r="B235" s="94"/>
      <c r="C235" s="70" t="s">
        <v>350</v>
      </c>
      <c r="D235" s="76">
        <f>(27.39)*10.764</f>
        <v>294.82596000000001</v>
      </c>
      <c r="E235" s="76">
        <f>(0.75*(2.75+2.74))*10.764</f>
        <v>44.320769999999996</v>
      </c>
      <c r="F235" s="70">
        <f>D235+E235</f>
        <v>339.14672999999999</v>
      </c>
      <c r="G235" s="70">
        <v>0</v>
      </c>
      <c r="H235" s="70">
        <f>F235*(($H$207)+1)+(IF(G235&lt;101,G235,IF(G235&lt;201,G235/2,IF(G235&lt;=301,G235/3,G235/4))))</f>
        <v>491.76275849999996</v>
      </c>
      <c r="I235" s="33"/>
      <c r="L235" s="190"/>
      <c r="M235" s="190"/>
      <c r="N235" s="33"/>
      <c r="T235" s="18"/>
    </row>
    <row r="236" spans="1:20" s="69" customFormat="1" ht="15.75" customHeight="1" x14ac:dyDescent="0.35">
      <c r="A236" s="93">
        <f t="shared" si="24"/>
        <v>8</v>
      </c>
      <c r="B236" s="94"/>
      <c r="C236" s="70" t="s">
        <v>350</v>
      </c>
      <c r="D236" s="76">
        <f>(39.5)*10.764</f>
        <v>425.178</v>
      </c>
      <c r="E236" s="76">
        <f>(1.22*2.74+0.75*(2.14+2.9))*10.764</f>
        <v>76.669819199999992</v>
      </c>
      <c r="F236" s="70">
        <f>D236+E236</f>
        <v>501.8478192</v>
      </c>
      <c r="G236" s="70">
        <v>0</v>
      </c>
      <c r="H236" s="70">
        <f>F236*(($H$207)+1)+(IF(G236&lt;101,G236,IF(G236&lt;201,G236/2,IF(G236&lt;=301,G236/3,G236/4))))</f>
        <v>727.67933784000002</v>
      </c>
      <c r="I236" s="33"/>
      <c r="L236" s="190"/>
      <c r="M236" s="190"/>
      <c r="N236" s="33"/>
      <c r="T236" s="18"/>
    </row>
    <row r="237" spans="1:20" s="34" customFormat="1" hidden="1" x14ac:dyDescent="0.35">
      <c r="A237" s="138" t="s">
        <v>117</v>
      </c>
      <c r="B237" s="139"/>
      <c r="C237" s="139"/>
      <c r="D237" s="139"/>
      <c r="E237" s="139"/>
      <c r="F237" s="139"/>
      <c r="G237" s="139"/>
      <c r="H237" s="140"/>
      <c r="J237" s="33"/>
    </row>
    <row r="238" spans="1:20" s="34" customFormat="1" ht="15.75" hidden="1" customHeight="1" x14ac:dyDescent="0.35">
      <c r="A238" s="93">
        <v>1</v>
      </c>
      <c r="B238" s="94"/>
      <c r="C238" s="39"/>
      <c r="D238" s="39"/>
      <c r="E238" s="39">
        <v>0</v>
      </c>
      <c r="F238" s="39">
        <f>D238+E238</f>
        <v>0</v>
      </c>
      <c r="G238" s="49">
        <v>0</v>
      </c>
      <c r="H238" s="49">
        <f>F238*(($H$207)+1)+(IF(G238&lt;101,G238,IF(G238&lt;201,G238/2,IF(G238&lt;=301,G238/3,G238/4))))</f>
        <v>0</v>
      </c>
      <c r="I238" s="33"/>
      <c r="L238" s="190"/>
      <c r="M238" s="190"/>
      <c r="N238" s="33"/>
    </row>
    <row r="239" spans="1:20" s="34" customFormat="1" ht="15.75" hidden="1" customHeight="1" x14ac:dyDescent="0.35">
      <c r="A239" s="93">
        <f>A238+1</f>
        <v>2</v>
      </c>
      <c r="B239" s="94"/>
      <c r="C239" s="39"/>
      <c r="D239" s="39"/>
      <c r="E239" s="39">
        <v>0</v>
      </c>
      <c r="F239" s="49">
        <f>D239+E239</f>
        <v>0</v>
      </c>
      <c r="G239" s="49">
        <v>0</v>
      </c>
      <c r="H239" s="49">
        <f>F239*(($H$207)+1)+(IF(G239&lt;101,G239,IF(G239&lt;201,G239/2,IF(G239&lt;=301,G239/3,G239/4))))</f>
        <v>0</v>
      </c>
      <c r="I239" s="33"/>
      <c r="L239" s="190"/>
      <c r="M239" s="190"/>
      <c r="N239" s="33"/>
    </row>
    <row r="240" spans="1:20" s="34" customFormat="1" ht="15.75" hidden="1" customHeight="1" x14ac:dyDescent="0.35">
      <c r="A240" s="93">
        <f>A239+1</f>
        <v>3</v>
      </c>
      <c r="B240" s="94"/>
      <c r="C240" s="39"/>
      <c r="D240" s="39"/>
      <c r="E240" s="39">
        <v>0</v>
      </c>
      <c r="F240" s="49">
        <f>D240+E240</f>
        <v>0</v>
      </c>
      <c r="G240" s="49">
        <v>0</v>
      </c>
      <c r="H240" s="49">
        <f>F240*(($H$207)+1)+(IF(G240&lt;101,G240,IF(G240&lt;201,G240/2,IF(G240&lt;=301,G240/3,G240/4))))</f>
        <v>0</v>
      </c>
      <c r="I240" s="33"/>
      <c r="L240" s="190"/>
      <c r="M240" s="190"/>
      <c r="N240" s="33"/>
    </row>
    <row r="241" spans="1:20" s="34" customFormat="1" ht="15.75" hidden="1" customHeight="1" x14ac:dyDescent="0.35">
      <c r="A241" s="93">
        <f>A240+1</f>
        <v>4</v>
      </c>
      <c r="B241" s="94"/>
      <c r="C241" s="39"/>
      <c r="D241" s="39"/>
      <c r="E241" s="39">
        <v>0</v>
      </c>
      <c r="F241" s="49">
        <f>D241+E241</f>
        <v>0</v>
      </c>
      <c r="G241" s="49">
        <v>0</v>
      </c>
      <c r="H241" s="49">
        <f>F241*(($H$207)+1)+(IF(G241&lt;101,G241,IF(G241&lt;201,G241/2,IF(G241&lt;=301,G241/3,G241/4))))</f>
        <v>0</v>
      </c>
      <c r="I241" s="33"/>
      <c r="L241" s="190"/>
      <c r="M241" s="190"/>
      <c r="N241" s="33"/>
      <c r="T241" s="18"/>
    </row>
    <row r="242" spans="1:20" s="34" customFormat="1" hidden="1" x14ac:dyDescent="0.35">
      <c r="A242" s="202" t="s">
        <v>118</v>
      </c>
      <c r="B242" s="202"/>
      <c r="C242" s="202"/>
      <c r="D242" s="202"/>
      <c r="E242" s="202"/>
      <c r="F242" s="202"/>
      <c r="G242" s="202"/>
      <c r="H242" s="202"/>
      <c r="I242" s="33"/>
      <c r="L242" s="190"/>
      <c r="M242" s="190"/>
    </row>
    <row r="243" spans="1:20" s="34" customFormat="1" hidden="1" x14ac:dyDescent="0.35">
      <c r="A243" s="145">
        <f>LEFT(A242,SUM(LEN(A242)-LEN(SUBSTITUTE(A242,{"0","1","2","3","4","5","6","7","8","9"},""))))*100+1</f>
        <v>201</v>
      </c>
      <c r="B243" s="145"/>
      <c r="C243" s="39"/>
      <c r="D243" s="39"/>
      <c r="E243" s="49">
        <v>0</v>
      </c>
      <c r="F243" s="49">
        <f>D243+E243</f>
        <v>0</v>
      </c>
      <c r="G243" s="49">
        <v>0</v>
      </c>
      <c r="H243" s="49">
        <f>F243*(($H$207)+1)+(IF(G243&lt;101,G243,IF(G243&lt;201,G243/2,IF(G243&lt;=301,G243/3,G243/4))))</f>
        <v>0</v>
      </c>
      <c r="I243" s="33"/>
      <c r="N243" s="33"/>
    </row>
    <row r="244" spans="1:20" s="34" customFormat="1" hidden="1" x14ac:dyDescent="0.35">
      <c r="A244" s="145">
        <f>A243+1</f>
        <v>202</v>
      </c>
      <c r="B244" s="145"/>
      <c r="C244" s="39"/>
      <c r="D244" s="39"/>
      <c r="E244" s="49">
        <v>0</v>
      </c>
      <c r="F244" s="49">
        <f>D244+E244</f>
        <v>0</v>
      </c>
      <c r="G244" s="49">
        <v>0</v>
      </c>
      <c r="H244" s="49">
        <f>F244*(($H$207)+1)+(IF(G244&lt;101,G244,IF(G244&lt;201,G244/2,IF(G244&lt;=301,G244/3,G244/4))))</f>
        <v>0</v>
      </c>
      <c r="I244" s="33"/>
      <c r="N244" s="33"/>
    </row>
    <row r="245" spans="1:20" s="34" customFormat="1" hidden="1" x14ac:dyDescent="0.35">
      <c r="A245" s="145">
        <f>A244+1</f>
        <v>203</v>
      </c>
      <c r="B245" s="145"/>
      <c r="C245" s="39"/>
      <c r="D245" s="39"/>
      <c r="E245" s="49">
        <v>0</v>
      </c>
      <c r="F245" s="49">
        <f>D245+E245</f>
        <v>0</v>
      </c>
      <c r="G245" s="49">
        <v>0</v>
      </c>
      <c r="H245" s="49">
        <f>F245*(($H$207)+1)+(IF(G245&lt;101,G245,IF(G245&lt;201,G245/2,IF(G245&lt;=301,G245/3,G245/4))))</f>
        <v>0</v>
      </c>
      <c r="I245" s="33"/>
      <c r="N245" s="33"/>
    </row>
    <row r="246" spans="1:20" s="34" customFormat="1" hidden="1" x14ac:dyDescent="0.35">
      <c r="A246" s="145">
        <f>A245+1</f>
        <v>204</v>
      </c>
      <c r="B246" s="145"/>
      <c r="C246" s="39"/>
      <c r="D246" s="39"/>
      <c r="E246" s="49">
        <v>0</v>
      </c>
      <c r="F246" s="49">
        <f>D246+E246</f>
        <v>0</v>
      </c>
      <c r="G246" s="49">
        <v>0</v>
      </c>
      <c r="H246" s="49">
        <f>F246*(($H$207)+1)+(IF(G246&lt;101,G246,IF(G246&lt;201,G246/2,IF(G246&lt;=301,G246/3,G246/4))))</f>
        <v>0</v>
      </c>
      <c r="I246" s="33"/>
      <c r="N246" s="33"/>
    </row>
    <row r="247" spans="1:20" s="34" customFormat="1" hidden="1" x14ac:dyDescent="0.35">
      <c r="A247" s="145">
        <f>A246+1</f>
        <v>205</v>
      </c>
      <c r="B247" s="145"/>
      <c r="C247" s="39"/>
      <c r="D247" s="39"/>
      <c r="E247" s="49">
        <v>0</v>
      </c>
      <c r="F247" s="49">
        <f>D247+E247</f>
        <v>0</v>
      </c>
      <c r="G247" s="49">
        <v>0</v>
      </c>
      <c r="H247" s="49">
        <f>F247*(($H$207)+1)+(IF(G247&lt;101,G247,IF(G247&lt;201,G247/2,IF(G247&lt;=301,G247/3,G247/4))))</f>
        <v>0</v>
      </c>
      <c r="I247" s="33"/>
      <c r="N247" s="33"/>
    </row>
    <row r="248" spans="1:20" s="34" customFormat="1" ht="15.75" hidden="1" customHeight="1" x14ac:dyDescent="0.35">
      <c r="A248" s="138" t="s">
        <v>149</v>
      </c>
      <c r="B248" s="139"/>
      <c r="C248" s="139"/>
      <c r="D248" s="139"/>
      <c r="E248" s="139"/>
      <c r="F248" s="139"/>
      <c r="G248" s="139"/>
      <c r="H248" s="140"/>
      <c r="I248" s="33"/>
    </row>
    <row r="249" spans="1:20" s="34" customFormat="1" ht="15.75" hidden="1" customHeight="1" x14ac:dyDescent="0.35">
      <c r="A249" s="93"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10^ROW(INDIRECT("1:"&amp;LEN((LEFT(A248,SUM(LEN(A248)-LEN(SUBSTITUTE(A248,{"0","1","2"},""))))))))/10))*100+1&amp;""&amp;" ,..,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",LEN(A248))),LEN(A248)))))))/10))*100+1</f>
        <v>301 ,.., 1501</v>
      </c>
      <c r="B249" s="94"/>
      <c r="C249" s="39"/>
      <c r="D249" s="39"/>
      <c r="E249" s="49">
        <v>0</v>
      </c>
      <c r="F249" s="49">
        <f>D249+E249</f>
        <v>0</v>
      </c>
      <c r="G249" s="49">
        <v>0</v>
      </c>
      <c r="H249" s="49">
        <f>F249*(($H$207)+1)+(IF(G249&lt;101,G249,IF(G249&lt;201,G249/2,IF(G249&lt;=301,G249/3,G249/4))))</f>
        <v>0</v>
      </c>
      <c r="I249" s="33"/>
    </row>
    <row r="250" spans="1:20" s="34" customFormat="1" ht="15.75" hidden="1" customHeight="1" x14ac:dyDescent="0.35">
      <c r="A250" s="93"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302 ,.., 1502</v>
      </c>
      <c r="B250" s="94"/>
      <c r="C250" s="39"/>
      <c r="D250" s="39"/>
      <c r="E250" s="49">
        <v>0</v>
      </c>
      <c r="F250" s="49">
        <f>D250+E250</f>
        <v>0</v>
      </c>
      <c r="G250" s="49">
        <v>0</v>
      </c>
      <c r="H250" s="49">
        <f>F250*(($H$207)+1)+(IF(G250&lt;101,G250,IF(G250&lt;201,G250/2,IF(G250&lt;=301,G250/3,G250/4))))</f>
        <v>0</v>
      </c>
      <c r="I250" s="33"/>
    </row>
    <row r="251" spans="1:20" s="34" customFormat="1" ht="15.75" hidden="1" customHeight="1" x14ac:dyDescent="0.35">
      <c r="A251" s="93"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303 ,.., 1503</v>
      </c>
      <c r="B251" s="94"/>
      <c r="C251" s="39"/>
      <c r="D251" s="39"/>
      <c r="E251" s="49">
        <v>0</v>
      </c>
      <c r="F251" s="49">
        <f>D251+E251</f>
        <v>0</v>
      </c>
      <c r="G251" s="49">
        <v>0</v>
      </c>
      <c r="H251" s="49">
        <f>F251*(($H$207)+1)+(IF(G251&lt;101,G251,IF(G251&lt;201,G251/2,IF(G251&lt;=301,G251/3,G251/4))))</f>
        <v>0</v>
      </c>
      <c r="I251" s="33"/>
    </row>
    <row r="252" spans="1:20" s="34" customFormat="1" ht="15.75" hidden="1" customHeight="1" x14ac:dyDescent="0.35">
      <c r="A252" s="93"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10^ROW(INDIRECT("1:"&amp;LEN((LEFT(A251,SUM(LEN(A251)-LEN(SUBSTITUTE(A251,{"0","1","2"},""))))))))/10))*1+1&amp;""&amp;" ,..,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",LEN(A251))),LEN(A251)))))))/10))*1+1</f>
        <v>304 ,.., 1504</v>
      </c>
      <c r="B252" s="94"/>
      <c r="C252" s="39"/>
      <c r="D252" s="39"/>
      <c r="E252" s="49">
        <v>0</v>
      </c>
      <c r="F252" s="49">
        <f>D252+E252</f>
        <v>0</v>
      </c>
      <c r="G252" s="49">
        <v>0</v>
      </c>
      <c r="H252" s="49">
        <f>F252*(($H$207)+1)+(IF(G252&lt;101,G252,IF(G252&lt;201,G252/2,IF(G252&lt;=301,G252/3,G252/4))))</f>
        <v>0</v>
      </c>
      <c r="I252" s="33"/>
    </row>
    <row r="253" spans="1:20" s="34" customFormat="1" ht="15.75" hidden="1" customHeight="1" x14ac:dyDescent="0.35">
      <c r="A253" s="93"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10^ROW(INDIRECT("1:"&amp;LEN((LEFT(A252,SUM(LEN(A252)-LEN(SUBSTITUTE(A252,{"0","1","2"},""))))))))/10))*1+1&amp;""&amp;" ,..,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",LEN(A252))),LEN(A252)))))))/10))*1+1</f>
        <v>305 ,.., 1505</v>
      </c>
      <c r="B253" s="94"/>
      <c r="C253" s="39"/>
      <c r="D253" s="39"/>
      <c r="E253" s="49">
        <v>0</v>
      </c>
      <c r="F253" s="49">
        <f>D253+E253</f>
        <v>0</v>
      </c>
      <c r="G253" s="49">
        <v>0</v>
      </c>
      <c r="H253" s="49">
        <f>F253*(($H$207)+1)+(IF(G253&lt;101,G253,IF(G253&lt;201,G253/2,IF(G253&lt;=301,G253/3,G253/4))))</f>
        <v>0</v>
      </c>
      <c r="I253" s="33"/>
    </row>
    <row r="254" spans="1:20" s="34" customFormat="1" hidden="1" x14ac:dyDescent="0.35">
      <c r="A254" s="138" t="s">
        <v>143</v>
      </c>
      <c r="B254" s="139"/>
      <c r="C254" s="139"/>
      <c r="D254" s="139"/>
      <c r="E254" s="139"/>
      <c r="F254" s="139"/>
      <c r="G254" s="139"/>
      <c r="H254" s="140"/>
      <c r="I254" s="33"/>
    </row>
    <row r="255" spans="1:20" s="34" customFormat="1" ht="15.75" hidden="1" customHeight="1" x14ac:dyDescent="0.35">
      <c r="A255" s="93"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10^ROW(INDIRECT("1:"&amp;LEN((LEFT(A254,SUM(LEN(A254)-LEN(SUBSTITUTE(A254,{"0","1","2"},""))))))))/10))*100+1&amp;""&amp;" to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",LEN(A254))),LEN(A254)))))))/10))*100+1</f>
        <v>201 to 501</v>
      </c>
      <c r="B255" s="94"/>
      <c r="C255" s="39"/>
      <c r="D255" s="39"/>
      <c r="E255" s="49">
        <v>0</v>
      </c>
      <c r="F255" s="49">
        <f>D255+E255</f>
        <v>0</v>
      </c>
      <c r="G255" s="49">
        <v>0</v>
      </c>
      <c r="H255" s="49">
        <f>F255*(($H$207)+1)+(IF(G255&lt;101,G255,IF(G255&lt;201,G255/2,IF(G255&lt;=301,G255/3,G255/4))))</f>
        <v>0</v>
      </c>
      <c r="I255" s="33"/>
    </row>
    <row r="256" spans="1:20" s="34" customFormat="1" ht="15.75" hidden="1" customHeight="1" x14ac:dyDescent="0.35">
      <c r="A256" s="93"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to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202 to 502</v>
      </c>
      <c r="B256" s="94"/>
      <c r="C256" s="39"/>
      <c r="D256" s="39"/>
      <c r="E256" s="49">
        <v>0</v>
      </c>
      <c r="F256" s="49">
        <f>D256+E256</f>
        <v>0</v>
      </c>
      <c r="G256" s="49">
        <v>0</v>
      </c>
      <c r="H256" s="49">
        <f>F256*(($H$207)+1)+(IF(G256&lt;101,G256,IF(G256&lt;201,G256/2,IF(G256&lt;=301,G256/3,G256/4))))</f>
        <v>0</v>
      </c>
      <c r="I256" s="33"/>
    </row>
    <row r="257" spans="1:20" s="34" customFormat="1" ht="15.75" hidden="1" customHeight="1" x14ac:dyDescent="0.35">
      <c r="A257" s="93"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10^ROW(INDIRECT("1:"&amp;LEN((LEFT(A256,SUM(LEN(A256)-LEN(SUBSTITUTE(A256,{"0","1","2"},""))))))))/10))*1+1&amp;""&amp;" to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",LEN(A256))),LEN(A256)))))))/10))*1+1</f>
        <v>203 to 503</v>
      </c>
      <c r="B257" s="94"/>
      <c r="C257" s="39"/>
      <c r="D257" s="39"/>
      <c r="E257" s="49">
        <v>0</v>
      </c>
      <c r="F257" s="49">
        <f>D257+E257</f>
        <v>0</v>
      </c>
      <c r="G257" s="49">
        <v>0</v>
      </c>
      <c r="H257" s="49">
        <f>F257*(($H$207)+1)+(IF(G257&lt;101,G257,IF(G257&lt;201,G257/2,IF(G257&lt;=301,G257/3,G257/4))))</f>
        <v>0</v>
      </c>
      <c r="I257" s="33"/>
    </row>
    <row r="258" spans="1:20" s="34" customFormat="1" ht="15.75" hidden="1" customHeight="1" x14ac:dyDescent="0.35">
      <c r="A258" s="93" t="str">
        <f ca="1">(SUMPRODUCT(MID(0&amp;(LEFT(A257,SUM(LEN(A257)-LEN(SUBSTITUTE(A257,{"0","1","2"},""))))), LARGE(INDEX(ISNUMBER(--MID((LEFT(A257,SUM(LEN(A257)-LEN(SUBSTITUTE(A257,{"0","1","2"},""))))), ROW(INDIRECT("1:"&amp;LEN((LEFT(A257,SUM(LEN(A257)-LEN(SUBSTITUTE(A257,{"0","1","2"},"")))))))), 1)) * ROW(INDIRECT("1:"&amp;LEN((LEFT(A257,SUM(LEN(A257)-LEN(SUBSTITUTE(A257,{"0","1","2"},"")))))))), 0), ROW(INDIRECT("1:"&amp;LEN((LEFT(A257,SUM(LEN(A257)-LEN(SUBSTITUTE(A257,{"0","1","2"},"")))))))))+1, 1) * 10^ROW(INDIRECT("1:"&amp;LEN((LEFT(A257,SUM(LEN(A257)-LEN(SUBSTITUTE(A257,{"0","1","2"},""))))))))/10))*1+1&amp;""&amp;" to "&amp;""&amp;(SUMPRODUCT(MID(0&amp;(--TRIM(RIGHT(SUBSTITUTE(LEFT(A257,_xlfn.AGGREGATE(16,6,FIND({0,1,2,3,4,5,6,7,8,9},A257,ROW(INDIRECT("1:"&amp;LEN(A257)))),1))," ",REPT(" ",LEN(A257))),LEN(A257)))), LARGE(INDEX(ISNUMBER(--MID((--TRIM(RIGHT(SUBSTITUTE(LEFT(A257,_xlfn.AGGREGATE(16,6,FIND({0,1,2,3,4,5,6,7,8,9},A257,ROW(INDIRECT("1:"&amp;LEN(A257)))),1))," ",REPT(" ",LEN(A257))),LEN(A257)))), ROW(INDIRECT("1:"&amp;LEN((--TRIM(RIGHT(SUBSTITUTE(LEFT(A257,_xlfn.AGGREGATE(16,6,FIND({0,1,2,3,4,5,6,7,8,9},A257,ROW(INDIRECT("1:"&amp;LEN(A257)))),1))," ",REPT(" ",LEN(A257))),LEN(A257))))))), 1)) * ROW(INDIRECT("1:"&amp;LEN((--TRIM(RIGHT(SUBSTITUTE(LEFT(A257,_xlfn.AGGREGATE(16,6,FIND({0,1,2,3,4,5,6,7,8,9},A257,ROW(INDIRECT("1:"&amp;LEN(A257)))),1))," ",REPT(" ",LEN(A257))),LEN(A257))))))), 0), ROW(INDIRECT("1:"&amp;LEN((--TRIM(RIGHT(SUBSTITUTE(LEFT(A257,_xlfn.AGGREGATE(16,6,FIND({0,1,2,3,4,5,6,7,8,9},A257,ROW(INDIRECT("1:"&amp;LEN(A257)))),1))," ",REPT(" ",LEN(A257))),LEN(A257))))))))+1, 1) * 10^ROW(INDIRECT("1:"&amp;LEN((--TRIM(RIGHT(SUBSTITUTE(LEFT(A257,_xlfn.AGGREGATE(16,6,FIND({0,1,2,3,4,5,6,7,8,9},A257,ROW(INDIRECT("1:"&amp;LEN(A257)))),1))," ",REPT(" ",LEN(A257))),LEN(A257)))))))/10))*1+1</f>
        <v>204 to 504</v>
      </c>
      <c r="B258" s="94"/>
      <c r="C258" s="39"/>
      <c r="D258" s="39"/>
      <c r="E258" s="49">
        <v>0</v>
      </c>
      <c r="F258" s="49">
        <f>D258+E258</f>
        <v>0</v>
      </c>
      <c r="G258" s="49">
        <v>0</v>
      </c>
      <c r="H258" s="49">
        <f>F258*(($H$207)+1)+(IF(G258&lt;101,G258,IF(G258&lt;201,G258/2,IF(G258&lt;=301,G258/3,G258/4))))</f>
        <v>0</v>
      </c>
      <c r="I258" s="33"/>
    </row>
    <row r="259" spans="1:20" s="34" customFormat="1" ht="15.75" hidden="1" customHeight="1" x14ac:dyDescent="0.35">
      <c r="A259" s="93" t="str">
        <f ca="1">(SUMPRODUCT(MID(0&amp;(LEFT(A258,SUM(LEN(A258)-LEN(SUBSTITUTE(A258,{"0","1","2"},""))))), LARGE(INDEX(ISNUMBER(--MID((LEFT(A258,SUM(LEN(A258)-LEN(SUBSTITUTE(A258,{"0","1","2"},""))))), ROW(INDIRECT("1:"&amp;LEN((LEFT(A258,SUM(LEN(A258)-LEN(SUBSTITUTE(A258,{"0","1","2"},"")))))))), 1)) * ROW(INDIRECT("1:"&amp;LEN((LEFT(A258,SUM(LEN(A258)-LEN(SUBSTITUTE(A258,{"0","1","2"},"")))))))), 0), ROW(INDIRECT("1:"&amp;LEN((LEFT(A258,SUM(LEN(A258)-LEN(SUBSTITUTE(A258,{"0","1","2"},"")))))))))+1, 1) * 10^ROW(INDIRECT("1:"&amp;LEN((LEFT(A258,SUM(LEN(A258)-LEN(SUBSTITUTE(A258,{"0","1","2"},""))))))))/10))*1+1&amp;""&amp;" to "&amp;""&amp;(SUMPRODUCT(MID(0&amp;(--TRIM(RIGHT(SUBSTITUTE(LEFT(A258,_xlfn.AGGREGATE(16,6,FIND({0,1,2,3,4,5,6,7,8,9},A258,ROW(INDIRECT("1:"&amp;LEN(A258)))),1))," ",REPT(" ",LEN(A258))),LEN(A258)))), LARGE(INDEX(ISNUMBER(--MID((--TRIM(RIGHT(SUBSTITUTE(LEFT(A258,_xlfn.AGGREGATE(16,6,FIND({0,1,2,3,4,5,6,7,8,9},A258,ROW(INDIRECT("1:"&amp;LEN(A258)))),1))," ",REPT(" ",LEN(A258))),LEN(A258)))), ROW(INDIRECT("1:"&amp;LEN((--TRIM(RIGHT(SUBSTITUTE(LEFT(A258,_xlfn.AGGREGATE(16,6,FIND({0,1,2,3,4,5,6,7,8,9},A258,ROW(INDIRECT("1:"&amp;LEN(A258)))),1))," ",REPT(" ",LEN(A258))),LEN(A258))))))), 1)) * ROW(INDIRECT("1:"&amp;LEN((--TRIM(RIGHT(SUBSTITUTE(LEFT(A258,_xlfn.AGGREGATE(16,6,FIND({0,1,2,3,4,5,6,7,8,9},A258,ROW(INDIRECT("1:"&amp;LEN(A258)))),1))," ",REPT(" ",LEN(A258))),LEN(A258))))))), 0), ROW(INDIRECT("1:"&amp;LEN((--TRIM(RIGHT(SUBSTITUTE(LEFT(A258,_xlfn.AGGREGATE(16,6,FIND({0,1,2,3,4,5,6,7,8,9},A258,ROW(INDIRECT("1:"&amp;LEN(A258)))),1))," ",REPT(" ",LEN(A258))),LEN(A258))))))))+1, 1) * 10^ROW(INDIRECT("1:"&amp;LEN((--TRIM(RIGHT(SUBSTITUTE(LEFT(A258,_xlfn.AGGREGATE(16,6,FIND({0,1,2,3,4,5,6,7,8,9},A258,ROW(INDIRECT("1:"&amp;LEN(A258)))),1))," ",REPT(" ",LEN(A258))),LEN(A258)))))))/10))*1+1</f>
        <v>205 to 505</v>
      </c>
      <c r="B259" s="94"/>
      <c r="C259" s="39"/>
      <c r="D259" s="39"/>
      <c r="E259" s="49">
        <v>0</v>
      </c>
      <c r="F259" s="49">
        <f>D259+E259</f>
        <v>0</v>
      </c>
      <c r="G259" s="49">
        <v>0</v>
      </c>
      <c r="H259" s="49">
        <f>F259*(($H$207)+1)+(IF(G259&lt;101,G259,IF(G259&lt;201,G259/2,IF(G259&lt;=301,G259/3,G259/4))))</f>
        <v>0</v>
      </c>
      <c r="I259" s="33"/>
    </row>
    <row r="260" spans="1:20" s="34" customFormat="1" hidden="1" x14ac:dyDescent="0.35">
      <c r="A260" s="138" t="s">
        <v>144</v>
      </c>
      <c r="B260" s="139"/>
      <c r="C260" s="139"/>
      <c r="D260" s="139"/>
      <c r="E260" s="139"/>
      <c r="F260" s="139"/>
      <c r="G260" s="139"/>
      <c r="H260" s="140"/>
      <c r="I260" s="33"/>
    </row>
    <row r="261" spans="1:20" s="34" customFormat="1" ht="15.75" hidden="1" customHeight="1" x14ac:dyDescent="0.35">
      <c r="A261" s="93"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10^ROW(INDIRECT("1:"&amp;LEN((LEFT(A260,SUM(LEN(A260)-LEN(SUBSTITUTE(A260,{"0","1","2"},""))))))))/10))*100+1&amp;""&amp;" &amp;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",LEN(A260))),LEN(A260)))))))/10))*100+1</f>
        <v>201 &amp; 501</v>
      </c>
      <c r="B261" s="94"/>
      <c r="C261" s="39"/>
      <c r="D261" s="39"/>
      <c r="E261" s="49">
        <v>0</v>
      </c>
      <c r="F261" s="49">
        <f>D261+E261</f>
        <v>0</v>
      </c>
      <c r="G261" s="49">
        <v>0</v>
      </c>
      <c r="H261" s="49">
        <f>F261*(($H$207)+1)+(IF(G261&lt;101,G261,IF(G261&lt;201,G261/2,IF(G261&lt;=301,G261/3,G261/4))))</f>
        <v>0</v>
      </c>
      <c r="I261" s="33"/>
    </row>
    <row r="262" spans="1:20" s="34" customFormat="1" ht="15.75" hidden="1" customHeight="1" x14ac:dyDescent="0.35">
      <c r="A262" s="93"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&amp;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202 &amp; 502</v>
      </c>
      <c r="B262" s="94"/>
      <c r="C262" s="39"/>
      <c r="D262" s="39"/>
      <c r="E262" s="49">
        <v>0</v>
      </c>
      <c r="F262" s="49">
        <f>D262+E262</f>
        <v>0</v>
      </c>
      <c r="G262" s="49">
        <v>0</v>
      </c>
      <c r="H262" s="49">
        <f>F262*(($H$207)+1)+(IF(G262&lt;101,G262,IF(G262&lt;201,G262/2,IF(G262&lt;=301,G262/3,G262/4))))</f>
        <v>0</v>
      </c>
      <c r="I262" s="33"/>
    </row>
    <row r="263" spans="1:20" s="34" customFormat="1" ht="15.75" hidden="1" customHeight="1" x14ac:dyDescent="0.35">
      <c r="A263" s="93"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&amp;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203 &amp; 503</v>
      </c>
      <c r="B263" s="94"/>
      <c r="C263" s="39"/>
      <c r="D263" s="39"/>
      <c r="E263" s="49">
        <v>0</v>
      </c>
      <c r="F263" s="49">
        <f>D263+E263</f>
        <v>0</v>
      </c>
      <c r="G263" s="49">
        <v>0</v>
      </c>
      <c r="H263" s="49">
        <f>F263*(($H$207)+1)+(IF(G263&lt;101,G263,IF(G263&lt;201,G263/2,IF(G263&lt;=301,G263/3,G263/4))))</f>
        <v>0</v>
      </c>
      <c r="I263" s="33"/>
    </row>
    <row r="264" spans="1:20" s="34" customFormat="1" ht="15.75" hidden="1" customHeight="1" x14ac:dyDescent="0.35">
      <c r="A264" s="93"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&amp;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204 &amp; 504</v>
      </c>
      <c r="B264" s="94"/>
      <c r="C264" s="39"/>
      <c r="D264" s="39"/>
      <c r="E264" s="49">
        <v>0</v>
      </c>
      <c r="F264" s="49">
        <f>D264+E264</f>
        <v>0</v>
      </c>
      <c r="G264" s="49">
        <v>0</v>
      </c>
      <c r="H264" s="49">
        <f>F264*(($H$207)+1)+(IF(G264&lt;101,G264,IF(G264&lt;201,G264/2,IF(G264&lt;=301,G264/3,G264/4))))</f>
        <v>0</v>
      </c>
      <c r="I264" s="33"/>
    </row>
    <row r="265" spans="1:20" s="34" customFormat="1" ht="15.75" hidden="1" customHeight="1" x14ac:dyDescent="0.35">
      <c r="A265" s="93" t="str">
        <f ca="1">(SUMPRODUCT(MID(0&amp;(LEFT(A264,SUM(LEN(A264)-LEN(SUBSTITUTE(A264,{"0","1","2"},""))))), LARGE(INDEX(ISNUMBER(--MID((LEFT(A264,SUM(LEN(A264)-LEN(SUBSTITUTE(A264,{"0","1","2"},""))))), ROW(INDIRECT("1:"&amp;LEN((LEFT(A264,SUM(LEN(A264)-LEN(SUBSTITUTE(A264,{"0","1","2"},"")))))))), 1)) * ROW(INDIRECT("1:"&amp;LEN((LEFT(A264,SUM(LEN(A264)-LEN(SUBSTITUTE(A264,{"0","1","2"},"")))))))), 0), ROW(INDIRECT("1:"&amp;LEN((LEFT(A264,SUM(LEN(A264)-LEN(SUBSTITUTE(A264,{"0","1","2"},"")))))))))+1, 1) * 10^ROW(INDIRECT("1:"&amp;LEN((LEFT(A264,SUM(LEN(A264)-LEN(SUBSTITUTE(A264,{"0","1","2"},""))))))))/10))*1+1&amp;""&amp;" &amp; "&amp;""&amp;(SUMPRODUCT(MID(0&amp;(--TRIM(RIGHT(SUBSTITUTE(LEFT(A264,_xlfn.AGGREGATE(16,6,FIND({0,1,2,3,4,5,6,7,8,9},A264,ROW(INDIRECT("1:"&amp;LEN(A264)))),1))," ",REPT(" ",LEN(A264))),LEN(A264)))), LARGE(INDEX(ISNUMBER(--MID((--TRIM(RIGHT(SUBSTITUTE(LEFT(A264,_xlfn.AGGREGATE(16,6,FIND({0,1,2,3,4,5,6,7,8,9},A264,ROW(INDIRECT("1:"&amp;LEN(A264)))),1))," ",REPT(" ",LEN(A264))),LEN(A264)))), ROW(INDIRECT("1:"&amp;LEN((--TRIM(RIGHT(SUBSTITUTE(LEFT(A264,_xlfn.AGGREGATE(16,6,FIND({0,1,2,3,4,5,6,7,8,9},A264,ROW(INDIRECT("1:"&amp;LEN(A264)))),1))," ",REPT(" ",LEN(A264))),LEN(A264))))))), 1)) * ROW(INDIRECT("1:"&amp;LEN((--TRIM(RIGHT(SUBSTITUTE(LEFT(A264,_xlfn.AGGREGATE(16,6,FIND({0,1,2,3,4,5,6,7,8,9},A264,ROW(INDIRECT("1:"&amp;LEN(A264)))),1))," ",REPT(" ",LEN(A264))),LEN(A264))))))), 0), ROW(INDIRECT("1:"&amp;LEN((--TRIM(RIGHT(SUBSTITUTE(LEFT(A264,_xlfn.AGGREGATE(16,6,FIND({0,1,2,3,4,5,6,7,8,9},A264,ROW(INDIRECT("1:"&amp;LEN(A264)))),1))," ",REPT(" ",LEN(A264))),LEN(A264))))))))+1, 1) * 10^ROW(INDIRECT("1:"&amp;LEN((--TRIM(RIGHT(SUBSTITUTE(LEFT(A264,_xlfn.AGGREGATE(16,6,FIND({0,1,2,3,4,5,6,7,8,9},A264,ROW(INDIRECT("1:"&amp;LEN(A264)))),1))," ",REPT(" ",LEN(A264))),LEN(A264)))))))/10))*1+1</f>
        <v>205 &amp; 505</v>
      </c>
      <c r="B265" s="94"/>
      <c r="C265" s="39"/>
      <c r="D265" s="39"/>
      <c r="E265" s="49">
        <v>0</v>
      </c>
      <c r="F265" s="49">
        <f>D265+E265</f>
        <v>0</v>
      </c>
      <c r="G265" s="49">
        <v>0</v>
      </c>
      <c r="H265" s="49">
        <f>F265*(($H$207)+1)+(IF(G265&lt;101,G265,IF(G265&lt;201,G265/2,IF(G265&lt;=301,G265/3,G265/4))))</f>
        <v>0</v>
      </c>
      <c r="I265" s="33"/>
    </row>
    <row r="266" spans="1:20" s="32" customFormat="1" x14ac:dyDescent="0.35">
      <c r="A266" s="156" t="s">
        <v>65</v>
      </c>
      <c r="B266" s="156"/>
      <c r="C266" s="156"/>
      <c r="D266" s="156"/>
      <c r="E266" s="156"/>
      <c r="F266" s="156"/>
      <c r="G266" s="156"/>
      <c r="H266" s="156"/>
      <c r="T266" s="34"/>
    </row>
    <row r="267" spans="1:20" s="32" customFormat="1" ht="31" customHeight="1" x14ac:dyDescent="0.35">
      <c r="A267" s="86" t="s">
        <v>153</v>
      </c>
      <c r="B267" s="225" t="s">
        <v>385</v>
      </c>
      <c r="C267" s="225"/>
      <c r="D267" s="225"/>
      <c r="E267" s="225"/>
      <c r="F267" s="225"/>
      <c r="G267" s="225"/>
      <c r="H267" s="225"/>
      <c r="T267" s="34"/>
    </row>
    <row r="268" spans="1:20" s="32" customFormat="1" x14ac:dyDescent="0.35">
      <c r="A268" s="86" t="s">
        <v>153</v>
      </c>
      <c r="B268" s="225" t="str">
        <f>(IF(H206="Saleable area Loading :","We have considered Saleable area of Flats as per our Calculation.","We considered Saleable area of Flat as per Builder area Sheet."))</f>
        <v>We have considered Saleable area of Flats as per our Calculation.</v>
      </c>
      <c r="C268" s="225"/>
      <c r="D268" s="225"/>
      <c r="E268" s="225"/>
      <c r="F268" s="225"/>
      <c r="G268" s="225"/>
      <c r="H268" s="225"/>
      <c r="T268" s="34"/>
    </row>
    <row r="269" spans="1:20" s="32" customFormat="1" x14ac:dyDescent="0.35">
      <c r="A269" s="86" t="s">
        <v>153</v>
      </c>
      <c r="B269" s="225" t="str">
        <f>(IF(H130="Saleable area Loading :","We have considered Saleable area of Commercial as per our Calculation.","We considered Saleable area of Commercial as per Builder area Sheet."))</f>
        <v>We have considered Saleable area of Commercial as per our Calculation.</v>
      </c>
      <c r="C269" s="225"/>
      <c r="D269" s="225"/>
      <c r="E269" s="225"/>
      <c r="F269" s="225"/>
      <c r="G269" s="225"/>
      <c r="H269" s="225"/>
      <c r="T269" s="34"/>
    </row>
    <row r="270" spans="1:20" s="32" customFormat="1" x14ac:dyDescent="0.35">
      <c r="A270" s="86" t="s">
        <v>153</v>
      </c>
      <c r="B270" s="225" t="s">
        <v>120</v>
      </c>
      <c r="C270" s="225"/>
      <c r="D270" s="225"/>
      <c r="E270" s="225"/>
      <c r="F270" s="225"/>
      <c r="G270" s="225"/>
      <c r="H270" s="225"/>
      <c r="T270" s="34"/>
    </row>
    <row r="271" spans="1:20" s="32" customFormat="1" x14ac:dyDescent="0.35">
      <c r="A271" s="86" t="s">
        <v>153</v>
      </c>
      <c r="B271" s="225" t="s">
        <v>357</v>
      </c>
      <c r="C271" s="225"/>
      <c r="D271" s="225"/>
      <c r="E271" s="225"/>
      <c r="F271" s="225"/>
      <c r="G271" s="225"/>
      <c r="H271" s="225"/>
      <c r="T271" s="34"/>
    </row>
    <row r="272" spans="1:20" s="32" customFormat="1" x14ac:dyDescent="0.35">
      <c r="A272" s="86" t="s">
        <v>153</v>
      </c>
      <c r="B272" s="225" t="s">
        <v>152</v>
      </c>
      <c r="C272" s="225"/>
      <c r="D272" s="225"/>
      <c r="E272" s="225"/>
      <c r="F272" s="225"/>
      <c r="G272" s="225"/>
      <c r="H272" s="225"/>
    </row>
    <row r="273" spans="1:20" s="32" customFormat="1" x14ac:dyDescent="0.35">
      <c r="A273" s="86" t="s">
        <v>153</v>
      </c>
      <c r="B273" s="225" t="s">
        <v>121</v>
      </c>
      <c r="C273" s="225"/>
      <c r="D273" s="225"/>
      <c r="E273" s="225"/>
      <c r="F273" s="225"/>
      <c r="G273" s="225"/>
      <c r="H273" s="225"/>
    </row>
    <row r="274" spans="1:20" s="32" customFormat="1" ht="34.5" customHeight="1" x14ac:dyDescent="0.35">
      <c r="A274" s="86" t="s">
        <v>153</v>
      </c>
      <c r="B274" s="225" t="s">
        <v>154</v>
      </c>
      <c r="C274" s="225"/>
      <c r="D274" s="225"/>
      <c r="E274" s="225"/>
      <c r="F274" s="225"/>
      <c r="G274" s="225"/>
      <c r="H274" s="225"/>
    </row>
    <row r="275" spans="1:20" s="32" customFormat="1" x14ac:dyDescent="0.35">
      <c r="A275" s="41" t="s">
        <v>153</v>
      </c>
      <c r="B275" s="87" t="s">
        <v>122</v>
      </c>
      <c r="C275" s="88"/>
      <c r="D275" s="88"/>
      <c r="E275" s="88"/>
      <c r="F275" s="88"/>
      <c r="G275" s="88"/>
      <c r="H275" s="89"/>
    </row>
    <row r="276" spans="1:20" s="32" customFormat="1" x14ac:dyDescent="0.35">
      <c r="A276" s="84" t="s">
        <v>153</v>
      </c>
      <c r="B276" s="87" t="s">
        <v>374</v>
      </c>
      <c r="C276" s="88"/>
      <c r="D276" s="88"/>
      <c r="E276" s="88"/>
      <c r="F276" s="88"/>
      <c r="G276" s="88"/>
      <c r="H276" s="89"/>
    </row>
    <row r="277" spans="1:20" s="32" customFormat="1" x14ac:dyDescent="0.35">
      <c r="A277" s="60" t="s">
        <v>153</v>
      </c>
      <c r="B277" s="87" t="s">
        <v>384</v>
      </c>
      <c r="C277" s="88"/>
      <c r="D277" s="88"/>
      <c r="E277" s="88"/>
      <c r="F277" s="88"/>
      <c r="G277" s="88"/>
      <c r="H277" s="89"/>
    </row>
    <row r="278" spans="1:20" x14ac:dyDescent="0.35">
      <c r="A278" s="120" t="s">
        <v>58</v>
      </c>
      <c r="B278" s="120"/>
      <c r="C278" s="120"/>
      <c r="D278" s="120"/>
      <c r="E278" s="120"/>
      <c r="F278" s="120"/>
      <c r="G278" s="120"/>
      <c r="H278" s="120"/>
      <c r="T278" s="32"/>
    </row>
    <row r="279" spans="1:20" x14ac:dyDescent="0.35">
      <c r="A279" s="108" t="s">
        <v>59</v>
      </c>
      <c r="B279" s="108"/>
      <c r="C279" s="108"/>
      <c r="D279" s="108"/>
      <c r="E279" s="108"/>
      <c r="F279" s="108"/>
      <c r="G279" s="108"/>
      <c r="H279" s="108"/>
      <c r="T279" s="32"/>
    </row>
    <row r="280" spans="1:20" ht="15.75" customHeight="1" x14ac:dyDescent="0.35">
      <c r="A280" s="160" t="s">
        <v>60</v>
      </c>
      <c r="B280" s="160"/>
      <c r="C280" s="160"/>
      <c r="D280" s="160"/>
      <c r="E280" s="160"/>
      <c r="F280" s="160"/>
      <c r="G280" s="160"/>
      <c r="H280" s="160"/>
      <c r="T280" s="32"/>
    </row>
    <row r="281" spans="1:20" x14ac:dyDescent="0.35">
      <c r="A281" s="108" t="s">
        <v>61</v>
      </c>
      <c r="B281" s="108"/>
      <c r="C281" s="108"/>
      <c r="D281" s="108"/>
      <c r="E281" s="108"/>
      <c r="F281" s="108"/>
      <c r="G281" s="108"/>
      <c r="H281" s="108"/>
      <c r="T281" s="32"/>
    </row>
    <row r="282" spans="1:20" x14ac:dyDescent="0.35">
      <c r="A282" s="108" t="s">
        <v>62</v>
      </c>
      <c r="B282" s="108"/>
      <c r="C282" s="108"/>
      <c r="D282" s="108"/>
      <c r="E282" s="108"/>
      <c r="F282" s="108"/>
      <c r="G282" s="108"/>
      <c r="H282" s="108"/>
      <c r="T282" s="32"/>
    </row>
    <row r="283" spans="1:20" x14ac:dyDescent="0.35">
      <c r="A283" s="108" t="s">
        <v>123</v>
      </c>
      <c r="B283" s="108"/>
      <c r="C283" s="108"/>
      <c r="D283" s="108"/>
      <c r="E283" s="108"/>
      <c r="F283" s="108"/>
      <c r="G283" s="108"/>
      <c r="H283" s="108"/>
      <c r="T283" s="32"/>
    </row>
    <row r="284" spans="1:20" ht="33.9" customHeight="1" x14ac:dyDescent="0.35">
      <c r="A284" s="105" t="s">
        <v>124</v>
      </c>
      <c r="B284" s="105"/>
      <c r="C284" s="105"/>
      <c r="D284" s="105"/>
      <c r="E284" s="105"/>
      <c r="F284" s="105"/>
      <c r="G284" s="105"/>
      <c r="H284" s="105"/>
    </row>
    <row r="285" spans="1:20" x14ac:dyDescent="0.35">
      <c r="A285" s="159" t="s">
        <v>74</v>
      </c>
      <c r="B285" s="159"/>
      <c r="C285" s="159" t="s">
        <v>319</v>
      </c>
      <c r="D285" s="159"/>
      <c r="E285" s="159" t="s">
        <v>104</v>
      </c>
      <c r="F285" s="159"/>
      <c r="G285" s="159" t="s">
        <v>386</v>
      </c>
      <c r="H285" s="159"/>
    </row>
    <row r="286" spans="1:20" x14ac:dyDescent="0.35">
      <c r="A286" s="158" t="s">
        <v>76</v>
      </c>
      <c r="B286" s="158"/>
      <c r="C286" s="158"/>
      <c r="D286" s="158"/>
      <c r="E286" s="158"/>
      <c r="F286" s="158"/>
      <c r="G286" s="158"/>
      <c r="H286" s="158"/>
    </row>
    <row r="287" spans="1:20" x14ac:dyDescent="0.35">
      <c r="A287" s="158"/>
      <c r="B287" s="158"/>
      <c r="C287" s="158"/>
      <c r="D287" s="158"/>
      <c r="E287" s="158"/>
      <c r="F287" s="158"/>
      <c r="G287" s="158"/>
      <c r="H287" s="158"/>
    </row>
    <row r="288" spans="1:20" x14ac:dyDescent="0.35">
      <c r="A288" s="158"/>
      <c r="B288" s="158"/>
      <c r="C288" s="158"/>
      <c r="D288" s="158"/>
      <c r="E288" s="158"/>
      <c r="F288" s="158"/>
      <c r="G288" s="158"/>
      <c r="H288" s="158"/>
    </row>
    <row r="289" spans="1:8" x14ac:dyDescent="0.35">
      <c r="A289" s="158"/>
      <c r="B289" s="158"/>
      <c r="C289" s="158"/>
      <c r="D289" s="158"/>
      <c r="E289" s="158"/>
      <c r="F289" s="158"/>
      <c r="G289" s="158"/>
      <c r="H289" s="158"/>
    </row>
    <row r="290" spans="1:8" x14ac:dyDescent="0.35">
      <c r="A290" s="35" t="s">
        <v>63</v>
      </c>
      <c r="B290" s="36"/>
      <c r="C290" s="36"/>
      <c r="D290" s="35" t="str">
        <f>E9</f>
        <v>Khushi Axis World</v>
      </c>
      <c r="F290" s="36"/>
      <c r="G290" s="36"/>
      <c r="H290" s="36"/>
    </row>
    <row r="291" spans="1:8" x14ac:dyDescent="0.35">
      <c r="A291" s="36"/>
      <c r="B291" s="36"/>
      <c r="C291" s="36"/>
      <c r="D291" s="36"/>
      <c r="E291" s="36"/>
      <c r="F291" s="36"/>
      <c r="G291" s="36"/>
      <c r="H291" s="36"/>
    </row>
    <row r="292" spans="1:8" x14ac:dyDescent="0.35">
      <c r="A292" s="36"/>
      <c r="B292" s="36"/>
      <c r="C292" s="36"/>
      <c r="D292" s="36"/>
      <c r="E292" s="36"/>
      <c r="F292" s="36"/>
      <c r="G292" s="36"/>
      <c r="H292" s="36"/>
    </row>
    <row r="293" spans="1:8" ht="15" customHeight="1" x14ac:dyDescent="0.35"/>
    <row r="332" spans="1:1" x14ac:dyDescent="0.35">
      <c r="A332" s="38" t="s">
        <v>162</v>
      </c>
    </row>
    <row r="374" spans="1:1" x14ac:dyDescent="0.35">
      <c r="A374" s="38" t="s">
        <v>64</v>
      </c>
    </row>
  </sheetData>
  <mergeCells count="526">
    <mergeCell ref="L233:M233"/>
    <mergeCell ref="A234:B234"/>
    <mergeCell ref="L234:M234"/>
    <mergeCell ref="A235:B235"/>
    <mergeCell ref="L235:M235"/>
    <mergeCell ref="A236:B236"/>
    <mergeCell ref="L236:M236"/>
    <mergeCell ref="C229:H232"/>
    <mergeCell ref="L227:M227"/>
    <mergeCell ref="A228:H228"/>
    <mergeCell ref="A229:B229"/>
    <mergeCell ref="L229:M229"/>
    <mergeCell ref="A230:B230"/>
    <mergeCell ref="L230:M230"/>
    <mergeCell ref="A231:B231"/>
    <mergeCell ref="L231:M231"/>
    <mergeCell ref="A232:B232"/>
    <mergeCell ref="L232:M232"/>
    <mergeCell ref="L222:M222"/>
    <mergeCell ref="A223:B223"/>
    <mergeCell ref="L223:M223"/>
    <mergeCell ref="A224:B224"/>
    <mergeCell ref="L224:M224"/>
    <mergeCell ref="A225:B225"/>
    <mergeCell ref="L225:M225"/>
    <mergeCell ref="A226:B226"/>
    <mergeCell ref="L226:M226"/>
    <mergeCell ref="L216:M216"/>
    <mergeCell ref="A217:B217"/>
    <mergeCell ref="L217:M217"/>
    <mergeCell ref="A218:B218"/>
    <mergeCell ref="L218:M218"/>
    <mergeCell ref="A219:H219"/>
    <mergeCell ref="A220:B220"/>
    <mergeCell ref="L220:M220"/>
    <mergeCell ref="A221:B221"/>
    <mergeCell ref="L221:M221"/>
    <mergeCell ref="L211:M211"/>
    <mergeCell ref="A212:B212"/>
    <mergeCell ref="L212:M212"/>
    <mergeCell ref="A213:B213"/>
    <mergeCell ref="L213:M213"/>
    <mergeCell ref="A214:B214"/>
    <mergeCell ref="L214:M214"/>
    <mergeCell ref="A215:B215"/>
    <mergeCell ref="L215:M215"/>
    <mergeCell ref="L198:M198"/>
    <mergeCell ref="A199:B199"/>
    <mergeCell ref="L199:M199"/>
    <mergeCell ref="A200:B200"/>
    <mergeCell ref="L200:M200"/>
    <mergeCell ref="A208:H208"/>
    <mergeCell ref="A209:H209"/>
    <mergeCell ref="A210:H210"/>
    <mergeCell ref="D206:D207"/>
    <mergeCell ref="E206:E207"/>
    <mergeCell ref="L193:M193"/>
    <mergeCell ref="A194:B194"/>
    <mergeCell ref="L194:M194"/>
    <mergeCell ref="A195:B195"/>
    <mergeCell ref="L195:M195"/>
    <mergeCell ref="A196:B196"/>
    <mergeCell ref="L196:M196"/>
    <mergeCell ref="A197:B197"/>
    <mergeCell ref="L197:M197"/>
    <mergeCell ref="L188:M188"/>
    <mergeCell ref="A189:B189"/>
    <mergeCell ref="L189:M189"/>
    <mergeCell ref="A190:B190"/>
    <mergeCell ref="L190:M190"/>
    <mergeCell ref="A191:B191"/>
    <mergeCell ref="L191:M191"/>
    <mergeCell ref="A192:B192"/>
    <mergeCell ref="L192:M192"/>
    <mergeCell ref="L183:M183"/>
    <mergeCell ref="A184:B184"/>
    <mergeCell ref="L184:M184"/>
    <mergeCell ref="A185:B185"/>
    <mergeCell ref="L185:M185"/>
    <mergeCell ref="A186:B186"/>
    <mergeCell ref="L186:M186"/>
    <mergeCell ref="A187:B187"/>
    <mergeCell ref="L187:M187"/>
    <mergeCell ref="L178:M178"/>
    <mergeCell ref="A179:B179"/>
    <mergeCell ref="L179:M179"/>
    <mergeCell ref="A180:B180"/>
    <mergeCell ref="L180:M180"/>
    <mergeCell ref="A181:B181"/>
    <mergeCell ref="L181:M181"/>
    <mergeCell ref="A182:B182"/>
    <mergeCell ref="L182:M182"/>
    <mergeCell ref="L167:M167"/>
    <mergeCell ref="A168:B168"/>
    <mergeCell ref="L168:M168"/>
    <mergeCell ref="A169:B169"/>
    <mergeCell ref="L169:M169"/>
    <mergeCell ref="A170:B170"/>
    <mergeCell ref="L170:M170"/>
    <mergeCell ref="A176:B176"/>
    <mergeCell ref="L176:M176"/>
    <mergeCell ref="A171:B171"/>
    <mergeCell ref="L171:M171"/>
    <mergeCell ref="A172:B172"/>
    <mergeCell ref="L172:M172"/>
    <mergeCell ref="A173:B173"/>
    <mergeCell ref="L173:M173"/>
    <mergeCell ref="A174:B174"/>
    <mergeCell ref="L174:M174"/>
    <mergeCell ref="A175:B175"/>
    <mergeCell ref="L175:M175"/>
    <mergeCell ref="L162:M162"/>
    <mergeCell ref="A163:B163"/>
    <mergeCell ref="L163:M163"/>
    <mergeCell ref="A164:B164"/>
    <mergeCell ref="L164:M164"/>
    <mergeCell ref="A165:B165"/>
    <mergeCell ref="L165:M165"/>
    <mergeCell ref="A166:B166"/>
    <mergeCell ref="L166:M166"/>
    <mergeCell ref="L157:M157"/>
    <mergeCell ref="A158:B158"/>
    <mergeCell ref="L158:M158"/>
    <mergeCell ref="A159:B159"/>
    <mergeCell ref="L159:M159"/>
    <mergeCell ref="A160:B160"/>
    <mergeCell ref="L160:M160"/>
    <mergeCell ref="A161:B161"/>
    <mergeCell ref="L161:M161"/>
    <mergeCell ref="L147:M147"/>
    <mergeCell ref="A148:B148"/>
    <mergeCell ref="L148:M148"/>
    <mergeCell ref="L154:M154"/>
    <mergeCell ref="A155:B155"/>
    <mergeCell ref="L155:M155"/>
    <mergeCell ref="A149:B149"/>
    <mergeCell ref="L149:M149"/>
    <mergeCell ref="A150:B150"/>
    <mergeCell ref="L150:M150"/>
    <mergeCell ref="A151:B151"/>
    <mergeCell ref="L151:M151"/>
    <mergeCell ref="A152:B152"/>
    <mergeCell ref="L152:M152"/>
    <mergeCell ref="A153:B153"/>
    <mergeCell ref="L153:M153"/>
    <mergeCell ref="A154:B154"/>
    <mergeCell ref="L141:M141"/>
    <mergeCell ref="A142:B142"/>
    <mergeCell ref="L142:M142"/>
    <mergeCell ref="A143:B143"/>
    <mergeCell ref="L143:M143"/>
    <mergeCell ref="L144:M144"/>
    <mergeCell ref="A145:B145"/>
    <mergeCell ref="L145:M145"/>
    <mergeCell ref="A146:B146"/>
    <mergeCell ref="L146:M146"/>
    <mergeCell ref="A49:B49"/>
    <mergeCell ref="C49:H49"/>
    <mergeCell ref="B272:H272"/>
    <mergeCell ref="G92:H101"/>
    <mergeCell ref="A93:B93"/>
    <mergeCell ref="A94:B94"/>
    <mergeCell ref="A95:B95"/>
    <mergeCell ref="F104:H104"/>
    <mergeCell ref="A104:E104"/>
    <mergeCell ref="D130:D131"/>
    <mergeCell ref="A106:E106"/>
    <mergeCell ref="A105:E105"/>
    <mergeCell ref="A102:E102"/>
    <mergeCell ref="F106:H106"/>
    <mergeCell ref="G130:G131"/>
    <mergeCell ref="A256:B256"/>
    <mergeCell ref="A80:B80"/>
    <mergeCell ref="A86:B86"/>
    <mergeCell ref="L242:M242"/>
    <mergeCell ref="A247:B247"/>
    <mergeCell ref="A244:B244"/>
    <mergeCell ref="A245:B245"/>
    <mergeCell ref="L241:M241"/>
    <mergeCell ref="L238:M238"/>
    <mergeCell ref="L239:M239"/>
    <mergeCell ref="L240:M240"/>
    <mergeCell ref="A119:H119"/>
    <mergeCell ref="A242:H242"/>
    <mergeCell ref="A125:B125"/>
    <mergeCell ref="L134:M134"/>
    <mergeCell ref="A135:B135"/>
    <mergeCell ref="L135:M135"/>
    <mergeCell ref="A136:B136"/>
    <mergeCell ref="L136:M136"/>
    <mergeCell ref="A137:B137"/>
    <mergeCell ref="L137:M137"/>
    <mergeCell ref="A138:B138"/>
    <mergeCell ref="L138:M138"/>
    <mergeCell ref="L139:M139"/>
    <mergeCell ref="A140:B140"/>
    <mergeCell ref="L140:M140"/>
    <mergeCell ref="A141:B141"/>
    <mergeCell ref="A40:B40"/>
    <mergeCell ref="C40:H40"/>
    <mergeCell ref="F130:F131"/>
    <mergeCell ref="C121:D121"/>
    <mergeCell ref="E121:F121"/>
    <mergeCell ref="B130:B131"/>
    <mergeCell ref="A130:A131"/>
    <mergeCell ref="C206:C207"/>
    <mergeCell ref="G206:G207"/>
    <mergeCell ref="G127:H127"/>
    <mergeCell ref="C55:H55"/>
    <mergeCell ref="A77:B77"/>
    <mergeCell ref="A74:B74"/>
    <mergeCell ref="C74:H74"/>
    <mergeCell ref="A82:B82"/>
    <mergeCell ref="A69:C69"/>
    <mergeCell ref="D69:H69"/>
    <mergeCell ref="C76:H76"/>
    <mergeCell ref="A79:B79"/>
    <mergeCell ref="A81:B81"/>
    <mergeCell ref="A116:E116"/>
    <mergeCell ref="G126:H126"/>
    <mergeCell ref="A122:B122"/>
    <mergeCell ref="C122:D122"/>
    <mergeCell ref="A39:B39"/>
    <mergeCell ref="C39:H39"/>
    <mergeCell ref="A46:D46"/>
    <mergeCell ref="L204:M204"/>
    <mergeCell ref="L203:M203"/>
    <mergeCell ref="L202:M202"/>
    <mergeCell ref="A85:B85"/>
    <mergeCell ref="C125:D125"/>
    <mergeCell ref="E125:F125"/>
    <mergeCell ref="G125:H125"/>
    <mergeCell ref="A103:E103"/>
    <mergeCell ref="A201:H201"/>
    <mergeCell ref="E130:E131"/>
    <mergeCell ref="A92:B92"/>
    <mergeCell ref="A47:D47"/>
    <mergeCell ref="A48:H48"/>
    <mergeCell ref="D64:H64"/>
    <mergeCell ref="A64:C64"/>
    <mergeCell ref="A84:B84"/>
    <mergeCell ref="C90:H90"/>
    <mergeCell ref="A45:D45"/>
    <mergeCell ref="E78:F87"/>
    <mergeCell ref="G78:H87"/>
    <mergeCell ref="A76:B76"/>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E47:H47"/>
    <mergeCell ref="C57:H57"/>
    <mergeCell ref="C59:H59"/>
    <mergeCell ref="F37:H37"/>
    <mergeCell ref="C52:E52"/>
    <mergeCell ref="A65:C66"/>
    <mergeCell ref="D65:H65"/>
    <mergeCell ref="D66:H66"/>
    <mergeCell ref="C51:E51"/>
    <mergeCell ref="C50:E5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87:B87"/>
    <mergeCell ref="A91:B91"/>
    <mergeCell ref="A90:B90"/>
    <mergeCell ref="A111:E111"/>
    <mergeCell ref="A101:B101"/>
    <mergeCell ref="A126:B126"/>
    <mergeCell ref="A117:E117"/>
    <mergeCell ref="F117:H117"/>
    <mergeCell ref="A118:E118"/>
    <mergeCell ref="F118:H118"/>
    <mergeCell ref="E91:F91"/>
    <mergeCell ref="G91:H91"/>
    <mergeCell ref="A112:E112"/>
    <mergeCell ref="E122:F122"/>
    <mergeCell ref="G122:H122"/>
    <mergeCell ref="E77:F77"/>
    <mergeCell ref="A70:C70"/>
    <mergeCell ref="D70:H70"/>
    <mergeCell ref="A73:C73"/>
    <mergeCell ref="D73:H73"/>
    <mergeCell ref="A71:C71"/>
    <mergeCell ref="D72:H72"/>
    <mergeCell ref="A78:B78"/>
    <mergeCell ref="G77:H77"/>
    <mergeCell ref="E124:F124"/>
    <mergeCell ref="A128:H128"/>
    <mergeCell ref="A206:A207"/>
    <mergeCell ref="F206:F207"/>
    <mergeCell ref="A233:B233"/>
    <mergeCell ref="A147:B147"/>
    <mergeCell ref="A198:B198"/>
    <mergeCell ref="A243:B243"/>
    <mergeCell ref="A124:B124"/>
    <mergeCell ref="A239:B239"/>
    <mergeCell ref="A240:B240"/>
    <mergeCell ref="A241:B241"/>
    <mergeCell ref="A286:H289"/>
    <mergeCell ref="A285:B285"/>
    <mergeCell ref="E285:F285"/>
    <mergeCell ref="C285:D285"/>
    <mergeCell ref="G285:H285"/>
    <mergeCell ref="A281:H281"/>
    <mergeCell ref="A284:H284"/>
    <mergeCell ref="A282:H282"/>
    <mergeCell ref="A278:H278"/>
    <mergeCell ref="A283:H283"/>
    <mergeCell ref="A280:H280"/>
    <mergeCell ref="A279:H279"/>
    <mergeCell ref="B274:H274"/>
    <mergeCell ref="A257:B257"/>
    <mergeCell ref="B277:H277"/>
    <mergeCell ref="A167:B167"/>
    <mergeCell ref="A177:H177"/>
    <mergeCell ref="A178:B178"/>
    <mergeCell ref="A183:B183"/>
    <mergeCell ref="A188:B188"/>
    <mergeCell ref="A193:B193"/>
    <mergeCell ref="B271:H271"/>
    <mergeCell ref="A266:H266"/>
    <mergeCell ref="A258:B258"/>
    <mergeCell ref="A259:B259"/>
    <mergeCell ref="A254:H254"/>
    <mergeCell ref="A248:H248"/>
    <mergeCell ref="A238:B238"/>
    <mergeCell ref="A204:B204"/>
    <mergeCell ref="A205:H205"/>
    <mergeCell ref="A211:B211"/>
    <mergeCell ref="A216:B216"/>
    <mergeCell ref="A222:B222"/>
    <mergeCell ref="A227:B227"/>
    <mergeCell ref="A255:B255"/>
    <mergeCell ref="B270:H270"/>
    <mergeCell ref="F112:H112"/>
    <mergeCell ref="A114:E114"/>
    <mergeCell ref="F105:H105"/>
    <mergeCell ref="A113:E113"/>
    <mergeCell ref="E92:F101"/>
    <mergeCell ref="A99:B99"/>
    <mergeCell ref="A100:B100"/>
    <mergeCell ref="F102:H102"/>
    <mergeCell ref="F111:H111"/>
    <mergeCell ref="A108:E108"/>
    <mergeCell ref="F108:H108"/>
    <mergeCell ref="A109:E109"/>
    <mergeCell ref="F109:H109"/>
    <mergeCell ref="A110:E110"/>
    <mergeCell ref="F110:H110"/>
    <mergeCell ref="A96:B96"/>
    <mergeCell ref="A97:B97"/>
    <mergeCell ref="A98:B98"/>
    <mergeCell ref="F103:H103"/>
    <mergeCell ref="A253:B253"/>
    <mergeCell ref="A156:H156"/>
    <mergeCell ref="A157:B157"/>
    <mergeCell ref="A162:B162"/>
    <mergeCell ref="A144:B144"/>
    <mergeCell ref="A263:B263"/>
    <mergeCell ref="A260:H260"/>
    <mergeCell ref="A261:B261"/>
    <mergeCell ref="A262:B262"/>
    <mergeCell ref="A265:B265"/>
    <mergeCell ref="A264:B264"/>
    <mergeCell ref="B267:H267"/>
    <mergeCell ref="B268:H268"/>
    <mergeCell ref="F107:H107"/>
    <mergeCell ref="G121:H121"/>
    <mergeCell ref="F113:H113"/>
    <mergeCell ref="C120:D120"/>
    <mergeCell ref="C126:D126"/>
    <mergeCell ref="A237:H237"/>
    <mergeCell ref="A252:B252"/>
    <mergeCell ref="A249:B249"/>
    <mergeCell ref="A202:B202"/>
    <mergeCell ref="A127:B127"/>
    <mergeCell ref="C127:D127"/>
    <mergeCell ref="E127:F127"/>
    <mergeCell ref="A251:B251"/>
    <mergeCell ref="A121:B121"/>
    <mergeCell ref="A123:H123"/>
    <mergeCell ref="G124:H124"/>
    <mergeCell ref="C130:C131"/>
    <mergeCell ref="B206:B207"/>
    <mergeCell ref="A246:B246"/>
    <mergeCell ref="E126:F126"/>
    <mergeCell ref="A132:H132"/>
    <mergeCell ref="A133:H133"/>
    <mergeCell ref="A134:B134"/>
    <mergeCell ref="A139:B139"/>
    <mergeCell ref="A107:E107"/>
    <mergeCell ref="B275:H275"/>
    <mergeCell ref="B273:H273"/>
    <mergeCell ref="B269:H269"/>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B276:H276"/>
    <mergeCell ref="I15:P15"/>
    <mergeCell ref="F116:H116"/>
    <mergeCell ref="F114:H114"/>
    <mergeCell ref="A250:B250"/>
    <mergeCell ref="A129:H129"/>
    <mergeCell ref="G120:H120"/>
    <mergeCell ref="A115:E115"/>
    <mergeCell ref="A203:B203"/>
    <mergeCell ref="A60:B60"/>
    <mergeCell ref="C60:E60"/>
    <mergeCell ref="D62:H62"/>
    <mergeCell ref="F115:H115"/>
    <mergeCell ref="E120:F120"/>
    <mergeCell ref="A120:B120"/>
    <mergeCell ref="C124:D124"/>
    <mergeCell ref="D71:H71"/>
    <mergeCell ref="A72:C72"/>
    <mergeCell ref="E43:H43"/>
    <mergeCell ref="A43:D43"/>
    <mergeCell ref="A88:B88"/>
    <mergeCell ref="C88:H88"/>
    <mergeCell ref="A83:B83"/>
    <mergeCell ref="A50:B5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0:E131">
      <formula1>"Attached Loft area,Attached Otla area+OP/ FB Area,Attached Mezzanine area"</formula1>
    </dataValidation>
    <dataValidation type="list" allowBlank="1" showInputMessage="1" showErrorMessage="1" sqref="G285:H285">
      <formula1>"Kunal Kadam,Pranita Mhatre,Shruti Fule,Pooja Kawale,Neha Dhokale,Shruti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B130:B131">
      <formula1>"Shop No. (Sale Plan),Sale / Rehab,Sale / Mhada"</formula1>
    </dataValidation>
    <dataValidation type="list" allowBlank="1" showInputMessage="1" showErrorMessage="1" sqref="B206:B20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06:E207">
      <formula1>"Fungible area,Balcony + F.B/O.P. Area, Chajja Area,Cornice Area,AP Area,WS Area"</formula1>
    </dataValidation>
    <dataValidation type="list" allowBlank="1" showInputMessage="1" showErrorMessage="1" sqref="H131 H20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 type="list" allowBlank="1" showInputMessage="1" showErrorMessage="1" sqref="H130 H206">
      <formula1>"Saleable area Loading :,Builder Saleable Area"</formula1>
    </dataValidation>
    <dataValidation type="list" allowBlank="1" showInputMessage="1" showErrorMessage="1" sqref="D130:D131 D206:D207">
      <formula1>"Carpet area,RERA Carpet area"</formula1>
    </dataValidation>
    <dataValidation type="list" allowBlank="1" showInputMessage="1" showErrorMessage="1" sqref="F117:H117">
      <formula1>OFFSET($S$102,1,MATCH($G20,$S$102:$W$102,0)-1,15,1)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3" max="16383" man="1"/>
    <brk id="289" max="16383" man="1"/>
    <brk id="331" max="16383" man="1"/>
    <brk id="37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11" sqref="C11"/>
    </sheetView>
  </sheetViews>
  <sheetFormatPr defaultColWidth="8.6328125" defaultRowHeight="14.5" x14ac:dyDescent="0.35"/>
  <cols>
    <col min="1" max="1" width="8.6328125" style="1"/>
    <col min="2" max="2" width="22.08984375" style="1" customWidth="1"/>
    <col min="3" max="3" width="37" style="1" customWidth="1"/>
    <col min="4" max="5" width="11.453125" style="1" customWidth="1"/>
    <col min="6" max="6" width="14" style="1" customWidth="1"/>
    <col min="7" max="7" width="20" style="1" customWidth="1"/>
    <col min="8" max="8" width="16.453125" style="1" customWidth="1"/>
    <col min="9" max="16384" width="8.6328125" style="1"/>
  </cols>
  <sheetData>
    <row r="1" spans="1:9" ht="15" customHeight="1" x14ac:dyDescent="0.35"/>
    <row r="2" spans="1:9" ht="15" customHeight="1" x14ac:dyDescent="0.35">
      <c r="A2" s="2"/>
      <c r="B2" s="2"/>
      <c r="C2" s="2"/>
      <c r="D2" s="2"/>
      <c r="E2" s="2"/>
      <c r="F2" s="2"/>
      <c r="G2" s="2"/>
      <c r="H2" s="2"/>
    </row>
    <row r="3" spans="1:9" ht="15.75" customHeight="1" x14ac:dyDescent="0.35">
      <c r="A3" s="2"/>
      <c r="B3" s="218" t="s">
        <v>105</v>
      </c>
      <c r="C3" s="218"/>
      <c r="D3" s="218"/>
      <c r="E3" s="218"/>
      <c r="F3" s="218"/>
      <c r="G3" s="218"/>
      <c r="H3" s="218"/>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90625" bestFit="1" customWidth="1"/>
    <col min="5" max="5" width="10.453125" bestFit="1" customWidth="1"/>
    <col min="6" max="6" width="12.453125" bestFit="1" customWidth="1"/>
    <col min="7" max="7" width="18.08984375" customWidth="1"/>
    <col min="8" max="8" width="10.54296875" bestFit="1" customWidth="1"/>
  </cols>
  <sheetData>
    <row r="3" spans="2:11" x14ac:dyDescent="0.35">
      <c r="J3">
        <v>1</v>
      </c>
      <c r="K3">
        <v>2</v>
      </c>
    </row>
    <row r="4" spans="2:11" x14ac:dyDescent="0.35">
      <c r="B4" s="47"/>
      <c r="C4" s="47" t="s">
        <v>11</v>
      </c>
      <c r="D4" s="48" t="s">
        <v>177</v>
      </c>
      <c r="E4" s="48" t="s">
        <v>187</v>
      </c>
      <c r="F4" s="48" t="s">
        <v>171</v>
      </c>
      <c r="G4" s="48" t="s">
        <v>192</v>
      </c>
      <c r="H4" s="48" t="s">
        <v>210</v>
      </c>
      <c r="J4" t="s">
        <v>192</v>
      </c>
      <c r="K4" t="s">
        <v>208</v>
      </c>
    </row>
    <row r="5" spans="2:11" x14ac:dyDescent="0.35">
      <c r="B5" s="47"/>
      <c r="C5" s="47"/>
      <c r="D5" s="48" t="s">
        <v>178</v>
      </c>
      <c r="E5" s="48" t="s">
        <v>185</v>
      </c>
      <c r="F5" s="48" t="s">
        <v>207</v>
      </c>
      <c r="G5" s="48" t="s">
        <v>193</v>
      </c>
      <c r="H5" s="48" t="s">
        <v>211</v>
      </c>
    </row>
    <row r="6" spans="2:11" x14ac:dyDescent="0.35">
      <c r="B6" s="47"/>
      <c r="C6" s="47"/>
      <c r="D6" s="48" t="s">
        <v>179</v>
      </c>
      <c r="E6" s="48" t="s">
        <v>186</v>
      </c>
      <c r="F6" s="48" t="s">
        <v>208</v>
      </c>
      <c r="G6" s="48" t="s">
        <v>194</v>
      </c>
      <c r="H6" s="48" t="s">
        <v>224</v>
      </c>
    </row>
    <row r="7" spans="2:11" x14ac:dyDescent="0.35">
      <c r="B7" s="47"/>
      <c r="C7" s="47"/>
      <c r="D7" s="48" t="s">
        <v>180</v>
      </c>
      <c r="E7" s="48" t="s">
        <v>188</v>
      </c>
      <c r="F7" s="48" t="s">
        <v>209</v>
      </c>
      <c r="G7" s="48" t="s">
        <v>195</v>
      </c>
      <c r="H7" s="48" t="s">
        <v>212</v>
      </c>
    </row>
    <row r="8" spans="2:11" x14ac:dyDescent="0.35">
      <c r="B8" s="47"/>
      <c r="C8" s="47"/>
      <c r="D8" s="48" t="s">
        <v>181</v>
      </c>
      <c r="E8" s="48" t="s">
        <v>189</v>
      </c>
      <c r="F8" s="48"/>
      <c r="G8" s="48" t="s">
        <v>196</v>
      </c>
      <c r="H8" s="48" t="s">
        <v>213</v>
      </c>
    </row>
    <row r="9" spans="2:11" x14ac:dyDescent="0.35">
      <c r="B9" s="47"/>
      <c r="C9" s="47"/>
      <c r="D9" s="48" t="s">
        <v>182</v>
      </c>
      <c r="E9" s="48" t="s">
        <v>187</v>
      </c>
      <c r="F9" s="48"/>
      <c r="G9" s="48" t="s">
        <v>197</v>
      </c>
      <c r="H9" s="48" t="s">
        <v>214</v>
      </c>
    </row>
    <row r="10" spans="2:11" x14ac:dyDescent="0.35">
      <c r="B10" s="47"/>
      <c r="C10" s="47"/>
      <c r="D10" s="48" t="s">
        <v>183</v>
      </c>
      <c r="E10" s="48" t="s">
        <v>190</v>
      </c>
      <c r="F10" s="48"/>
      <c r="G10" s="48" t="s">
        <v>198</v>
      </c>
      <c r="H10" s="48" t="s">
        <v>215</v>
      </c>
    </row>
    <row r="11" spans="2:11" x14ac:dyDescent="0.35">
      <c r="B11" s="47"/>
      <c r="C11" s="47"/>
      <c r="D11" s="48" t="s">
        <v>184</v>
      </c>
      <c r="E11" s="48" t="s">
        <v>191</v>
      </c>
      <c r="F11" s="48"/>
      <c r="G11" s="48" t="s">
        <v>199</v>
      </c>
      <c r="H11" s="48" t="s">
        <v>216</v>
      </c>
    </row>
    <row r="12" spans="2:11" x14ac:dyDescent="0.35">
      <c r="B12" s="47"/>
      <c r="C12" s="47"/>
      <c r="D12" s="48"/>
      <c r="E12" s="48"/>
      <c r="F12" s="48"/>
      <c r="G12" s="48" t="s">
        <v>200</v>
      </c>
      <c r="H12" s="48" t="s">
        <v>217</v>
      </c>
    </row>
    <row r="13" spans="2:11" x14ac:dyDescent="0.35">
      <c r="B13" s="47"/>
      <c r="C13" s="47"/>
      <c r="D13" s="48"/>
      <c r="E13" s="48"/>
      <c r="F13" s="48"/>
      <c r="G13" s="48" t="s">
        <v>201</v>
      </c>
      <c r="H13" s="48" t="s">
        <v>218</v>
      </c>
    </row>
    <row r="14" spans="2:11" x14ac:dyDescent="0.35">
      <c r="B14" s="47"/>
      <c r="C14" s="47"/>
      <c r="D14" s="48"/>
      <c r="E14" s="48"/>
      <c r="F14" s="48"/>
      <c r="G14" s="48" t="s">
        <v>202</v>
      </c>
      <c r="H14" s="48" t="s">
        <v>219</v>
      </c>
    </row>
    <row r="15" spans="2:11" x14ac:dyDescent="0.35">
      <c r="B15" s="47"/>
      <c r="C15" s="47"/>
      <c r="D15" s="48"/>
      <c r="E15" s="48"/>
      <c r="F15" s="48"/>
      <c r="G15" s="48" t="s">
        <v>203</v>
      </c>
      <c r="H15" s="48" t="s">
        <v>220</v>
      </c>
    </row>
    <row r="16" spans="2:11" x14ac:dyDescent="0.35">
      <c r="B16" s="47"/>
      <c r="C16" s="47"/>
      <c r="D16" s="48"/>
      <c r="E16" s="48"/>
      <c r="F16" s="48"/>
      <c r="G16" s="48" t="s">
        <v>204</v>
      </c>
      <c r="H16" s="48" t="s">
        <v>221</v>
      </c>
    </row>
    <row r="17" spans="2:8" x14ac:dyDescent="0.35">
      <c r="B17" s="47"/>
      <c r="C17" s="47"/>
      <c r="D17" s="48"/>
      <c r="E17" s="48"/>
      <c r="F17" s="48"/>
      <c r="G17" s="48" t="s">
        <v>205</v>
      </c>
      <c r="H17" s="48" t="s">
        <v>222</v>
      </c>
    </row>
    <row r="18" spans="2:8" x14ac:dyDescent="0.35">
      <c r="B18" s="47"/>
      <c r="C18" s="47"/>
      <c r="D18" s="48"/>
      <c r="E18" s="48"/>
      <c r="F18" s="48"/>
      <c r="G18" s="48" t="s">
        <v>206</v>
      </c>
      <c r="H18" s="48" t="s">
        <v>223</v>
      </c>
    </row>
    <row r="24" spans="2:8" x14ac:dyDescent="0.35">
      <c r="C24" t="s">
        <v>168</v>
      </c>
    </row>
    <row r="25" spans="2:8" x14ac:dyDescent="0.35">
      <c r="C25" t="s">
        <v>225</v>
      </c>
    </row>
    <row r="26" spans="2:8" x14ac:dyDescent="0.35">
      <c r="C26" t="s">
        <v>226</v>
      </c>
    </row>
    <row r="27" spans="2:8" x14ac:dyDescent="0.35">
      <c r="C27" t="s">
        <v>227</v>
      </c>
    </row>
    <row r="28" spans="2:8" x14ac:dyDescent="0.35">
      <c r="C28" t="s">
        <v>228</v>
      </c>
    </row>
    <row r="29" spans="2:8" x14ac:dyDescent="0.35">
      <c r="C29" t="s">
        <v>229</v>
      </c>
    </row>
    <row r="30" spans="2:8" x14ac:dyDescent="0.35">
      <c r="C30" t="s">
        <v>168</v>
      </c>
    </row>
    <row r="33" spans="3:11" x14ac:dyDescent="0.35">
      <c r="J33">
        <v>1</v>
      </c>
      <c r="K33">
        <v>2</v>
      </c>
    </row>
    <row r="34" spans="3:11" x14ac:dyDescent="0.35">
      <c r="C34" s="50" t="s">
        <v>234</v>
      </c>
      <c r="D34" s="48" t="s">
        <v>232</v>
      </c>
      <c r="E34" s="48" t="s">
        <v>237</v>
      </c>
      <c r="F34" s="48" t="s">
        <v>235</v>
      </c>
      <c r="G34" s="48" t="s">
        <v>236</v>
      </c>
      <c r="H34" s="48" t="s">
        <v>238</v>
      </c>
      <c r="J34" t="s">
        <v>192</v>
      </c>
      <c r="K34" t="s">
        <v>208</v>
      </c>
    </row>
    <row r="35" spans="3:11" x14ac:dyDescent="0.35">
      <c r="C35" s="47" t="s">
        <v>233</v>
      </c>
      <c r="D35" s="48" t="s">
        <v>169</v>
      </c>
      <c r="E35" s="48" t="s">
        <v>242</v>
      </c>
      <c r="F35" s="48" t="s">
        <v>244</v>
      </c>
      <c r="G35" s="48" t="s">
        <v>246</v>
      </c>
      <c r="H35" s="48"/>
    </row>
    <row r="36" spans="3:11" x14ac:dyDescent="0.35">
      <c r="C36" s="47"/>
      <c r="D36" s="48" t="s">
        <v>239</v>
      </c>
      <c r="E36" s="48" t="s">
        <v>243</v>
      </c>
      <c r="F36" s="48" t="s">
        <v>245</v>
      </c>
      <c r="G36" s="48" t="s">
        <v>247</v>
      </c>
      <c r="H36" s="48"/>
    </row>
    <row r="37" spans="3:11" x14ac:dyDescent="0.35">
      <c r="C37" s="47"/>
      <c r="D37" s="48" t="s">
        <v>240</v>
      </c>
      <c r="E37" s="48"/>
      <c r="F37" s="48"/>
      <c r="G37" s="48" t="s">
        <v>248</v>
      </c>
      <c r="H37" s="48"/>
    </row>
    <row r="38" spans="3:11" x14ac:dyDescent="0.35">
      <c r="C38" s="47"/>
      <c r="D38" s="48" t="s">
        <v>241</v>
      </c>
      <c r="E38" s="48"/>
      <c r="F38" s="48"/>
      <c r="G38" s="48" t="s">
        <v>248</v>
      </c>
      <c r="H38" s="48"/>
    </row>
    <row r="39" spans="3:11" x14ac:dyDescent="0.35">
      <c r="C39" s="47"/>
      <c r="D39" s="48"/>
      <c r="E39" s="48"/>
      <c r="F39" s="48"/>
      <c r="G39" s="48" t="s">
        <v>249</v>
      </c>
      <c r="H39" s="48"/>
    </row>
    <row r="40" spans="3:11" x14ac:dyDescent="0.35">
      <c r="C40" s="47"/>
      <c r="D40" s="48"/>
      <c r="E40" s="48"/>
      <c r="F40" s="48"/>
      <c r="G40" s="48" t="s">
        <v>250</v>
      </c>
      <c r="H40" s="48"/>
    </row>
    <row r="41" spans="3:11" x14ac:dyDescent="0.35">
      <c r="C41" s="47"/>
      <c r="D41" s="48"/>
      <c r="E41" s="48"/>
      <c r="F41" s="48"/>
      <c r="G41" s="48"/>
      <c r="H41" s="48"/>
    </row>
    <row r="43" spans="3:11" x14ac:dyDescent="0.35">
      <c r="C43" t="s">
        <v>251</v>
      </c>
    </row>
    <row r="44" spans="3:11" x14ac:dyDescent="0.35">
      <c r="C44" t="s">
        <v>171</v>
      </c>
      <c r="D44" t="s">
        <v>252</v>
      </c>
    </row>
    <row r="45" spans="3:11" x14ac:dyDescent="0.35">
      <c r="D45" t="s">
        <v>253</v>
      </c>
    </row>
    <row r="46" spans="3:11" x14ac:dyDescent="0.35">
      <c r="D46" t="s">
        <v>254</v>
      </c>
    </row>
    <row r="47" spans="3:11" x14ac:dyDescent="0.35">
      <c r="D47" t="s">
        <v>255</v>
      </c>
    </row>
    <row r="48" spans="3:11" x14ac:dyDescent="0.35">
      <c r="D48" t="s">
        <v>256</v>
      </c>
    </row>
    <row r="49" spans="3:4" x14ac:dyDescent="0.35">
      <c r="C49" t="s">
        <v>177</v>
      </c>
      <c r="D49" t="s">
        <v>257</v>
      </c>
    </row>
    <row r="50" spans="3:4" x14ac:dyDescent="0.35">
      <c r="D50" t="s">
        <v>258</v>
      </c>
    </row>
    <row r="51" spans="3:4" x14ac:dyDescent="0.35">
      <c r="D51" t="s">
        <v>259</v>
      </c>
    </row>
    <row r="52" spans="3:4" x14ac:dyDescent="0.35">
      <c r="D52" t="s">
        <v>262</v>
      </c>
    </row>
    <row r="53" spans="3:4" x14ac:dyDescent="0.35">
      <c r="D53" t="s">
        <v>260</v>
      </c>
    </row>
    <row r="54" spans="3:4" x14ac:dyDescent="0.35">
      <c r="D54" t="s">
        <v>261</v>
      </c>
    </row>
    <row r="55" spans="3:4" x14ac:dyDescent="0.35">
      <c r="D55" t="s">
        <v>263</v>
      </c>
    </row>
    <row r="56" spans="3:4" x14ac:dyDescent="0.35">
      <c r="D56" t="s">
        <v>264</v>
      </c>
    </row>
    <row r="57" spans="3:4" x14ac:dyDescent="0.35">
      <c r="D57" t="s">
        <v>265</v>
      </c>
    </row>
    <row r="58" spans="3:4" x14ac:dyDescent="0.35">
      <c r="D58" t="s">
        <v>267</v>
      </c>
    </row>
    <row r="59" spans="3:4" x14ac:dyDescent="0.35">
      <c r="D59" t="s">
        <v>276</v>
      </c>
    </row>
    <row r="60" spans="3:4" x14ac:dyDescent="0.35">
      <c r="C60" t="s">
        <v>192</v>
      </c>
      <c r="D60" t="s">
        <v>268</v>
      </c>
    </row>
    <row r="61" spans="3:4" x14ac:dyDescent="0.35">
      <c r="D61" t="s">
        <v>266</v>
      </c>
    </row>
    <row r="62" spans="3:4" x14ac:dyDescent="0.35">
      <c r="D62" t="s">
        <v>256</v>
      </c>
    </row>
    <row r="63" spans="3:4" x14ac:dyDescent="0.35">
      <c r="D63" t="s">
        <v>269</v>
      </c>
    </row>
    <row r="64" spans="3:4" x14ac:dyDescent="0.35">
      <c r="D64" t="s">
        <v>270</v>
      </c>
    </row>
    <row r="65" spans="3:4" x14ac:dyDescent="0.35">
      <c r="D65" t="s">
        <v>271</v>
      </c>
    </row>
    <row r="66" spans="3:4" x14ac:dyDescent="0.35">
      <c r="D66" t="s">
        <v>272</v>
      </c>
    </row>
    <row r="67" spans="3:4" x14ac:dyDescent="0.35">
      <c r="C67" t="s">
        <v>187</v>
      </c>
      <c r="D67" t="s">
        <v>273</v>
      </c>
    </row>
    <row r="68" spans="3:4" x14ac:dyDescent="0.35">
      <c r="D68" t="s">
        <v>274</v>
      </c>
    </row>
    <row r="69" spans="3:4" x14ac:dyDescent="0.3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1">
        <v>1</v>
      </c>
      <c r="C2" s="54" t="s">
        <v>282</v>
      </c>
    </row>
    <row r="3" spans="2:3" x14ac:dyDescent="0.35">
      <c r="B3" s="51">
        <v>2</v>
      </c>
      <c r="C3" s="52" t="s">
        <v>283</v>
      </c>
    </row>
    <row r="4" spans="2:3" x14ac:dyDescent="0.35">
      <c r="B4" s="51">
        <v>3</v>
      </c>
      <c r="C4" s="53" t="s">
        <v>284</v>
      </c>
    </row>
    <row r="5" spans="2:3" x14ac:dyDescent="0.35">
      <c r="B5" s="51">
        <v>4</v>
      </c>
      <c r="C5" s="52" t="s">
        <v>285</v>
      </c>
    </row>
    <row r="6" spans="2:3" x14ac:dyDescent="0.35">
      <c r="B6" s="51">
        <v>5</v>
      </c>
      <c r="C6" s="53" t="s">
        <v>286</v>
      </c>
    </row>
    <row r="7" spans="2:3" ht="29" x14ac:dyDescent="0.35">
      <c r="B7" s="51">
        <v>6</v>
      </c>
      <c r="C7" s="52" t="s">
        <v>287</v>
      </c>
    </row>
    <row r="8" spans="2:3" ht="72.5" x14ac:dyDescent="0.35">
      <c r="B8" s="51">
        <v>7</v>
      </c>
      <c r="C8" s="52" t="s">
        <v>288</v>
      </c>
    </row>
    <row r="9" spans="2:3" x14ac:dyDescent="0.35">
      <c r="B9" s="51">
        <v>8</v>
      </c>
      <c r="C9" s="53" t="s">
        <v>289</v>
      </c>
    </row>
    <row r="10" spans="2:3" x14ac:dyDescent="0.35">
      <c r="B10" s="51">
        <v>9</v>
      </c>
      <c r="C10" s="53" t="s">
        <v>290</v>
      </c>
    </row>
    <row r="11" spans="2:3" x14ac:dyDescent="0.35">
      <c r="B11" s="51">
        <v>10</v>
      </c>
      <c r="C11" s="53" t="s">
        <v>291</v>
      </c>
    </row>
    <row r="12" spans="2:3" x14ac:dyDescent="0.35">
      <c r="B12" s="51">
        <v>11</v>
      </c>
      <c r="C12" s="53" t="s">
        <v>292</v>
      </c>
    </row>
    <row r="13" spans="2:3" x14ac:dyDescent="0.35">
      <c r="B13" s="51">
        <v>12</v>
      </c>
      <c r="C13" s="53" t="s">
        <v>293</v>
      </c>
    </row>
    <row r="14" spans="2:3" x14ac:dyDescent="0.35">
      <c r="B14" s="51">
        <v>13</v>
      </c>
      <c r="C14" s="53" t="s">
        <v>294</v>
      </c>
    </row>
    <row r="15" spans="2:3" x14ac:dyDescent="0.35">
      <c r="B15" s="51">
        <v>14</v>
      </c>
      <c r="C15" s="53" t="s">
        <v>284</v>
      </c>
    </row>
    <row r="16" spans="2:3" x14ac:dyDescent="0.35">
      <c r="B16" s="51">
        <v>15</v>
      </c>
      <c r="C16" s="53" t="s">
        <v>296</v>
      </c>
    </row>
    <row r="17" spans="2:3" ht="31.5" customHeight="1" x14ac:dyDescent="0.35">
      <c r="B17" s="56">
        <v>16</v>
      </c>
      <c r="C17" s="58" t="s">
        <v>297</v>
      </c>
    </row>
    <row r="18" spans="2:3" x14ac:dyDescent="0.35">
      <c r="B18" s="57">
        <v>17</v>
      </c>
      <c r="C18" s="58" t="s">
        <v>298</v>
      </c>
    </row>
    <row r="19" spans="2:3" x14ac:dyDescent="0.35">
      <c r="B19" s="56">
        <v>18</v>
      </c>
      <c r="C19" s="51" t="s">
        <v>299</v>
      </c>
    </row>
    <row r="20" spans="2:3" x14ac:dyDescent="0.35">
      <c r="B20" s="57">
        <v>19</v>
      </c>
      <c r="C20" s="51"/>
    </row>
    <row r="21" spans="2:3" x14ac:dyDescent="0.35">
      <c r="B21" s="59">
        <v>20</v>
      </c>
      <c r="C21" s="51"/>
    </row>
    <row r="22" spans="2:3" x14ac:dyDescent="0.35">
      <c r="B22" s="51"/>
      <c r="C22" s="51"/>
    </row>
    <row r="23" spans="2:3" x14ac:dyDescent="0.35">
      <c r="B23" s="51"/>
      <c r="C23" s="51"/>
    </row>
    <row r="24" spans="2:3" x14ac:dyDescent="0.35">
      <c r="B24" s="51"/>
      <c r="C24" s="51"/>
    </row>
    <row r="25" spans="2:3" x14ac:dyDescent="0.35">
      <c r="B25" s="51"/>
      <c r="C25" s="51"/>
    </row>
    <row r="26" spans="2:3" x14ac:dyDescent="0.35">
      <c r="B26" s="51"/>
      <c r="C26" s="5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2025-07-03T09:28:42Z</cp:lastPrinted>
  <dcterms:created xsi:type="dcterms:W3CDTF">2019-07-16T09:29:46Z</dcterms:created>
  <dcterms:modified xsi:type="dcterms:W3CDTF">2025-07-03T09:31:48Z</dcterms:modified>
</cp:coreProperties>
</file>