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VSJCV\Making\AXIS\2025-26\Axis\APF Old\July 2025\03-07-2025\"/>
    </mc:Choice>
  </mc:AlternateContent>
  <bookViews>
    <workbookView xWindow="0" yWindow="0" windowWidth="11480" windowHeight="638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I42" i="7" s="1"/>
  <c r="H42" i="7" s="1"/>
  <c r="E6" i="7"/>
  <c r="E42" i="7" s="1"/>
  <c r="F11" i="5"/>
  <c r="G11" i="5" s="1"/>
  <c r="F10" i="5"/>
  <c r="G10" i="5" s="1"/>
  <c r="G9" i="5"/>
  <c r="F9" i="5"/>
  <c r="G8" i="5"/>
  <c r="F8" i="5"/>
  <c r="F7" i="5"/>
  <c r="G7" i="5" s="1"/>
  <c r="F6" i="5"/>
  <c r="G6" i="5" s="1"/>
  <c r="G5" i="5"/>
  <c r="G12" i="5" s="1"/>
  <c r="F5" i="5"/>
  <c r="D205" i="1"/>
  <c r="B183" i="1"/>
  <c r="B182" i="1"/>
  <c r="F179" i="1"/>
  <c r="H179" i="1" s="1"/>
  <c r="F178" i="1"/>
  <c r="H178" i="1" s="1"/>
  <c r="F177" i="1"/>
  <c r="H177" i="1" s="1"/>
  <c r="F176" i="1"/>
  <c r="H176" i="1" s="1"/>
  <c r="F175" i="1"/>
  <c r="H175" i="1" s="1"/>
  <c r="F173" i="1"/>
  <c r="H173" i="1" s="1"/>
  <c r="F172" i="1"/>
  <c r="H172" i="1" s="1"/>
  <c r="F171" i="1"/>
  <c r="H171" i="1" s="1"/>
  <c r="F170" i="1"/>
  <c r="H170" i="1" s="1"/>
  <c r="F169" i="1"/>
  <c r="H169" i="1" s="1"/>
  <c r="F167" i="1"/>
  <c r="H167" i="1" s="1"/>
  <c r="F166" i="1"/>
  <c r="H166" i="1" s="1"/>
  <c r="F165" i="1"/>
  <c r="H165" i="1" s="1"/>
  <c r="F164" i="1"/>
  <c r="H164" i="1" s="1"/>
  <c r="F163" i="1"/>
  <c r="H163" i="1" s="1"/>
  <c r="F161" i="1"/>
  <c r="H161" i="1" s="1"/>
  <c r="F160" i="1"/>
  <c r="H160" i="1" s="1"/>
  <c r="F159" i="1"/>
  <c r="H159" i="1" s="1"/>
  <c r="F158" i="1"/>
  <c r="H158" i="1" s="1"/>
  <c r="F157" i="1"/>
  <c r="H157" i="1" s="1"/>
  <c r="A157" i="1"/>
  <c r="A158" i="1" s="1"/>
  <c r="A159" i="1" s="1"/>
  <c r="A160" i="1" s="1"/>
  <c r="A161" i="1" s="1"/>
  <c r="F155" i="1"/>
  <c r="H155" i="1" s="1"/>
  <c r="F154" i="1"/>
  <c r="H154" i="1" s="1"/>
  <c r="F153" i="1"/>
  <c r="H153" i="1" s="1"/>
  <c r="A153" i="1"/>
  <c r="A154" i="1" s="1"/>
  <c r="A155" i="1" s="1"/>
  <c r="F152" i="1"/>
  <c r="H152" i="1" s="1"/>
  <c r="E150" i="1"/>
  <c r="D150" i="1"/>
  <c r="E149" i="1"/>
  <c r="F149" i="1" s="1"/>
  <c r="H149" i="1" s="1"/>
  <c r="D149" i="1"/>
  <c r="E148" i="1"/>
  <c r="D148" i="1"/>
  <c r="E147" i="1"/>
  <c r="D147" i="1"/>
  <c r="E146" i="1"/>
  <c r="D146" i="1"/>
  <c r="A146" i="1"/>
  <c r="A147" i="1" s="1"/>
  <c r="A148" i="1" s="1"/>
  <c r="A149" i="1" s="1"/>
  <c r="A150" i="1" s="1"/>
  <c r="E145" i="1"/>
  <c r="D145" i="1"/>
  <c r="E143" i="1"/>
  <c r="D143" i="1"/>
  <c r="E142" i="1"/>
  <c r="D142" i="1"/>
  <c r="E141" i="1"/>
  <c r="D141" i="1"/>
  <c r="G140" i="1"/>
  <c r="E140" i="1"/>
  <c r="D140" i="1"/>
  <c r="G139" i="1"/>
  <c r="E139" i="1"/>
  <c r="D139" i="1"/>
  <c r="A139" i="1"/>
  <c r="A140" i="1" s="1"/>
  <c r="A141" i="1" s="1"/>
  <c r="A142" i="1" s="1"/>
  <c r="A143" i="1" s="1"/>
  <c r="G138" i="1"/>
  <c r="E138" i="1"/>
  <c r="D138" i="1"/>
  <c r="D132" i="1"/>
  <c r="F132" i="1" s="1"/>
  <c r="H132" i="1" s="1"/>
  <c r="D131" i="1"/>
  <c r="F131" i="1" s="1"/>
  <c r="H131" i="1" s="1"/>
  <c r="D130" i="1"/>
  <c r="F130" i="1" s="1"/>
  <c r="H130" i="1" s="1"/>
  <c r="A130" i="1"/>
  <c r="A131" i="1" s="1"/>
  <c r="A132" i="1" s="1"/>
  <c r="D129" i="1"/>
  <c r="F129" i="1" s="1"/>
  <c r="H129" i="1" s="1"/>
  <c r="F113" i="1"/>
  <c r="C87" i="1"/>
  <c r="B88" i="1" s="1"/>
  <c r="J96" i="1" s="1"/>
  <c r="C73" i="1"/>
  <c r="B74" i="1" s="1"/>
  <c r="D67" i="1"/>
  <c r="D62" i="1"/>
  <c r="G58" i="1"/>
  <c r="C58" i="1"/>
  <c r="G56" i="1"/>
  <c r="C56" i="1"/>
  <c r="C54" i="1"/>
  <c r="C51" i="1"/>
  <c r="E43" i="1"/>
  <c r="S33" i="1"/>
  <c r="E31" i="1"/>
  <c r="E28" i="1"/>
  <c r="E26" i="1"/>
  <c r="C16" i="1"/>
  <c r="I15" i="1"/>
  <c r="Z13" i="1"/>
  <c r="E8" i="1"/>
  <c r="E3" i="1"/>
  <c r="H88" i="1"/>
  <c r="A175" i="1"/>
  <c r="A163" i="1"/>
  <c r="H74" i="1"/>
  <c r="A169" i="1"/>
  <c r="F145" i="1" l="1"/>
  <c r="H145" i="1" s="1"/>
  <c r="F147" i="1"/>
  <c r="H147" i="1" s="1"/>
  <c r="N147" i="1" s="1"/>
  <c r="F140" i="1"/>
  <c r="H140" i="1" s="1"/>
  <c r="F148" i="1"/>
  <c r="H148" i="1" s="1"/>
  <c r="D42" i="7"/>
  <c r="D44" i="7" s="1"/>
  <c r="E44" i="7"/>
  <c r="F139" i="1"/>
  <c r="H139" i="1" s="1"/>
  <c r="F146" i="1"/>
  <c r="H146" i="1" s="1"/>
  <c r="F150" i="1"/>
  <c r="H150" i="1" s="1"/>
  <c r="F138" i="1"/>
  <c r="H138" i="1" s="1"/>
  <c r="C116" i="1"/>
  <c r="C117" i="1" s="1"/>
  <c r="C120" i="1"/>
  <c r="C121" i="1" s="1"/>
  <c r="C122" i="1" s="1"/>
  <c r="E116" i="1"/>
  <c r="E117" i="1" s="1"/>
  <c r="G116" i="1"/>
  <c r="G117" i="1" s="1"/>
  <c r="F141" i="1"/>
  <c r="H141" i="1" s="1"/>
  <c r="F142" i="1"/>
  <c r="H142" i="1" s="1"/>
  <c r="F143" i="1"/>
  <c r="H143" i="1" s="1"/>
  <c r="J97" i="1"/>
  <c r="E44" i="1"/>
  <c r="E45" i="1" s="1"/>
  <c r="J98" i="1"/>
  <c r="J95" i="1"/>
  <c r="J84" i="1"/>
  <c r="J83" i="1"/>
  <c r="J82" i="1"/>
  <c r="J81" i="1"/>
  <c r="J78" i="1"/>
  <c r="C77" i="1" s="1"/>
  <c r="D77" i="1" s="1"/>
  <c r="J76" i="1"/>
  <c r="J73" i="1"/>
  <c r="J75" i="1" s="1"/>
  <c r="D86" i="1"/>
  <c r="D82" i="1"/>
  <c r="D85" i="1"/>
  <c r="D81" i="1"/>
  <c r="D84" i="1"/>
  <c r="D80" i="1"/>
  <c r="D83" i="1"/>
  <c r="J77" i="1"/>
  <c r="J79" i="1"/>
  <c r="J80" i="1" s="1"/>
  <c r="J85" i="1" s="1"/>
  <c r="D79" i="1"/>
  <c r="D99" i="1"/>
  <c r="D95" i="1"/>
  <c r="J91" i="1"/>
  <c r="D98" i="1"/>
  <c r="D93" i="1"/>
  <c r="D94" i="1"/>
  <c r="D97" i="1"/>
  <c r="J92" i="1"/>
  <c r="C91" i="1" s="1"/>
  <c r="D91" i="1" s="1"/>
  <c r="J90" i="1"/>
  <c r="J87" i="1"/>
  <c r="J89" i="1" s="1"/>
  <c r="J93" i="1"/>
  <c r="J94" i="1" s="1"/>
  <c r="J99" i="1" s="1"/>
  <c r="J100" i="1" s="1"/>
  <c r="C92" i="1" s="1"/>
  <c r="D100" i="1"/>
  <c r="I87" i="1" s="1"/>
  <c r="C89" i="1" s="1"/>
  <c r="D96" i="1"/>
  <c r="A170" i="1"/>
  <c r="A164" i="1"/>
  <c r="A176" i="1"/>
  <c r="G120" i="1" l="1"/>
  <c r="G121" i="1" s="1"/>
  <c r="G122" i="1" s="1"/>
  <c r="E120" i="1"/>
  <c r="E121" i="1" s="1"/>
  <c r="E122" i="1" s="1"/>
  <c r="J86" i="1"/>
  <c r="C78" i="1" s="1"/>
  <c r="J74" i="1" s="1"/>
  <c r="E91" i="1"/>
  <c r="D92" i="1"/>
  <c r="I88" i="1" s="1"/>
  <c r="I89" i="1" s="1"/>
  <c r="G91" i="1"/>
  <c r="J88" i="1"/>
  <c r="A177" i="1"/>
  <c r="A171" i="1"/>
  <c r="A165" i="1"/>
  <c r="D78" i="1" l="1"/>
  <c r="I74" i="1" s="1"/>
  <c r="I75" i="1" s="1"/>
  <c r="G77" i="1"/>
  <c r="D71" i="1" s="1"/>
  <c r="F72" i="1" s="1"/>
  <c r="E77" i="1"/>
  <c r="A178" i="1"/>
  <c r="A172" i="1"/>
  <c r="A166" i="1"/>
  <c r="I73" i="1" l="1"/>
  <c r="C75" i="1" s="1"/>
  <c r="D72" i="1"/>
  <c r="A179" i="1"/>
  <c r="A167" i="1"/>
  <c r="A173" i="1"/>
</calcChain>
</file>

<file path=xl/comments1.xml><?xml version="1.0" encoding="utf-8"?>
<comments xmlns="http://schemas.openxmlformats.org/spreadsheetml/2006/main">
  <authors>
    <author>Sachin</author>
    <author>SACHIN</author>
  </authors>
  <commentList>
    <comment ref="E12" authorId="0" shapeId="0">
      <text>
        <r>
          <rPr>
            <b/>
            <sz val="9"/>
            <rFont val="Tahoma"/>
            <family val="2"/>
          </rPr>
          <t>Sachin:</t>
        </r>
        <r>
          <rPr>
            <sz val="9"/>
            <rFont val="Tahoma"/>
            <family val="2"/>
          </rPr>
          <t xml:space="preserve">
Building No. 
Tower No.
Wing 
Bunglow No., etc</t>
        </r>
      </text>
    </comment>
    <comment ref="E13" authorId="0" shapeId="0">
      <text>
        <r>
          <rPr>
            <b/>
            <sz val="9"/>
            <rFont val="Tahoma"/>
            <family val="2"/>
          </rPr>
          <t>Sachin:</t>
        </r>
        <r>
          <rPr>
            <sz val="9"/>
            <rFont val="Tahoma"/>
            <family val="2"/>
          </rPr>
          <t xml:space="preserve">
If exisiting Building is provided write it or else
NA</t>
        </r>
      </text>
    </comment>
    <comment ref="C55" authorId="1" shapeId="0">
      <text>
        <r>
          <rPr>
            <b/>
            <sz val="9"/>
            <rFont val="Tahoma"/>
            <family val="2"/>
          </rPr>
          <t>SACHIN:</t>
        </r>
        <r>
          <rPr>
            <sz val="9"/>
            <rFont val="Tahoma"/>
            <family val="2"/>
          </rPr>
          <t xml:space="preserve">
Floor with height</t>
        </r>
      </text>
    </comment>
    <comment ref="C57" authorId="1" shapeId="0">
      <text>
        <r>
          <rPr>
            <b/>
            <sz val="9"/>
            <rFont val="Tahoma"/>
            <family val="2"/>
          </rPr>
          <t>SACHIN:</t>
        </r>
        <r>
          <rPr>
            <sz val="9"/>
            <rFont val="Tahoma"/>
            <family val="2"/>
          </rPr>
          <t xml:space="preserve">
Survey Nos.</t>
        </r>
      </text>
    </comment>
    <comment ref="C59" authorId="1" shapeId="0">
      <text>
        <r>
          <rPr>
            <b/>
            <sz val="9"/>
            <rFont val="Tahoma"/>
            <family val="2"/>
          </rPr>
          <t>SACHIN:</t>
        </r>
        <r>
          <rPr>
            <sz val="9"/>
            <rFont val="Tahoma"/>
            <family val="2"/>
          </rPr>
          <t xml:space="preserve">
Height from AMSL</t>
        </r>
      </text>
    </comment>
    <comment ref="D62" authorId="0" shapeId="0">
      <text>
        <r>
          <rPr>
            <b/>
            <sz val="9"/>
            <rFont val="Tahoma"/>
            <family val="2"/>
          </rPr>
          <t>Sachin:</t>
        </r>
        <r>
          <rPr>
            <sz val="9"/>
            <rFont val="Tahoma"/>
            <family val="2"/>
          </rPr>
          <t xml:space="preserve">
If multiple building in project or complex just mention builtup of required building</t>
        </r>
      </text>
    </comment>
    <comment ref="F106" authorId="1" shapeId="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35" authorId="1" shapeId="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rFont val="Tahoma"/>
            <family val="2"/>
          </rPr>
          <t>SACHIN:</t>
        </r>
        <r>
          <rPr>
            <sz val="9"/>
            <rFont val="Tahoma"/>
            <family val="2"/>
          </rPr>
          <t xml:space="preserve">
If banker changes the rate</t>
        </r>
      </text>
    </comment>
    <comment ref="C10" authorId="0" shapeId="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<sst xmlns="http://schemas.openxmlformats.org/spreadsheetml/2006/main" count="648" uniqueCount="403">
  <si>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</si>
  <si>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</si>
  <si>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</si>
  <si>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</si>
  <si>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</si>
  <si>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</si>
  <si>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</si>
  <si>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Sammaan Capital</t>
  </si>
  <si>
    <t>ABFHL</t>
  </si>
  <si>
    <t>Bank Name:</t>
  </si>
  <si>
    <t>Branch</t>
  </si>
  <si>
    <t>Axis Goregaon</t>
  </si>
  <si>
    <t>PNB Thane</t>
  </si>
  <si>
    <t>Cent Kalyan</t>
  </si>
  <si>
    <t>SCL Kalyan</t>
  </si>
  <si>
    <t>CPC Name:</t>
  </si>
  <si>
    <t>Axis Badlapur</t>
  </si>
  <si>
    <t>Axis Thane</t>
  </si>
  <si>
    <t>PNB Borivali</t>
  </si>
  <si>
    <t>Cent Belapur</t>
  </si>
  <si>
    <t>SCL Badlapur</t>
  </si>
  <si>
    <t>Date Of Property Visit</t>
  </si>
  <si>
    <t>Axis Sanpada</t>
  </si>
  <si>
    <t>SCL Vashi</t>
  </si>
  <si>
    <t>Name of the builder group</t>
  </si>
  <si>
    <t>M/s. Kendale Developers</t>
  </si>
  <si>
    <t>Name of the builder company</t>
  </si>
  <si>
    <t>SCL Thane</t>
  </si>
  <si>
    <t>Name of the Project</t>
  </si>
  <si>
    <t>Kendale Emeralds Phase III</t>
  </si>
  <si>
    <t>SCL Andheri</t>
  </si>
  <si>
    <t>Provided Contact Details (Name &amp; Contact No.)</t>
  </si>
  <si>
    <t>Mr. Santosh 8080807456</t>
  </si>
  <si>
    <t>SCL Borivali</t>
  </si>
  <si>
    <t>Site Person - Contact Details (Name &amp; Contact No.)</t>
  </si>
  <si>
    <t>SCL Virar</t>
  </si>
  <si>
    <t>Name / No of the Building</t>
  </si>
  <si>
    <t>01 Building</t>
  </si>
  <si>
    <t>Name / No of the Existing Building</t>
  </si>
  <si>
    <t>NA</t>
  </si>
  <si>
    <t>Thane</t>
  </si>
  <si>
    <t>Palghar</t>
  </si>
  <si>
    <t>Mumbai</t>
  </si>
  <si>
    <t>Raigad</t>
  </si>
  <si>
    <t>Pune</t>
  </si>
  <si>
    <t>Documents Provided</t>
  </si>
  <si>
    <t>Approved Plans, CC, Sale Plans, Builder Saleable Area, Cost Sheet, Airport Noc, Railway Noc, OC</t>
  </si>
  <si>
    <t>Mokhada</t>
  </si>
  <si>
    <t>Andheri</t>
  </si>
  <si>
    <t>Alibag</t>
  </si>
  <si>
    <t>Pune City</t>
  </si>
  <si>
    <t>RERA No.</t>
  </si>
  <si>
    <t>P51700055837</t>
  </si>
  <si>
    <t>Shahpur</t>
  </si>
  <si>
    <t>Talasari</t>
  </si>
  <si>
    <t>Borivali</t>
  </si>
  <si>
    <t>Panvel</t>
  </si>
  <si>
    <t>Haveli</t>
  </si>
  <si>
    <t xml:space="preserve">Project location details       </t>
  </si>
  <si>
    <t>Kalyan</t>
  </si>
  <si>
    <t>Vasai</t>
  </si>
  <si>
    <t>Kurla</t>
  </si>
  <si>
    <t>Uran</t>
  </si>
  <si>
    <t>Khed</t>
  </si>
  <si>
    <t>Survey No</t>
  </si>
  <si>
    <t>69/2/2 &amp; Plot No. 14, 15, 16</t>
  </si>
  <si>
    <t>Bhiwandi</t>
  </si>
  <si>
    <t>Vikramgad</t>
  </si>
  <si>
    <t>Karjat</t>
  </si>
  <si>
    <t>Baramati</t>
  </si>
  <si>
    <t>Locality</t>
  </si>
  <si>
    <t>Katrap</t>
  </si>
  <si>
    <t>Ulhasnagar</t>
  </si>
  <si>
    <t>Khalapur</t>
  </si>
  <si>
    <t>Junnar</t>
  </si>
  <si>
    <t>Road</t>
  </si>
  <si>
    <t>Locality/Village</t>
  </si>
  <si>
    <t>Belavali</t>
  </si>
  <si>
    <t>Ambernath</t>
  </si>
  <si>
    <t>Dahanu</t>
  </si>
  <si>
    <t>Pen</t>
  </si>
  <si>
    <t>Shirur</t>
  </si>
  <si>
    <t>City</t>
  </si>
  <si>
    <t>Badlapur West</t>
  </si>
  <si>
    <t>District</t>
  </si>
  <si>
    <t>Murbad</t>
  </si>
  <si>
    <t>Wada</t>
  </si>
  <si>
    <t>Sudhagad</t>
  </si>
  <si>
    <t>Indapur</t>
  </si>
  <si>
    <t>Taluka</t>
  </si>
  <si>
    <t>Pin Code</t>
  </si>
  <si>
    <t>Mahad</t>
  </si>
  <si>
    <t>Daund</t>
  </si>
  <si>
    <t>Nearby Landmark</t>
  </si>
  <si>
    <t>Samay Nagri CHS</t>
  </si>
  <si>
    <t xml:space="preserve">Distance from city centre: </t>
  </si>
  <si>
    <t>2.7 KM from Badlapur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</si>
  <si>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</si>
  <si>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</si>
  <si>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</si>
  <si>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</si>
  <si>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</si>
  <si>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</si>
  <si>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</si>
  <si>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</si>
  <si>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</si>
  <si>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</si>
  <si>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</si>
  <si>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</si>
  <si>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</si>
  <si>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</si>
  <si>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</si>
  <si>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</si>
  <si>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</si>
  <si>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</si>
  <si>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</si>
  <si>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</si>
  <si>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</si>
  <si>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</si>
  <si>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</si>
  <si>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</si>
  <si>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</si>
  <si>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</si>
  <si>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</si>
  <si>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</si>
  <si>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</si>
  <si>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</si>
  <si>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</si>
  <si>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15 M W Road</t>
  </si>
  <si>
    <t>West</t>
  </si>
  <si>
    <t>Other Plot</t>
  </si>
  <si>
    <t>Open Plot</t>
  </si>
  <si>
    <t>North</t>
  </si>
  <si>
    <t>Adj H.No. 2/1</t>
  </si>
  <si>
    <t>Building</t>
  </si>
  <si>
    <t>South</t>
  </si>
  <si>
    <t>9.0 M W Road</t>
  </si>
  <si>
    <t>Does the boundaries at site match, as mentioned in the Documentation: NA</t>
  </si>
  <si>
    <t>Latitude, Longitude</t>
  </si>
  <si>
    <t>19.1770616,73.2193406</t>
  </si>
  <si>
    <t>Location Link</t>
  </si>
  <si>
    <t>https://maps.app.goo.gl/mkGtjrYymBZfjeax7</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</si>
  <si>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</si>
  <si>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</si>
  <si>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</si>
  <si>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</si>
  <si>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</si>
  <si>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</si>
  <si>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</si>
  <si>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 xml:space="preserve">Approval Detail : Plan approval </t>
  </si>
  <si>
    <t>Name of Municipal Corporation/Authority</t>
  </si>
  <si>
    <t>Kulgoan Badlapur Municipal Council</t>
  </si>
  <si>
    <t>Authorites</t>
  </si>
  <si>
    <t xml:space="preserve">Layout Approval No     </t>
  </si>
  <si>
    <t>KBNP/NRV/BD/692-155</t>
  </si>
  <si>
    <t>Dated</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</si>
  <si>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</si>
  <si>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</si>
  <si>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</si>
  <si>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</si>
  <si>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</si>
  <si>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</si>
  <si>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</si>
  <si>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City and Industrial Development Corporation (CIDCO)</t>
  </si>
  <si>
    <t>Collector Of Palghar</t>
  </si>
  <si>
    <t xml:space="preserve">Commencement-CC No
Valid Up to: </t>
  </si>
  <si>
    <t>KBNP/NRV/BP/692/2022-2023 Unique No.155</t>
  </si>
  <si>
    <t>Maharashtra Housing and Area Development Authority(MHADA)</t>
  </si>
  <si>
    <t>Kalyan Dombivli Municipal Corporation (KMDC)</t>
  </si>
  <si>
    <t>Maharashtra State Road Development Corporation Limited (MSRDC)</t>
  </si>
  <si>
    <t>Town Planner, Palghar</t>
  </si>
  <si>
    <t>Mumbai Metropolitan Region Development Authority (MMRDA)</t>
  </si>
  <si>
    <t>Ambernath Municipal Council (AMC)</t>
  </si>
  <si>
    <t>Navi Mumbai Airport Influence Notified Area (NAINA)</t>
  </si>
  <si>
    <t xml:space="preserve">Fire Noc No
Valid Up to: </t>
  </si>
  <si>
    <t>Pen Municipal Council</t>
  </si>
  <si>
    <t xml:space="preserve">Environmental Clearance Certificate (EC) No
Valid Up for: </t>
  </si>
  <si>
    <t>Town Planning Thane</t>
  </si>
  <si>
    <t>Raigad Zilha Parishad</t>
  </si>
  <si>
    <t>Ulhasnagar Municipal Corporation</t>
  </si>
  <si>
    <t>Roha Municipal Council</t>
  </si>
  <si>
    <t xml:space="preserve">Airport Noc No
Valid Up to: </t>
  </si>
  <si>
    <t>Nagar Rachana Ani Mulya Nirdharan Vibhag Thane</t>
  </si>
  <si>
    <t>Collector Of Raigad</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</si>
  <si>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</si>
  <si>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</si>
  <si>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</si>
  <si>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</si>
  <si>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</si>
  <si>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</si>
  <si>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</si>
  <si>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</si>
  <si>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Flats - 42, Shops - 04</t>
  </si>
  <si>
    <t>Approved no of Floors</t>
  </si>
  <si>
    <t>Proposed no of Floors</t>
  </si>
  <si>
    <t>Expected Completion</t>
  </si>
  <si>
    <t>As per RERA - 31/12/2026</t>
  </si>
  <si>
    <t>Projected life of the structure</t>
  </si>
  <si>
    <t xml:space="preserve">Quality of construction: </t>
  </si>
  <si>
    <t>Children's Play Area, Swimming Pool, 24x7 CCTV Surveillance, Compound Wall, Parking, Lift, Driver Room, Society Office, Fire Protection And Fire Safety, Landscaping &amp; Tree Planting, Club House, Power Backup, Indoor Games, etc.</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</si>
  <si>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</si>
  <si>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</si>
  <si>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</si>
  <si>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</si>
  <si>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</si>
  <si>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</si>
  <si>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</si>
  <si>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</si>
  <si>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</si>
  <si>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</si>
  <si>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</si>
  <si>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</si>
  <si>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</si>
  <si>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</si>
  <si>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</si>
  <si>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</si>
  <si>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</si>
  <si>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</si>
  <si>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</si>
  <si>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</si>
  <si>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</si>
  <si>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</si>
  <si>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</si>
  <si>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</si>
  <si>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</si>
  <si>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</si>
  <si>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</si>
  <si>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</si>
  <si>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</si>
  <si>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</si>
  <si>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</si>
  <si>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</si>
  <si>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</si>
  <si>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</si>
  <si>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</si>
  <si>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</si>
  <si>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</si>
  <si>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Recommended Rates of the Property : </t>
  </si>
  <si>
    <t>On Saleable Area</t>
  </si>
  <si>
    <t>Recommended rate of the Flat Per Sq. Ft.</t>
  </si>
  <si>
    <t>Recommended rate of the Shop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</si>
  <si>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</si>
  <si>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</si>
  <si>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</si>
  <si>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</si>
  <si>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</si>
  <si>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</si>
  <si>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</si>
  <si>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</si>
  <si>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</si>
  <si>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</si>
  <si>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</si>
  <si>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</si>
  <si>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</si>
  <si>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</si>
  <si>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</si>
  <si>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Total</t>
  </si>
  <si>
    <t>Residential Area Details :</t>
  </si>
  <si>
    <t>Grand Total</t>
  </si>
  <si>
    <t>Building details Floor Wise</t>
  </si>
  <si>
    <t xml:space="preserve">Details of Residential &amp; Commercials in Building   </t>
  </si>
  <si>
    <t>Shop No. (Sale Plan)</t>
  </si>
  <si>
    <t>Description</t>
  </si>
  <si>
    <t>Carpet area</t>
  </si>
  <si>
    <t>Attached Loft area</t>
  </si>
  <si>
    <t>Gross Carpet area</t>
  </si>
  <si>
    <t>Attached Terrace area</t>
  </si>
  <si>
    <t>Saleable area Loading :</t>
  </si>
  <si>
    <t>Ground Floor For Commercial, Society Office, Driver Room &amp; Parking</t>
  </si>
  <si>
    <t>Shop</t>
  </si>
  <si>
    <t>Flat No. (Sale Plan)</t>
  </si>
  <si>
    <t>Fungible area</t>
  </si>
  <si>
    <t>1st Floor For Residential</t>
  </si>
  <si>
    <t>2BHK</t>
  </si>
  <si>
    <t>2.5BHK</t>
  </si>
  <si>
    <t>1BHK</t>
  </si>
  <si>
    <t>2nd to 7th Floor</t>
  </si>
  <si>
    <t>Ground Floor</t>
  </si>
  <si>
    <t>2nd Floor</t>
  </si>
  <si>
    <t>3rd, 5th, 7th, 9th, 11th, 13th, 15th Floor</t>
  </si>
  <si>
    <t>2nd to 5th Floor</t>
  </si>
  <si>
    <t>2nd &amp; 5th Floor</t>
  </si>
  <si>
    <t xml:space="preserve">Remarks:  </t>
  </si>
  <si>
    <t>*</t>
  </si>
  <si>
    <t>We considered Carpet area as per Approved Plan.</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</si>
  <si>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</si>
  <si>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</si>
  <si>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</si>
  <si>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</si>
  <si>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 xml:space="preserve">As the project is redevelopement project but rehab statement or rehab flats is not mentioned approved layout plan &amp; floor plan.
</t>
  </si>
  <si>
    <t xml:space="preserve">Please check for Environment Clearance Certificate.
</t>
  </si>
  <si>
    <r>
      <t>Nala is 9M away from the south side of the project.</t>
    </r>
    <r>
      <rPr>
        <b/>
        <sz val="12"/>
        <color rgb="FFFF0000"/>
        <rFont val="Times New Roman"/>
        <family val="1"/>
      </rPr>
      <t xml:space="preserve">
</t>
    </r>
  </si>
  <si>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</si>
  <si>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</si>
  <si>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</si>
  <si>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</si>
  <si>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</si>
  <si>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</si>
  <si>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</si>
  <si>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</si>
  <si>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Mr. Sudhir Bhosale</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</si>
  <si>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</si>
  <si>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</si>
  <si>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</si>
  <si>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</si>
  <si>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</si>
  <si>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</si>
  <si>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</si>
  <si>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</si>
  <si>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</si>
  <si>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</si>
  <si>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</si>
  <si>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</si>
  <si>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</si>
  <si>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</si>
  <si>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</si>
  <si>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</si>
  <si>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</si>
  <si>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 xml:space="preserve">Thane </t>
  </si>
  <si>
    <t>Approved Plans, CC</t>
  </si>
  <si>
    <t>Approved Plans, CC, Sale Plans</t>
  </si>
  <si>
    <t>Approved Plans, CC, Sale Plans, Builder Saleable Area</t>
  </si>
  <si>
    <t>Approved Plans, CC, Sale Plans, Builder Saleable Area, Cost Sheet,</t>
  </si>
  <si>
    <t>Approved Plans, CC, Builder Saleable Area,</t>
  </si>
  <si>
    <t>Indiabulls Housing Finance Ltd</t>
  </si>
  <si>
    <t>IBHF Kalyan</t>
  </si>
  <si>
    <t>IBHF Badlapur</t>
  </si>
  <si>
    <t>IBHF Vashi</t>
  </si>
  <si>
    <t>IBHF Thane</t>
  </si>
  <si>
    <t>IBHF Andheri</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</si>
  <si>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</si>
  <si>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</si>
  <si>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</si>
  <si>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</si>
  <si>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</si>
  <si>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</si>
  <si>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</si>
  <si>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</si>
  <si>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</si>
  <si>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</si>
  <si>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</si>
  <si>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</si>
  <si>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</si>
  <si>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</si>
  <si>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</si>
  <si>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</si>
  <si>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</si>
  <si>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First CC on 08/05/2015 still building is still under construction.</t>
  </si>
  <si>
    <t>Since the project has received first CC on 17/01/2020, But construction work of Wing A is not yet started. Please provide revised approved CC for Wing A.</t>
  </si>
  <si>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</si>
  <si>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</si>
  <si>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High tension lines are passing nearby project Project Name. Please provide Power Noc.</t>
  </si>
  <si>
    <t>As Flat No. 201, 202, 203 &amp; 204 consists of large terrace area but dimension of that area is not mentioned. Therefore we have not considered terrace area for that flat.</t>
  </si>
  <si>
    <t>Electric Lines are passing above the project</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</si>
  <si>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</si>
  <si>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</si>
  <si>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</si>
  <si>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</si>
  <si>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</si>
  <si>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</si>
  <si>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</si>
  <si>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 xml:space="preserve">Floor No </t>
  </si>
  <si>
    <t>Discription</t>
  </si>
  <si>
    <t>Carpet</t>
  </si>
  <si>
    <t>Fungible</t>
  </si>
  <si>
    <t>Terrace</t>
  </si>
  <si>
    <t>L</t>
  </si>
  <si>
    <t>W</t>
  </si>
  <si>
    <t>A</t>
  </si>
  <si>
    <t>Hall</t>
  </si>
  <si>
    <t>Balcony</t>
  </si>
  <si>
    <t>CB</t>
  </si>
  <si>
    <t>kitch</t>
  </si>
  <si>
    <t>FB</t>
  </si>
  <si>
    <t>Bed1</t>
  </si>
  <si>
    <t>Bed2</t>
  </si>
  <si>
    <t>Bed3</t>
  </si>
  <si>
    <t>Bed4</t>
  </si>
  <si>
    <t>DB</t>
  </si>
  <si>
    <t>toilet2</t>
  </si>
  <si>
    <t>toilet3</t>
  </si>
  <si>
    <t>toilet4</t>
  </si>
  <si>
    <t>passage1</t>
  </si>
  <si>
    <t>passage2</t>
  </si>
  <si>
    <t>passage3</t>
  </si>
  <si>
    <t>passage4</t>
  </si>
  <si>
    <t>Servant room</t>
  </si>
  <si>
    <t>Approved Plans, CC, Sale Plans, Cost Sheet</t>
  </si>
  <si>
    <r>
      <t xml:space="preserve">Proposed Amenities :                                                                                                                                                                                                                         </t>
    </r>
    <r>
      <rPr>
        <b/>
        <sz val="12"/>
        <rFont val="Times New Roman"/>
        <family val="1"/>
      </rPr>
      <t xml:space="preserve">                                               </t>
    </r>
  </si>
  <si>
    <t xml:space="preserve">Phase III - Gr/St + 1st to 7th Floor
</t>
  </si>
  <si>
    <t>Phase III (Shop)</t>
  </si>
  <si>
    <t>Phase III (Flats)</t>
  </si>
  <si>
    <t>https://www.googleadservices.com/pagead/aclk?sa=L&amp;ai=DChcSEwj-lcbU7aiJAxUAVQ8CHdY9BzcYABABGgJ0Yg&amp;ae=2&amp;co=1&amp;ase=5&amp;gclid=Cj0KCQjw4Oe4BhCcARIsADQ0csmqtDrOInbvaqrWl1E9xcsPRiFm74uUTxXn0WrTu3mwo2R5pPdf97EaAlvdEALw_wcB&amp;ohost=www.google.com&amp;cid=CAESVuD2Jh5FbtrIoTP91XoNYVph0sNtmK-c0KIoaI-K_BeZ1jP1vm5lW7d7nmugUhe1C34lqG8aNCJfzt-DUCwzma-GzPw-KsqgHYefvTgr_yNSMKN5vjDv&amp;sig=AOD64_1tcNjfnDnOhsa8U04bD5IkpwlULQ&amp;q&amp;adurl&amp;ved=2ahUKEwiL2r_U7aiJAxXdcfUHHVhXAW0Q0Qx6BAgGEAE</t>
  </si>
  <si>
    <t>We considered Gross carpet area = Net carpet + Enclosed balcony + A.P Area.</t>
  </si>
  <si>
    <t>(Phase III) = Gr/St + 1st to 7th Floor</t>
  </si>
  <si>
    <t>Phase III</t>
  </si>
  <si>
    <r>
      <rPr>
        <b/>
        <sz val="12"/>
        <color theme="1"/>
        <rFont val="Times New Roman"/>
        <family val="1"/>
      </rPr>
      <t>Construction work is in process at the time of Visit.
Construction work was not active at the time of Visit. (labour Not found)</t>
    </r>
    <r>
      <rPr>
        <b/>
        <sz val="12"/>
        <rFont val="Times New Roman"/>
        <family val="1"/>
      </rPr>
      <t xml:space="preserve">
All work completed. Wait for OC / OC received.
Work not yet Started.
</t>
    </r>
  </si>
  <si>
    <r>
      <t xml:space="preserve">Shop No.
</t>
    </r>
    <r>
      <rPr>
        <b/>
        <sz val="11"/>
        <rFont val="Times New Roman"/>
        <family val="1"/>
      </rPr>
      <t>(Approved Plan)</t>
    </r>
  </si>
  <si>
    <r>
      <t xml:space="preserve">Flat No.
</t>
    </r>
    <r>
      <rPr>
        <b/>
        <sz val="11"/>
        <rFont val="Times New Roman"/>
        <family val="1"/>
      </rPr>
      <t>(Approved Plan)</t>
    </r>
  </si>
  <si>
    <t>Ambernath - Badlapur Road</t>
  </si>
  <si>
    <t>construction work is slow</t>
  </si>
  <si>
    <t>4500 to 4800</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</si>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</sst>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_(* #,##0_);_(* \(#,##0\);_(* &quot;-&quot;??_);_(@_)"/>
    <numFmt numFmtId="166" formatCode="0.0"/>
    <numFmt numFmtId="167" formatCode="_ * #,##0_ ;_ * \-#,##0_ ;_ * &quot;-&quot;??_ ;_ @_ "/>
  </numFmts>
  <fonts count="28">
    <font>
      <sz val="11"/>
      <color rgb="FF000000"/>
      <name val="Calibri"/>
      <charset val="134"/>
    </font>
    <font>
      <b/>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color indexed="8"/>
      <name val="Times New Roman"/>
      <family val="1"/>
    </font>
    <font>
      <b/>
      <sz val="12"/>
      <color indexed="8"/>
      <name val="Times New Roman"/>
      <family val="1"/>
    </font>
    <font>
      <b/>
      <sz val="12"/>
      <name val="Times New Roman"/>
      <family val="1"/>
    </font>
    <font>
      <u/>
      <sz val="11"/>
      <color theme="10"/>
      <name val="Calibri"/>
      <family val="2"/>
    </font>
    <font>
      <b/>
      <sz val="12"/>
      <color rgb="FFFF0000"/>
      <name val="Times New Roman"/>
      <family val="1"/>
    </font>
    <font>
      <b/>
      <sz val="12"/>
      <color theme="1"/>
      <name val="Times New Roman"/>
      <family val="1"/>
    </font>
    <font>
      <sz val="10"/>
      <color theme="1"/>
      <name val="Times New Roman"/>
      <family val="1"/>
    </font>
    <font>
      <sz val="11"/>
      <name val="Calibri"/>
      <family val="2"/>
    </font>
    <font>
      <sz val="11"/>
      <color theme="0"/>
      <name val="Calibri"/>
      <family val="2"/>
    </font>
    <font>
      <sz val="11"/>
      <color rgb="FF000000"/>
      <name val="Times New Roman"/>
      <family val="1"/>
    </font>
    <font>
      <sz val="11"/>
      <name val="Times New Roman"/>
      <family val="1"/>
    </font>
    <font>
      <sz val="10"/>
      <name val="Arial"/>
      <family val="2"/>
    </font>
    <font>
      <b/>
      <sz val="11"/>
      <color rgb="FF000000"/>
      <name val="Calibri"/>
      <family val="2"/>
    </font>
    <font>
      <b/>
      <sz val="9"/>
      <name val="Tahoma"/>
      <family val="2"/>
    </font>
    <font>
      <sz val="9"/>
      <name val="Tahoma"/>
      <family val="2"/>
    </font>
    <font>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s>
  <borders count="3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11">
    <xf numFmtId="0" fontId="0" fillId="0" borderId="0"/>
    <xf numFmtId="43" fontId="26" fillId="0" borderId="0" applyFont="0" applyFill="0" applyBorder="0" applyAlignment="0" applyProtection="0"/>
    <xf numFmtId="9" fontId="26" fillId="0" borderId="0" applyFont="0" applyFill="0" applyBorder="0" applyAlignment="0" applyProtection="0"/>
    <xf numFmtId="0" fontId="14"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3" fillId="0" borderId="0"/>
    <xf numFmtId="0" fontId="3" fillId="0" borderId="0"/>
    <xf numFmtId="0" fontId="22" fillId="0" borderId="0"/>
    <xf numFmtId="0" fontId="3" fillId="0" borderId="0"/>
  </cellStyleXfs>
  <cellXfs count="239">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xf numFmtId="0" fontId="0" fillId="0" borderId="3" xfId="0" applyFill="1" applyBorder="1" applyAlignment="1">
      <alignment horizontal="center" vertical="top"/>
    </xf>
    <xf numFmtId="0" fontId="0" fillId="0" borderId="1" xfId="0" applyBorder="1" applyAlignment="1">
      <alignment vertical="top" wrapText="1"/>
    </xf>
    <xf numFmtId="0" fontId="0" fillId="0" borderId="4" xfId="0" applyBorder="1"/>
    <xf numFmtId="0" fontId="0" fillId="0" borderId="3" xfId="0" applyFill="1" applyBorder="1"/>
    <xf numFmtId="0" fontId="0" fillId="0" borderId="1" xfId="0" applyFill="1" applyBorder="1"/>
    <xf numFmtId="0" fontId="0" fillId="0" borderId="1" xfId="0" applyFill="1" applyBorder="1" applyAlignment="1">
      <alignment horizontal="left" vertical="top"/>
    </xf>
    <xf numFmtId="0" fontId="0" fillId="0" borderId="4" xfId="0" applyBorder="1" applyAlignment="1">
      <alignment horizontal="left" vertical="top"/>
    </xf>
    <xf numFmtId="0" fontId="0" fillId="0" borderId="4" xfId="0" applyFill="1" applyBorder="1"/>
    <xf numFmtId="0" fontId="0" fillId="0" borderId="4" xfId="0" applyBorder="1" applyAlignment="1">
      <alignment vertical="top"/>
    </xf>
    <xf numFmtId="0" fontId="0" fillId="0" borderId="4" xfId="0" applyFill="1" applyBorder="1" applyAlignment="1">
      <alignment horizontal="left" vertical="top"/>
    </xf>
    <xf numFmtId="0" fontId="0" fillId="0" borderId="0" xfId="0" applyAlignment="1">
      <alignment horizontal="center"/>
    </xf>
    <xf numFmtId="0" fontId="2" fillId="0" borderId="0" xfId="6"/>
    <xf numFmtId="0" fontId="3" fillId="0" borderId="0" xfId="10"/>
    <xf numFmtId="0" fontId="1" fillId="0" borderId="1" xfId="10" applyFont="1" applyBorder="1" applyAlignment="1">
      <alignment horizontal="center" vertical="top" wrapText="1"/>
    </xf>
    <xf numFmtId="0" fontId="3" fillId="0" borderId="1" xfId="10" applyBorder="1" applyAlignment="1">
      <alignment horizontal="center" vertical="center"/>
    </xf>
    <xf numFmtId="0" fontId="3" fillId="0" borderId="1" xfId="10" applyBorder="1" applyAlignment="1">
      <alignment horizontal="left" vertical="center"/>
    </xf>
    <xf numFmtId="1" fontId="3" fillId="0" borderId="1" xfId="10" applyNumberFormat="1" applyBorder="1" applyAlignment="1">
      <alignment horizontal="center" vertical="center"/>
    </xf>
    <xf numFmtId="165" fontId="3" fillId="0" borderId="1" xfId="4" applyNumberFormat="1" applyFont="1" applyBorder="1" applyAlignment="1">
      <alignment horizontal="right" vertical="center"/>
    </xf>
    <xf numFmtId="0" fontId="3" fillId="0" borderId="1" xfId="10" applyBorder="1" applyAlignment="1">
      <alignment horizontal="left" vertical="center" wrapText="1"/>
    </xf>
    <xf numFmtId="0" fontId="1"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2"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12" fillId="0" borderId="1" xfId="8" applyFont="1" applyBorder="1" applyAlignment="1" applyProtection="1">
      <alignment vertical="top"/>
      <protection locked="0"/>
    </xf>
    <xf numFmtId="1" fontId="10" fillId="0" borderId="0" xfId="8" applyNumberFormat="1" applyFont="1"/>
    <xf numFmtId="0" fontId="7" fillId="0" borderId="1" xfId="8" applyFont="1" applyBorder="1"/>
    <xf numFmtId="0" fontId="10" fillId="0" borderId="1" xfId="8" applyFont="1" applyBorder="1"/>
    <xf numFmtId="0" fontId="7" fillId="0" borderId="19"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6" fillId="0" borderId="1" xfId="8" applyFont="1" applyBorder="1" applyAlignment="1" applyProtection="1">
      <alignment horizontal="center" vertical="top"/>
      <protection locked="0"/>
    </xf>
    <xf numFmtId="0" fontId="9" fillId="0" borderId="1" xfId="8" applyFont="1" applyBorder="1" applyAlignment="1" applyProtection="1">
      <alignment horizontal="center" vertical="top"/>
      <protection locked="0"/>
    </xf>
    <xf numFmtId="0" fontId="7" fillId="0" borderId="20" xfId="8" applyFont="1" applyBorder="1" applyAlignment="1" applyProtection="1">
      <alignment horizontal="center" vertical="top"/>
      <protection locked="0"/>
    </xf>
    <xf numFmtId="0" fontId="10" fillId="0" borderId="1" xfId="8" applyFont="1" applyBorder="1" applyAlignment="1" applyProtection="1">
      <alignment horizontal="center" vertical="top" wrapText="1"/>
      <protection locked="0"/>
    </xf>
    <xf numFmtId="0" fontId="6" fillId="0" borderId="1" xfId="8" applyFont="1" applyBorder="1" applyAlignment="1" applyProtection="1">
      <alignment horizontal="center" vertical="top" wrapText="1"/>
      <protection locked="0"/>
    </xf>
    <xf numFmtId="9" fontId="10" fillId="0" borderId="1" xfId="2" applyFont="1" applyFill="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9" fontId="10" fillId="0" borderId="25" xfId="2" applyFont="1" applyFill="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4" fontId="10" fillId="0" borderId="0" xfId="8" applyNumberFormat="1" applyFont="1"/>
    <xf numFmtId="0" fontId="10" fillId="0" borderId="0" xfId="8" applyFont="1" applyProtection="1">
      <protection hidden="1"/>
    </xf>
    <xf numFmtId="0" fontId="17" fillId="0" borderId="0" xfId="8" applyFont="1"/>
    <xf numFmtId="0" fontId="18" fillId="2" borderId="32" xfId="0" applyFont="1" applyFill="1" applyBorder="1"/>
    <xf numFmtId="0" fontId="19" fillId="0" borderId="33" xfId="0" applyFont="1" applyBorder="1"/>
    <xf numFmtId="0" fontId="19" fillId="0" borderId="1" xfId="0" applyFont="1" applyBorder="1"/>
    <xf numFmtId="0" fontId="19" fillId="0" borderId="20" xfId="0" applyFont="1" applyBorder="1"/>
    <xf numFmtId="0" fontId="20" fillId="0" borderId="0" xfId="0" applyFont="1" applyProtection="1">
      <protection hidden="1"/>
    </xf>
    <xf numFmtId="0" fontId="10" fillId="0" borderId="23" xfId="8" applyFont="1" applyBorder="1"/>
    <xf numFmtId="0" fontId="20"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0" fillId="0" borderId="34" xfId="0" applyFont="1" applyBorder="1" applyProtection="1">
      <protection hidden="1"/>
    </xf>
    <xf numFmtId="1" fontId="0" fillId="0" borderId="28" xfId="0" applyNumberFormat="1" applyBorder="1"/>
    <xf numFmtId="1"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xf>
    <xf numFmtId="1" fontId="9" fillId="0" borderId="1" xfId="8" applyNumberFormat="1" applyFont="1" applyBorder="1" applyAlignment="1" applyProtection="1">
      <alignment horizontal="center" vertical="center" wrapText="1"/>
      <protection locked="0"/>
    </xf>
    <xf numFmtId="1" fontId="10" fillId="0" borderId="0" xfId="8" applyNumberFormat="1" applyFont="1" applyAlignment="1">
      <alignment horizontal="center" vertical="center"/>
    </xf>
    <xf numFmtId="0" fontId="12" fillId="0" borderId="0" xfId="8" applyFont="1" applyAlignment="1" applyProtection="1">
      <alignment vertical="top"/>
      <protection locked="0"/>
    </xf>
    <xf numFmtId="0" fontId="12" fillId="0" borderId="0" xfId="8" applyFont="1" applyAlignment="1" applyProtection="1">
      <alignment vertical="top" wrapText="1"/>
      <protection locked="0"/>
    </xf>
    <xf numFmtId="0" fontId="16" fillId="0" borderId="0" xfId="8" applyFont="1" applyProtection="1">
      <protection locked="0"/>
    </xf>
    <xf numFmtId="0" fontId="10" fillId="0" borderId="0" xfId="8" applyFont="1" applyAlignment="1">
      <alignment horizontal="center" vertical="center"/>
    </xf>
    <xf numFmtId="0" fontId="7" fillId="0" borderId="1" xfId="8" applyFont="1" applyBorder="1" applyAlignment="1" applyProtection="1">
      <alignment horizontal="center" vertical="top" wrapText="1"/>
      <protection locked="0"/>
    </xf>
    <xf numFmtId="1" fontId="10" fillId="0" borderId="1" xfId="8" applyNumberFormat="1" applyFont="1" applyBorder="1" applyAlignment="1" applyProtection="1">
      <alignment horizontal="center" vertical="top" wrapText="1"/>
      <protection locked="0"/>
    </xf>
    <xf numFmtId="0" fontId="14" fillId="0" borderId="0" xfId="3"/>
    <xf numFmtId="1" fontId="13" fillId="0" borderId="12" xfId="8" applyNumberFormat="1" applyFont="1" applyBorder="1" applyAlignment="1" applyProtection="1">
      <alignment horizontal="center" vertical="top" wrapText="1"/>
      <protection locked="0"/>
    </xf>
    <xf numFmtId="1" fontId="9" fillId="0" borderId="1" xfId="8" applyNumberFormat="1" applyFont="1" applyBorder="1" applyAlignment="1" applyProtection="1">
      <alignment horizontal="center" vertical="center" wrapText="1"/>
      <protection locked="0"/>
    </xf>
    <xf numFmtId="9" fontId="13" fillId="0" borderId="13" xfId="2" applyFont="1" applyFill="1" applyBorder="1" applyAlignment="1" applyProtection="1">
      <alignment horizontal="center" vertical="top" wrapText="1"/>
      <protection locked="0"/>
    </xf>
    <xf numFmtId="1"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xf>
    <xf numFmtId="1" fontId="7" fillId="0" borderId="1" xfId="8" applyNumberFormat="1" applyFont="1" applyBorder="1" applyAlignment="1" applyProtection="1">
      <alignment horizontal="center" vertical="center" wrapText="1"/>
      <protection locked="0"/>
    </xf>
    <xf numFmtId="1" fontId="7" fillId="0" borderId="1" xfId="8" applyNumberFormat="1" applyFont="1" applyFill="1" applyBorder="1" applyAlignment="1" applyProtection="1">
      <alignment horizontal="center" vertical="center" wrapText="1"/>
      <protection locked="0"/>
    </xf>
    <xf numFmtId="1" fontId="13" fillId="0" borderId="1" xfId="8" applyNumberFormat="1" applyFont="1" applyBorder="1" applyAlignment="1" applyProtection="1">
      <alignment horizontal="center" vertical="top" wrapText="1"/>
      <protection locked="0"/>
    </xf>
    <xf numFmtId="9" fontId="13" fillId="0" borderId="1" xfId="2" applyFont="1" applyFill="1" applyBorder="1" applyAlignment="1" applyProtection="1">
      <alignment horizontal="center" vertical="top" wrapText="1"/>
      <protection locked="0"/>
    </xf>
    <xf numFmtId="0" fontId="13" fillId="0" borderId="1" xfId="8" applyFont="1" applyBorder="1" applyAlignment="1" applyProtection="1">
      <alignment horizontal="center" vertical="top" wrapText="1"/>
      <protection locked="0"/>
    </xf>
    <xf numFmtId="0" fontId="6" fillId="0" borderId="7" xfId="8" applyFont="1" applyBorder="1" applyAlignment="1" applyProtection="1">
      <alignment horizontal="left" vertical="top" wrapText="1"/>
      <protection locked="0"/>
    </xf>
    <xf numFmtId="0" fontId="6" fillId="0" borderId="8" xfId="8" applyFont="1" applyBorder="1" applyAlignment="1" applyProtection="1">
      <alignment horizontal="left" vertical="top" wrapText="1"/>
      <protection locked="0"/>
    </xf>
    <xf numFmtId="0" fontId="6" fillId="0" borderId="9" xfId="8" applyFont="1" applyBorder="1" applyAlignment="1" applyProtection="1">
      <alignment horizontal="left" vertical="top" wrapText="1"/>
      <protection locked="0"/>
    </xf>
    <xf numFmtId="0" fontId="6" fillId="0" borderId="10" xfId="8" applyFont="1" applyBorder="1" applyAlignment="1" applyProtection="1">
      <alignment horizontal="left" vertical="top" wrapText="1"/>
      <protection locked="0"/>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vertical="top"/>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9" fillId="0" borderId="9" xfId="8" applyFont="1" applyBorder="1" applyAlignment="1" applyProtection="1">
      <alignment horizontal="left" vertical="top" wrapText="1"/>
      <protection locked="0"/>
    </xf>
    <xf numFmtId="0" fontId="9" fillId="0" borderId="10" xfId="8" applyFont="1" applyBorder="1" applyAlignment="1" applyProtection="1">
      <alignment horizontal="left" vertical="top" wrapText="1"/>
      <protection locked="0"/>
    </xf>
    <xf numFmtId="9" fontId="10" fillId="0" borderId="7" xfId="2" applyFont="1" applyFill="1" applyBorder="1" applyAlignment="1" applyProtection="1">
      <alignment horizontal="center" vertical="center" wrapText="1"/>
      <protection locked="0"/>
    </xf>
    <xf numFmtId="9" fontId="10" fillId="0" borderId="8" xfId="2" applyFont="1" applyFill="1" applyBorder="1" applyAlignment="1" applyProtection="1">
      <alignment horizontal="center" vertical="center" wrapText="1"/>
      <protection locked="0"/>
    </xf>
    <xf numFmtId="9" fontId="10" fillId="0" borderId="3" xfId="2" applyFont="1" applyFill="1" applyBorder="1" applyAlignment="1" applyProtection="1">
      <alignment horizontal="center" vertical="center" wrapText="1"/>
      <protection locked="0"/>
    </xf>
    <xf numFmtId="9" fontId="10" fillId="0" borderId="22" xfId="2" applyFont="1" applyFill="1" applyBorder="1" applyAlignment="1" applyProtection="1">
      <alignment horizontal="center" vertical="center" wrapText="1"/>
      <protection locked="0"/>
    </xf>
    <xf numFmtId="9" fontId="10" fillId="0" borderId="26" xfId="2" applyFont="1" applyFill="1" applyBorder="1" applyAlignment="1" applyProtection="1">
      <alignment horizontal="center" vertical="center" wrapText="1"/>
      <protection locked="0"/>
    </xf>
    <xf numFmtId="9" fontId="10" fillId="0" borderId="27" xfId="2" applyFont="1" applyFill="1" applyBorder="1" applyAlignment="1" applyProtection="1">
      <alignment horizontal="center" vertical="center" wrapText="1"/>
      <protection locked="0"/>
    </xf>
    <xf numFmtId="9" fontId="10" fillId="0" borderId="21" xfId="2" applyFont="1" applyFill="1" applyBorder="1" applyAlignment="1" applyProtection="1">
      <alignment horizontal="center" vertical="center" wrapText="1"/>
      <protection locked="0"/>
    </xf>
    <xf numFmtId="9" fontId="10" fillId="0" borderId="23" xfId="2" applyFont="1" applyFill="1" applyBorder="1" applyAlignment="1" applyProtection="1">
      <alignment horizontal="center" vertical="center" wrapText="1"/>
      <protection locked="0"/>
    </xf>
    <xf numFmtId="9" fontId="10" fillId="0" borderId="28" xfId="2" applyFont="1" applyFill="1" applyBorder="1" applyAlignment="1" applyProtection="1">
      <alignment horizontal="center" vertical="center" wrapText="1"/>
      <protection locked="0"/>
    </xf>
    <xf numFmtId="0" fontId="21" fillId="0" borderId="1" xfId="8" applyFont="1" applyBorder="1" applyAlignment="1" applyProtection="1">
      <alignment horizontal="center" vertical="top" wrapText="1"/>
      <protection locked="0"/>
    </xf>
    <xf numFmtId="1" fontId="13" fillId="0" borderId="12" xfId="8" applyNumberFormat="1" applyFont="1" applyBorder="1" applyAlignment="1" applyProtection="1">
      <alignment horizontal="center" vertical="top" wrapText="1"/>
      <protection locked="0"/>
    </xf>
    <xf numFmtId="1" fontId="13" fillId="0" borderId="13" xfId="8" applyNumberFormat="1" applyFont="1" applyBorder="1" applyAlignment="1" applyProtection="1">
      <alignment horizontal="center" vertical="top" wrapText="1"/>
      <protection locked="0"/>
    </xf>
    <xf numFmtId="1" fontId="13" fillId="0" borderId="1" xfId="8" applyNumberFormat="1" applyFont="1" applyBorder="1" applyAlignment="1" applyProtection="1">
      <alignment horizontal="center" vertical="top" wrapText="1"/>
      <protection locked="0"/>
    </xf>
    <xf numFmtId="1" fontId="27" fillId="0" borderId="12" xfId="8" applyNumberFormat="1" applyFont="1" applyBorder="1" applyAlignment="1" applyProtection="1">
      <alignment horizontal="center" vertical="top" wrapText="1"/>
      <protection locked="0"/>
    </xf>
    <xf numFmtId="1" fontId="27" fillId="0" borderId="13" xfId="8" applyNumberFormat="1" applyFont="1" applyBorder="1" applyAlignment="1" applyProtection="1">
      <alignment horizontal="center" vertical="top" wrapText="1"/>
      <protection locked="0"/>
    </xf>
    <xf numFmtId="1" fontId="9" fillId="0" borderId="4" xfId="8" applyNumberFormat="1" applyFont="1" applyBorder="1" applyAlignment="1" applyProtection="1">
      <alignment horizontal="center" vertical="center" wrapText="1"/>
      <protection locked="0"/>
    </xf>
    <xf numFmtId="1" fontId="9" fillId="0" borderId="6" xfId="8" applyNumberFormat="1" applyFont="1" applyBorder="1" applyAlignment="1" applyProtection="1">
      <alignment horizontal="center" vertical="center" wrapText="1"/>
      <protection locked="0"/>
    </xf>
    <xf numFmtId="1" fontId="12" fillId="0" borderId="4" xfId="8" applyNumberFormat="1" applyFont="1" applyBorder="1" applyAlignment="1" applyProtection="1">
      <alignment horizontal="center" vertical="center" wrapText="1"/>
      <protection locked="0"/>
    </xf>
    <xf numFmtId="1" fontId="12" fillId="0" borderId="5" xfId="8" applyNumberFormat="1" applyFont="1" applyBorder="1" applyAlignment="1" applyProtection="1">
      <alignment horizontal="center" vertical="center" wrapText="1"/>
      <protection locked="0"/>
    </xf>
    <xf numFmtId="1" fontId="12" fillId="0" borderId="6" xfId="8"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left" vertical="top" wrapText="1"/>
      <protection locked="0"/>
    </xf>
    <xf numFmtId="1" fontId="13" fillId="0" borderId="4" xfId="0" applyNumberFormat="1" applyFont="1" applyFill="1" applyBorder="1" applyAlignment="1" applyProtection="1">
      <alignment vertical="top" wrapText="1"/>
      <protection locked="0"/>
    </xf>
    <xf numFmtId="1" fontId="13" fillId="0" borderId="5" xfId="0" applyNumberFormat="1" applyFont="1" applyFill="1" applyBorder="1" applyAlignment="1" applyProtection="1">
      <alignment vertical="top" wrapText="1"/>
      <protection locked="0"/>
    </xf>
    <xf numFmtId="1" fontId="13" fillId="0" borderId="6" xfId="0" applyNumberFormat="1" applyFont="1" applyFill="1" applyBorder="1" applyAlignment="1" applyProtection="1">
      <alignment vertical="top" wrapText="1"/>
      <protection locked="0"/>
    </xf>
    <xf numFmtId="0" fontId="9" fillId="0" borderId="1" xfId="8" applyFont="1" applyBorder="1" applyAlignment="1" applyProtection="1">
      <alignment vertical="top"/>
      <protection locked="0"/>
    </xf>
    <xf numFmtId="0" fontId="9" fillId="0" borderId="1" xfId="8" applyFont="1" applyBorder="1" applyAlignment="1" applyProtection="1">
      <alignment horizontal="left" vertical="top"/>
      <protection locked="0"/>
    </xf>
    <xf numFmtId="1" fontId="13" fillId="0" borderId="4"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12" fillId="0" borderId="4"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5" fillId="0" borderId="4" xfId="0" applyNumberFormat="1" applyFont="1" applyBorder="1" applyAlignment="1" applyProtection="1">
      <alignment vertical="top" wrapText="1"/>
      <protection locked="0"/>
    </xf>
    <xf numFmtId="1" fontId="15" fillId="0" borderId="5" xfId="0" applyNumberFormat="1" applyFont="1" applyBorder="1" applyAlignment="1" applyProtection="1">
      <alignment vertical="top" wrapText="1"/>
      <protection locked="0"/>
    </xf>
    <xf numFmtId="1" fontId="15" fillId="0" borderId="6" xfId="0" applyNumberFormat="1" applyFont="1" applyBorder="1" applyAlignment="1" applyProtection="1">
      <alignment vertical="top" wrapText="1"/>
      <protection locked="0"/>
    </xf>
    <xf numFmtId="0" fontId="12" fillId="0" borderId="1" xfId="8" applyFont="1" applyBorder="1" applyAlignment="1" applyProtection="1">
      <alignment vertical="top"/>
      <protection locked="0"/>
    </xf>
    <xf numFmtId="1" fontId="12" fillId="0" borderId="1" xfId="8" applyNumberFormat="1" applyFont="1" applyBorder="1" applyAlignment="1" applyProtection="1">
      <alignment horizontal="center" vertical="center" wrapText="1"/>
      <protection locked="0"/>
    </xf>
    <xf numFmtId="0" fontId="10" fillId="0" borderId="0" xfId="8" applyFont="1" applyAlignment="1">
      <alignment horizontal="center" vertical="center"/>
    </xf>
    <xf numFmtId="1" fontId="9" fillId="0" borderId="1" xfId="8" applyNumberFormat="1" applyFont="1" applyBorder="1" applyAlignment="1" applyProtection="1">
      <alignment horizontal="center" vertical="center" wrapText="1"/>
      <protection locked="0"/>
    </xf>
    <xf numFmtId="1" fontId="7" fillId="0" borderId="4" xfId="8" applyNumberFormat="1" applyFont="1" applyBorder="1" applyAlignment="1" applyProtection="1">
      <alignment horizontal="center" vertical="center" wrapText="1"/>
      <protection locked="0"/>
    </xf>
    <xf numFmtId="1" fontId="7" fillId="0" borderId="6" xfId="8" applyNumberFormat="1" applyFont="1" applyBorder="1" applyAlignment="1" applyProtection="1">
      <alignment horizontal="center" vertical="center" wrapText="1"/>
      <protection locked="0"/>
    </xf>
    <xf numFmtId="1" fontId="7" fillId="0" borderId="1" xfId="8" applyNumberFormat="1" applyFont="1" applyBorder="1" applyAlignment="1" applyProtection="1">
      <alignment horizontal="center" vertical="center" wrapText="1"/>
      <protection locked="0"/>
    </xf>
    <xf numFmtId="1" fontId="27" fillId="0" borderId="1" xfId="8" applyNumberFormat="1" applyFont="1" applyBorder="1" applyAlignment="1" applyProtection="1">
      <alignment horizontal="center" vertical="top" wrapText="1"/>
      <protection locked="0"/>
    </xf>
    <xf numFmtId="0" fontId="12" fillId="0" borderId="13" xfId="8" applyFont="1" applyBorder="1" applyAlignment="1" applyProtection="1">
      <alignment horizontal="center" vertical="top"/>
      <protection locked="0"/>
    </xf>
    <xf numFmtId="0" fontId="13" fillId="0" borderId="1" xfId="8" applyFont="1" applyBorder="1" applyAlignment="1" applyProtection="1">
      <alignment horizontal="center" vertical="top"/>
      <protection locked="0"/>
    </xf>
    <xf numFmtId="1" fontId="13" fillId="0" borderId="4" xfId="8" applyNumberFormat="1" applyFont="1" applyBorder="1" applyAlignment="1" applyProtection="1">
      <alignment horizontal="center" vertical="center" wrapText="1"/>
      <protection locked="0"/>
    </xf>
    <xf numFmtId="1" fontId="13" fillId="0" borderId="5" xfId="8" applyNumberFormat="1" applyFont="1" applyBorder="1" applyAlignment="1" applyProtection="1">
      <alignment horizontal="center" vertical="center" wrapText="1"/>
      <protection locked="0"/>
    </xf>
    <xf numFmtId="1" fontId="13" fillId="0" borderId="6" xfId="8" applyNumberFormat="1" applyFont="1" applyBorder="1" applyAlignment="1" applyProtection="1">
      <alignment horizontal="center" vertical="center" wrapText="1"/>
      <protection locked="0"/>
    </xf>
    <xf numFmtId="1" fontId="16" fillId="0" borderId="12" xfId="0" applyNumberFormat="1"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1" fontId="12" fillId="0" borderId="12" xfId="0" applyNumberFormat="1" applyFont="1" applyBorder="1" applyAlignment="1" applyProtection="1">
      <alignment horizontal="center" vertical="center" wrapText="1"/>
      <protection locked="0"/>
    </xf>
    <xf numFmtId="1" fontId="12" fillId="0" borderId="29" xfId="0" applyNumberFormat="1" applyFont="1" applyBorder="1" applyAlignment="1" applyProtection="1">
      <alignment horizontal="center" vertical="center" wrapText="1"/>
      <protection locked="0"/>
    </xf>
    <xf numFmtId="1" fontId="12" fillId="0" borderId="30" xfId="0" applyNumberFormat="1" applyFont="1" applyBorder="1" applyAlignment="1" applyProtection="1">
      <alignment horizontal="center" vertical="center" wrapText="1"/>
      <protection locked="0"/>
    </xf>
    <xf numFmtId="1" fontId="16" fillId="0" borderId="30" xfId="0" applyNumberFormat="1" applyFont="1" applyBorder="1" applyAlignment="1" applyProtection="1">
      <alignment horizontal="center" vertical="center"/>
      <protection locked="0"/>
    </xf>
    <xf numFmtId="1" fontId="16" fillId="0" borderId="30" xfId="0" applyNumberFormat="1" applyFont="1" applyBorder="1" applyAlignment="1" applyProtection="1">
      <alignment horizontal="center" vertical="top" wrapText="1"/>
      <protection locked="0"/>
    </xf>
    <xf numFmtId="1" fontId="12" fillId="0" borderId="30" xfId="0" applyNumberFormat="1" applyFont="1" applyBorder="1" applyAlignment="1" applyProtection="1">
      <alignment horizontal="center" vertical="top" wrapText="1"/>
      <protection locked="0"/>
    </xf>
    <xf numFmtId="1" fontId="12" fillId="0" borderId="3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6"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6" fillId="0" borderId="1" xfId="0" applyNumberFormat="1" applyFont="1" applyBorder="1" applyAlignment="1" applyProtection="1">
      <alignment horizontal="center" vertical="center"/>
      <protection locked="0"/>
    </xf>
    <xf numFmtId="167" fontId="7" fillId="0" borderId="1" xfId="1" applyNumberFormat="1" applyFont="1" applyFill="1" applyBorder="1" applyAlignment="1" applyProtection="1">
      <alignment horizontal="left" vertical="top"/>
      <protection locked="0"/>
    </xf>
    <xf numFmtId="0" fontId="12" fillId="0" borderId="1" xfId="8" applyFont="1" applyBorder="1" applyAlignment="1" applyProtection="1">
      <alignment horizontal="left" vertical="top"/>
      <protection locked="0"/>
    </xf>
    <xf numFmtId="0" fontId="10" fillId="0" borderId="19" xfId="8" applyFont="1" applyBorder="1" applyAlignment="1" applyProtection="1">
      <alignment horizontal="center" vertical="top" wrapText="1"/>
      <protection locked="0"/>
    </xf>
    <xf numFmtId="0" fontId="10" fillId="0" borderId="1" xfId="8" applyFont="1" applyBorder="1" applyAlignment="1" applyProtection="1">
      <alignment horizontal="center" vertical="top" wrapText="1"/>
      <protection locked="0"/>
    </xf>
    <xf numFmtId="0" fontId="10" fillId="0" borderId="24" xfId="8" applyFont="1" applyBorder="1" applyAlignment="1" applyProtection="1">
      <alignment horizontal="center" vertical="top" wrapText="1"/>
      <protection locked="0"/>
    </xf>
    <xf numFmtId="0" fontId="10" fillId="0" borderId="25" xfId="8" applyFont="1" applyBorder="1" applyAlignment="1" applyProtection="1">
      <alignment horizontal="center" vertical="top" wrapText="1"/>
      <protection locked="0"/>
    </xf>
    <xf numFmtId="0" fontId="12" fillId="0" borderId="13" xfId="8" applyFont="1" applyBorder="1" applyAlignment="1" applyProtection="1">
      <alignment horizontal="left" vertical="top"/>
      <protection locked="0"/>
    </xf>
    <xf numFmtId="0" fontId="12" fillId="0" borderId="16" xfId="8" applyFont="1" applyBorder="1" applyAlignment="1" applyProtection="1">
      <alignment horizontal="left" vertical="top" wrapText="1"/>
      <protection locked="0"/>
    </xf>
    <xf numFmtId="0" fontId="12" fillId="0" borderId="17" xfId="8" applyFont="1" applyBorder="1" applyAlignment="1" applyProtection="1">
      <alignment horizontal="left" vertical="top" wrapText="1"/>
      <protection locked="0"/>
    </xf>
    <xf numFmtId="0" fontId="12" fillId="0" borderId="18" xfId="8" applyFont="1" applyBorder="1" applyAlignment="1" applyProtection="1">
      <alignment horizontal="left" vertical="top" wrapText="1"/>
      <protection locked="0"/>
    </xf>
    <xf numFmtId="0" fontId="13" fillId="0" borderId="19" xfId="8" applyFont="1" applyBorder="1" applyAlignment="1" applyProtection="1">
      <alignment horizontal="left" vertical="top"/>
      <protection locked="0"/>
    </xf>
    <xf numFmtId="0" fontId="13" fillId="0" borderId="1" xfId="8" applyFont="1" applyBorder="1" applyAlignment="1" applyProtection="1">
      <alignment horizontal="left" vertical="top"/>
      <protection locked="0"/>
    </xf>
    <xf numFmtId="0" fontId="13" fillId="0" borderId="1" xfId="8" applyFont="1" applyBorder="1" applyAlignment="1" applyProtection="1">
      <alignment horizontal="left" vertical="top" wrapText="1"/>
      <protection locked="0"/>
    </xf>
    <xf numFmtId="0" fontId="13" fillId="0" borderId="20" xfId="8" applyFont="1" applyBorder="1" applyAlignment="1" applyProtection="1">
      <alignment horizontal="left" vertical="top" wrapText="1"/>
      <protection locked="0"/>
    </xf>
    <xf numFmtId="0" fontId="10" fillId="0" borderId="20" xfId="8" applyFont="1" applyBorder="1" applyAlignment="1" applyProtection="1">
      <alignment horizontal="center" vertical="top" wrapText="1"/>
      <protection locked="0"/>
    </xf>
    <xf numFmtId="0" fontId="12" fillId="0" borderId="14" xfId="8" applyFont="1" applyBorder="1" applyAlignment="1" applyProtection="1">
      <alignment horizontal="left" vertical="top" wrapText="1"/>
      <protection locked="0"/>
    </xf>
    <xf numFmtId="0" fontId="12" fillId="0" borderId="15" xfId="8" applyFont="1" applyBorder="1" applyAlignment="1" applyProtection="1">
      <alignment horizontal="left" vertical="top" wrapText="1"/>
      <protection locked="0"/>
    </xf>
    <xf numFmtId="0" fontId="7" fillId="0" borderId="1" xfId="8" applyFont="1" applyBorder="1" applyAlignment="1" applyProtection="1">
      <alignment horizontal="left" vertical="top" wrapText="1"/>
      <protection locked="0"/>
    </xf>
    <xf numFmtId="0" fontId="9" fillId="0" borderId="12" xfId="8" applyFont="1" applyBorder="1" applyAlignment="1" applyProtection="1">
      <alignment horizontal="left" vertical="top"/>
      <protection locked="0"/>
    </xf>
    <xf numFmtId="0" fontId="7" fillId="0" borderId="12" xfId="8" applyFont="1" applyBorder="1" applyAlignment="1" applyProtection="1">
      <alignment horizontal="left" vertical="top" wrapText="1"/>
      <protection locked="0"/>
    </xf>
    <xf numFmtId="0" fontId="9" fillId="0" borderId="12" xfId="8" applyFont="1" applyBorder="1" applyAlignment="1" applyProtection="1">
      <alignment horizontal="left" vertical="top" wrapText="1"/>
      <protection locked="0"/>
    </xf>
    <xf numFmtId="0" fontId="7" fillId="0" borderId="1" xfId="8" applyFont="1" applyFill="1" applyBorder="1" applyAlignment="1" applyProtection="1">
      <alignment horizontal="left" vertical="top" wrapText="1"/>
      <protection locked="0"/>
    </xf>
    <xf numFmtId="0" fontId="7" fillId="0" borderId="1" xfId="8" applyFont="1" applyFill="1" applyBorder="1" applyAlignment="1" applyProtection="1">
      <alignment horizontal="left" vertical="top"/>
      <protection locked="0"/>
    </xf>
    <xf numFmtId="0" fontId="7" fillId="0" borderId="7" xfId="8" applyFont="1" applyBorder="1" applyAlignment="1" applyProtection="1">
      <alignment horizontal="left" vertical="top" wrapText="1"/>
      <protection locked="0"/>
    </xf>
    <xf numFmtId="0" fontId="7" fillId="0" borderId="11" xfId="8" applyFont="1" applyBorder="1" applyAlignment="1" applyProtection="1">
      <alignment horizontal="left" vertical="top" wrapText="1"/>
      <protection locked="0"/>
    </xf>
    <xf numFmtId="0" fontId="7" fillId="0" borderId="8" xfId="8" applyFont="1" applyBorder="1" applyAlignment="1" applyProtection="1">
      <alignment horizontal="left" vertical="top" wrapText="1"/>
      <protection locked="0"/>
    </xf>
    <xf numFmtId="0" fontId="7" fillId="0" borderId="12" xfId="8" applyFont="1" applyBorder="1" applyAlignment="1" applyProtection="1">
      <alignment horizontal="left" vertical="top"/>
      <protection locked="0"/>
    </xf>
    <xf numFmtId="0" fontId="9" fillId="0" borderId="13" xfId="8" applyFont="1" applyBorder="1" applyAlignment="1" applyProtection="1">
      <alignment horizontal="left" vertical="top" wrapText="1"/>
      <protection locked="0"/>
    </xf>
    <xf numFmtId="1" fontId="9" fillId="0" borderId="1" xfId="8" applyNumberFormat="1" applyFont="1" applyBorder="1" applyAlignment="1" applyProtection="1">
      <alignment horizontal="left" vertical="top" wrapText="1"/>
      <protection locked="0"/>
    </xf>
    <xf numFmtId="0" fontId="9" fillId="0" borderId="4" xfId="8" applyFont="1" applyBorder="1" applyAlignment="1" applyProtection="1">
      <alignment horizontal="left" vertical="top" wrapText="1"/>
      <protection locked="0"/>
    </xf>
    <xf numFmtId="0" fontId="9" fillId="0" borderId="5"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12" fillId="0" borderId="4" xfId="8" applyFont="1" applyBorder="1" applyAlignment="1" applyProtection="1">
      <alignment horizontal="left" vertical="top" wrapText="1"/>
      <protection locked="0"/>
    </xf>
    <xf numFmtId="0" fontId="12" fillId="0" borderId="6" xfId="8" applyFont="1" applyBorder="1" applyAlignment="1" applyProtection="1">
      <alignment horizontal="left" vertical="top" wrapText="1"/>
      <protection locked="0"/>
    </xf>
    <xf numFmtId="0" fontId="12" fillId="0" borderId="5" xfId="8" applyFont="1" applyBorder="1" applyAlignment="1" applyProtection="1">
      <alignment horizontal="left" vertical="top" wrapText="1"/>
      <protection locked="0"/>
    </xf>
    <xf numFmtId="14" fontId="12" fillId="0" borderId="4" xfId="8" applyNumberFormat="1" applyFont="1" applyBorder="1" applyAlignment="1" applyProtection="1">
      <alignment horizontal="left" vertical="top"/>
      <protection locked="0"/>
    </xf>
    <xf numFmtId="14" fontId="12" fillId="0" borderId="6" xfId="8" applyNumberFormat="1" applyFont="1" applyBorder="1" applyAlignment="1" applyProtection="1">
      <alignment horizontal="left" vertical="top"/>
      <protection locked="0"/>
    </xf>
    <xf numFmtId="14" fontId="9" fillId="0" borderId="4" xfId="8" applyNumberFormat="1" applyFont="1" applyBorder="1" applyAlignment="1" applyProtection="1">
      <alignment horizontal="left" vertical="top" wrapText="1"/>
      <protection locked="0"/>
    </xf>
    <xf numFmtId="0" fontId="9" fillId="0" borderId="4" xfId="8" applyFont="1" applyBorder="1" applyAlignment="1" applyProtection="1">
      <alignment vertical="top" wrapText="1"/>
      <protection locked="0"/>
    </xf>
    <xf numFmtId="0" fontId="9" fillId="0" borderId="5" xfId="8" applyFont="1" applyBorder="1" applyAlignment="1" applyProtection="1">
      <alignment vertical="top" wrapText="1"/>
      <protection locked="0"/>
    </xf>
    <xf numFmtId="0" fontId="9" fillId="0" borderId="6" xfId="8" applyFont="1" applyBorder="1" applyAlignment="1" applyProtection="1">
      <alignment vertical="top" wrapText="1"/>
      <protection locked="0"/>
    </xf>
    <xf numFmtId="0" fontId="13" fillId="0" borderId="4" xfId="8" applyFont="1" applyBorder="1" applyAlignment="1" applyProtection="1">
      <alignment horizontal="left" vertical="top"/>
      <protection locked="0"/>
    </xf>
    <xf numFmtId="0" fontId="13" fillId="0" borderId="5" xfId="8" applyFont="1" applyBorder="1" applyAlignment="1" applyProtection="1">
      <alignment horizontal="left" vertical="top"/>
      <protection locked="0"/>
    </xf>
    <xf numFmtId="0" fontId="13" fillId="0" borderId="6" xfId="8" applyFont="1" applyBorder="1" applyAlignment="1" applyProtection="1">
      <alignment horizontal="left" vertical="top"/>
      <protection locked="0"/>
    </xf>
    <xf numFmtId="2" fontId="9" fillId="0" borderId="1" xfId="8" applyNumberFormat="1" applyFont="1" applyBorder="1" applyAlignment="1" applyProtection="1">
      <alignment horizontal="left" vertical="top" wrapText="1"/>
      <protection locked="0"/>
    </xf>
    <xf numFmtId="166"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7" fillId="0" borderId="1" xfId="8" applyFont="1" applyBorder="1" applyAlignment="1" applyProtection="1">
      <alignment horizontal="center"/>
      <protection locked="0"/>
    </xf>
    <xf numFmtId="0" fontId="7" fillId="0" borderId="4" xfId="8" applyFont="1" applyBorder="1" applyAlignment="1" applyProtection="1">
      <alignment horizontal="center" vertical="top"/>
      <protection locked="0"/>
    </xf>
    <xf numFmtId="0" fontId="7" fillId="0" borderId="5" xfId="8" applyFont="1" applyBorder="1" applyAlignment="1" applyProtection="1">
      <alignment horizontal="center" vertical="top"/>
      <protection locked="0"/>
    </xf>
    <xf numFmtId="0" fontId="7" fillId="0" borderId="6" xfId="8" applyFont="1" applyBorder="1" applyAlignment="1" applyProtection="1">
      <alignment horizontal="center" vertical="top"/>
      <protection locked="0"/>
    </xf>
    <xf numFmtId="0" fontId="14" fillId="0" borderId="1" xfId="3" applyFill="1" applyBorder="1" applyAlignment="1" applyProtection="1">
      <alignment horizontal="left" vertical="top" wrapText="1"/>
      <protection locked="0"/>
    </xf>
    <xf numFmtId="0" fontId="13" fillId="0" borderId="1" xfId="8" applyFont="1" applyBorder="1" applyAlignment="1" applyProtection="1">
      <alignment horizontal="center"/>
      <protection locked="0"/>
    </xf>
    <xf numFmtId="0" fontId="13" fillId="0" borderId="4" xfId="8" applyFont="1" applyBorder="1" applyAlignment="1" applyProtection="1">
      <alignment horizontal="center" vertical="top"/>
      <protection locked="0"/>
    </xf>
    <xf numFmtId="0" fontId="13" fillId="0" borderId="5" xfId="8" applyFont="1" applyBorder="1" applyAlignment="1" applyProtection="1">
      <alignment horizontal="center" vertical="top"/>
      <protection locked="0"/>
    </xf>
    <xf numFmtId="0" fontId="13" fillId="0" borderId="6" xfId="8" applyFont="1" applyBorder="1" applyAlignment="1" applyProtection="1">
      <alignment horizontal="center" vertical="top"/>
      <protection locked="0"/>
    </xf>
    <xf numFmtId="0" fontId="7" fillId="0" borderId="1" xfId="8" applyFont="1" applyBorder="1" applyAlignment="1" applyProtection="1">
      <alignment horizontal="left"/>
      <protection locked="0"/>
    </xf>
    <xf numFmtId="0" fontId="9" fillId="0" borderId="1" xfId="8" applyFont="1" applyFill="1" applyBorder="1" applyAlignment="1" applyProtection="1">
      <alignment horizontal="left" vertical="top"/>
      <protection locked="0"/>
    </xf>
    <xf numFmtId="0" fontId="10" fillId="0" borderId="3" xfId="8" applyFont="1" applyBorder="1" applyAlignment="1">
      <alignment horizontal="center"/>
    </xf>
    <xf numFmtId="0" fontId="10" fillId="0" borderId="0" xfId="8" applyFont="1" applyAlignment="1">
      <alignment horizontal="center"/>
    </xf>
    <xf numFmtId="0" fontId="11" fillId="0" borderId="1" xfId="8"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14" fontId="7" fillId="0" borderId="1" xfId="8" applyNumberFormat="1" applyFont="1" applyBorder="1" applyAlignment="1" applyProtection="1">
      <alignment horizontal="left" vertical="top"/>
      <protection locked="0"/>
    </xf>
    <xf numFmtId="0" fontId="1" fillId="0" borderId="1" xfId="10" applyFont="1" applyBorder="1" applyAlignment="1">
      <alignment horizontal="left"/>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cellXfs>
  <cellStyles count="11">
    <cellStyle name="Comma" xfId="1" builtinId="3"/>
    <cellStyle name="Comma 2" xfId="4"/>
    <cellStyle name="Excel Built-in Normal" xfId="5"/>
    <cellStyle name="Excel Built-in Normal 2" xfId="6"/>
    <cellStyle name="Hyperlink" xfId="3" builtinId="8"/>
    <cellStyle name="Normal" xfId="0" builtinId="0"/>
    <cellStyle name="Normal 2" xfId="7"/>
    <cellStyle name="Normal 3" xfId="8"/>
    <cellStyle name="Normal 3 3" xfId="9"/>
    <cellStyle name="Normal 4" xf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599440</xdr:colOff>
      <xdr:row>309</xdr:row>
      <xdr:rowOff>146685</xdr:rowOff>
    </xdr:from>
    <xdr:to>
      <xdr:col>7</xdr:col>
      <xdr:colOff>240030</xdr:colOff>
      <xdr:row>332</xdr:row>
      <xdr:rowOff>57150</xdr:rowOff>
    </xdr:to>
    <xdr:grpSp>
      <xdr:nvGrpSpPr>
        <xdr:cNvPr id="8" name="Group 7"/>
        <xdr:cNvGrpSpPr/>
      </xdr:nvGrpSpPr>
      <xdr:grpSpPr>
        <a:xfrm>
          <a:off x="599440" y="52819935"/>
          <a:ext cx="5495290" cy="4438015"/>
          <a:chOff x="831693" y="70532633"/>
          <a:chExt cx="4271108" cy="3352639"/>
        </a:xfrm>
      </xdr:grpSpPr>
      <xdr:grpSp>
        <xdr:nvGrpSpPr>
          <xdr:cNvPr id="9" name="Group 8"/>
          <xdr:cNvGrpSpPr/>
        </xdr:nvGrpSpPr>
        <xdr:grpSpPr>
          <a:xfrm>
            <a:off x="831693" y="70532633"/>
            <a:ext cx="4271108" cy="3352639"/>
            <a:chOff x="912331" y="70978055"/>
            <a:chExt cx="3898380" cy="2868559"/>
          </a:xfrm>
        </xdr:grpSpPr>
        <xdr:grpSp>
          <xdr:nvGrpSpPr>
            <xdr:cNvPr id="10" name="Group 9"/>
            <xdr:cNvGrpSpPr/>
          </xdr:nvGrpSpPr>
          <xdr:grpSpPr>
            <a:xfrm>
              <a:off x="926601" y="70978055"/>
              <a:ext cx="3884110" cy="2850174"/>
              <a:chOff x="925555" y="77753304"/>
              <a:chExt cx="3916806" cy="2850174"/>
            </a:xfrm>
          </xdr:grpSpPr>
          <xdr:pic>
            <xdr:nvPicPr>
              <xdr:cNvPr id="11" name="Picture 10"/>
              <xdr:cNvPicPr>
                <a:picLocks noChangeAspect="1"/>
              </xdr:cNvPicPr>
            </xdr:nvPicPr>
            <xdr:blipFill>
              <a:blip xmlns:r="http://schemas.openxmlformats.org/officeDocument/2006/relationships" r:embed="rId1"/>
              <a:srcRect l="734" t="14476" r="2006" b="1482"/>
              <a:stretch>
                <a:fillRect/>
              </a:stretch>
            </xdr:blipFill>
            <xdr:spPr>
              <a:xfrm>
                <a:off x="925555" y="77753304"/>
                <a:ext cx="3916806" cy="2850174"/>
              </a:xfrm>
              <a:prstGeom prst="rect">
                <a:avLst/>
              </a:prstGeom>
              <a:ln>
                <a:solidFill>
                  <a:sysClr val="windowText" lastClr="000000"/>
                </a:solidFill>
              </a:ln>
            </xdr:spPr>
          </xdr:pic>
          <xdr:sp macro="" textlink="">
            <xdr:nvSpPr>
              <xdr:cNvPr id="12" name="Freeform 11"/>
              <xdr:cNvSpPr/>
            </xdr:nvSpPr>
            <xdr:spPr>
              <a:xfrm rot="12116466">
                <a:off x="2296697" y="79388010"/>
                <a:ext cx="612513" cy="543001"/>
              </a:xfrm>
              <a:custGeom>
                <a:avLst/>
                <a:gdLst>
                  <a:gd name="connsiteX0" fmla="*/ 190500 w 190500"/>
                  <a:gd name="connsiteY0" fmla="*/ 76200 h 266700"/>
                  <a:gd name="connsiteX1" fmla="*/ 65314 w 190500"/>
                  <a:gd name="connsiteY1" fmla="*/ 0 h 266700"/>
                  <a:gd name="connsiteX2" fmla="*/ 0 w 190500"/>
                  <a:gd name="connsiteY2" fmla="*/ 146957 h 266700"/>
                  <a:gd name="connsiteX3" fmla="*/ 70757 w 190500"/>
                  <a:gd name="connsiteY3" fmla="*/ 266700 h 266700"/>
                  <a:gd name="connsiteX4" fmla="*/ 190500 w 190500"/>
                  <a:gd name="connsiteY4" fmla="*/ 76200 h 266700"/>
                  <a:gd name="connsiteX0-1" fmla="*/ 190500 w 190500"/>
                  <a:gd name="connsiteY0-2" fmla="*/ 76200 h 311983"/>
                  <a:gd name="connsiteX1-3" fmla="*/ 65314 w 190500"/>
                  <a:gd name="connsiteY1-4" fmla="*/ 0 h 311983"/>
                  <a:gd name="connsiteX2-5" fmla="*/ 0 w 190500"/>
                  <a:gd name="connsiteY2-6" fmla="*/ 146957 h 311983"/>
                  <a:gd name="connsiteX3-7" fmla="*/ 72193 w 190500"/>
                  <a:gd name="connsiteY3-8" fmla="*/ 311983 h 311983"/>
                  <a:gd name="connsiteX4-9" fmla="*/ 190500 w 190500"/>
                  <a:gd name="connsiteY4-10" fmla="*/ 76200 h 311983"/>
                  <a:gd name="connsiteX0-11" fmla="*/ 184958 w 184958"/>
                  <a:gd name="connsiteY0-12" fmla="*/ 76200 h 311983"/>
                  <a:gd name="connsiteX1-13" fmla="*/ 59772 w 184958"/>
                  <a:gd name="connsiteY1-14" fmla="*/ 0 h 311983"/>
                  <a:gd name="connsiteX2-15" fmla="*/ 0 w 184958"/>
                  <a:gd name="connsiteY2-16" fmla="*/ 194141 h 311983"/>
                  <a:gd name="connsiteX3-17" fmla="*/ 66651 w 184958"/>
                  <a:gd name="connsiteY3-18" fmla="*/ 311983 h 311983"/>
                  <a:gd name="connsiteX4-19" fmla="*/ 184958 w 184958"/>
                  <a:gd name="connsiteY4-20" fmla="*/ 76200 h 311983"/>
                  <a:gd name="connsiteX0-21" fmla="*/ 184958 w 184958"/>
                  <a:gd name="connsiteY0-22" fmla="*/ 49756 h 285539"/>
                  <a:gd name="connsiteX1-23" fmla="*/ 68701 w 184958"/>
                  <a:gd name="connsiteY1-24" fmla="*/ 0 h 285539"/>
                  <a:gd name="connsiteX2-25" fmla="*/ 0 w 184958"/>
                  <a:gd name="connsiteY2-26" fmla="*/ 167697 h 285539"/>
                  <a:gd name="connsiteX3-27" fmla="*/ 66651 w 184958"/>
                  <a:gd name="connsiteY3-28" fmla="*/ 285539 h 285539"/>
                  <a:gd name="connsiteX4-29" fmla="*/ 184958 w 184958"/>
                  <a:gd name="connsiteY4-30" fmla="*/ 49756 h 285539"/>
                  <a:gd name="connsiteX0-31" fmla="*/ 200781 w 200781"/>
                  <a:gd name="connsiteY0-32" fmla="*/ 49756 h 285539"/>
                  <a:gd name="connsiteX1-33" fmla="*/ 84524 w 200781"/>
                  <a:gd name="connsiteY1-34" fmla="*/ 0 h 285539"/>
                  <a:gd name="connsiteX2-35" fmla="*/ 0 w 200781"/>
                  <a:gd name="connsiteY2-36" fmla="*/ 181941 h 285539"/>
                  <a:gd name="connsiteX3-37" fmla="*/ 82474 w 200781"/>
                  <a:gd name="connsiteY3-38" fmla="*/ 285539 h 285539"/>
                  <a:gd name="connsiteX4-39" fmla="*/ 200781 w 200781"/>
                  <a:gd name="connsiteY4-40" fmla="*/ 49756 h 285539"/>
                  <a:gd name="connsiteX0-41" fmla="*/ 207476 w 207476"/>
                  <a:gd name="connsiteY0-42" fmla="*/ 49756 h 285539"/>
                  <a:gd name="connsiteX1-43" fmla="*/ 91219 w 207476"/>
                  <a:gd name="connsiteY1-44" fmla="*/ 0 h 285539"/>
                  <a:gd name="connsiteX2-45" fmla="*/ 0 w 207476"/>
                  <a:gd name="connsiteY2-46" fmla="*/ 199136 h 285539"/>
                  <a:gd name="connsiteX3-47" fmla="*/ 89169 w 207476"/>
                  <a:gd name="connsiteY3-48" fmla="*/ 285539 h 285539"/>
                  <a:gd name="connsiteX4-49" fmla="*/ 207476 w 207476"/>
                  <a:gd name="connsiteY4-50" fmla="*/ 49756 h 285539"/>
                  <a:gd name="connsiteX0-51" fmla="*/ 207476 w 207476"/>
                  <a:gd name="connsiteY0-52" fmla="*/ 49756 h 317649"/>
                  <a:gd name="connsiteX1-53" fmla="*/ 91219 w 207476"/>
                  <a:gd name="connsiteY1-54" fmla="*/ 0 h 317649"/>
                  <a:gd name="connsiteX2-55" fmla="*/ 0 w 207476"/>
                  <a:gd name="connsiteY2-56" fmla="*/ 199136 h 317649"/>
                  <a:gd name="connsiteX3-57" fmla="*/ 86338 w 207476"/>
                  <a:gd name="connsiteY3-58" fmla="*/ 317649 h 317649"/>
                  <a:gd name="connsiteX4-59" fmla="*/ 207476 w 207476"/>
                  <a:gd name="connsiteY4-60" fmla="*/ 49756 h 317649"/>
                  <a:gd name="connsiteX0-61" fmla="*/ 215138 w 215138"/>
                  <a:gd name="connsiteY0-62" fmla="*/ 49756 h 317649"/>
                  <a:gd name="connsiteX1-63" fmla="*/ 98881 w 215138"/>
                  <a:gd name="connsiteY1-64" fmla="*/ 0 h 317649"/>
                  <a:gd name="connsiteX2-65" fmla="*/ 0 w 215138"/>
                  <a:gd name="connsiteY2-66" fmla="*/ 212602 h 317649"/>
                  <a:gd name="connsiteX3-67" fmla="*/ 94000 w 215138"/>
                  <a:gd name="connsiteY3-68" fmla="*/ 317649 h 317649"/>
                  <a:gd name="connsiteX4-69" fmla="*/ 215138 w 215138"/>
                  <a:gd name="connsiteY4-70" fmla="*/ 49756 h 317649"/>
                </a:gdLst>
                <a:ahLst/>
                <a:cxnLst>
                  <a:cxn ang="0">
                    <a:pos x="connsiteX0-1" y="connsiteY0-2"/>
                  </a:cxn>
                  <a:cxn ang="0">
                    <a:pos x="connsiteX1-3" y="connsiteY1-4"/>
                  </a:cxn>
                  <a:cxn ang="0">
                    <a:pos x="connsiteX2-5" y="connsiteY2-6"/>
                  </a:cxn>
                  <a:cxn ang="0">
                    <a:pos x="connsiteX3-7" y="connsiteY3-8"/>
                  </a:cxn>
                  <a:cxn ang="0">
                    <a:pos x="connsiteX4-9" y="connsiteY4-10"/>
                  </a:cxn>
                </a:cxnLst>
                <a:rect l="l" t="t" r="r" b="b"/>
                <a:pathLst>
                  <a:path w="215138" h="317649">
                    <a:moveTo>
                      <a:pt x="215138" y="49756"/>
                    </a:moveTo>
                    <a:lnTo>
                      <a:pt x="98881" y="0"/>
                    </a:lnTo>
                    <a:lnTo>
                      <a:pt x="0" y="212602"/>
                    </a:lnTo>
                    <a:lnTo>
                      <a:pt x="94000" y="317649"/>
                    </a:lnTo>
                    <a:lnTo>
                      <a:pt x="215138" y="49756"/>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IN" sz="1100"/>
              </a:p>
            </xdr:txBody>
          </xdr:sp>
        </xdr:grpSp>
        <xdr:sp macro="" textlink="">
          <xdr:nvSpPr>
            <xdr:cNvPr id="13" name="Freeform 12"/>
            <xdr:cNvSpPr/>
          </xdr:nvSpPr>
          <xdr:spPr>
            <a:xfrm>
              <a:off x="916902" y="71393262"/>
              <a:ext cx="2387633" cy="2426515"/>
            </a:xfrm>
            <a:custGeom>
              <a:avLst/>
              <a:gdLst>
                <a:gd name="connsiteX0" fmla="*/ 2337289 w 2366597"/>
                <a:gd name="connsiteY0" fmla="*/ 2373923 h 2373923"/>
                <a:gd name="connsiteX1" fmla="*/ 2366597 w 2366597"/>
                <a:gd name="connsiteY1" fmla="*/ 2066192 h 2373923"/>
                <a:gd name="connsiteX2" fmla="*/ 2351943 w 2366597"/>
                <a:gd name="connsiteY2" fmla="*/ 1795096 h 2373923"/>
                <a:gd name="connsiteX3" fmla="*/ 2212731 w 2366597"/>
                <a:gd name="connsiteY3" fmla="*/ 1626577 h 2373923"/>
                <a:gd name="connsiteX4" fmla="*/ 1970943 w 2366597"/>
                <a:gd name="connsiteY4" fmla="*/ 1575289 h 2373923"/>
                <a:gd name="connsiteX5" fmla="*/ 1743808 w 2366597"/>
                <a:gd name="connsiteY5" fmla="*/ 1641231 h 2373923"/>
                <a:gd name="connsiteX6" fmla="*/ 1582616 w 2366597"/>
                <a:gd name="connsiteY6" fmla="*/ 1743808 h 2373923"/>
                <a:gd name="connsiteX7" fmla="*/ 1436077 w 2366597"/>
                <a:gd name="connsiteY7" fmla="*/ 1941635 h 2373923"/>
                <a:gd name="connsiteX8" fmla="*/ 1362808 w 2366597"/>
                <a:gd name="connsiteY8" fmla="*/ 2139462 h 2373923"/>
                <a:gd name="connsiteX9" fmla="*/ 1113693 w 2366597"/>
                <a:gd name="connsiteY9" fmla="*/ 2234712 h 2373923"/>
                <a:gd name="connsiteX10" fmla="*/ 842597 w 2366597"/>
                <a:gd name="connsiteY10" fmla="*/ 2117481 h 2373923"/>
                <a:gd name="connsiteX11" fmla="*/ 556847 w 2366597"/>
                <a:gd name="connsiteY11" fmla="*/ 1948962 h 2373923"/>
                <a:gd name="connsiteX12" fmla="*/ 600808 w 2366597"/>
                <a:gd name="connsiteY12" fmla="*/ 1758462 h 2373923"/>
                <a:gd name="connsiteX13" fmla="*/ 534866 w 2366597"/>
                <a:gd name="connsiteY13" fmla="*/ 1494692 h 2373923"/>
                <a:gd name="connsiteX14" fmla="*/ 630116 w 2366597"/>
                <a:gd name="connsiteY14" fmla="*/ 1377462 h 2373923"/>
                <a:gd name="connsiteX15" fmla="*/ 688731 w 2366597"/>
                <a:gd name="connsiteY15" fmla="*/ 1186962 h 2373923"/>
                <a:gd name="connsiteX16" fmla="*/ 754674 w 2366597"/>
                <a:gd name="connsiteY16" fmla="*/ 967154 h 2373923"/>
                <a:gd name="connsiteX17" fmla="*/ 718039 w 2366597"/>
                <a:gd name="connsiteY17" fmla="*/ 732692 h 2373923"/>
                <a:gd name="connsiteX18" fmla="*/ 732693 w 2366597"/>
                <a:gd name="connsiteY18" fmla="*/ 542192 h 2373923"/>
                <a:gd name="connsiteX19" fmla="*/ 703385 w 2366597"/>
                <a:gd name="connsiteY19" fmla="*/ 344366 h 2373923"/>
                <a:gd name="connsiteX20" fmla="*/ 556847 w 2366597"/>
                <a:gd name="connsiteY20" fmla="*/ 307731 h 2373923"/>
                <a:gd name="connsiteX21" fmla="*/ 366347 w 2366597"/>
                <a:gd name="connsiteY21" fmla="*/ 322385 h 2373923"/>
                <a:gd name="connsiteX22" fmla="*/ 241789 w 2366597"/>
                <a:gd name="connsiteY22" fmla="*/ 219808 h 2373923"/>
                <a:gd name="connsiteX23" fmla="*/ 58616 w 2366597"/>
                <a:gd name="connsiteY23" fmla="*/ 51289 h 2373923"/>
                <a:gd name="connsiteX24" fmla="*/ 0 w 2366597"/>
                <a:gd name="connsiteY24" fmla="*/ 0 h 2373923"/>
                <a:gd name="connsiteX0-1" fmla="*/ 2337289 w 2366597"/>
                <a:gd name="connsiteY0-2" fmla="*/ 2373923 h 2373923"/>
                <a:gd name="connsiteX1-3" fmla="*/ 2366597 w 2366597"/>
                <a:gd name="connsiteY1-4" fmla="*/ 2066192 h 2373923"/>
                <a:gd name="connsiteX2-5" fmla="*/ 2351943 w 2366597"/>
                <a:gd name="connsiteY2-6" fmla="*/ 1795096 h 2373923"/>
                <a:gd name="connsiteX3-7" fmla="*/ 2212731 w 2366597"/>
                <a:gd name="connsiteY3-8" fmla="*/ 1626577 h 2373923"/>
                <a:gd name="connsiteX4-9" fmla="*/ 1970943 w 2366597"/>
                <a:gd name="connsiteY4-10" fmla="*/ 1575289 h 2373923"/>
                <a:gd name="connsiteX5-11" fmla="*/ 1762122 w 2366597"/>
                <a:gd name="connsiteY5-12" fmla="*/ 1691615 h 2373923"/>
                <a:gd name="connsiteX6-13" fmla="*/ 1582616 w 2366597"/>
                <a:gd name="connsiteY6-14" fmla="*/ 1743808 h 2373923"/>
                <a:gd name="connsiteX7-15" fmla="*/ 1436077 w 2366597"/>
                <a:gd name="connsiteY7-16" fmla="*/ 1941635 h 2373923"/>
                <a:gd name="connsiteX8-17" fmla="*/ 1362808 w 2366597"/>
                <a:gd name="connsiteY8-18" fmla="*/ 2139462 h 2373923"/>
                <a:gd name="connsiteX9-19" fmla="*/ 1113693 w 2366597"/>
                <a:gd name="connsiteY9-20" fmla="*/ 2234712 h 2373923"/>
                <a:gd name="connsiteX10-21" fmla="*/ 842597 w 2366597"/>
                <a:gd name="connsiteY10-22" fmla="*/ 2117481 h 2373923"/>
                <a:gd name="connsiteX11-23" fmla="*/ 556847 w 2366597"/>
                <a:gd name="connsiteY11-24" fmla="*/ 1948962 h 2373923"/>
                <a:gd name="connsiteX12-25" fmla="*/ 600808 w 2366597"/>
                <a:gd name="connsiteY12-26" fmla="*/ 1758462 h 2373923"/>
                <a:gd name="connsiteX13-27" fmla="*/ 534866 w 2366597"/>
                <a:gd name="connsiteY13-28" fmla="*/ 1494692 h 2373923"/>
                <a:gd name="connsiteX14-29" fmla="*/ 630116 w 2366597"/>
                <a:gd name="connsiteY14-30" fmla="*/ 1377462 h 2373923"/>
                <a:gd name="connsiteX15-31" fmla="*/ 688731 w 2366597"/>
                <a:gd name="connsiteY15-32" fmla="*/ 1186962 h 2373923"/>
                <a:gd name="connsiteX16-33" fmla="*/ 754674 w 2366597"/>
                <a:gd name="connsiteY16-34" fmla="*/ 967154 h 2373923"/>
                <a:gd name="connsiteX17-35" fmla="*/ 718039 w 2366597"/>
                <a:gd name="connsiteY17-36" fmla="*/ 732692 h 2373923"/>
                <a:gd name="connsiteX18-37" fmla="*/ 732693 w 2366597"/>
                <a:gd name="connsiteY18-38" fmla="*/ 542192 h 2373923"/>
                <a:gd name="connsiteX19-39" fmla="*/ 703385 w 2366597"/>
                <a:gd name="connsiteY19-40" fmla="*/ 344366 h 2373923"/>
                <a:gd name="connsiteX20-41" fmla="*/ 556847 w 2366597"/>
                <a:gd name="connsiteY20-42" fmla="*/ 307731 h 2373923"/>
                <a:gd name="connsiteX21-43" fmla="*/ 366347 w 2366597"/>
                <a:gd name="connsiteY21-44" fmla="*/ 322385 h 2373923"/>
                <a:gd name="connsiteX22-45" fmla="*/ 241789 w 2366597"/>
                <a:gd name="connsiteY22-46" fmla="*/ 219808 h 2373923"/>
                <a:gd name="connsiteX23-47" fmla="*/ 58616 w 2366597"/>
                <a:gd name="connsiteY23-48" fmla="*/ 51289 h 2373923"/>
                <a:gd name="connsiteX24-49" fmla="*/ 0 w 2366597"/>
                <a:gd name="connsiteY24-50" fmla="*/ 0 h 2373923"/>
                <a:gd name="connsiteX0-51" fmla="*/ 2337289 w 2366597"/>
                <a:gd name="connsiteY0-52" fmla="*/ 2373923 h 2373923"/>
                <a:gd name="connsiteX1-53" fmla="*/ 2366597 w 2366597"/>
                <a:gd name="connsiteY1-54" fmla="*/ 2066192 h 2373923"/>
                <a:gd name="connsiteX2-55" fmla="*/ 2351943 w 2366597"/>
                <a:gd name="connsiteY2-56" fmla="*/ 1795096 h 2373923"/>
                <a:gd name="connsiteX3-57" fmla="*/ 2212731 w 2366597"/>
                <a:gd name="connsiteY3-58" fmla="*/ 1626577 h 2373923"/>
                <a:gd name="connsiteX4-59" fmla="*/ 1970943 w 2366597"/>
                <a:gd name="connsiteY4-60" fmla="*/ 1575289 h 2373923"/>
                <a:gd name="connsiteX5-61" fmla="*/ 1762122 w 2366597"/>
                <a:gd name="connsiteY5-62" fmla="*/ 1691615 h 2373923"/>
                <a:gd name="connsiteX6-63" fmla="*/ 1582616 w 2366597"/>
                <a:gd name="connsiteY6-64" fmla="*/ 1764800 h 2373923"/>
                <a:gd name="connsiteX7-65" fmla="*/ 1436077 w 2366597"/>
                <a:gd name="connsiteY7-66" fmla="*/ 1941635 h 2373923"/>
                <a:gd name="connsiteX8-67" fmla="*/ 1362808 w 2366597"/>
                <a:gd name="connsiteY8-68" fmla="*/ 2139462 h 2373923"/>
                <a:gd name="connsiteX9-69" fmla="*/ 1113693 w 2366597"/>
                <a:gd name="connsiteY9-70" fmla="*/ 2234712 h 2373923"/>
                <a:gd name="connsiteX10-71" fmla="*/ 842597 w 2366597"/>
                <a:gd name="connsiteY10-72" fmla="*/ 2117481 h 2373923"/>
                <a:gd name="connsiteX11-73" fmla="*/ 556847 w 2366597"/>
                <a:gd name="connsiteY11-74" fmla="*/ 1948962 h 2373923"/>
                <a:gd name="connsiteX12-75" fmla="*/ 600808 w 2366597"/>
                <a:gd name="connsiteY12-76" fmla="*/ 1758462 h 2373923"/>
                <a:gd name="connsiteX13-77" fmla="*/ 534866 w 2366597"/>
                <a:gd name="connsiteY13-78" fmla="*/ 1494692 h 2373923"/>
                <a:gd name="connsiteX14-79" fmla="*/ 630116 w 2366597"/>
                <a:gd name="connsiteY14-80" fmla="*/ 1377462 h 2373923"/>
                <a:gd name="connsiteX15-81" fmla="*/ 688731 w 2366597"/>
                <a:gd name="connsiteY15-82" fmla="*/ 1186962 h 2373923"/>
                <a:gd name="connsiteX16-83" fmla="*/ 754674 w 2366597"/>
                <a:gd name="connsiteY16-84" fmla="*/ 967154 h 2373923"/>
                <a:gd name="connsiteX17-85" fmla="*/ 718039 w 2366597"/>
                <a:gd name="connsiteY17-86" fmla="*/ 732692 h 2373923"/>
                <a:gd name="connsiteX18-87" fmla="*/ 732693 w 2366597"/>
                <a:gd name="connsiteY18-88" fmla="*/ 542192 h 2373923"/>
                <a:gd name="connsiteX19-89" fmla="*/ 703385 w 2366597"/>
                <a:gd name="connsiteY19-90" fmla="*/ 344366 h 2373923"/>
                <a:gd name="connsiteX20-91" fmla="*/ 556847 w 2366597"/>
                <a:gd name="connsiteY20-92" fmla="*/ 307731 h 2373923"/>
                <a:gd name="connsiteX21-93" fmla="*/ 366347 w 2366597"/>
                <a:gd name="connsiteY21-94" fmla="*/ 322385 h 2373923"/>
                <a:gd name="connsiteX22-95" fmla="*/ 241789 w 2366597"/>
                <a:gd name="connsiteY22-96" fmla="*/ 219808 h 2373923"/>
                <a:gd name="connsiteX23-97" fmla="*/ 58616 w 2366597"/>
                <a:gd name="connsiteY23-98" fmla="*/ 51289 h 2373923"/>
                <a:gd name="connsiteX24-99" fmla="*/ 0 w 2366597"/>
                <a:gd name="connsiteY24-100" fmla="*/ 0 h 2373923"/>
                <a:gd name="connsiteX0-101" fmla="*/ 2337289 w 2366597"/>
                <a:gd name="connsiteY0-102" fmla="*/ 2373923 h 2373923"/>
                <a:gd name="connsiteX1-103" fmla="*/ 2366597 w 2366597"/>
                <a:gd name="connsiteY1-104" fmla="*/ 2066192 h 2373923"/>
                <a:gd name="connsiteX2-105" fmla="*/ 2351943 w 2366597"/>
                <a:gd name="connsiteY2-106" fmla="*/ 1795096 h 2373923"/>
                <a:gd name="connsiteX3-107" fmla="*/ 2212731 w 2366597"/>
                <a:gd name="connsiteY3-108" fmla="*/ 1626577 h 2373923"/>
                <a:gd name="connsiteX4-109" fmla="*/ 1970943 w 2366597"/>
                <a:gd name="connsiteY4-110" fmla="*/ 1629871 h 2373923"/>
                <a:gd name="connsiteX5-111" fmla="*/ 1762122 w 2366597"/>
                <a:gd name="connsiteY5-112" fmla="*/ 1691615 h 2373923"/>
                <a:gd name="connsiteX6-113" fmla="*/ 1582616 w 2366597"/>
                <a:gd name="connsiteY6-114" fmla="*/ 1764800 h 2373923"/>
                <a:gd name="connsiteX7-115" fmla="*/ 1436077 w 2366597"/>
                <a:gd name="connsiteY7-116" fmla="*/ 1941635 h 2373923"/>
                <a:gd name="connsiteX8-117" fmla="*/ 1362808 w 2366597"/>
                <a:gd name="connsiteY8-118" fmla="*/ 2139462 h 2373923"/>
                <a:gd name="connsiteX9-119" fmla="*/ 1113693 w 2366597"/>
                <a:gd name="connsiteY9-120" fmla="*/ 2234712 h 2373923"/>
                <a:gd name="connsiteX10-121" fmla="*/ 842597 w 2366597"/>
                <a:gd name="connsiteY10-122" fmla="*/ 2117481 h 2373923"/>
                <a:gd name="connsiteX11-123" fmla="*/ 556847 w 2366597"/>
                <a:gd name="connsiteY11-124" fmla="*/ 1948962 h 2373923"/>
                <a:gd name="connsiteX12-125" fmla="*/ 600808 w 2366597"/>
                <a:gd name="connsiteY12-126" fmla="*/ 1758462 h 2373923"/>
                <a:gd name="connsiteX13-127" fmla="*/ 534866 w 2366597"/>
                <a:gd name="connsiteY13-128" fmla="*/ 1494692 h 2373923"/>
                <a:gd name="connsiteX14-129" fmla="*/ 630116 w 2366597"/>
                <a:gd name="connsiteY14-130" fmla="*/ 1377462 h 2373923"/>
                <a:gd name="connsiteX15-131" fmla="*/ 688731 w 2366597"/>
                <a:gd name="connsiteY15-132" fmla="*/ 1186962 h 2373923"/>
                <a:gd name="connsiteX16-133" fmla="*/ 754674 w 2366597"/>
                <a:gd name="connsiteY16-134" fmla="*/ 967154 h 2373923"/>
                <a:gd name="connsiteX17-135" fmla="*/ 718039 w 2366597"/>
                <a:gd name="connsiteY17-136" fmla="*/ 732692 h 2373923"/>
                <a:gd name="connsiteX18-137" fmla="*/ 732693 w 2366597"/>
                <a:gd name="connsiteY18-138" fmla="*/ 542192 h 2373923"/>
                <a:gd name="connsiteX19-139" fmla="*/ 703385 w 2366597"/>
                <a:gd name="connsiteY19-140" fmla="*/ 344366 h 2373923"/>
                <a:gd name="connsiteX20-141" fmla="*/ 556847 w 2366597"/>
                <a:gd name="connsiteY20-142" fmla="*/ 307731 h 2373923"/>
                <a:gd name="connsiteX21-143" fmla="*/ 366347 w 2366597"/>
                <a:gd name="connsiteY21-144" fmla="*/ 322385 h 2373923"/>
                <a:gd name="connsiteX22-145" fmla="*/ 241789 w 2366597"/>
                <a:gd name="connsiteY22-146" fmla="*/ 219808 h 2373923"/>
                <a:gd name="connsiteX23-147" fmla="*/ 58616 w 2366597"/>
                <a:gd name="connsiteY23-148" fmla="*/ 51289 h 2373923"/>
                <a:gd name="connsiteX24-149" fmla="*/ 0 w 2366597"/>
                <a:gd name="connsiteY24-150" fmla="*/ 0 h 2373923"/>
                <a:gd name="connsiteX0-151" fmla="*/ 2337289 w 2366597"/>
                <a:gd name="connsiteY0-152" fmla="*/ 2373923 h 2373923"/>
                <a:gd name="connsiteX1-153" fmla="*/ 2366597 w 2366597"/>
                <a:gd name="connsiteY1-154" fmla="*/ 2066192 h 2373923"/>
                <a:gd name="connsiteX2-155" fmla="*/ 2351943 w 2366597"/>
                <a:gd name="connsiteY2-156" fmla="*/ 1795096 h 2373923"/>
                <a:gd name="connsiteX3-157" fmla="*/ 2189839 w 2366597"/>
                <a:gd name="connsiteY3-158" fmla="*/ 1655968 h 2373923"/>
                <a:gd name="connsiteX4-159" fmla="*/ 1970943 w 2366597"/>
                <a:gd name="connsiteY4-160" fmla="*/ 1629871 h 2373923"/>
                <a:gd name="connsiteX5-161" fmla="*/ 1762122 w 2366597"/>
                <a:gd name="connsiteY5-162" fmla="*/ 1691615 h 2373923"/>
                <a:gd name="connsiteX6-163" fmla="*/ 1582616 w 2366597"/>
                <a:gd name="connsiteY6-164" fmla="*/ 1764800 h 2373923"/>
                <a:gd name="connsiteX7-165" fmla="*/ 1436077 w 2366597"/>
                <a:gd name="connsiteY7-166" fmla="*/ 1941635 h 2373923"/>
                <a:gd name="connsiteX8-167" fmla="*/ 1362808 w 2366597"/>
                <a:gd name="connsiteY8-168" fmla="*/ 2139462 h 2373923"/>
                <a:gd name="connsiteX9-169" fmla="*/ 1113693 w 2366597"/>
                <a:gd name="connsiteY9-170" fmla="*/ 2234712 h 2373923"/>
                <a:gd name="connsiteX10-171" fmla="*/ 842597 w 2366597"/>
                <a:gd name="connsiteY10-172" fmla="*/ 2117481 h 2373923"/>
                <a:gd name="connsiteX11-173" fmla="*/ 556847 w 2366597"/>
                <a:gd name="connsiteY11-174" fmla="*/ 1948962 h 2373923"/>
                <a:gd name="connsiteX12-175" fmla="*/ 600808 w 2366597"/>
                <a:gd name="connsiteY12-176" fmla="*/ 1758462 h 2373923"/>
                <a:gd name="connsiteX13-177" fmla="*/ 534866 w 2366597"/>
                <a:gd name="connsiteY13-178" fmla="*/ 1494692 h 2373923"/>
                <a:gd name="connsiteX14-179" fmla="*/ 630116 w 2366597"/>
                <a:gd name="connsiteY14-180" fmla="*/ 1377462 h 2373923"/>
                <a:gd name="connsiteX15-181" fmla="*/ 688731 w 2366597"/>
                <a:gd name="connsiteY15-182" fmla="*/ 1186962 h 2373923"/>
                <a:gd name="connsiteX16-183" fmla="*/ 754674 w 2366597"/>
                <a:gd name="connsiteY16-184" fmla="*/ 967154 h 2373923"/>
                <a:gd name="connsiteX17-185" fmla="*/ 718039 w 2366597"/>
                <a:gd name="connsiteY17-186" fmla="*/ 732692 h 2373923"/>
                <a:gd name="connsiteX18-187" fmla="*/ 732693 w 2366597"/>
                <a:gd name="connsiteY18-188" fmla="*/ 542192 h 2373923"/>
                <a:gd name="connsiteX19-189" fmla="*/ 703385 w 2366597"/>
                <a:gd name="connsiteY19-190" fmla="*/ 344366 h 2373923"/>
                <a:gd name="connsiteX20-191" fmla="*/ 556847 w 2366597"/>
                <a:gd name="connsiteY20-192" fmla="*/ 307731 h 2373923"/>
                <a:gd name="connsiteX21-193" fmla="*/ 366347 w 2366597"/>
                <a:gd name="connsiteY21-194" fmla="*/ 322385 h 2373923"/>
                <a:gd name="connsiteX22-195" fmla="*/ 241789 w 2366597"/>
                <a:gd name="connsiteY22-196" fmla="*/ 219808 h 2373923"/>
                <a:gd name="connsiteX23-197" fmla="*/ 58616 w 2366597"/>
                <a:gd name="connsiteY23-198" fmla="*/ 51289 h 2373923"/>
                <a:gd name="connsiteX24-199" fmla="*/ 0 w 2366597"/>
                <a:gd name="connsiteY24-200" fmla="*/ 0 h 2373923"/>
                <a:gd name="connsiteX0-201" fmla="*/ 2337289 w 2366597"/>
                <a:gd name="connsiteY0-202" fmla="*/ 2373923 h 2373923"/>
                <a:gd name="connsiteX1-203" fmla="*/ 2366597 w 2366597"/>
                <a:gd name="connsiteY1-204" fmla="*/ 2066192 h 2373923"/>
                <a:gd name="connsiteX2-205" fmla="*/ 2351943 w 2366597"/>
                <a:gd name="connsiteY2-206" fmla="*/ 1795096 h 2373923"/>
                <a:gd name="connsiteX3-207" fmla="*/ 2189839 w 2366597"/>
                <a:gd name="connsiteY3-208" fmla="*/ 1655968 h 2373923"/>
                <a:gd name="connsiteX4-209" fmla="*/ 1970943 w 2366597"/>
                <a:gd name="connsiteY4-210" fmla="*/ 1629871 h 2373923"/>
                <a:gd name="connsiteX5-211" fmla="*/ 1762122 w 2366597"/>
                <a:gd name="connsiteY5-212" fmla="*/ 1691615 h 2373923"/>
                <a:gd name="connsiteX6-213" fmla="*/ 1582616 w 2366597"/>
                <a:gd name="connsiteY6-214" fmla="*/ 1764800 h 2373923"/>
                <a:gd name="connsiteX7-215" fmla="*/ 1436077 w 2366597"/>
                <a:gd name="connsiteY7-216" fmla="*/ 1941635 h 2373923"/>
                <a:gd name="connsiteX8-217" fmla="*/ 1362808 w 2366597"/>
                <a:gd name="connsiteY8-218" fmla="*/ 2139462 h 2373923"/>
                <a:gd name="connsiteX9-219" fmla="*/ 1113693 w 2366597"/>
                <a:gd name="connsiteY9-220" fmla="*/ 2234712 h 2373923"/>
                <a:gd name="connsiteX10-221" fmla="*/ 842597 w 2366597"/>
                <a:gd name="connsiteY10-222" fmla="*/ 2117481 h 2373923"/>
                <a:gd name="connsiteX11-223" fmla="*/ 598053 w 2366597"/>
                <a:gd name="connsiteY11-224" fmla="*/ 1978352 h 2373923"/>
                <a:gd name="connsiteX12-225" fmla="*/ 600808 w 2366597"/>
                <a:gd name="connsiteY12-226" fmla="*/ 1758462 h 2373923"/>
                <a:gd name="connsiteX13-227" fmla="*/ 534866 w 2366597"/>
                <a:gd name="connsiteY13-228" fmla="*/ 1494692 h 2373923"/>
                <a:gd name="connsiteX14-229" fmla="*/ 630116 w 2366597"/>
                <a:gd name="connsiteY14-230" fmla="*/ 1377462 h 2373923"/>
                <a:gd name="connsiteX15-231" fmla="*/ 688731 w 2366597"/>
                <a:gd name="connsiteY15-232" fmla="*/ 1186962 h 2373923"/>
                <a:gd name="connsiteX16-233" fmla="*/ 754674 w 2366597"/>
                <a:gd name="connsiteY16-234" fmla="*/ 967154 h 2373923"/>
                <a:gd name="connsiteX17-235" fmla="*/ 718039 w 2366597"/>
                <a:gd name="connsiteY17-236" fmla="*/ 732692 h 2373923"/>
                <a:gd name="connsiteX18-237" fmla="*/ 732693 w 2366597"/>
                <a:gd name="connsiteY18-238" fmla="*/ 542192 h 2373923"/>
                <a:gd name="connsiteX19-239" fmla="*/ 703385 w 2366597"/>
                <a:gd name="connsiteY19-240" fmla="*/ 344366 h 2373923"/>
                <a:gd name="connsiteX20-241" fmla="*/ 556847 w 2366597"/>
                <a:gd name="connsiteY20-242" fmla="*/ 307731 h 2373923"/>
                <a:gd name="connsiteX21-243" fmla="*/ 366347 w 2366597"/>
                <a:gd name="connsiteY21-244" fmla="*/ 322385 h 2373923"/>
                <a:gd name="connsiteX22-245" fmla="*/ 241789 w 2366597"/>
                <a:gd name="connsiteY22-246" fmla="*/ 219808 h 2373923"/>
                <a:gd name="connsiteX23-247" fmla="*/ 58616 w 2366597"/>
                <a:gd name="connsiteY23-248" fmla="*/ 51289 h 2373923"/>
                <a:gd name="connsiteX24-249" fmla="*/ 0 w 2366597"/>
                <a:gd name="connsiteY24-250" fmla="*/ 0 h 2373923"/>
                <a:gd name="connsiteX0-251" fmla="*/ 2337289 w 2366597"/>
                <a:gd name="connsiteY0-252" fmla="*/ 2373923 h 2373923"/>
                <a:gd name="connsiteX1-253" fmla="*/ 2366597 w 2366597"/>
                <a:gd name="connsiteY1-254" fmla="*/ 2066192 h 2373923"/>
                <a:gd name="connsiteX2-255" fmla="*/ 2351943 w 2366597"/>
                <a:gd name="connsiteY2-256" fmla="*/ 1795096 h 2373923"/>
                <a:gd name="connsiteX3-257" fmla="*/ 2189839 w 2366597"/>
                <a:gd name="connsiteY3-258" fmla="*/ 1655968 h 2373923"/>
                <a:gd name="connsiteX4-259" fmla="*/ 1970943 w 2366597"/>
                <a:gd name="connsiteY4-260" fmla="*/ 1629871 h 2373923"/>
                <a:gd name="connsiteX5-261" fmla="*/ 1762122 w 2366597"/>
                <a:gd name="connsiteY5-262" fmla="*/ 1691615 h 2373923"/>
                <a:gd name="connsiteX6-263" fmla="*/ 1582616 w 2366597"/>
                <a:gd name="connsiteY6-264" fmla="*/ 1764800 h 2373923"/>
                <a:gd name="connsiteX7-265" fmla="*/ 1436077 w 2366597"/>
                <a:gd name="connsiteY7-266" fmla="*/ 1941635 h 2373923"/>
                <a:gd name="connsiteX8-267" fmla="*/ 1362808 w 2366597"/>
                <a:gd name="connsiteY8-268" fmla="*/ 2139462 h 2373923"/>
                <a:gd name="connsiteX9-269" fmla="*/ 1113693 w 2366597"/>
                <a:gd name="connsiteY9-270" fmla="*/ 2234712 h 2373923"/>
                <a:gd name="connsiteX10-271" fmla="*/ 842597 w 2366597"/>
                <a:gd name="connsiteY10-272" fmla="*/ 2117481 h 2373923"/>
                <a:gd name="connsiteX11-273" fmla="*/ 598053 w 2366597"/>
                <a:gd name="connsiteY11-274" fmla="*/ 1978352 h 2373923"/>
                <a:gd name="connsiteX12-275" fmla="*/ 600808 w 2366597"/>
                <a:gd name="connsiteY12-276" fmla="*/ 1758462 h 2373923"/>
                <a:gd name="connsiteX13-277" fmla="*/ 580650 w 2366597"/>
                <a:gd name="connsiteY13-278" fmla="*/ 1511487 h 2373923"/>
                <a:gd name="connsiteX14-279" fmla="*/ 630116 w 2366597"/>
                <a:gd name="connsiteY14-280" fmla="*/ 1377462 h 2373923"/>
                <a:gd name="connsiteX15-281" fmla="*/ 688731 w 2366597"/>
                <a:gd name="connsiteY15-282" fmla="*/ 1186962 h 2373923"/>
                <a:gd name="connsiteX16-283" fmla="*/ 754674 w 2366597"/>
                <a:gd name="connsiteY16-284" fmla="*/ 967154 h 2373923"/>
                <a:gd name="connsiteX17-285" fmla="*/ 718039 w 2366597"/>
                <a:gd name="connsiteY17-286" fmla="*/ 732692 h 2373923"/>
                <a:gd name="connsiteX18-287" fmla="*/ 732693 w 2366597"/>
                <a:gd name="connsiteY18-288" fmla="*/ 542192 h 2373923"/>
                <a:gd name="connsiteX19-289" fmla="*/ 703385 w 2366597"/>
                <a:gd name="connsiteY19-290" fmla="*/ 344366 h 2373923"/>
                <a:gd name="connsiteX20-291" fmla="*/ 556847 w 2366597"/>
                <a:gd name="connsiteY20-292" fmla="*/ 307731 h 2373923"/>
                <a:gd name="connsiteX21-293" fmla="*/ 366347 w 2366597"/>
                <a:gd name="connsiteY21-294" fmla="*/ 322385 h 2373923"/>
                <a:gd name="connsiteX22-295" fmla="*/ 241789 w 2366597"/>
                <a:gd name="connsiteY22-296" fmla="*/ 219808 h 2373923"/>
                <a:gd name="connsiteX23-297" fmla="*/ 58616 w 2366597"/>
                <a:gd name="connsiteY23-298" fmla="*/ 51289 h 2373923"/>
                <a:gd name="connsiteX24-299" fmla="*/ 0 w 2366597"/>
                <a:gd name="connsiteY24-300" fmla="*/ 0 h 2373923"/>
                <a:gd name="connsiteX0-301" fmla="*/ 2337289 w 2366597"/>
                <a:gd name="connsiteY0-302" fmla="*/ 2373923 h 2373923"/>
                <a:gd name="connsiteX1-303" fmla="*/ 2366597 w 2366597"/>
                <a:gd name="connsiteY1-304" fmla="*/ 2066192 h 2373923"/>
                <a:gd name="connsiteX2-305" fmla="*/ 2351943 w 2366597"/>
                <a:gd name="connsiteY2-306" fmla="*/ 1795096 h 2373923"/>
                <a:gd name="connsiteX3-307" fmla="*/ 2189839 w 2366597"/>
                <a:gd name="connsiteY3-308" fmla="*/ 1655968 h 2373923"/>
                <a:gd name="connsiteX4-309" fmla="*/ 1970943 w 2366597"/>
                <a:gd name="connsiteY4-310" fmla="*/ 1629871 h 2373923"/>
                <a:gd name="connsiteX5-311" fmla="*/ 1762122 w 2366597"/>
                <a:gd name="connsiteY5-312" fmla="*/ 1691615 h 2373923"/>
                <a:gd name="connsiteX6-313" fmla="*/ 1582616 w 2366597"/>
                <a:gd name="connsiteY6-314" fmla="*/ 1764800 h 2373923"/>
                <a:gd name="connsiteX7-315" fmla="*/ 1436077 w 2366597"/>
                <a:gd name="connsiteY7-316" fmla="*/ 1941635 h 2373923"/>
                <a:gd name="connsiteX8-317" fmla="*/ 1362808 w 2366597"/>
                <a:gd name="connsiteY8-318" fmla="*/ 2139462 h 2373923"/>
                <a:gd name="connsiteX9-319" fmla="*/ 1113693 w 2366597"/>
                <a:gd name="connsiteY9-320" fmla="*/ 2234712 h 2373923"/>
                <a:gd name="connsiteX10-321" fmla="*/ 842597 w 2366597"/>
                <a:gd name="connsiteY10-322" fmla="*/ 2117481 h 2373923"/>
                <a:gd name="connsiteX11-323" fmla="*/ 598053 w 2366597"/>
                <a:gd name="connsiteY11-324" fmla="*/ 1978352 h 2373923"/>
                <a:gd name="connsiteX12-325" fmla="*/ 600808 w 2366597"/>
                <a:gd name="connsiteY12-326" fmla="*/ 1758462 h 2373923"/>
                <a:gd name="connsiteX13-327" fmla="*/ 580650 w 2366597"/>
                <a:gd name="connsiteY13-328" fmla="*/ 1511487 h 2373923"/>
                <a:gd name="connsiteX14-329" fmla="*/ 630116 w 2366597"/>
                <a:gd name="connsiteY14-330" fmla="*/ 1377462 h 2373923"/>
                <a:gd name="connsiteX15-331" fmla="*/ 688731 w 2366597"/>
                <a:gd name="connsiteY15-332" fmla="*/ 1186962 h 2373923"/>
                <a:gd name="connsiteX16-333" fmla="*/ 754674 w 2366597"/>
                <a:gd name="connsiteY16-334" fmla="*/ 967154 h 2373923"/>
                <a:gd name="connsiteX17-335" fmla="*/ 718039 w 2366597"/>
                <a:gd name="connsiteY17-336" fmla="*/ 732692 h 2373923"/>
                <a:gd name="connsiteX18-337" fmla="*/ 705223 w 2366597"/>
                <a:gd name="connsiteY18-338" fmla="*/ 546391 h 2373923"/>
                <a:gd name="connsiteX19-339" fmla="*/ 703385 w 2366597"/>
                <a:gd name="connsiteY19-340" fmla="*/ 344366 h 2373923"/>
                <a:gd name="connsiteX20-341" fmla="*/ 556847 w 2366597"/>
                <a:gd name="connsiteY20-342" fmla="*/ 307731 h 2373923"/>
                <a:gd name="connsiteX21-343" fmla="*/ 366347 w 2366597"/>
                <a:gd name="connsiteY21-344" fmla="*/ 322385 h 2373923"/>
                <a:gd name="connsiteX22-345" fmla="*/ 241789 w 2366597"/>
                <a:gd name="connsiteY22-346" fmla="*/ 219808 h 2373923"/>
                <a:gd name="connsiteX23-347" fmla="*/ 58616 w 2366597"/>
                <a:gd name="connsiteY23-348" fmla="*/ 51289 h 2373923"/>
                <a:gd name="connsiteX24-349" fmla="*/ 0 w 2366597"/>
                <a:gd name="connsiteY24-350" fmla="*/ 0 h 2373923"/>
                <a:gd name="connsiteX0-351" fmla="*/ 2337289 w 2366597"/>
                <a:gd name="connsiteY0-352" fmla="*/ 2373923 h 2373923"/>
                <a:gd name="connsiteX1-353" fmla="*/ 2366597 w 2366597"/>
                <a:gd name="connsiteY1-354" fmla="*/ 2066192 h 2373923"/>
                <a:gd name="connsiteX2-355" fmla="*/ 2351943 w 2366597"/>
                <a:gd name="connsiteY2-356" fmla="*/ 1795096 h 2373923"/>
                <a:gd name="connsiteX3-357" fmla="*/ 2189839 w 2366597"/>
                <a:gd name="connsiteY3-358" fmla="*/ 1655968 h 2373923"/>
                <a:gd name="connsiteX4-359" fmla="*/ 1970943 w 2366597"/>
                <a:gd name="connsiteY4-360" fmla="*/ 1629871 h 2373923"/>
                <a:gd name="connsiteX5-361" fmla="*/ 1762122 w 2366597"/>
                <a:gd name="connsiteY5-362" fmla="*/ 1691615 h 2373923"/>
                <a:gd name="connsiteX6-363" fmla="*/ 1582616 w 2366597"/>
                <a:gd name="connsiteY6-364" fmla="*/ 1764800 h 2373923"/>
                <a:gd name="connsiteX7-365" fmla="*/ 1436077 w 2366597"/>
                <a:gd name="connsiteY7-366" fmla="*/ 1941635 h 2373923"/>
                <a:gd name="connsiteX8-367" fmla="*/ 1362808 w 2366597"/>
                <a:gd name="connsiteY8-368" fmla="*/ 2139462 h 2373923"/>
                <a:gd name="connsiteX9-369" fmla="*/ 1113693 w 2366597"/>
                <a:gd name="connsiteY9-370" fmla="*/ 2234712 h 2373923"/>
                <a:gd name="connsiteX10-371" fmla="*/ 842597 w 2366597"/>
                <a:gd name="connsiteY10-372" fmla="*/ 2117481 h 2373923"/>
                <a:gd name="connsiteX11-373" fmla="*/ 598053 w 2366597"/>
                <a:gd name="connsiteY11-374" fmla="*/ 1978352 h 2373923"/>
                <a:gd name="connsiteX12-375" fmla="*/ 600808 w 2366597"/>
                <a:gd name="connsiteY12-376" fmla="*/ 1758462 h 2373923"/>
                <a:gd name="connsiteX13-377" fmla="*/ 580650 w 2366597"/>
                <a:gd name="connsiteY13-378" fmla="*/ 1511487 h 2373923"/>
                <a:gd name="connsiteX14-379" fmla="*/ 630116 w 2366597"/>
                <a:gd name="connsiteY14-380" fmla="*/ 1377462 h 2373923"/>
                <a:gd name="connsiteX15-381" fmla="*/ 688731 w 2366597"/>
                <a:gd name="connsiteY15-382" fmla="*/ 1186962 h 2373923"/>
                <a:gd name="connsiteX16-383" fmla="*/ 754674 w 2366597"/>
                <a:gd name="connsiteY16-384" fmla="*/ 967154 h 2373923"/>
                <a:gd name="connsiteX17-385" fmla="*/ 718039 w 2366597"/>
                <a:gd name="connsiteY17-386" fmla="*/ 732692 h 2373923"/>
                <a:gd name="connsiteX18-387" fmla="*/ 705223 w 2366597"/>
                <a:gd name="connsiteY18-388" fmla="*/ 546391 h 2373923"/>
                <a:gd name="connsiteX19-389" fmla="*/ 675915 w 2366597"/>
                <a:gd name="connsiteY19-390" fmla="*/ 365359 h 2373923"/>
                <a:gd name="connsiteX20-391" fmla="*/ 556847 w 2366597"/>
                <a:gd name="connsiteY20-392" fmla="*/ 307731 h 2373923"/>
                <a:gd name="connsiteX21-393" fmla="*/ 366347 w 2366597"/>
                <a:gd name="connsiteY21-394" fmla="*/ 322385 h 2373923"/>
                <a:gd name="connsiteX22-395" fmla="*/ 241789 w 2366597"/>
                <a:gd name="connsiteY22-396" fmla="*/ 219808 h 2373923"/>
                <a:gd name="connsiteX23-397" fmla="*/ 58616 w 2366597"/>
                <a:gd name="connsiteY23-398" fmla="*/ 51289 h 2373923"/>
                <a:gd name="connsiteX24-399" fmla="*/ 0 w 2366597"/>
                <a:gd name="connsiteY24-400" fmla="*/ 0 h 2373923"/>
              </a:gdLst>
              <a:ahLst/>
              <a:cxnLst>
                <a:cxn ang="0">
                  <a:pos x="connsiteX0-1" y="connsiteY0-2"/>
                </a:cxn>
                <a:cxn ang="0">
                  <a:pos x="connsiteX1-3" y="connsiteY1-4"/>
                </a:cxn>
                <a:cxn ang="0">
                  <a:pos x="connsiteX2-5" y="connsiteY2-6"/>
                </a:cxn>
                <a:cxn ang="0">
                  <a:pos x="connsiteX3-7" y="connsiteY3-8"/>
                </a:cxn>
                <a:cxn ang="0">
                  <a:pos x="connsiteX4-9" y="connsiteY4-10"/>
                </a:cxn>
                <a:cxn ang="0">
                  <a:pos x="connsiteX5-11" y="connsiteY5-12"/>
                </a:cxn>
                <a:cxn ang="0">
                  <a:pos x="connsiteX6-13" y="connsiteY6-14"/>
                </a:cxn>
                <a:cxn ang="0">
                  <a:pos x="connsiteX7-15" y="connsiteY7-16"/>
                </a:cxn>
                <a:cxn ang="0">
                  <a:pos x="connsiteX8-17" y="connsiteY8-18"/>
                </a:cxn>
                <a:cxn ang="0">
                  <a:pos x="connsiteX9-19" y="connsiteY9-20"/>
                </a:cxn>
                <a:cxn ang="0">
                  <a:pos x="connsiteX10-21" y="connsiteY10-22"/>
                </a:cxn>
                <a:cxn ang="0">
                  <a:pos x="connsiteX11-23" y="connsiteY11-24"/>
                </a:cxn>
                <a:cxn ang="0">
                  <a:pos x="connsiteX12-25" y="connsiteY12-26"/>
                </a:cxn>
                <a:cxn ang="0">
                  <a:pos x="connsiteX13-27" y="connsiteY13-28"/>
                </a:cxn>
                <a:cxn ang="0">
                  <a:pos x="connsiteX14-29" y="connsiteY14-30"/>
                </a:cxn>
                <a:cxn ang="0">
                  <a:pos x="connsiteX15-31" y="connsiteY15-32"/>
                </a:cxn>
                <a:cxn ang="0">
                  <a:pos x="connsiteX16-33" y="connsiteY16-34"/>
                </a:cxn>
                <a:cxn ang="0">
                  <a:pos x="connsiteX17-35" y="connsiteY17-36"/>
                </a:cxn>
                <a:cxn ang="0">
                  <a:pos x="connsiteX18-37" y="connsiteY18-38"/>
                </a:cxn>
                <a:cxn ang="0">
                  <a:pos x="connsiteX19-39" y="connsiteY19-40"/>
                </a:cxn>
                <a:cxn ang="0">
                  <a:pos x="connsiteX20-41" y="connsiteY20-42"/>
                </a:cxn>
                <a:cxn ang="0">
                  <a:pos x="connsiteX21-43" y="connsiteY21-44"/>
                </a:cxn>
                <a:cxn ang="0">
                  <a:pos x="connsiteX22-45" y="connsiteY22-46"/>
                </a:cxn>
                <a:cxn ang="0">
                  <a:pos x="connsiteX23-47" y="connsiteY23-48"/>
                </a:cxn>
                <a:cxn ang="0">
                  <a:pos x="connsiteX24-49" y="connsiteY24-50"/>
                </a:cxn>
              </a:cxnLst>
              <a:rect l="l" t="t" r="r" b="b"/>
              <a:pathLst>
                <a:path w="2366597" h="2373923">
                  <a:moveTo>
                    <a:pt x="2337289" y="2373923"/>
                  </a:moveTo>
                  <a:lnTo>
                    <a:pt x="2366597" y="2066192"/>
                  </a:lnTo>
                  <a:lnTo>
                    <a:pt x="2351943" y="1795096"/>
                  </a:lnTo>
                  <a:lnTo>
                    <a:pt x="2189839" y="1655968"/>
                  </a:lnTo>
                  <a:lnTo>
                    <a:pt x="1970943" y="1629871"/>
                  </a:lnTo>
                  <a:lnTo>
                    <a:pt x="1762122" y="1691615"/>
                  </a:lnTo>
                  <a:lnTo>
                    <a:pt x="1582616" y="1764800"/>
                  </a:lnTo>
                  <a:lnTo>
                    <a:pt x="1436077" y="1941635"/>
                  </a:lnTo>
                  <a:lnTo>
                    <a:pt x="1362808" y="2139462"/>
                  </a:lnTo>
                  <a:lnTo>
                    <a:pt x="1113693" y="2234712"/>
                  </a:lnTo>
                  <a:lnTo>
                    <a:pt x="842597" y="2117481"/>
                  </a:lnTo>
                  <a:lnTo>
                    <a:pt x="598053" y="1978352"/>
                  </a:lnTo>
                  <a:cubicBezTo>
                    <a:pt x="598971" y="1905055"/>
                    <a:pt x="599890" y="1831759"/>
                    <a:pt x="600808" y="1758462"/>
                  </a:cubicBezTo>
                  <a:lnTo>
                    <a:pt x="580650" y="1511487"/>
                  </a:lnTo>
                  <a:lnTo>
                    <a:pt x="630116" y="1377462"/>
                  </a:lnTo>
                  <a:lnTo>
                    <a:pt x="688731" y="1186962"/>
                  </a:lnTo>
                  <a:lnTo>
                    <a:pt x="754674" y="967154"/>
                  </a:lnTo>
                  <a:lnTo>
                    <a:pt x="718039" y="732692"/>
                  </a:lnTo>
                  <a:lnTo>
                    <a:pt x="705223" y="546391"/>
                  </a:lnTo>
                  <a:cubicBezTo>
                    <a:pt x="704610" y="479049"/>
                    <a:pt x="676528" y="432701"/>
                    <a:pt x="675915" y="365359"/>
                  </a:cubicBezTo>
                  <a:lnTo>
                    <a:pt x="556847" y="307731"/>
                  </a:lnTo>
                  <a:lnTo>
                    <a:pt x="366347" y="322385"/>
                  </a:lnTo>
                  <a:lnTo>
                    <a:pt x="241789" y="219808"/>
                  </a:lnTo>
                  <a:lnTo>
                    <a:pt x="58616" y="51289"/>
                  </a:lnTo>
                  <a:lnTo>
                    <a:pt x="0" y="0"/>
                  </a:lnTo>
                </a:path>
              </a:pathLst>
            </a:cu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IN" sz="1100"/>
            </a:p>
          </xdr:txBody>
        </xdr:sp>
        <xdr:sp macro="" textlink="">
          <xdr:nvSpPr>
            <xdr:cNvPr id="14" name="Freeform 13"/>
            <xdr:cNvSpPr/>
          </xdr:nvSpPr>
          <xdr:spPr>
            <a:xfrm>
              <a:off x="912331" y="71530520"/>
              <a:ext cx="2319059" cy="2316094"/>
            </a:xfrm>
            <a:custGeom>
              <a:avLst/>
              <a:gdLst>
                <a:gd name="connsiteX0" fmla="*/ 2280047 w 2363391"/>
                <a:gd name="connsiteY0" fmla="*/ 2178844 h 2178844"/>
                <a:gd name="connsiteX1" fmla="*/ 2363391 w 2363391"/>
                <a:gd name="connsiteY1" fmla="*/ 1928813 h 2178844"/>
                <a:gd name="connsiteX2" fmla="*/ 2303860 w 2363391"/>
                <a:gd name="connsiteY2" fmla="*/ 1637110 h 2178844"/>
                <a:gd name="connsiteX3" fmla="*/ 2214563 w 2363391"/>
                <a:gd name="connsiteY3" fmla="*/ 1559719 h 2178844"/>
                <a:gd name="connsiteX4" fmla="*/ 1905000 w 2363391"/>
                <a:gd name="connsiteY4" fmla="*/ 1571625 h 2178844"/>
                <a:gd name="connsiteX5" fmla="*/ 1678782 w 2363391"/>
                <a:gd name="connsiteY5" fmla="*/ 1654969 h 2178844"/>
                <a:gd name="connsiteX6" fmla="*/ 1529953 w 2363391"/>
                <a:gd name="connsiteY6" fmla="*/ 1875235 h 2178844"/>
                <a:gd name="connsiteX7" fmla="*/ 1464469 w 2363391"/>
                <a:gd name="connsiteY7" fmla="*/ 2065735 h 2178844"/>
                <a:gd name="connsiteX8" fmla="*/ 1148953 w 2363391"/>
                <a:gd name="connsiteY8" fmla="*/ 2137172 h 2178844"/>
                <a:gd name="connsiteX9" fmla="*/ 910828 w 2363391"/>
                <a:gd name="connsiteY9" fmla="*/ 2041922 h 2178844"/>
                <a:gd name="connsiteX10" fmla="*/ 732235 w 2363391"/>
                <a:gd name="connsiteY10" fmla="*/ 2018110 h 2178844"/>
                <a:gd name="connsiteX11" fmla="*/ 595313 w 2363391"/>
                <a:gd name="connsiteY11" fmla="*/ 1946672 h 2178844"/>
                <a:gd name="connsiteX12" fmla="*/ 541735 w 2363391"/>
                <a:gd name="connsiteY12" fmla="*/ 1672828 h 2178844"/>
                <a:gd name="connsiteX13" fmla="*/ 559594 w 2363391"/>
                <a:gd name="connsiteY13" fmla="*/ 1482328 h 2178844"/>
                <a:gd name="connsiteX14" fmla="*/ 494110 w 2363391"/>
                <a:gd name="connsiteY14" fmla="*/ 1244203 h 2178844"/>
                <a:gd name="connsiteX15" fmla="*/ 529828 w 2363391"/>
                <a:gd name="connsiteY15" fmla="*/ 1053703 h 2178844"/>
                <a:gd name="connsiteX16" fmla="*/ 636985 w 2363391"/>
                <a:gd name="connsiteY16" fmla="*/ 881063 h 2178844"/>
                <a:gd name="connsiteX17" fmla="*/ 720328 w 2363391"/>
                <a:gd name="connsiteY17" fmla="*/ 708422 h 2178844"/>
                <a:gd name="connsiteX18" fmla="*/ 666750 w 2363391"/>
                <a:gd name="connsiteY18" fmla="*/ 404813 h 2178844"/>
                <a:gd name="connsiteX19" fmla="*/ 613172 w 2363391"/>
                <a:gd name="connsiteY19" fmla="*/ 226219 h 2178844"/>
                <a:gd name="connsiteX20" fmla="*/ 428625 w 2363391"/>
                <a:gd name="connsiteY20" fmla="*/ 178594 h 2178844"/>
                <a:gd name="connsiteX21" fmla="*/ 166688 w 2363391"/>
                <a:gd name="connsiteY21" fmla="*/ 83344 h 2178844"/>
                <a:gd name="connsiteX22" fmla="*/ 0 w 2363391"/>
                <a:gd name="connsiteY22" fmla="*/ 0 h 2178844"/>
                <a:gd name="connsiteX0-1" fmla="*/ 2241994 w 2325338"/>
                <a:gd name="connsiteY0-2" fmla="*/ 2282259 h 2282259"/>
                <a:gd name="connsiteX1-3" fmla="*/ 2325338 w 2325338"/>
                <a:gd name="connsiteY1-4" fmla="*/ 2032228 h 2282259"/>
                <a:gd name="connsiteX2-5" fmla="*/ 2265807 w 2325338"/>
                <a:gd name="connsiteY2-6" fmla="*/ 1740525 h 2282259"/>
                <a:gd name="connsiteX3-7" fmla="*/ 2176510 w 2325338"/>
                <a:gd name="connsiteY3-8" fmla="*/ 1663134 h 2282259"/>
                <a:gd name="connsiteX4-9" fmla="*/ 1866947 w 2325338"/>
                <a:gd name="connsiteY4-10" fmla="*/ 1675040 h 2282259"/>
                <a:gd name="connsiteX5-11" fmla="*/ 1640729 w 2325338"/>
                <a:gd name="connsiteY5-12" fmla="*/ 1758384 h 2282259"/>
                <a:gd name="connsiteX6-13" fmla="*/ 1491900 w 2325338"/>
                <a:gd name="connsiteY6-14" fmla="*/ 1978650 h 2282259"/>
                <a:gd name="connsiteX7-15" fmla="*/ 1426416 w 2325338"/>
                <a:gd name="connsiteY7-16" fmla="*/ 2169150 h 2282259"/>
                <a:gd name="connsiteX8-17" fmla="*/ 1110900 w 2325338"/>
                <a:gd name="connsiteY8-18" fmla="*/ 2240587 h 2282259"/>
                <a:gd name="connsiteX9-19" fmla="*/ 872775 w 2325338"/>
                <a:gd name="connsiteY9-20" fmla="*/ 2145337 h 2282259"/>
                <a:gd name="connsiteX10-21" fmla="*/ 694182 w 2325338"/>
                <a:gd name="connsiteY10-22" fmla="*/ 2121525 h 2282259"/>
                <a:gd name="connsiteX11-23" fmla="*/ 557260 w 2325338"/>
                <a:gd name="connsiteY11-24" fmla="*/ 2050087 h 2282259"/>
                <a:gd name="connsiteX12-25" fmla="*/ 503682 w 2325338"/>
                <a:gd name="connsiteY12-26" fmla="*/ 1776243 h 2282259"/>
                <a:gd name="connsiteX13-27" fmla="*/ 521541 w 2325338"/>
                <a:gd name="connsiteY13-28" fmla="*/ 1585743 h 2282259"/>
                <a:gd name="connsiteX14-29" fmla="*/ 456057 w 2325338"/>
                <a:gd name="connsiteY14-30" fmla="*/ 1347618 h 2282259"/>
                <a:gd name="connsiteX15-31" fmla="*/ 491775 w 2325338"/>
                <a:gd name="connsiteY15-32" fmla="*/ 1157118 h 2282259"/>
                <a:gd name="connsiteX16-33" fmla="*/ 598932 w 2325338"/>
                <a:gd name="connsiteY16-34" fmla="*/ 984478 h 2282259"/>
                <a:gd name="connsiteX17-35" fmla="*/ 682275 w 2325338"/>
                <a:gd name="connsiteY17-36" fmla="*/ 811837 h 2282259"/>
                <a:gd name="connsiteX18-37" fmla="*/ 628697 w 2325338"/>
                <a:gd name="connsiteY18-38" fmla="*/ 508228 h 2282259"/>
                <a:gd name="connsiteX19-39" fmla="*/ 575119 w 2325338"/>
                <a:gd name="connsiteY19-40" fmla="*/ 329634 h 2282259"/>
                <a:gd name="connsiteX20-41" fmla="*/ 390572 w 2325338"/>
                <a:gd name="connsiteY20-42" fmla="*/ 282009 h 2282259"/>
                <a:gd name="connsiteX21-43" fmla="*/ 128635 w 2325338"/>
                <a:gd name="connsiteY21-44" fmla="*/ 186759 h 2282259"/>
                <a:gd name="connsiteX22-45" fmla="*/ 0 w 2325338"/>
                <a:gd name="connsiteY22-46" fmla="*/ 0 h 2282259"/>
                <a:gd name="connsiteX0-47" fmla="*/ 2285965 w 2325338"/>
                <a:gd name="connsiteY0-48" fmla="*/ 2340875 h 2340875"/>
                <a:gd name="connsiteX1-49" fmla="*/ 2325338 w 2325338"/>
                <a:gd name="connsiteY1-50" fmla="*/ 2032228 h 2340875"/>
                <a:gd name="connsiteX2-51" fmla="*/ 2265807 w 2325338"/>
                <a:gd name="connsiteY2-52" fmla="*/ 1740525 h 2340875"/>
                <a:gd name="connsiteX3-53" fmla="*/ 2176510 w 2325338"/>
                <a:gd name="connsiteY3-54" fmla="*/ 1663134 h 2340875"/>
                <a:gd name="connsiteX4-55" fmla="*/ 1866947 w 2325338"/>
                <a:gd name="connsiteY4-56" fmla="*/ 1675040 h 2340875"/>
                <a:gd name="connsiteX5-57" fmla="*/ 1640729 w 2325338"/>
                <a:gd name="connsiteY5-58" fmla="*/ 1758384 h 2340875"/>
                <a:gd name="connsiteX6-59" fmla="*/ 1491900 w 2325338"/>
                <a:gd name="connsiteY6-60" fmla="*/ 1978650 h 2340875"/>
                <a:gd name="connsiteX7-61" fmla="*/ 1426416 w 2325338"/>
                <a:gd name="connsiteY7-62" fmla="*/ 2169150 h 2340875"/>
                <a:gd name="connsiteX8-63" fmla="*/ 1110900 w 2325338"/>
                <a:gd name="connsiteY8-64" fmla="*/ 2240587 h 2340875"/>
                <a:gd name="connsiteX9-65" fmla="*/ 872775 w 2325338"/>
                <a:gd name="connsiteY9-66" fmla="*/ 2145337 h 2340875"/>
                <a:gd name="connsiteX10-67" fmla="*/ 694182 w 2325338"/>
                <a:gd name="connsiteY10-68" fmla="*/ 2121525 h 2340875"/>
                <a:gd name="connsiteX11-69" fmla="*/ 557260 w 2325338"/>
                <a:gd name="connsiteY11-70" fmla="*/ 2050087 h 2340875"/>
                <a:gd name="connsiteX12-71" fmla="*/ 503682 w 2325338"/>
                <a:gd name="connsiteY12-72" fmla="*/ 1776243 h 2340875"/>
                <a:gd name="connsiteX13-73" fmla="*/ 521541 w 2325338"/>
                <a:gd name="connsiteY13-74" fmla="*/ 1585743 h 2340875"/>
                <a:gd name="connsiteX14-75" fmla="*/ 456057 w 2325338"/>
                <a:gd name="connsiteY14-76" fmla="*/ 1347618 h 2340875"/>
                <a:gd name="connsiteX15-77" fmla="*/ 491775 w 2325338"/>
                <a:gd name="connsiteY15-78" fmla="*/ 1157118 h 2340875"/>
                <a:gd name="connsiteX16-79" fmla="*/ 598932 w 2325338"/>
                <a:gd name="connsiteY16-80" fmla="*/ 984478 h 2340875"/>
                <a:gd name="connsiteX17-81" fmla="*/ 682275 w 2325338"/>
                <a:gd name="connsiteY17-82" fmla="*/ 811837 h 2340875"/>
                <a:gd name="connsiteX18-83" fmla="*/ 628697 w 2325338"/>
                <a:gd name="connsiteY18-84" fmla="*/ 508228 h 2340875"/>
                <a:gd name="connsiteX19-85" fmla="*/ 575119 w 2325338"/>
                <a:gd name="connsiteY19-86" fmla="*/ 329634 h 2340875"/>
                <a:gd name="connsiteX20-87" fmla="*/ 390572 w 2325338"/>
                <a:gd name="connsiteY20-88" fmla="*/ 282009 h 2340875"/>
                <a:gd name="connsiteX21-89" fmla="*/ 128635 w 2325338"/>
                <a:gd name="connsiteY21-90" fmla="*/ 186759 h 2340875"/>
                <a:gd name="connsiteX22-91" fmla="*/ 0 w 2325338"/>
                <a:gd name="connsiteY22-92" fmla="*/ 0 h 2340875"/>
              </a:gdLst>
              <a:ahLst/>
              <a:cxnLst>
                <a:cxn ang="0">
                  <a:pos x="connsiteX0-1" y="connsiteY0-2"/>
                </a:cxn>
                <a:cxn ang="0">
                  <a:pos x="connsiteX1-3" y="connsiteY1-4"/>
                </a:cxn>
                <a:cxn ang="0">
                  <a:pos x="connsiteX2-5" y="connsiteY2-6"/>
                </a:cxn>
                <a:cxn ang="0">
                  <a:pos x="connsiteX3-7" y="connsiteY3-8"/>
                </a:cxn>
                <a:cxn ang="0">
                  <a:pos x="connsiteX4-9" y="connsiteY4-10"/>
                </a:cxn>
                <a:cxn ang="0">
                  <a:pos x="connsiteX5-11" y="connsiteY5-12"/>
                </a:cxn>
                <a:cxn ang="0">
                  <a:pos x="connsiteX6-13" y="connsiteY6-14"/>
                </a:cxn>
                <a:cxn ang="0">
                  <a:pos x="connsiteX7-15" y="connsiteY7-16"/>
                </a:cxn>
                <a:cxn ang="0">
                  <a:pos x="connsiteX8-17" y="connsiteY8-18"/>
                </a:cxn>
                <a:cxn ang="0">
                  <a:pos x="connsiteX9-19" y="connsiteY9-20"/>
                </a:cxn>
                <a:cxn ang="0">
                  <a:pos x="connsiteX10-21" y="connsiteY10-22"/>
                </a:cxn>
                <a:cxn ang="0">
                  <a:pos x="connsiteX11-23" y="connsiteY11-24"/>
                </a:cxn>
                <a:cxn ang="0">
                  <a:pos x="connsiteX12-25" y="connsiteY12-26"/>
                </a:cxn>
                <a:cxn ang="0">
                  <a:pos x="connsiteX13-27" y="connsiteY13-28"/>
                </a:cxn>
                <a:cxn ang="0">
                  <a:pos x="connsiteX14-29" y="connsiteY14-30"/>
                </a:cxn>
                <a:cxn ang="0">
                  <a:pos x="connsiteX15-31" y="connsiteY15-32"/>
                </a:cxn>
                <a:cxn ang="0">
                  <a:pos x="connsiteX16-33" y="connsiteY16-34"/>
                </a:cxn>
                <a:cxn ang="0">
                  <a:pos x="connsiteX17-35" y="connsiteY17-36"/>
                </a:cxn>
                <a:cxn ang="0">
                  <a:pos x="connsiteX18-37" y="connsiteY18-38"/>
                </a:cxn>
                <a:cxn ang="0">
                  <a:pos x="connsiteX19-39" y="connsiteY19-40"/>
                </a:cxn>
                <a:cxn ang="0">
                  <a:pos x="connsiteX20-41" y="connsiteY20-42"/>
                </a:cxn>
                <a:cxn ang="0">
                  <a:pos x="connsiteX21-43" y="connsiteY21-44"/>
                </a:cxn>
                <a:cxn ang="0">
                  <a:pos x="connsiteX22-45" y="connsiteY22-46"/>
                </a:cxn>
              </a:cxnLst>
              <a:rect l="l" t="t" r="r" b="b"/>
              <a:pathLst>
                <a:path w="2325338" h="2340875">
                  <a:moveTo>
                    <a:pt x="2285965" y="2340875"/>
                  </a:moveTo>
                  <a:lnTo>
                    <a:pt x="2325338" y="2032228"/>
                  </a:lnTo>
                  <a:lnTo>
                    <a:pt x="2265807" y="1740525"/>
                  </a:lnTo>
                  <a:lnTo>
                    <a:pt x="2176510" y="1663134"/>
                  </a:lnTo>
                  <a:lnTo>
                    <a:pt x="1866947" y="1675040"/>
                  </a:lnTo>
                  <a:lnTo>
                    <a:pt x="1640729" y="1758384"/>
                  </a:lnTo>
                  <a:lnTo>
                    <a:pt x="1491900" y="1978650"/>
                  </a:lnTo>
                  <a:lnTo>
                    <a:pt x="1426416" y="2169150"/>
                  </a:lnTo>
                  <a:lnTo>
                    <a:pt x="1110900" y="2240587"/>
                  </a:lnTo>
                  <a:lnTo>
                    <a:pt x="872775" y="2145337"/>
                  </a:lnTo>
                  <a:lnTo>
                    <a:pt x="694182" y="2121525"/>
                  </a:lnTo>
                  <a:lnTo>
                    <a:pt x="557260" y="2050087"/>
                  </a:lnTo>
                  <a:lnTo>
                    <a:pt x="503682" y="1776243"/>
                  </a:lnTo>
                  <a:lnTo>
                    <a:pt x="521541" y="1585743"/>
                  </a:lnTo>
                  <a:lnTo>
                    <a:pt x="456057" y="1347618"/>
                  </a:lnTo>
                  <a:lnTo>
                    <a:pt x="491775" y="1157118"/>
                  </a:lnTo>
                  <a:lnTo>
                    <a:pt x="598932" y="984478"/>
                  </a:lnTo>
                  <a:lnTo>
                    <a:pt x="682275" y="811837"/>
                  </a:lnTo>
                  <a:lnTo>
                    <a:pt x="628697" y="508228"/>
                  </a:lnTo>
                  <a:lnTo>
                    <a:pt x="575119" y="329634"/>
                  </a:lnTo>
                  <a:lnTo>
                    <a:pt x="390572" y="282009"/>
                  </a:lnTo>
                  <a:lnTo>
                    <a:pt x="128635" y="186759"/>
                  </a:lnTo>
                  <a:lnTo>
                    <a:pt x="0" y="0"/>
                  </a:lnTo>
                </a:path>
              </a:pathLst>
            </a:cu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IN" sz="1100"/>
            </a:p>
          </xdr:txBody>
        </xdr:sp>
      </xdr:grpSp>
      <xdr:sp macro="" textlink="">
        <xdr:nvSpPr>
          <xdr:cNvPr id="15" name="TextBox 12"/>
          <xdr:cNvSpPr txBox="1"/>
        </xdr:nvSpPr>
        <xdr:spPr>
          <a:xfrm rot="1172219">
            <a:off x="1323975" y="73342500"/>
            <a:ext cx="1166970" cy="197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FFC000"/>
                </a:solidFill>
                <a:latin typeface="Times New Roman" panose="02020603050405020304" pitchFamily="18" charset="0"/>
                <a:cs typeface="Times New Roman" panose="02020603050405020304" pitchFamily="18" charset="0"/>
              </a:rPr>
              <a:t>Nala</a:t>
            </a:r>
          </a:p>
        </xdr:txBody>
      </xdr:sp>
      <xdr:sp macro="" textlink="">
        <xdr:nvSpPr>
          <xdr:cNvPr id="16" name="TextBox 12"/>
          <xdr:cNvSpPr txBox="1"/>
        </xdr:nvSpPr>
        <xdr:spPr>
          <a:xfrm rot="3458942">
            <a:off x="2296170" y="72206951"/>
            <a:ext cx="1574923" cy="666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Kendale Emeralds Phase III</a:t>
            </a:r>
          </a:p>
        </xdr:txBody>
      </xdr:sp>
    </xdr:grpSp>
    <xdr:clientData/>
  </xdr:twoCellAnchor>
  <xdr:twoCellAnchor>
    <xdr:from>
      <xdr:col>1</xdr:col>
      <xdr:colOff>161925</xdr:colOff>
      <xdr:row>291</xdr:row>
      <xdr:rowOff>63500</xdr:rowOff>
    </xdr:from>
    <xdr:to>
      <xdr:col>7</xdr:col>
      <xdr:colOff>130810</xdr:colOff>
      <xdr:row>309</xdr:row>
      <xdr:rowOff>48895</xdr:rowOff>
    </xdr:to>
    <xdr:pic>
      <xdr:nvPicPr>
        <xdr:cNvPr id="17" name="Picture 2"/>
        <xdr:cNvPicPr>
          <a:picLocks noChangeAspect="1" noChangeArrowheads="1"/>
        </xdr:cNvPicPr>
      </xdr:nvPicPr>
      <xdr:blipFill>
        <a:blip xmlns:r="http://schemas.openxmlformats.org/officeDocument/2006/relationships" r:embed="rId2"/>
        <a:srcRect/>
        <a:stretch>
          <a:fillRect/>
        </a:stretch>
      </xdr:blipFill>
      <xdr:spPr bwMode="auto">
        <a:xfrm>
          <a:off x="923925" y="50983515"/>
          <a:ext cx="4788535" cy="3585845"/>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xdr:from>
      <xdr:col>1</xdr:col>
      <xdr:colOff>474980</xdr:colOff>
      <xdr:row>248</xdr:row>
      <xdr:rowOff>7620</xdr:rowOff>
    </xdr:from>
    <xdr:to>
      <xdr:col>6</xdr:col>
      <xdr:colOff>652780</xdr:colOff>
      <xdr:row>267</xdr:row>
      <xdr:rowOff>33020</xdr:rowOff>
    </xdr:to>
    <xdr:grpSp>
      <xdr:nvGrpSpPr>
        <xdr:cNvPr id="19" name="Group 18"/>
        <xdr:cNvGrpSpPr/>
      </xdr:nvGrpSpPr>
      <xdr:grpSpPr>
        <a:xfrm>
          <a:off x="1275080" y="40673020"/>
          <a:ext cx="4464050" cy="3765550"/>
          <a:chOff x="1933" y="67025"/>
          <a:chExt cx="6712" cy="6100"/>
        </a:xfrm>
      </xdr:grpSpPr>
      <xdr:pic>
        <xdr:nvPicPr>
          <xdr:cNvPr id="7" name="Picture 9"/>
          <xdr:cNvPicPr>
            <a:picLocks noChangeAspect="1" noChangeArrowheads="1"/>
          </xdr:cNvPicPr>
        </xdr:nvPicPr>
        <xdr:blipFill>
          <a:blip xmlns:r="http://schemas.openxmlformats.org/officeDocument/2006/relationships" r:embed="rId3"/>
          <a:srcRect/>
          <a:stretch>
            <a:fillRect/>
          </a:stretch>
        </xdr:blipFill>
        <xdr:spPr bwMode="auto">
          <a:xfrm>
            <a:off x="1933" y="67025"/>
            <a:ext cx="6713" cy="6100"/>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18" name="Rectangles 17"/>
          <xdr:cNvSpPr/>
        </xdr:nvSpPr>
        <xdr:spPr>
          <a:xfrm rot="19560000">
            <a:off x="3650" y="70402"/>
            <a:ext cx="423" cy="426"/>
          </a:xfrm>
          <a:prstGeom prst="rect">
            <a:avLst/>
          </a:prstGeom>
          <a:noFill/>
          <a:ln>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en-US" sz="1100"/>
          </a:p>
        </xdr:txBody>
      </xdr:sp>
    </xdr:grpSp>
    <xdr:clientData/>
  </xdr:twoCellAnchor>
  <xdr:twoCellAnchor editAs="oneCell">
    <xdr:from>
      <xdr:col>8</xdr:col>
      <xdr:colOff>457200</xdr:colOff>
      <xdr:row>15</xdr:row>
      <xdr:rowOff>438150</xdr:rowOff>
    </xdr:from>
    <xdr:to>
      <xdr:col>14</xdr:col>
      <xdr:colOff>532743</xdr:colOff>
      <xdr:row>19</xdr:row>
      <xdr:rowOff>139370</xdr:rowOff>
    </xdr:to>
    <xdr:pic>
      <xdr:nvPicPr>
        <xdr:cNvPr id="5" name="Picture 4"/>
        <xdr:cNvPicPr>
          <a:picLocks noChangeAspect="1"/>
        </xdr:cNvPicPr>
      </xdr:nvPicPr>
      <xdr:blipFill>
        <a:blip xmlns:r="http://schemas.openxmlformats.org/officeDocument/2006/relationships" r:embed="rId4"/>
        <a:stretch>
          <a:fillRect/>
        </a:stretch>
      </xdr:blipFill>
      <xdr:spPr>
        <a:xfrm>
          <a:off x="6772275" y="3819525"/>
          <a:ext cx="5257143" cy="1142857"/>
        </a:xfrm>
        <a:prstGeom prst="rect">
          <a:avLst/>
        </a:prstGeom>
      </xdr:spPr>
    </xdr:pic>
    <xdr:clientData/>
  </xdr:twoCellAnchor>
  <xdr:twoCellAnchor editAs="oneCell">
    <xdr:from>
      <xdr:col>8</xdr:col>
      <xdr:colOff>247650</xdr:colOff>
      <xdr:row>52</xdr:row>
      <xdr:rowOff>133350</xdr:rowOff>
    </xdr:from>
    <xdr:to>
      <xdr:col>9</xdr:col>
      <xdr:colOff>380838</xdr:colOff>
      <xdr:row>64</xdr:row>
      <xdr:rowOff>37961</xdr:rowOff>
    </xdr:to>
    <xdr:pic>
      <xdr:nvPicPr>
        <xdr:cNvPr id="20" name="Picture 19"/>
        <xdr:cNvPicPr>
          <a:picLocks noChangeAspect="1"/>
        </xdr:cNvPicPr>
      </xdr:nvPicPr>
      <xdr:blipFill>
        <a:blip xmlns:r="http://schemas.openxmlformats.org/officeDocument/2006/relationships" r:embed="rId5"/>
        <a:stretch>
          <a:fillRect/>
        </a:stretch>
      </xdr:blipFill>
      <xdr:spPr>
        <a:xfrm>
          <a:off x="6562725" y="11991975"/>
          <a:ext cx="1295238" cy="1104762"/>
        </a:xfrm>
        <a:prstGeom prst="rect">
          <a:avLst/>
        </a:prstGeom>
      </xdr:spPr>
    </xdr:pic>
    <xdr:clientData/>
  </xdr:twoCellAnchor>
  <xdr:twoCellAnchor editAs="oneCell">
    <xdr:from>
      <xdr:col>8</xdr:col>
      <xdr:colOff>347869</xdr:colOff>
      <xdr:row>123</xdr:row>
      <xdr:rowOff>193111</xdr:rowOff>
    </xdr:from>
    <xdr:to>
      <xdr:col>12</xdr:col>
      <xdr:colOff>276502</xdr:colOff>
      <xdr:row>129</xdr:row>
      <xdr:rowOff>167060</xdr:rowOff>
    </xdr:to>
    <xdr:pic>
      <xdr:nvPicPr>
        <xdr:cNvPr id="21" name="Picture 20"/>
        <xdr:cNvPicPr>
          <a:picLocks noChangeAspect="1"/>
        </xdr:cNvPicPr>
      </xdr:nvPicPr>
      <xdr:blipFill>
        <a:blip xmlns:r="http://schemas.openxmlformats.org/officeDocument/2006/relationships" r:embed="rId6"/>
        <a:stretch>
          <a:fillRect/>
        </a:stretch>
      </xdr:blipFill>
      <xdr:spPr>
        <a:xfrm>
          <a:off x="6667499" y="22605850"/>
          <a:ext cx="3481873" cy="1564210"/>
        </a:xfrm>
        <a:prstGeom prst="rect">
          <a:avLst/>
        </a:prstGeom>
      </xdr:spPr>
    </xdr:pic>
    <xdr:clientData/>
  </xdr:twoCellAnchor>
  <xdr:twoCellAnchor editAs="oneCell">
    <xdr:from>
      <xdr:col>8</xdr:col>
      <xdr:colOff>699026</xdr:colOff>
      <xdr:row>135</xdr:row>
      <xdr:rowOff>38003</xdr:rowOff>
    </xdr:from>
    <xdr:to>
      <xdr:col>12</xdr:col>
      <xdr:colOff>557353</xdr:colOff>
      <xdr:row>179</xdr:row>
      <xdr:rowOff>149689</xdr:rowOff>
    </xdr:to>
    <xdr:pic>
      <xdr:nvPicPr>
        <xdr:cNvPr id="22" name="Picture 21"/>
        <xdr:cNvPicPr>
          <a:picLocks noChangeAspect="1"/>
        </xdr:cNvPicPr>
      </xdr:nvPicPr>
      <xdr:blipFill>
        <a:blip xmlns:r="http://schemas.openxmlformats.org/officeDocument/2006/relationships" r:embed="rId7"/>
        <a:stretch>
          <a:fillRect/>
        </a:stretch>
      </xdr:blipFill>
      <xdr:spPr>
        <a:xfrm>
          <a:off x="7007938" y="24534062"/>
          <a:ext cx="3410591" cy="3137274"/>
        </a:xfrm>
        <a:prstGeom prst="rect">
          <a:avLst/>
        </a:prstGeom>
      </xdr:spPr>
    </xdr:pic>
    <xdr:clientData/>
  </xdr:twoCellAnchor>
  <xdr:twoCellAnchor editAs="oneCell">
    <xdr:from>
      <xdr:col>8</xdr:col>
      <xdr:colOff>245838</xdr:colOff>
      <xdr:row>40</xdr:row>
      <xdr:rowOff>0</xdr:rowOff>
    </xdr:from>
    <xdr:to>
      <xdr:col>11</xdr:col>
      <xdr:colOff>882756</xdr:colOff>
      <xdr:row>51</xdr:row>
      <xdr:rowOff>372215</xdr:rowOff>
    </xdr:to>
    <xdr:pic>
      <xdr:nvPicPr>
        <xdr:cNvPr id="23" name="Picture 22"/>
        <xdr:cNvPicPr>
          <a:picLocks noChangeAspect="1"/>
        </xdr:cNvPicPr>
      </xdr:nvPicPr>
      <xdr:blipFill>
        <a:blip xmlns:r="http://schemas.openxmlformats.org/officeDocument/2006/relationships" r:embed="rId8"/>
        <a:stretch>
          <a:fillRect/>
        </a:stretch>
      </xdr:blipFill>
      <xdr:spPr>
        <a:xfrm>
          <a:off x="6565468" y="8970065"/>
          <a:ext cx="3262505" cy="2790738"/>
        </a:xfrm>
        <a:prstGeom prst="rect">
          <a:avLst/>
        </a:prstGeom>
      </xdr:spPr>
    </xdr:pic>
    <xdr:clientData/>
  </xdr:twoCellAnchor>
  <xdr:twoCellAnchor>
    <xdr:from>
      <xdr:col>1</xdr:col>
      <xdr:colOff>248478</xdr:colOff>
      <xdr:row>267</xdr:row>
      <xdr:rowOff>165100</xdr:rowOff>
    </xdr:from>
    <xdr:to>
      <xdr:col>7</xdr:col>
      <xdr:colOff>19050</xdr:colOff>
      <xdr:row>289</xdr:row>
      <xdr:rowOff>0</xdr:rowOff>
    </xdr:to>
    <xdr:grpSp>
      <xdr:nvGrpSpPr>
        <xdr:cNvPr id="37" name="Group 36"/>
        <xdr:cNvGrpSpPr/>
      </xdr:nvGrpSpPr>
      <xdr:grpSpPr>
        <a:xfrm>
          <a:off x="1048578" y="44570650"/>
          <a:ext cx="4825172" cy="4165600"/>
          <a:chOff x="1010478" y="45257571"/>
          <a:chExt cx="4589101" cy="4516045"/>
        </a:xfrm>
      </xdr:grpSpPr>
      <xdr:pic>
        <xdr:nvPicPr>
          <xdr:cNvPr id="6" name="Picture 8"/>
          <xdr:cNvPicPr>
            <a:picLocks noChangeAspect="1" noChangeArrowheads="1"/>
          </xdr:cNvPicPr>
        </xdr:nvPicPr>
        <xdr:blipFill>
          <a:blip xmlns:r="http://schemas.openxmlformats.org/officeDocument/2006/relationships" r:embed="rId9"/>
          <a:srcRect/>
          <a:stretch>
            <a:fillRect/>
          </a:stretch>
        </xdr:blipFill>
        <xdr:spPr bwMode="auto">
          <a:xfrm>
            <a:off x="1031240" y="45257571"/>
            <a:ext cx="4568339" cy="4516045"/>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cxnSp macro="">
        <xdr:nvCxnSpPr>
          <xdr:cNvPr id="25" name="Straight Connector 24"/>
          <xdr:cNvCxnSpPr/>
        </xdr:nvCxnSpPr>
        <xdr:spPr>
          <a:xfrm>
            <a:off x="1027042" y="48283712"/>
            <a:ext cx="2375648" cy="5140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xdr:cNvCxnSpPr/>
        </xdr:nvCxnSpPr>
        <xdr:spPr>
          <a:xfrm>
            <a:off x="1010478" y="48604298"/>
            <a:ext cx="2342517" cy="4696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TextBox 32"/>
          <xdr:cNvSpPr txBox="1"/>
        </xdr:nvSpPr>
        <xdr:spPr>
          <a:xfrm rot="770134">
            <a:off x="1445711" y="48416187"/>
            <a:ext cx="643722" cy="36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Nala</a:t>
            </a:r>
          </a:p>
        </xdr:txBody>
      </xdr:sp>
      <xdr:sp macro="" textlink="">
        <xdr:nvSpPr>
          <xdr:cNvPr id="35" name="Freeform 34"/>
          <xdr:cNvSpPr/>
        </xdr:nvSpPr>
        <xdr:spPr>
          <a:xfrm>
            <a:off x="1143000" y="46750941"/>
            <a:ext cx="2655794" cy="1557618"/>
          </a:xfrm>
          <a:custGeom>
            <a:avLst/>
            <a:gdLst>
              <a:gd name="connsiteX0" fmla="*/ 0 w 2655794"/>
              <a:gd name="connsiteY0" fmla="*/ 56030 h 1557618"/>
              <a:gd name="connsiteX1" fmla="*/ 526676 w 2655794"/>
              <a:gd name="connsiteY1" fmla="*/ 1411941 h 1557618"/>
              <a:gd name="connsiteX2" fmla="*/ 2655794 w 2655794"/>
              <a:gd name="connsiteY2" fmla="*/ 1557618 h 1557618"/>
              <a:gd name="connsiteX3" fmla="*/ 2610971 w 2655794"/>
              <a:gd name="connsiteY3" fmla="*/ 0 h 1557618"/>
              <a:gd name="connsiteX4" fmla="*/ 0 w 2655794"/>
              <a:gd name="connsiteY4" fmla="*/ 56030 h 155761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655794" h="1557618">
                <a:moveTo>
                  <a:pt x="0" y="56030"/>
                </a:moveTo>
                <a:lnTo>
                  <a:pt x="526676" y="1411941"/>
                </a:lnTo>
                <a:lnTo>
                  <a:pt x="2655794" y="1557618"/>
                </a:lnTo>
                <a:lnTo>
                  <a:pt x="2610971" y="0"/>
                </a:lnTo>
                <a:lnTo>
                  <a:pt x="0" y="5603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6" name="TextBox 35"/>
          <xdr:cNvSpPr txBox="1"/>
        </xdr:nvSpPr>
        <xdr:spPr>
          <a:xfrm>
            <a:off x="1983441" y="47591382"/>
            <a:ext cx="538856" cy="36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Site</a:t>
            </a:r>
          </a:p>
        </xdr:txBody>
      </xdr:sp>
    </xdr:grpSp>
    <xdr:clientData/>
  </xdr:twoCellAnchor>
  <xdr:twoCellAnchor>
    <xdr:from>
      <xdr:col>0</xdr:col>
      <xdr:colOff>215900</xdr:colOff>
      <xdr:row>205</xdr:row>
      <xdr:rowOff>127000</xdr:rowOff>
    </xdr:from>
    <xdr:to>
      <xdr:col>7</xdr:col>
      <xdr:colOff>646427</xdr:colOff>
      <xdr:row>243</xdr:row>
      <xdr:rowOff>134184</xdr:rowOff>
    </xdr:to>
    <xdr:grpSp>
      <xdr:nvGrpSpPr>
        <xdr:cNvPr id="2" name="Group 1"/>
        <xdr:cNvGrpSpPr/>
      </xdr:nvGrpSpPr>
      <xdr:grpSpPr>
        <a:xfrm>
          <a:off x="215900" y="32334200"/>
          <a:ext cx="6285227" cy="7481134"/>
          <a:chOff x="215900" y="32334200"/>
          <a:chExt cx="6285227" cy="7481134"/>
        </a:xfrm>
      </xdr:grpSpPr>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272253" y="35354767"/>
            <a:ext cx="3228874"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15900" y="35354767"/>
            <a:ext cx="2871028"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0066" y="32334200"/>
            <a:ext cx="2166751" cy="2880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85407" y="32334200"/>
            <a:ext cx="3828037" cy="288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39559" y="37655334"/>
            <a:ext cx="286538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03460" y="358140"/>
          <a:ext cx="3246755" cy="4318635"/>
        </a:xfrm>
        <a:prstGeom prst="rect">
          <a:avLst/>
        </a:prstGeom>
      </xdr:spPr>
    </xdr:pic>
    <xdr:clientData/>
  </xdr:twoCellAnchor>
  <xdr:twoCellAnchor editAs="oneCell">
    <xdr:from>
      <xdr:col>1</xdr:col>
      <xdr:colOff>0</xdr:colOff>
      <xdr:row>14</xdr:row>
      <xdr:rowOff>0</xdr:rowOff>
    </xdr:from>
    <xdr:to>
      <xdr:col>8</xdr:col>
      <xdr:colOff>534147</xdr:colOff>
      <xdr:row>40</xdr:row>
      <xdr:rowOff>143586</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678206"/>
          <a:ext cx="9364382" cy="5096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mkGtjrYymBZfjeax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91"/>
  <sheetViews>
    <sheetView tabSelected="1" view="pageBreakPreview" zoomScaleNormal="100" zoomScaleSheetLayoutView="100" zoomScalePageLayoutView="85" workbookViewId="0">
      <selection activeCell="E10" sqref="E10:H10"/>
    </sheetView>
  </sheetViews>
  <sheetFormatPr defaultColWidth="9.1796875" defaultRowHeight="15.5"/>
  <cols>
    <col min="1" max="1" width="11.453125" style="43" customWidth="1"/>
    <col min="2" max="2" width="12" style="43" customWidth="1"/>
    <col min="3" max="3" width="12.7265625" style="43" customWidth="1"/>
    <col min="4" max="4" width="13.7265625" style="43" customWidth="1"/>
    <col min="5" max="5" width="11.7265625" style="43" customWidth="1"/>
    <col min="6" max="6" width="11.1796875" style="43" customWidth="1"/>
    <col min="7" max="8" width="11" style="43" customWidth="1"/>
    <col min="9" max="9" width="17.453125" style="44" customWidth="1"/>
    <col min="10" max="10" width="11.453125" style="44" customWidth="1"/>
    <col min="11" max="11" width="10.54296875" style="44" customWidth="1"/>
    <col min="12" max="12" width="13.81640625" style="44" customWidth="1"/>
    <col min="13" max="13" width="11.81640625" style="44" customWidth="1"/>
    <col min="14" max="14" width="12.54296875" style="44" customWidth="1"/>
    <col min="15" max="15" width="12.1796875" style="44" customWidth="1"/>
    <col min="16" max="16" width="11.7265625" style="44" customWidth="1"/>
    <col min="17" max="18" width="9.1796875" style="44"/>
    <col min="19" max="19" width="10.81640625" style="44" customWidth="1"/>
    <col min="20" max="20" width="10.7265625" style="44" customWidth="1"/>
    <col min="21" max="247" width="9.1796875" style="44"/>
    <col min="248" max="248" width="8.7265625" style="44" customWidth="1"/>
    <col min="249" max="249" width="9.81640625" style="44" customWidth="1"/>
    <col min="250" max="250" width="14.453125" style="44" customWidth="1"/>
    <col min="251" max="251" width="7.26953125" style="44" customWidth="1"/>
    <col min="252" max="252" width="5.54296875" style="44" customWidth="1"/>
    <col min="253" max="253" width="9" style="44" customWidth="1"/>
    <col min="254" max="255" width="9.81640625" style="44" customWidth="1"/>
    <col min="256" max="256" width="11.1796875" style="44" customWidth="1"/>
    <col min="257" max="257" width="2.81640625" style="44" customWidth="1"/>
    <col min="258" max="258" width="3.54296875" style="44" customWidth="1"/>
    <col min="259" max="503" width="9.1796875" style="44"/>
    <col min="504" max="504" width="8.7265625" style="44" customWidth="1"/>
    <col min="505" max="505" width="9.81640625" style="44" customWidth="1"/>
    <col min="506" max="506" width="14.453125" style="44" customWidth="1"/>
    <col min="507" max="507" width="7.26953125" style="44" customWidth="1"/>
    <col min="508" max="508" width="5.54296875" style="44" customWidth="1"/>
    <col min="509" max="509" width="9" style="44" customWidth="1"/>
    <col min="510" max="511" width="9.81640625" style="44" customWidth="1"/>
    <col min="512" max="512" width="11.1796875" style="44" customWidth="1"/>
    <col min="513" max="513" width="2.81640625" style="44" customWidth="1"/>
    <col min="514" max="514" width="3.54296875" style="44" customWidth="1"/>
    <col min="515" max="759" width="9.1796875" style="44"/>
    <col min="760" max="760" width="8.7265625" style="44" customWidth="1"/>
    <col min="761" max="761" width="9.81640625" style="44" customWidth="1"/>
    <col min="762" max="762" width="14.453125" style="44" customWidth="1"/>
    <col min="763" max="763" width="7.26953125" style="44" customWidth="1"/>
    <col min="764" max="764" width="5.54296875" style="44" customWidth="1"/>
    <col min="765" max="765" width="9" style="44" customWidth="1"/>
    <col min="766" max="767" width="9.81640625" style="44" customWidth="1"/>
    <col min="768" max="768" width="11.1796875" style="44" customWidth="1"/>
    <col min="769" max="769" width="2.81640625" style="44" customWidth="1"/>
    <col min="770" max="770" width="3.54296875" style="44" customWidth="1"/>
    <col min="771" max="1015" width="9.1796875" style="44"/>
    <col min="1016" max="1016" width="8.7265625" style="44" customWidth="1"/>
    <col min="1017" max="1017" width="9.81640625" style="44" customWidth="1"/>
    <col min="1018" max="1018" width="14.453125" style="44" customWidth="1"/>
    <col min="1019" max="1019" width="7.26953125" style="44" customWidth="1"/>
    <col min="1020" max="1020" width="5.54296875" style="44" customWidth="1"/>
    <col min="1021" max="1021" width="9" style="44" customWidth="1"/>
    <col min="1022" max="1023" width="9.81640625" style="44" customWidth="1"/>
    <col min="1024" max="1024" width="11.1796875" style="44" customWidth="1"/>
    <col min="1025" max="1025" width="2.81640625" style="44" customWidth="1"/>
    <col min="1026" max="1026" width="3.54296875" style="44" customWidth="1"/>
    <col min="1027" max="1271" width="9.1796875" style="44"/>
    <col min="1272" max="1272" width="8.7265625" style="44" customWidth="1"/>
    <col min="1273" max="1273" width="9.81640625" style="44" customWidth="1"/>
    <col min="1274" max="1274" width="14.453125" style="44" customWidth="1"/>
    <col min="1275" max="1275" width="7.26953125" style="44" customWidth="1"/>
    <col min="1276" max="1276" width="5.54296875" style="44" customWidth="1"/>
    <col min="1277" max="1277" width="9" style="44" customWidth="1"/>
    <col min="1278" max="1279" width="9.81640625" style="44" customWidth="1"/>
    <col min="1280" max="1280" width="11.1796875" style="44" customWidth="1"/>
    <col min="1281" max="1281" width="2.81640625" style="44" customWidth="1"/>
    <col min="1282" max="1282" width="3.54296875" style="44" customWidth="1"/>
    <col min="1283" max="1527" width="9.1796875" style="44"/>
    <col min="1528" max="1528" width="8.7265625" style="44" customWidth="1"/>
    <col min="1529" max="1529" width="9.81640625" style="44" customWidth="1"/>
    <col min="1530" max="1530" width="14.453125" style="44" customWidth="1"/>
    <col min="1531" max="1531" width="7.26953125" style="44" customWidth="1"/>
    <col min="1532" max="1532" width="5.54296875" style="44" customWidth="1"/>
    <col min="1533" max="1533" width="9" style="44" customWidth="1"/>
    <col min="1534" max="1535" width="9.81640625" style="44" customWidth="1"/>
    <col min="1536" max="1536" width="11.1796875" style="44" customWidth="1"/>
    <col min="1537" max="1537" width="2.81640625" style="44" customWidth="1"/>
    <col min="1538" max="1538" width="3.54296875" style="44" customWidth="1"/>
    <col min="1539" max="1783" width="9.1796875" style="44"/>
    <col min="1784" max="1784" width="8.7265625" style="44" customWidth="1"/>
    <col min="1785" max="1785" width="9.81640625" style="44" customWidth="1"/>
    <col min="1786" max="1786" width="14.453125" style="44" customWidth="1"/>
    <col min="1787" max="1787" width="7.26953125" style="44" customWidth="1"/>
    <col min="1788" max="1788" width="5.54296875" style="44" customWidth="1"/>
    <col min="1789" max="1789" width="9" style="44" customWidth="1"/>
    <col min="1790" max="1791" width="9.81640625" style="44" customWidth="1"/>
    <col min="1792" max="1792" width="11.1796875" style="44" customWidth="1"/>
    <col min="1793" max="1793" width="2.81640625" style="44" customWidth="1"/>
    <col min="1794" max="1794" width="3.54296875" style="44" customWidth="1"/>
    <col min="1795" max="2039" width="9.1796875" style="44"/>
    <col min="2040" max="2040" width="8.7265625" style="44" customWidth="1"/>
    <col min="2041" max="2041" width="9.81640625" style="44" customWidth="1"/>
    <col min="2042" max="2042" width="14.453125" style="44" customWidth="1"/>
    <col min="2043" max="2043" width="7.26953125" style="44" customWidth="1"/>
    <col min="2044" max="2044" width="5.54296875" style="44" customWidth="1"/>
    <col min="2045" max="2045" width="9" style="44" customWidth="1"/>
    <col min="2046" max="2047" width="9.81640625" style="44" customWidth="1"/>
    <col min="2048" max="2048" width="11.1796875" style="44" customWidth="1"/>
    <col min="2049" max="2049" width="2.81640625" style="44" customWidth="1"/>
    <col min="2050" max="2050" width="3.54296875" style="44" customWidth="1"/>
    <col min="2051" max="2295" width="9.1796875" style="44"/>
    <col min="2296" max="2296" width="8.7265625" style="44" customWidth="1"/>
    <col min="2297" max="2297" width="9.81640625" style="44" customWidth="1"/>
    <col min="2298" max="2298" width="14.453125" style="44" customWidth="1"/>
    <col min="2299" max="2299" width="7.26953125" style="44" customWidth="1"/>
    <col min="2300" max="2300" width="5.54296875" style="44" customWidth="1"/>
    <col min="2301" max="2301" width="9" style="44" customWidth="1"/>
    <col min="2302" max="2303" width="9.81640625" style="44" customWidth="1"/>
    <col min="2304" max="2304" width="11.1796875" style="44" customWidth="1"/>
    <col min="2305" max="2305" width="2.81640625" style="44" customWidth="1"/>
    <col min="2306" max="2306" width="3.54296875" style="44" customWidth="1"/>
    <col min="2307" max="2551" width="9.1796875" style="44"/>
    <col min="2552" max="2552" width="8.7265625" style="44" customWidth="1"/>
    <col min="2553" max="2553" width="9.81640625" style="44" customWidth="1"/>
    <col min="2554" max="2554" width="14.453125" style="44" customWidth="1"/>
    <col min="2555" max="2555" width="7.26953125" style="44" customWidth="1"/>
    <col min="2556" max="2556" width="5.54296875" style="44" customWidth="1"/>
    <col min="2557" max="2557" width="9" style="44" customWidth="1"/>
    <col min="2558" max="2559" width="9.81640625" style="44" customWidth="1"/>
    <col min="2560" max="2560" width="11.1796875" style="44" customWidth="1"/>
    <col min="2561" max="2561" width="2.81640625" style="44" customWidth="1"/>
    <col min="2562" max="2562" width="3.54296875" style="44" customWidth="1"/>
    <col min="2563" max="2807" width="9.1796875" style="44"/>
    <col min="2808" max="2808" width="8.7265625" style="44" customWidth="1"/>
    <col min="2809" max="2809" width="9.81640625" style="44" customWidth="1"/>
    <col min="2810" max="2810" width="14.453125" style="44" customWidth="1"/>
    <col min="2811" max="2811" width="7.26953125" style="44" customWidth="1"/>
    <col min="2812" max="2812" width="5.54296875" style="44" customWidth="1"/>
    <col min="2813" max="2813" width="9" style="44" customWidth="1"/>
    <col min="2814" max="2815" width="9.81640625" style="44" customWidth="1"/>
    <col min="2816" max="2816" width="11.1796875" style="44" customWidth="1"/>
    <col min="2817" max="2817" width="2.81640625" style="44" customWidth="1"/>
    <col min="2818" max="2818" width="3.54296875" style="44" customWidth="1"/>
    <col min="2819" max="3063" width="9.1796875" style="44"/>
    <col min="3064" max="3064" width="8.7265625" style="44" customWidth="1"/>
    <col min="3065" max="3065" width="9.81640625" style="44" customWidth="1"/>
    <col min="3066" max="3066" width="14.453125" style="44" customWidth="1"/>
    <col min="3067" max="3067" width="7.26953125" style="44" customWidth="1"/>
    <col min="3068" max="3068" width="5.54296875" style="44" customWidth="1"/>
    <col min="3069" max="3069" width="9" style="44" customWidth="1"/>
    <col min="3070" max="3071" width="9.81640625" style="44" customWidth="1"/>
    <col min="3072" max="3072" width="11.1796875" style="44" customWidth="1"/>
    <col min="3073" max="3073" width="2.81640625" style="44" customWidth="1"/>
    <col min="3074" max="3074" width="3.54296875" style="44" customWidth="1"/>
    <col min="3075" max="3319" width="9.1796875" style="44"/>
    <col min="3320" max="3320" width="8.7265625" style="44" customWidth="1"/>
    <col min="3321" max="3321" width="9.81640625" style="44" customWidth="1"/>
    <col min="3322" max="3322" width="14.453125" style="44" customWidth="1"/>
    <col min="3323" max="3323" width="7.26953125" style="44" customWidth="1"/>
    <col min="3324" max="3324" width="5.54296875" style="44" customWidth="1"/>
    <col min="3325" max="3325" width="9" style="44" customWidth="1"/>
    <col min="3326" max="3327" width="9.81640625" style="44" customWidth="1"/>
    <col min="3328" max="3328" width="11.1796875" style="44" customWidth="1"/>
    <col min="3329" max="3329" width="2.81640625" style="44" customWidth="1"/>
    <col min="3330" max="3330" width="3.54296875" style="44" customWidth="1"/>
    <col min="3331" max="3575" width="9.1796875" style="44"/>
    <col min="3576" max="3576" width="8.7265625" style="44" customWidth="1"/>
    <col min="3577" max="3577" width="9.81640625" style="44" customWidth="1"/>
    <col min="3578" max="3578" width="14.453125" style="44" customWidth="1"/>
    <col min="3579" max="3579" width="7.26953125" style="44" customWidth="1"/>
    <col min="3580" max="3580" width="5.54296875" style="44" customWidth="1"/>
    <col min="3581" max="3581" width="9" style="44" customWidth="1"/>
    <col min="3582" max="3583" width="9.81640625" style="44" customWidth="1"/>
    <col min="3584" max="3584" width="11.1796875" style="44" customWidth="1"/>
    <col min="3585" max="3585" width="2.81640625" style="44" customWidth="1"/>
    <col min="3586" max="3586" width="3.54296875" style="44" customWidth="1"/>
    <col min="3587" max="3831" width="9.1796875" style="44"/>
    <col min="3832" max="3832" width="8.7265625" style="44" customWidth="1"/>
    <col min="3833" max="3833" width="9.81640625" style="44" customWidth="1"/>
    <col min="3834" max="3834" width="14.453125" style="44" customWidth="1"/>
    <col min="3835" max="3835" width="7.26953125" style="44" customWidth="1"/>
    <col min="3836" max="3836" width="5.54296875" style="44" customWidth="1"/>
    <col min="3837" max="3837" width="9" style="44" customWidth="1"/>
    <col min="3838" max="3839" width="9.81640625" style="44" customWidth="1"/>
    <col min="3840" max="3840" width="11.1796875" style="44" customWidth="1"/>
    <col min="3841" max="3841" width="2.81640625" style="44" customWidth="1"/>
    <col min="3842" max="3842" width="3.54296875" style="44" customWidth="1"/>
    <col min="3843" max="4087" width="9.1796875" style="44"/>
    <col min="4088" max="4088" width="8.7265625" style="44" customWidth="1"/>
    <col min="4089" max="4089" width="9.81640625" style="44" customWidth="1"/>
    <col min="4090" max="4090" width="14.453125" style="44" customWidth="1"/>
    <col min="4091" max="4091" width="7.26953125" style="44" customWidth="1"/>
    <col min="4092" max="4092" width="5.54296875" style="44" customWidth="1"/>
    <col min="4093" max="4093" width="9" style="44" customWidth="1"/>
    <col min="4094" max="4095" width="9.81640625" style="44" customWidth="1"/>
    <col min="4096" max="4096" width="11.1796875" style="44" customWidth="1"/>
    <col min="4097" max="4097" width="2.81640625" style="44" customWidth="1"/>
    <col min="4098" max="4098" width="3.54296875" style="44" customWidth="1"/>
    <col min="4099" max="4343" width="9.1796875" style="44"/>
    <col min="4344" max="4344" width="8.7265625" style="44" customWidth="1"/>
    <col min="4345" max="4345" width="9.81640625" style="44" customWidth="1"/>
    <col min="4346" max="4346" width="14.453125" style="44" customWidth="1"/>
    <col min="4347" max="4347" width="7.26953125" style="44" customWidth="1"/>
    <col min="4348" max="4348" width="5.54296875" style="44" customWidth="1"/>
    <col min="4349" max="4349" width="9" style="44" customWidth="1"/>
    <col min="4350" max="4351" width="9.81640625" style="44" customWidth="1"/>
    <col min="4352" max="4352" width="11.1796875" style="44" customWidth="1"/>
    <col min="4353" max="4353" width="2.81640625" style="44" customWidth="1"/>
    <col min="4354" max="4354" width="3.54296875" style="44" customWidth="1"/>
    <col min="4355" max="4599" width="9.1796875" style="44"/>
    <col min="4600" max="4600" width="8.7265625" style="44" customWidth="1"/>
    <col min="4601" max="4601" width="9.81640625" style="44" customWidth="1"/>
    <col min="4602" max="4602" width="14.453125" style="44" customWidth="1"/>
    <col min="4603" max="4603" width="7.26953125" style="44" customWidth="1"/>
    <col min="4604" max="4604" width="5.54296875" style="44" customWidth="1"/>
    <col min="4605" max="4605" width="9" style="44" customWidth="1"/>
    <col min="4606" max="4607" width="9.81640625" style="44" customWidth="1"/>
    <col min="4608" max="4608" width="11.1796875" style="44" customWidth="1"/>
    <col min="4609" max="4609" width="2.81640625" style="44" customWidth="1"/>
    <col min="4610" max="4610" width="3.54296875" style="44" customWidth="1"/>
    <col min="4611" max="4855" width="9.1796875" style="44"/>
    <col min="4856" max="4856" width="8.7265625" style="44" customWidth="1"/>
    <col min="4857" max="4857" width="9.81640625" style="44" customWidth="1"/>
    <col min="4858" max="4858" width="14.453125" style="44" customWidth="1"/>
    <col min="4859" max="4859" width="7.26953125" style="44" customWidth="1"/>
    <col min="4860" max="4860" width="5.54296875" style="44" customWidth="1"/>
    <col min="4861" max="4861" width="9" style="44" customWidth="1"/>
    <col min="4862" max="4863" width="9.81640625" style="44" customWidth="1"/>
    <col min="4864" max="4864" width="11.1796875" style="44" customWidth="1"/>
    <col min="4865" max="4865" width="2.81640625" style="44" customWidth="1"/>
    <col min="4866" max="4866" width="3.54296875" style="44" customWidth="1"/>
    <col min="4867" max="5111" width="9.1796875" style="44"/>
    <col min="5112" max="5112" width="8.7265625" style="44" customWidth="1"/>
    <col min="5113" max="5113" width="9.81640625" style="44" customWidth="1"/>
    <col min="5114" max="5114" width="14.453125" style="44" customWidth="1"/>
    <col min="5115" max="5115" width="7.26953125" style="44" customWidth="1"/>
    <col min="5116" max="5116" width="5.54296875" style="44" customWidth="1"/>
    <col min="5117" max="5117" width="9" style="44" customWidth="1"/>
    <col min="5118" max="5119" width="9.81640625" style="44" customWidth="1"/>
    <col min="5120" max="5120" width="11.1796875" style="44" customWidth="1"/>
    <col min="5121" max="5121" width="2.81640625" style="44" customWidth="1"/>
    <col min="5122" max="5122" width="3.54296875" style="44" customWidth="1"/>
    <col min="5123" max="5367" width="9.1796875" style="44"/>
    <col min="5368" max="5368" width="8.7265625" style="44" customWidth="1"/>
    <col min="5369" max="5369" width="9.81640625" style="44" customWidth="1"/>
    <col min="5370" max="5370" width="14.453125" style="44" customWidth="1"/>
    <col min="5371" max="5371" width="7.26953125" style="44" customWidth="1"/>
    <col min="5372" max="5372" width="5.54296875" style="44" customWidth="1"/>
    <col min="5373" max="5373" width="9" style="44" customWidth="1"/>
    <col min="5374" max="5375" width="9.81640625" style="44" customWidth="1"/>
    <col min="5376" max="5376" width="11.1796875" style="44" customWidth="1"/>
    <col min="5377" max="5377" width="2.81640625" style="44" customWidth="1"/>
    <col min="5378" max="5378" width="3.54296875" style="44" customWidth="1"/>
    <col min="5379" max="5623" width="9.1796875" style="44"/>
    <col min="5624" max="5624" width="8.7265625" style="44" customWidth="1"/>
    <col min="5625" max="5625" width="9.81640625" style="44" customWidth="1"/>
    <col min="5626" max="5626" width="14.453125" style="44" customWidth="1"/>
    <col min="5627" max="5627" width="7.26953125" style="44" customWidth="1"/>
    <col min="5628" max="5628" width="5.54296875" style="44" customWidth="1"/>
    <col min="5629" max="5629" width="9" style="44" customWidth="1"/>
    <col min="5630" max="5631" width="9.81640625" style="44" customWidth="1"/>
    <col min="5632" max="5632" width="11.1796875" style="44" customWidth="1"/>
    <col min="5633" max="5633" width="2.81640625" style="44" customWidth="1"/>
    <col min="5634" max="5634" width="3.54296875" style="44" customWidth="1"/>
    <col min="5635" max="5879" width="9.1796875" style="44"/>
    <col min="5880" max="5880" width="8.7265625" style="44" customWidth="1"/>
    <col min="5881" max="5881" width="9.81640625" style="44" customWidth="1"/>
    <col min="5882" max="5882" width="14.453125" style="44" customWidth="1"/>
    <col min="5883" max="5883" width="7.26953125" style="44" customWidth="1"/>
    <col min="5884" max="5884" width="5.54296875" style="44" customWidth="1"/>
    <col min="5885" max="5885" width="9" style="44" customWidth="1"/>
    <col min="5886" max="5887" width="9.81640625" style="44" customWidth="1"/>
    <col min="5888" max="5888" width="11.1796875" style="44" customWidth="1"/>
    <col min="5889" max="5889" width="2.81640625" style="44" customWidth="1"/>
    <col min="5890" max="5890" width="3.54296875" style="44" customWidth="1"/>
    <col min="5891" max="6135" width="9.1796875" style="44"/>
    <col min="6136" max="6136" width="8.7265625" style="44" customWidth="1"/>
    <col min="6137" max="6137" width="9.81640625" style="44" customWidth="1"/>
    <col min="6138" max="6138" width="14.453125" style="44" customWidth="1"/>
    <col min="6139" max="6139" width="7.26953125" style="44" customWidth="1"/>
    <col min="6140" max="6140" width="5.54296875" style="44" customWidth="1"/>
    <col min="6141" max="6141" width="9" style="44" customWidth="1"/>
    <col min="6142" max="6143" width="9.81640625" style="44" customWidth="1"/>
    <col min="6144" max="6144" width="11.1796875" style="44" customWidth="1"/>
    <col min="6145" max="6145" width="2.81640625" style="44" customWidth="1"/>
    <col min="6146" max="6146" width="3.54296875" style="44" customWidth="1"/>
    <col min="6147" max="6391" width="9.1796875" style="44"/>
    <col min="6392" max="6392" width="8.7265625" style="44" customWidth="1"/>
    <col min="6393" max="6393" width="9.81640625" style="44" customWidth="1"/>
    <col min="6394" max="6394" width="14.453125" style="44" customWidth="1"/>
    <col min="6395" max="6395" width="7.26953125" style="44" customWidth="1"/>
    <col min="6396" max="6396" width="5.54296875" style="44" customWidth="1"/>
    <col min="6397" max="6397" width="9" style="44" customWidth="1"/>
    <col min="6398" max="6399" width="9.81640625" style="44" customWidth="1"/>
    <col min="6400" max="6400" width="11.1796875" style="44" customWidth="1"/>
    <col min="6401" max="6401" width="2.81640625" style="44" customWidth="1"/>
    <col min="6402" max="6402" width="3.54296875" style="44" customWidth="1"/>
    <col min="6403" max="6647" width="9.1796875" style="44"/>
    <col min="6648" max="6648" width="8.7265625" style="44" customWidth="1"/>
    <col min="6649" max="6649" width="9.81640625" style="44" customWidth="1"/>
    <col min="6650" max="6650" width="14.453125" style="44" customWidth="1"/>
    <col min="6651" max="6651" width="7.26953125" style="44" customWidth="1"/>
    <col min="6652" max="6652" width="5.54296875" style="44" customWidth="1"/>
    <col min="6653" max="6653" width="9" style="44" customWidth="1"/>
    <col min="6654" max="6655" width="9.81640625" style="44" customWidth="1"/>
    <col min="6656" max="6656" width="11.1796875" style="44" customWidth="1"/>
    <col min="6657" max="6657" width="2.81640625" style="44" customWidth="1"/>
    <col min="6658" max="6658" width="3.54296875" style="44" customWidth="1"/>
    <col min="6659" max="6903" width="9.1796875" style="44"/>
    <col min="6904" max="6904" width="8.7265625" style="44" customWidth="1"/>
    <col min="6905" max="6905" width="9.81640625" style="44" customWidth="1"/>
    <col min="6906" max="6906" width="14.453125" style="44" customWidth="1"/>
    <col min="6907" max="6907" width="7.26953125" style="44" customWidth="1"/>
    <col min="6908" max="6908" width="5.54296875" style="44" customWidth="1"/>
    <col min="6909" max="6909" width="9" style="44" customWidth="1"/>
    <col min="6910" max="6911" width="9.81640625" style="44" customWidth="1"/>
    <col min="6912" max="6912" width="11.1796875" style="44" customWidth="1"/>
    <col min="6913" max="6913" width="2.81640625" style="44" customWidth="1"/>
    <col min="6914" max="6914" width="3.54296875" style="44" customWidth="1"/>
    <col min="6915" max="7159" width="9.1796875" style="44"/>
    <col min="7160" max="7160" width="8.7265625" style="44" customWidth="1"/>
    <col min="7161" max="7161" width="9.81640625" style="44" customWidth="1"/>
    <col min="7162" max="7162" width="14.453125" style="44" customWidth="1"/>
    <col min="7163" max="7163" width="7.26953125" style="44" customWidth="1"/>
    <col min="7164" max="7164" width="5.54296875" style="44" customWidth="1"/>
    <col min="7165" max="7165" width="9" style="44" customWidth="1"/>
    <col min="7166" max="7167" width="9.81640625" style="44" customWidth="1"/>
    <col min="7168" max="7168" width="11.1796875" style="44" customWidth="1"/>
    <col min="7169" max="7169" width="2.81640625" style="44" customWidth="1"/>
    <col min="7170" max="7170" width="3.54296875" style="44" customWidth="1"/>
    <col min="7171" max="7415" width="9.1796875" style="44"/>
    <col min="7416" max="7416" width="8.7265625" style="44" customWidth="1"/>
    <col min="7417" max="7417" width="9.81640625" style="44" customWidth="1"/>
    <col min="7418" max="7418" width="14.453125" style="44" customWidth="1"/>
    <col min="7419" max="7419" width="7.26953125" style="44" customWidth="1"/>
    <col min="7420" max="7420" width="5.54296875" style="44" customWidth="1"/>
    <col min="7421" max="7421" width="9" style="44" customWidth="1"/>
    <col min="7422" max="7423" width="9.81640625" style="44" customWidth="1"/>
    <col min="7424" max="7424" width="11.1796875" style="44" customWidth="1"/>
    <col min="7425" max="7425" width="2.81640625" style="44" customWidth="1"/>
    <col min="7426" max="7426" width="3.54296875" style="44" customWidth="1"/>
    <col min="7427" max="7671" width="9.1796875" style="44"/>
    <col min="7672" max="7672" width="8.7265625" style="44" customWidth="1"/>
    <col min="7673" max="7673" width="9.81640625" style="44" customWidth="1"/>
    <col min="7674" max="7674" width="14.453125" style="44" customWidth="1"/>
    <col min="7675" max="7675" width="7.26953125" style="44" customWidth="1"/>
    <col min="7676" max="7676" width="5.54296875" style="44" customWidth="1"/>
    <col min="7677" max="7677" width="9" style="44" customWidth="1"/>
    <col min="7678" max="7679" width="9.81640625" style="44" customWidth="1"/>
    <col min="7680" max="7680" width="11.1796875" style="44" customWidth="1"/>
    <col min="7681" max="7681" width="2.81640625" style="44" customWidth="1"/>
    <col min="7682" max="7682" width="3.54296875" style="44" customWidth="1"/>
    <col min="7683" max="7927" width="9.1796875" style="44"/>
    <col min="7928" max="7928" width="8.7265625" style="44" customWidth="1"/>
    <col min="7929" max="7929" width="9.81640625" style="44" customWidth="1"/>
    <col min="7930" max="7930" width="14.453125" style="44" customWidth="1"/>
    <col min="7931" max="7931" width="7.26953125" style="44" customWidth="1"/>
    <col min="7932" max="7932" width="5.54296875" style="44" customWidth="1"/>
    <col min="7933" max="7933" width="9" style="44" customWidth="1"/>
    <col min="7934" max="7935" width="9.81640625" style="44" customWidth="1"/>
    <col min="7936" max="7936" width="11.1796875" style="44" customWidth="1"/>
    <col min="7937" max="7937" width="2.81640625" style="44" customWidth="1"/>
    <col min="7938" max="7938" width="3.54296875" style="44" customWidth="1"/>
    <col min="7939" max="8183" width="9.1796875" style="44"/>
    <col min="8184" max="8184" width="8.7265625" style="44" customWidth="1"/>
    <col min="8185" max="8185" width="9.81640625" style="44" customWidth="1"/>
    <col min="8186" max="8186" width="14.453125" style="44" customWidth="1"/>
    <col min="8187" max="8187" width="7.26953125" style="44" customWidth="1"/>
    <col min="8188" max="8188" width="5.54296875" style="44" customWidth="1"/>
    <col min="8189" max="8189" width="9" style="44" customWidth="1"/>
    <col min="8190" max="8191" width="9.81640625" style="44" customWidth="1"/>
    <col min="8192" max="8192" width="11.1796875" style="44" customWidth="1"/>
    <col min="8193" max="8193" width="2.81640625" style="44" customWidth="1"/>
    <col min="8194" max="8194" width="3.54296875" style="44" customWidth="1"/>
    <col min="8195" max="8439" width="9.1796875" style="44"/>
    <col min="8440" max="8440" width="8.7265625" style="44" customWidth="1"/>
    <col min="8441" max="8441" width="9.81640625" style="44" customWidth="1"/>
    <col min="8442" max="8442" width="14.453125" style="44" customWidth="1"/>
    <col min="8443" max="8443" width="7.26953125" style="44" customWidth="1"/>
    <col min="8444" max="8444" width="5.54296875" style="44" customWidth="1"/>
    <col min="8445" max="8445" width="9" style="44" customWidth="1"/>
    <col min="8446" max="8447" width="9.81640625" style="44" customWidth="1"/>
    <col min="8448" max="8448" width="11.1796875" style="44" customWidth="1"/>
    <col min="8449" max="8449" width="2.81640625" style="44" customWidth="1"/>
    <col min="8450" max="8450" width="3.54296875" style="44" customWidth="1"/>
    <col min="8451" max="8695" width="9.1796875" style="44"/>
    <col min="8696" max="8696" width="8.7265625" style="44" customWidth="1"/>
    <col min="8697" max="8697" width="9.81640625" style="44" customWidth="1"/>
    <col min="8698" max="8698" width="14.453125" style="44" customWidth="1"/>
    <col min="8699" max="8699" width="7.26953125" style="44" customWidth="1"/>
    <col min="8700" max="8700" width="5.54296875" style="44" customWidth="1"/>
    <col min="8701" max="8701" width="9" style="44" customWidth="1"/>
    <col min="8702" max="8703" width="9.81640625" style="44" customWidth="1"/>
    <col min="8704" max="8704" width="11.1796875" style="44" customWidth="1"/>
    <col min="8705" max="8705" width="2.81640625" style="44" customWidth="1"/>
    <col min="8706" max="8706" width="3.54296875" style="44" customWidth="1"/>
    <col min="8707" max="8951" width="9.1796875" style="44"/>
    <col min="8952" max="8952" width="8.7265625" style="44" customWidth="1"/>
    <col min="8953" max="8953" width="9.81640625" style="44" customWidth="1"/>
    <col min="8954" max="8954" width="14.453125" style="44" customWidth="1"/>
    <col min="8955" max="8955" width="7.26953125" style="44" customWidth="1"/>
    <col min="8956" max="8956" width="5.54296875" style="44" customWidth="1"/>
    <col min="8957" max="8957" width="9" style="44" customWidth="1"/>
    <col min="8958" max="8959" width="9.81640625" style="44" customWidth="1"/>
    <col min="8960" max="8960" width="11.1796875" style="44" customWidth="1"/>
    <col min="8961" max="8961" width="2.81640625" style="44" customWidth="1"/>
    <col min="8962" max="8962" width="3.54296875" style="44" customWidth="1"/>
    <col min="8963" max="9207" width="9.1796875" style="44"/>
    <col min="9208" max="9208" width="8.7265625" style="44" customWidth="1"/>
    <col min="9209" max="9209" width="9.81640625" style="44" customWidth="1"/>
    <col min="9210" max="9210" width="14.453125" style="44" customWidth="1"/>
    <col min="9211" max="9211" width="7.26953125" style="44" customWidth="1"/>
    <col min="9212" max="9212" width="5.54296875" style="44" customWidth="1"/>
    <col min="9213" max="9213" width="9" style="44" customWidth="1"/>
    <col min="9214" max="9215" width="9.81640625" style="44" customWidth="1"/>
    <col min="9216" max="9216" width="11.1796875" style="44" customWidth="1"/>
    <col min="9217" max="9217" width="2.81640625" style="44" customWidth="1"/>
    <col min="9218" max="9218" width="3.54296875" style="44" customWidth="1"/>
    <col min="9219" max="9463" width="9.1796875" style="44"/>
    <col min="9464" max="9464" width="8.7265625" style="44" customWidth="1"/>
    <col min="9465" max="9465" width="9.81640625" style="44" customWidth="1"/>
    <col min="9466" max="9466" width="14.453125" style="44" customWidth="1"/>
    <col min="9467" max="9467" width="7.26953125" style="44" customWidth="1"/>
    <col min="9468" max="9468" width="5.54296875" style="44" customWidth="1"/>
    <col min="9469" max="9469" width="9" style="44" customWidth="1"/>
    <col min="9470" max="9471" width="9.81640625" style="44" customWidth="1"/>
    <col min="9472" max="9472" width="11.1796875" style="44" customWidth="1"/>
    <col min="9473" max="9473" width="2.81640625" style="44" customWidth="1"/>
    <col min="9474" max="9474" width="3.54296875" style="44" customWidth="1"/>
    <col min="9475" max="9719" width="9.1796875" style="44"/>
    <col min="9720" max="9720" width="8.7265625" style="44" customWidth="1"/>
    <col min="9721" max="9721" width="9.81640625" style="44" customWidth="1"/>
    <col min="9722" max="9722" width="14.453125" style="44" customWidth="1"/>
    <col min="9723" max="9723" width="7.26953125" style="44" customWidth="1"/>
    <col min="9724" max="9724" width="5.54296875" style="44" customWidth="1"/>
    <col min="9725" max="9725" width="9" style="44" customWidth="1"/>
    <col min="9726" max="9727" width="9.81640625" style="44" customWidth="1"/>
    <col min="9728" max="9728" width="11.1796875" style="44" customWidth="1"/>
    <col min="9729" max="9729" width="2.81640625" style="44" customWidth="1"/>
    <col min="9730" max="9730" width="3.54296875" style="44" customWidth="1"/>
    <col min="9731" max="9975" width="9.1796875" style="44"/>
    <col min="9976" max="9976" width="8.7265625" style="44" customWidth="1"/>
    <col min="9977" max="9977" width="9.81640625" style="44" customWidth="1"/>
    <col min="9978" max="9978" width="14.453125" style="44" customWidth="1"/>
    <col min="9979" max="9979" width="7.26953125" style="44" customWidth="1"/>
    <col min="9980" max="9980" width="5.54296875" style="44" customWidth="1"/>
    <col min="9981" max="9981" width="9" style="44" customWidth="1"/>
    <col min="9982" max="9983" width="9.81640625" style="44" customWidth="1"/>
    <col min="9984" max="9984" width="11.1796875" style="44" customWidth="1"/>
    <col min="9985" max="9985" width="2.81640625" style="44" customWidth="1"/>
    <col min="9986" max="9986" width="3.54296875" style="44" customWidth="1"/>
    <col min="9987" max="10231" width="9.1796875" style="44"/>
    <col min="10232" max="10232" width="8.7265625" style="44" customWidth="1"/>
    <col min="10233" max="10233" width="9.81640625" style="44" customWidth="1"/>
    <col min="10234" max="10234" width="14.453125" style="44" customWidth="1"/>
    <col min="10235" max="10235" width="7.26953125" style="44" customWidth="1"/>
    <col min="10236" max="10236" width="5.54296875" style="44" customWidth="1"/>
    <col min="10237" max="10237" width="9" style="44" customWidth="1"/>
    <col min="10238" max="10239" width="9.81640625" style="44" customWidth="1"/>
    <col min="10240" max="10240" width="11.1796875" style="44" customWidth="1"/>
    <col min="10241" max="10241" width="2.81640625" style="44" customWidth="1"/>
    <col min="10242" max="10242" width="3.54296875" style="44" customWidth="1"/>
    <col min="10243" max="10487" width="9.1796875" style="44"/>
    <col min="10488" max="10488" width="8.7265625" style="44" customWidth="1"/>
    <col min="10489" max="10489" width="9.81640625" style="44" customWidth="1"/>
    <col min="10490" max="10490" width="14.453125" style="44" customWidth="1"/>
    <col min="10491" max="10491" width="7.26953125" style="44" customWidth="1"/>
    <col min="10492" max="10492" width="5.54296875" style="44" customWidth="1"/>
    <col min="10493" max="10493" width="9" style="44" customWidth="1"/>
    <col min="10494" max="10495" width="9.81640625" style="44" customWidth="1"/>
    <col min="10496" max="10496" width="11.1796875" style="44" customWidth="1"/>
    <col min="10497" max="10497" width="2.81640625" style="44" customWidth="1"/>
    <col min="10498" max="10498" width="3.54296875" style="44" customWidth="1"/>
    <col min="10499" max="10743" width="9.1796875" style="44"/>
    <col min="10744" max="10744" width="8.7265625" style="44" customWidth="1"/>
    <col min="10745" max="10745" width="9.81640625" style="44" customWidth="1"/>
    <col min="10746" max="10746" width="14.453125" style="44" customWidth="1"/>
    <col min="10747" max="10747" width="7.26953125" style="44" customWidth="1"/>
    <col min="10748" max="10748" width="5.54296875" style="44" customWidth="1"/>
    <col min="10749" max="10749" width="9" style="44" customWidth="1"/>
    <col min="10750" max="10751" width="9.81640625" style="44" customWidth="1"/>
    <col min="10752" max="10752" width="11.1796875" style="44" customWidth="1"/>
    <col min="10753" max="10753" width="2.81640625" style="44" customWidth="1"/>
    <col min="10754" max="10754" width="3.54296875" style="44" customWidth="1"/>
    <col min="10755" max="10999" width="9.1796875" style="44"/>
    <col min="11000" max="11000" width="8.7265625" style="44" customWidth="1"/>
    <col min="11001" max="11001" width="9.81640625" style="44" customWidth="1"/>
    <col min="11002" max="11002" width="14.453125" style="44" customWidth="1"/>
    <col min="11003" max="11003" width="7.26953125" style="44" customWidth="1"/>
    <col min="11004" max="11004" width="5.54296875" style="44" customWidth="1"/>
    <col min="11005" max="11005" width="9" style="44" customWidth="1"/>
    <col min="11006" max="11007" width="9.81640625" style="44" customWidth="1"/>
    <col min="11008" max="11008" width="11.1796875" style="44" customWidth="1"/>
    <col min="11009" max="11009" width="2.81640625" style="44" customWidth="1"/>
    <col min="11010" max="11010" width="3.54296875" style="44" customWidth="1"/>
    <col min="11011" max="11255" width="9.1796875" style="44"/>
    <col min="11256" max="11256" width="8.7265625" style="44" customWidth="1"/>
    <col min="11257" max="11257" width="9.81640625" style="44" customWidth="1"/>
    <col min="11258" max="11258" width="14.453125" style="44" customWidth="1"/>
    <col min="11259" max="11259" width="7.26953125" style="44" customWidth="1"/>
    <col min="11260" max="11260" width="5.54296875" style="44" customWidth="1"/>
    <col min="11261" max="11261" width="9" style="44" customWidth="1"/>
    <col min="11262" max="11263" width="9.81640625" style="44" customWidth="1"/>
    <col min="11264" max="11264" width="11.1796875" style="44" customWidth="1"/>
    <col min="11265" max="11265" width="2.81640625" style="44" customWidth="1"/>
    <col min="11266" max="11266" width="3.54296875" style="44" customWidth="1"/>
    <col min="11267" max="11511" width="9.1796875" style="44"/>
    <col min="11512" max="11512" width="8.7265625" style="44" customWidth="1"/>
    <col min="11513" max="11513" width="9.81640625" style="44" customWidth="1"/>
    <col min="11514" max="11514" width="14.453125" style="44" customWidth="1"/>
    <col min="11515" max="11515" width="7.26953125" style="44" customWidth="1"/>
    <col min="11516" max="11516" width="5.54296875" style="44" customWidth="1"/>
    <col min="11517" max="11517" width="9" style="44" customWidth="1"/>
    <col min="11518" max="11519" width="9.81640625" style="44" customWidth="1"/>
    <col min="11520" max="11520" width="11.1796875" style="44" customWidth="1"/>
    <col min="11521" max="11521" width="2.81640625" style="44" customWidth="1"/>
    <col min="11522" max="11522" width="3.54296875" style="44" customWidth="1"/>
    <col min="11523" max="11767" width="9.1796875" style="44"/>
    <col min="11768" max="11768" width="8.7265625" style="44" customWidth="1"/>
    <col min="11769" max="11769" width="9.81640625" style="44" customWidth="1"/>
    <col min="11770" max="11770" width="14.453125" style="44" customWidth="1"/>
    <col min="11771" max="11771" width="7.26953125" style="44" customWidth="1"/>
    <col min="11772" max="11772" width="5.54296875" style="44" customWidth="1"/>
    <col min="11773" max="11773" width="9" style="44" customWidth="1"/>
    <col min="11774" max="11775" width="9.81640625" style="44" customWidth="1"/>
    <col min="11776" max="11776" width="11.1796875" style="44" customWidth="1"/>
    <col min="11777" max="11777" width="2.81640625" style="44" customWidth="1"/>
    <col min="11778" max="11778" width="3.54296875" style="44" customWidth="1"/>
    <col min="11779" max="12023" width="9.1796875" style="44"/>
    <col min="12024" max="12024" width="8.7265625" style="44" customWidth="1"/>
    <col min="12025" max="12025" width="9.81640625" style="44" customWidth="1"/>
    <col min="12026" max="12026" width="14.453125" style="44" customWidth="1"/>
    <col min="12027" max="12027" width="7.26953125" style="44" customWidth="1"/>
    <col min="12028" max="12028" width="5.54296875" style="44" customWidth="1"/>
    <col min="12029" max="12029" width="9" style="44" customWidth="1"/>
    <col min="12030" max="12031" width="9.81640625" style="44" customWidth="1"/>
    <col min="12032" max="12032" width="11.1796875" style="44" customWidth="1"/>
    <col min="12033" max="12033" width="2.81640625" style="44" customWidth="1"/>
    <col min="12034" max="12034" width="3.54296875" style="44" customWidth="1"/>
    <col min="12035" max="12279" width="9.1796875" style="44"/>
    <col min="12280" max="12280" width="8.7265625" style="44" customWidth="1"/>
    <col min="12281" max="12281" width="9.81640625" style="44" customWidth="1"/>
    <col min="12282" max="12282" width="14.453125" style="44" customWidth="1"/>
    <col min="12283" max="12283" width="7.26953125" style="44" customWidth="1"/>
    <col min="12284" max="12284" width="5.54296875" style="44" customWidth="1"/>
    <col min="12285" max="12285" width="9" style="44" customWidth="1"/>
    <col min="12286" max="12287" width="9.81640625" style="44" customWidth="1"/>
    <col min="12288" max="12288" width="11.1796875" style="44" customWidth="1"/>
    <col min="12289" max="12289" width="2.81640625" style="44" customWidth="1"/>
    <col min="12290" max="12290" width="3.54296875" style="44" customWidth="1"/>
    <col min="12291" max="12535" width="9.1796875" style="44"/>
    <col min="12536" max="12536" width="8.7265625" style="44" customWidth="1"/>
    <col min="12537" max="12537" width="9.81640625" style="44" customWidth="1"/>
    <col min="12538" max="12538" width="14.453125" style="44" customWidth="1"/>
    <col min="12539" max="12539" width="7.26953125" style="44" customWidth="1"/>
    <col min="12540" max="12540" width="5.54296875" style="44" customWidth="1"/>
    <col min="12541" max="12541" width="9" style="44" customWidth="1"/>
    <col min="12542" max="12543" width="9.81640625" style="44" customWidth="1"/>
    <col min="12544" max="12544" width="11.1796875" style="44" customWidth="1"/>
    <col min="12545" max="12545" width="2.81640625" style="44" customWidth="1"/>
    <col min="12546" max="12546" width="3.54296875" style="44" customWidth="1"/>
    <col min="12547" max="12791" width="9.1796875" style="44"/>
    <col min="12792" max="12792" width="8.7265625" style="44" customWidth="1"/>
    <col min="12793" max="12793" width="9.81640625" style="44" customWidth="1"/>
    <col min="12794" max="12794" width="14.453125" style="44" customWidth="1"/>
    <col min="12795" max="12795" width="7.26953125" style="44" customWidth="1"/>
    <col min="12796" max="12796" width="5.54296875" style="44" customWidth="1"/>
    <col min="12797" max="12797" width="9" style="44" customWidth="1"/>
    <col min="12798" max="12799" width="9.81640625" style="44" customWidth="1"/>
    <col min="12800" max="12800" width="11.1796875" style="44" customWidth="1"/>
    <col min="12801" max="12801" width="2.81640625" style="44" customWidth="1"/>
    <col min="12802" max="12802" width="3.54296875" style="44" customWidth="1"/>
    <col min="12803" max="13047" width="9.1796875" style="44"/>
    <col min="13048" max="13048" width="8.7265625" style="44" customWidth="1"/>
    <col min="13049" max="13049" width="9.81640625" style="44" customWidth="1"/>
    <col min="13050" max="13050" width="14.453125" style="44" customWidth="1"/>
    <col min="13051" max="13051" width="7.26953125" style="44" customWidth="1"/>
    <col min="13052" max="13052" width="5.54296875" style="44" customWidth="1"/>
    <col min="13053" max="13053" width="9" style="44" customWidth="1"/>
    <col min="13054" max="13055" width="9.81640625" style="44" customWidth="1"/>
    <col min="13056" max="13056" width="11.1796875" style="44" customWidth="1"/>
    <col min="13057" max="13057" width="2.81640625" style="44" customWidth="1"/>
    <col min="13058" max="13058" width="3.54296875" style="44" customWidth="1"/>
    <col min="13059" max="13303" width="9.1796875" style="44"/>
    <col min="13304" max="13304" width="8.7265625" style="44" customWidth="1"/>
    <col min="13305" max="13305" width="9.81640625" style="44" customWidth="1"/>
    <col min="13306" max="13306" width="14.453125" style="44" customWidth="1"/>
    <col min="13307" max="13307" width="7.26953125" style="44" customWidth="1"/>
    <col min="13308" max="13308" width="5.54296875" style="44" customWidth="1"/>
    <col min="13309" max="13309" width="9" style="44" customWidth="1"/>
    <col min="13310" max="13311" width="9.81640625" style="44" customWidth="1"/>
    <col min="13312" max="13312" width="11.1796875" style="44" customWidth="1"/>
    <col min="13313" max="13313" width="2.81640625" style="44" customWidth="1"/>
    <col min="13314" max="13314" width="3.54296875" style="44" customWidth="1"/>
    <col min="13315" max="13559" width="9.1796875" style="44"/>
    <col min="13560" max="13560" width="8.7265625" style="44" customWidth="1"/>
    <col min="13561" max="13561" width="9.81640625" style="44" customWidth="1"/>
    <col min="13562" max="13562" width="14.453125" style="44" customWidth="1"/>
    <col min="13563" max="13563" width="7.26953125" style="44" customWidth="1"/>
    <col min="13564" max="13564" width="5.54296875" style="44" customWidth="1"/>
    <col min="13565" max="13565" width="9" style="44" customWidth="1"/>
    <col min="13566" max="13567" width="9.81640625" style="44" customWidth="1"/>
    <col min="13568" max="13568" width="11.1796875" style="44" customWidth="1"/>
    <col min="13569" max="13569" width="2.81640625" style="44" customWidth="1"/>
    <col min="13570" max="13570" width="3.54296875" style="44" customWidth="1"/>
    <col min="13571" max="13815" width="9.1796875" style="44"/>
    <col min="13816" max="13816" width="8.7265625" style="44" customWidth="1"/>
    <col min="13817" max="13817" width="9.81640625" style="44" customWidth="1"/>
    <col min="13818" max="13818" width="14.453125" style="44" customWidth="1"/>
    <col min="13819" max="13819" width="7.26953125" style="44" customWidth="1"/>
    <col min="13820" max="13820" width="5.54296875" style="44" customWidth="1"/>
    <col min="13821" max="13821" width="9" style="44" customWidth="1"/>
    <col min="13822" max="13823" width="9.81640625" style="44" customWidth="1"/>
    <col min="13824" max="13824" width="11.1796875" style="44" customWidth="1"/>
    <col min="13825" max="13825" width="2.81640625" style="44" customWidth="1"/>
    <col min="13826" max="13826" width="3.54296875" style="44" customWidth="1"/>
    <col min="13827" max="14071" width="9.1796875" style="44"/>
    <col min="14072" max="14072" width="8.7265625" style="44" customWidth="1"/>
    <col min="14073" max="14073" width="9.81640625" style="44" customWidth="1"/>
    <col min="14074" max="14074" width="14.453125" style="44" customWidth="1"/>
    <col min="14075" max="14075" width="7.26953125" style="44" customWidth="1"/>
    <col min="14076" max="14076" width="5.54296875" style="44" customWidth="1"/>
    <col min="14077" max="14077" width="9" style="44" customWidth="1"/>
    <col min="14078" max="14079" width="9.81640625" style="44" customWidth="1"/>
    <col min="14080" max="14080" width="11.1796875" style="44" customWidth="1"/>
    <col min="14081" max="14081" width="2.81640625" style="44" customWidth="1"/>
    <col min="14082" max="14082" width="3.54296875" style="44" customWidth="1"/>
    <col min="14083" max="14327" width="9.1796875" style="44"/>
    <col min="14328" max="14328" width="8.7265625" style="44" customWidth="1"/>
    <col min="14329" max="14329" width="9.81640625" style="44" customWidth="1"/>
    <col min="14330" max="14330" width="14.453125" style="44" customWidth="1"/>
    <col min="14331" max="14331" width="7.26953125" style="44" customWidth="1"/>
    <col min="14332" max="14332" width="5.54296875" style="44" customWidth="1"/>
    <col min="14333" max="14333" width="9" style="44" customWidth="1"/>
    <col min="14334" max="14335" width="9.81640625" style="44" customWidth="1"/>
    <col min="14336" max="14336" width="11.1796875" style="44" customWidth="1"/>
    <col min="14337" max="14337" width="2.81640625" style="44" customWidth="1"/>
    <col min="14338" max="14338" width="3.54296875" style="44" customWidth="1"/>
    <col min="14339" max="14583" width="9.1796875" style="44"/>
    <col min="14584" max="14584" width="8.7265625" style="44" customWidth="1"/>
    <col min="14585" max="14585" width="9.81640625" style="44" customWidth="1"/>
    <col min="14586" max="14586" width="14.453125" style="44" customWidth="1"/>
    <col min="14587" max="14587" width="7.26953125" style="44" customWidth="1"/>
    <col min="14588" max="14588" width="5.54296875" style="44" customWidth="1"/>
    <col min="14589" max="14589" width="9" style="44" customWidth="1"/>
    <col min="14590" max="14591" width="9.81640625" style="44" customWidth="1"/>
    <col min="14592" max="14592" width="11.1796875" style="44" customWidth="1"/>
    <col min="14593" max="14593" width="2.81640625" style="44" customWidth="1"/>
    <col min="14594" max="14594" width="3.54296875" style="44" customWidth="1"/>
    <col min="14595" max="14839" width="9.1796875" style="44"/>
    <col min="14840" max="14840" width="8.7265625" style="44" customWidth="1"/>
    <col min="14841" max="14841" width="9.81640625" style="44" customWidth="1"/>
    <col min="14842" max="14842" width="14.453125" style="44" customWidth="1"/>
    <col min="14843" max="14843" width="7.26953125" style="44" customWidth="1"/>
    <col min="14844" max="14844" width="5.54296875" style="44" customWidth="1"/>
    <col min="14845" max="14845" width="9" style="44" customWidth="1"/>
    <col min="14846" max="14847" width="9.81640625" style="44" customWidth="1"/>
    <col min="14848" max="14848" width="11.1796875" style="44" customWidth="1"/>
    <col min="14849" max="14849" width="2.81640625" style="44" customWidth="1"/>
    <col min="14850" max="14850" width="3.54296875" style="44" customWidth="1"/>
    <col min="14851" max="15095" width="9.1796875" style="44"/>
    <col min="15096" max="15096" width="8.7265625" style="44" customWidth="1"/>
    <col min="15097" max="15097" width="9.81640625" style="44" customWidth="1"/>
    <col min="15098" max="15098" width="14.453125" style="44" customWidth="1"/>
    <col min="15099" max="15099" width="7.26953125" style="44" customWidth="1"/>
    <col min="15100" max="15100" width="5.54296875" style="44" customWidth="1"/>
    <col min="15101" max="15101" width="9" style="44" customWidth="1"/>
    <col min="15102" max="15103" width="9.81640625" style="44" customWidth="1"/>
    <col min="15104" max="15104" width="11.1796875" style="44" customWidth="1"/>
    <col min="15105" max="15105" width="2.81640625" style="44" customWidth="1"/>
    <col min="15106" max="15106" width="3.54296875" style="44" customWidth="1"/>
    <col min="15107" max="15351" width="9.1796875" style="44"/>
    <col min="15352" max="15352" width="8.7265625" style="44" customWidth="1"/>
    <col min="15353" max="15353" width="9.81640625" style="44" customWidth="1"/>
    <col min="15354" max="15354" width="14.453125" style="44" customWidth="1"/>
    <col min="15355" max="15355" width="7.26953125" style="44" customWidth="1"/>
    <col min="15356" max="15356" width="5.54296875" style="44" customWidth="1"/>
    <col min="15357" max="15357" width="9" style="44" customWidth="1"/>
    <col min="15358" max="15359" width="9.81640625" style="44" customWidth="1"/>
    <col min="15360" max="15360" width="11.1796875" style="44" customWidth="1"/>
    <col min="15361" max="15361" width="2.81640625" style="44" customWidth="1"/>
    <col min="15362" max="15362" width="3.54296875" style="44" customWidth="1"/>
    <col min="15363" max="15607" width="9.1796875" style="44"/>
    <col min="15608" max="15608" width="8.7265625" style="44" customWidth="1"/>
    <col min="15609" max="15609" width="9.81640625" style="44" customWidth="1"/>
    <col min="15610" max="15610" width="14.453125" style="44" customWidth="1"/>
    <col min="15611" max="15611" width="7.26953125" style="44" customWidth="1"/>
    <col min="15612" max="15612" width="5.54296875" style="44" customWidth="1"/>
    <col min="15613" max="15613" width="9" style="44" customWidth="1"/>
    <col min="15614" max="15615" width="9.81640625" style="44" customWidth="1"/>
    <col min="15616" max="15616" width="11.1796875" style="44" customWidth="1"/>
    <col min="15617" max="15617" width="2.81640625" style="44" customWidth="1"/>
    <col min="15618" max="15618" width="3.54296875" style="44" customWidth="1"/>
    <col min="15619" max="15863" width="9.1796875" style="44"/>
    <col min="15864" max="15864" width="8.7265625" style="44" customWidth="1"/>
    <col min="15865" max="15865" width="9.81640625" style="44" customWidth="1"/>
    <col min="15866" max="15866" width="14.453125" style="44" customWidth="1"/>
    <col min="15867" max="15867" width="7.26953125" style="44" customWidth="1"/>
    <col min="15868" max="15868" width="5.54296875" style="44" customWidth="1"/>
    <col min="15869" max="15869" width="9" style="44" customWidth="1"/>
    <col min="15870" max="15871" width="9.81640625" style="44" customWidth="1"/>
    <col min="15872" max="15872" width="11.1796875" style="44" customWidth="1"/>
    <col min="15873" max="15873" width="2.81640625" style="44" customWidth="1"/>
    <col min="15874" max="15874" width="3.54296875" style="44" customWidth="1"/>
    <col min="15875" max="16119" width="9.1796875" style="44"/>
    <col min="16120" max="16120" width="8.7265625" style="44" customWidth="1"/>
    <col min="16121" max="16121" width="9.81640625" style="44" customWidth="1"/>
    <col min="16122" max="16122" width="14.453125" style="44" customWidth="1"/>
    <col min="16123" max="16123" width="7.26953125" style="44" customWidth="1"/>
    <col min="16124" max="16124" width="5.54296875" style="44" customWidth="1"/>
    <col min="16125" max="16125" width="9" style="44" customWidth="1"/>
    <col min="16126" max="16127" width="9.81640625" style="44" customWidth="1"/>
    <col min="16128" max="16128" width="11.1796875" style="44" customWidth="1"/>
    <col min="16129" max="16129" width="2.81640625" style="44" customWidth="1"/>
    <col min="16130" max="16130" width="3.54296875" style="44" customWidth="1"/>
    <col min="16131" max="16384" width="9.1796875" style="44"/>
  </cols>
  <sheetData>
    <row r="1" spans="1:26" ht="46.5" customHeight="1">
      <c r="A1" s="231" t="s">
        <v>0</v>
      </c>
      <c r="B1" s="231"/>
      <c r="C1" s="231"/>
      <c r="D1" s="231"/>
      <c r="E1" s="231"/>
      <c r="F1" s="231"/>
      <c r="G1" s="231"/>
      <c r="H1" s="231"/>
    </row>
    <row r="2" spans="1:26" ht="16.5" customHeight="1">
      <c r="A2" s="232" t="s">
        <v>1</v>
      </c>
      <c r="B2" s="232"/>
      <c r="C2" s="232"/>
      <c r="D2" s="232"/>
      <c r="E2" s="232"/>
      <c r="F2" s="232"/>
      <c r="G2" s="232"/>
      <c r="H2" s="232"/>
    </row>
    <row r="3" spans="1:26">
      <c r="A3" s="101" t="s">
        <v>2</v>
      </c>
      <c r="B3" s="101"/>
      <c r="C3" s="101"/>
      <c r="D3" s="101"/>
      <c r="E3" s="101" t="str">
        <f ca="1">TEXT(TODAY(),"DD/MM/YYYY")</f>
        <v>04/07/2025</v>
      </c>
      <c r="F3" s="101"/>
      <c r="G3" s="101"/>
      <c r="H3" s="101"/>
      <c r="K3" s="24" t="s">
        <v>3</v>
      </c>
      <c r="L3" s="5" t="s">
        <v>4</v>
      </c>
      <c r="M3" s="5" t="s">
        <v>5</v>
      </c>
      <c r="N3" s="5" t="s">
        <v>6</v>
      </c>
      <c r="O3" s="5" t="s">
        <v>7</v>
      </c>
      <c r="P3" s="5" t="s">
        <v>8</v>
      </c>
    </row>
    <row r="4" spans="1:26" ht="15" customHeight="1">
      <c r="A4" s="101" t="s">
        <v>9</v>
      </c>
      <c r="B4" s="101"/>
      <c r="C4" s="101"/>
      <c r="D4" s="101"/>
      <c r="E4" s="101" t="s">
        <v>4</v>
      </c>
      <c r="F4" s="101"/>
      <c r="G4" s="101"/>
      <c r="H4" s="101"/>
      <c r="K4" s="1" t="s">
        <v>10</v>
      </c>
      <c r="L4" s="5" t="s">
        <v>11</v>
      </c>
      <c r="M4" s="5" t="s">
        <v>12</v>
      </c>
      <c r="N4" s="5" t="s">
        <v>13</v>
      </c>
      <c r="O4" s="5" t="s">
        <v>14</v>
      </c>
      <c r="P4" s="5"/>
    </row>
    <row r="5" spans="1:26" ht="15" customHeight="1">
      <c r="A5" s="101" t="s">
        <v>15</v>
      </c>
      <c r="B5" s="101"/>
      <c r="C5" s="101"/>
      <c r="D5" s="101"/>
      <c r="E5" s="101" t="s">
        <v>16</v>
      </c>
      <c r="F5" s="101"/>
      <c r="G5" s="101"/>
      <c r="H5" s="101"/>
      <c r="K5" s="1"/>
      <c r="L5" s="5" t="s">
        <v>17</v>
      </c>
      <c r="M5" s="5" t="s">
        <v>18</v>
      </c>
      <c r="N5" s="5" t="s">
        <v>19</v>
      </c>
      <c r="O5" s="5" t="s">
        <v>20</v>
      </c>
      <c r="P5" s="5"/>
    </row>
    <row r="6" spans="1:26">
      <c r="A6" s="101" t="s">
        <v>21</v>
      </c>
      <c r="B6" s="101"/>
      <c r="C6" s="101"/>
      <c r="D6" s="101"/>
      <c r="E6" s="233">
        <v>45841</v>
      </c>
      <c r="F6" s="101"/>
      <c r="G6" s="101"/>
      <c r="H6" s="101"/>
      <c r="K6" s="1"/>
      <c r="L6" s="5" t="s">
        <v>22</v>
      </c>
      <c r="M6" s="5"/>
      <c r="N6" s="5"/>
      <c r="O6" s="5" t="s">
        <v>23</v>
      </c>
      <c r="P6" s="5"/>
    </row>
    <row r="7" spans="1:26" ht="16.5" customHeight="1">
      <c r="A7" s="101" t="s">
        <v>24</v>
      </c>
      <c r="B7" s="101"/>
      <c r="C7" s="101"/>
      <c r="D7" s="101"/>
      <c r="E7" s="101" t="s">
        <v>25</v>
      </c>
      <c r="F7" s="101"/>
      <c r="G7" s="101"/>
      <c r="H7" s="101"/>
      <c r="K7" s="1"/>
      <c r="L7" s="5" t="s">
        <v>16</v>
      </c>
      <c r="M7" s="5"/>
      <c r="N7" s="5"/>
      <c r="O7" s="5" t="s">
        <v>23</v>
      </c>
      <c r="P7" s="5"/>
    </row>
    <row r="8" spans="1:26" ht="15" customHeight="1">
      <c r="A8" s="101" t="s">
        <v>26</v>
      </c>
      <c r="B8" s="101"/>
      <c r="C8" s="101"/>
      <c r="D8" s="101"/>
      <c r="E8" s="101" t="str">
        <f>E7</f>
        <v>M/s. Kendale Developers</v>
      </c>
      <c r="F8" s="101"/>
      <c r="G8" s="101"/>
      <c r="H8" s="101"/>
      <c r="K8" s="1"/>
      <c r="L8" s="5"/>
      <c r="M8" s="5"/>
      <c r="N8" s="5"/>
      <c r="O8" s="5" t="s">
        <v>27</v>
      </c>
      <c r="P8" s="5"/>
    </row>
    <row r="9" spans="1:26">
      <c r="A9" s="101" t="s">
        <v>28</v>
      </c>
      <c r="B9" s="101"/>
      <c r="C9" s="101"/>
      <c r="D9" s="101"/>
      <c r="E9" s="182" t="s">
        <v>29</v>
      </c>
      <c r="F9" s="182"/>
      <c r="G9" s="182"/>
      <c r="H9" s="182"/>
      <c r="K9" s="1"/>
      <c r="L9" s="5"/>
      <c r="M9" s="5"/>
      <c r="N9" s="5"/>
      <c r="O9" s="5" t="s">
        <v>30</v>
      </c>
      <c r="P9" s="5"/>
    </row>
    <row r="10" spans="1:26">
      <c r="A10" s="101" t="s">
        <v>31</v>
      </c>
      <c r="B10" s="101"/>
      <c r="C10" s="101"/>
      <c r="D10" s="101"/>
      <c r="E10" s="101" t="s">
        <v>32</v>
      </c>
      <c r="F10" s="101"/>
      <c r="G10" s="101"/>
      <c r="H10" s="101"/>
      <c r="K10" s="1"/>
      <c r="L10" s="5"/>
      <c r="M10" s="5"/>
      <c r="N10" s="5"/>
      <c r="O10" s="5" t="s">
        <v>33</v>
      </c>
      <c r="P10" s="5"/>
    </row>
    <row r="11" spans="1:26">
      <c r="A11" s="101" t="s">
        <v>34</v>
      </c>
      <c r="B11" s="101"/>
      <c r="C11" s="101"/>
      <c r="D11" s="101"/>
      <c r="E11" s="101" t="s">
        <v>39</v>
      </c>
      <c r="F11" s="101"/>
      <c r="G11" s="101"/>
      <c r="H11" s="101"/>
      <c r="O11" s="5" t="s">
        <v>35</v>
      </c>
    </row>
    <row r="12" spans="1:26">
      <c r="A12" s="101" t="s">
        <v>36</v>
      </c>
      <c r="B12" s="101"/>
      <c r="C12" s="101"/>
      <c r="D12" s="101"/>
      <c r="E12" s="101" t="s">
        <v>37</v>
      </c>
      <c r="F12" s="101"/>
      <c r="G12" s="101"/>
      <c r="H12" s="101"/>
    </row>
    <row r="13" spans="1:26">
      <c r="A13" s="101" t="s">
        <v>38</v>
      </c>
      <c r="B13" s="101"/>
      <c r="C13" s="101"/>
      <c r="D13" s="101"/>
      <c r="E13" s="101" t="s">
        <v>39</v>
      </c>
      <c r="F13" s="101"/>
      <c r="G13" s="101"/>
      <c r="H13" s="101"/>
      <c r="S13" s="5" t="s">
        <v>40</v>
      </c>
      <c r="T13" s="5" t="s">
        <v>41</v>
      </c>
      <c r="U13" s="5" t="s">
        <v>42</v>
      </c>
      <c r="V13" s="5" t="s">
        <v>43</v>
      </c>
      <c r="W13" s="5" t="s">
        <v>44</v>
      </c>
      <c r="X13"/>
      <c r="Y13" t="s">
        <v>43</v>
      </c>
      <c r="Z13" t="e">
        <f ca="1">OFFSET($S$13,1,MATCH($G20,$S$13:$W$13,0)-1,15,1)</f>
        <v>#VALUE!</v>
      </c>
    </row>
    <row r="14" spans="1:26">
      <c r="A14" s="228" t="s">
        <v>45</v>
      </c>
      <c r="B14" s="228"/>
      <c r="C14" s="228"/>
      <c r="D14" s="228"/>
      <c r="E14" s="188" t="s">
        <v>387</v>
      </c>
      <c r="F14" s="188"/>
      <c r="G14" s="188"/>
      <c r="H14" s="188"/>
      <c r="S14" s="5" t="s">
        <v>40</v>
      </c>
      <c r="T14" s="5" t="s">
        <v>47</v>
      </c>
      <c r="U14" s="5" t="s">
        <v>48</v>
      </c>
      <c r="V14" s="5" t="s">
        <v>49</v>
      </c>
      <c r="W14" s="5" t="s">
        <v>50</v>
      </c>
      <c r="X14"/>
      <c r="Y14"/>
      <c r="Z14"/>
    </row>
    <row r="15" spans="1:26">
      <c r="A15" s="131" t="s">
        <v>51</v>
      </c>
      <c r="B15" s="131"/>
      <c r="C15" s="131"/>
      <c r="D15" s="131"/>
      <c r="E15" s="188" t="s">
        <v>52</v>
      </c>
      <c r="F15" s="101"/>
      <c r="G15" s="101"/>
      <c r="H15" s="101"/>
      <c r="I15" s="229" t="e">
        <f ca="1">OFFSET($D$5,1,MATCH($J13,$D$5:$H$5,0)-1,15,1)</f>
        <v>#N/A</v>
      </c>
      <c r="J15" s="230"/>
      <c r="K15" s="230"/>
      <c r="L15" s="230"/>
      <c r="M15" s="230"/>
      <c r="N15" s="230"/>
      <c r="O15" s="230"/>
      <c r="P15" s="230"/>
      <c r="S15" s="5" t="s">
        <v>53</v>
      </c>
      <c r="T15" s="5" t="s">
        <v>54</v>
      </c>
      <c r="U15" s="5" t="s">
        <v>55</v>
      </c>
      <c r="V15" s="5" t="s">
        <v>56</v>
      </c>
      <c r="W15" s="5" t="s">
        <v>57</v>
      </c>
      <c r="X15"/>
      <c r="Y15"/>
      <c r="Z15"/>
    </row>
    <row r="16" spans="1:26" ht="48.75" customHeight="1">
      <c r="A16" s="100" t="s">
        <v>58</v>
      </c>
      <c r="B16" s="100"/>
      <c r="C16" s="100" t="str">
        <f>CONCATENATE((IF(OR(E9="",E9="NA"),"",E9)),", ",(IF(OR(A17="",A17="NA"),"",A17)),".",(IF(OR(C17="",C17="NA"),"",C17)),", near ",(IF(OR(C22="",C22="NA"),"",C22)),", ",(IF(OR(C19="",C19="NA"),"",C19)),", ",(IF(OR(C18="",C18="NA"),"",C18)),", ",(IF(OR(G19="",G19="NA"),"",G19)),", ",(IF(OR(C20="",C20="NA"),"",C20)),", ",(IF(OR(C21="",C21="NA"),"",C21)),", ",(IF(OR(G20="",G20="NA"),"",G20))," - ",(IF(OR(G21="",G21="NA"),"",G21)),".")</f>
        <v>Kendale Emeralds Phase III, Survey No.69/2/2 &amp; Plot No. 14, 15, 16, near Samay Nagri CHS, Ambernath - Badlapur Road, Katrap, Belavali, Badlapur West, Ambernath, Thane - 421503.</v>
      </c>
      <c r="D16" s="100"/>
      <c r="E16" s="100"/>
      <c r="F16" s="100"/>
      <c r="G16" s="100"/>
      <c r="H16" s="100"/>
      <c r="S16" s="5" t="s">
        <v>59</v>
      </c>
      <c r="T16" s="5" t="s">
        <v>60</v>
      </c>
      <c r="U16" s="5" t="s">
        <v>61</v>
      </c>
      <c r="V16" s="5" t="s">
        <v>62</v>
      </c>
      <c r="W16" s="5" t="s">
        <v>63</v>
      </c>
      <c r="X16"/>
      <c r="Y16"/>
      <c r="Z16"/>
    </row>
    <row r="17" spans="1:26">
      <c r="A17" s="188" t="s">
        <v>64</v>
      </c>
      <c r="B17" s="188"/>
      <c r="C17" s="188" t="s">
        <v>65</v>
      </c>
      <c r="D17" s="188"/>
      <c r="E17" s="188"/>
      <c r="F17" s="188"/>
      <c r="G17" s="188"/>
      <c r="H17" s="188"/>
      <c r="S17" s="5" t="s">
        <v>66</v>
      </c>
      <c r="T17" s="5" t="s">
        <v>67</v>
      </c>
      <c r="U17" s="5" t="s">
        <v>42</v>
      </c>
      <c r="V17" s="5" t="s">
        <v>68</v>
      </c>
      <c r="W17" s="5" t="s">
        <v>69</v>
      </c>
      <c r="X17"/>
      <c r="Y17"/>
      <c r="Z17"/>
    </row>
    <row r="18" spans="1:26" ht="15.75" customHeight="1">
      <c r="A18" s="188" t="s">
        <v>70</v>
      </c>
      <c r="B18" s="188"/>
      <c r="C18" s="188" t="s">
        <v>71</v>
      </c>
      <c r="D18" s="188"/>
      <c r="E18" s="188"/>
      <c r="F18" s="188"/>
      <c r="G18" s="188"/>
      <c r="H18" s="188"/>
      <c r="S18" s="5" t="s">
        <v>72</v>
      </c>
      <c r="T18" s="5" t="s">
        <v>41</v>
      </c>
      <c r="U18" s="5"/>
      <c r="V18" s="5" t="s">
        <v>73</v>
      </c>
      <c r="W18" s="5" t="s">
        <v>74</v>
      </c>
      <c r="X18"/>
      <c r="Y18"/>
      <c r="Z18"/>
    </row>
    <row r="19" spans="1:26" ht="33.75" customHeight="1">
      <c r="A19" s="100" t="s">
        <v>75</v>
      </c>
      <c r="B19" s="100"/>
      <c r="C19" s="188" t="s">
        <v>399</v>
      </c>
      <c r="D19" s="188"/>
      <c r="E19" s="188" t="s">
        <v>76</v>
      </c>
      <c r="F19" s="188"/>
      <c r="G19" s="188" t="s">
        <v>77</v>
      </c>
      <c r="H19" s="188"/>
      <c r="S19" s="5" t="s">
        <v>78</v>
      </c>
      <c r="T19" s="5" t="s">
        <v>79</v>
      </c>
      <c r="U19" s="5"/>
      <c r="V19" s="5" t="s">
        <v>80</v>
      </c>
      <c r="W19" s="5" t="s">
        <v>81</v>
      </c>
      <c r="X19"/>
      <c r="Y19"/>
      <c r="Z19"/>
    </row>
    <row r="20" spans="1:26">
      <c r="A20" s="131" t="s">
        <v>82</v>
      </c>
      <c r="B20" s="131"/>
      <c r="C20" s="188" t="s">
        <v>83</v>
      </c>
      <c r="D20" s="188"/>
      <c r="E20" s="188" t="s">
        <v>84</v>
      </c>
      <c r="F20" s="188"/>
      <c r="G20" s="227" t="s">
        <v>40</v>
      </c>
      <c r="H20" s="227"/>
      <c r="S20" s="5" t="s">
        <v>85</v>
      </c>
      <c r="T20" s="5" t="s">
        <v>86</v>
      </c>
      <c r="U20" s="5"/>
      <c r="V20" s="5" t="s">
        <v>87</v>
      </c>
      <c r="W20" s="5" t="s">
        <v>88</v>
      </c>
      <c r="X20"/>
      <c r="Y20"/>
      <c r="Z20"/>
    </row>
    <row r="21" spans="1:26">
      <c r="A21" s="131" t="s">
        <v>89</v>
      </c>
      <c r="B21" s="131"/>
      <c r="C21" s="188" t="s">
        <v>78</v>
      </c>
      <c r="D21" s="188"/>
      <c r="E21" s="188" t="s">
        <v>90</v>
      </c>
      <c r="F21" s="188"/>
      <c r="G21" s="188">
        <v>421503</v>
      </c>
      <c r="H21" s="188"/>
      <c r="S21" s="5"/>
      <c r="T21" s="5"/>
      <c r="U21" s="5"/>
      <c r="V21" s="5" t="s">
        <v>91</v>
      </c>
      <c r="W21" s="5" t="s">
        <v>92</v>
      </c>
      <c r="X21"/>
      <c r="Y21"/>
      <c r="Z21"/>
    </row>
    <row r="22" spans="1:26" ht="32.25" customHeight="1">
      <c r="A22" s="131" t="s">
        <v>93</v>
      </c>
      <c r="B22" s="131"/>
      <c r="C22" s="188" t="s">
        <v>94</v>
      </c>
      <c r="D22" s="188"/>
      <c r="E22" s="188" t="s">
        <v>95</v>
      </c>
      <c r="F22" s="188"/>
      <c r="G22" s="188" t="s">
        <v>96</v>
      </c>
      <c r="H22" s="188"/>
      <c r="S22" s="5"/>
      <c r="T22" s="5"/>
      <c r="U22" s="5"/>
      <c r="V22" s="5" t="s">
        <v>97</v>
      </c>
      <c r="W22" s="5" t="s">
        <v>98</v>
      </c>
      <c r="X22"/>
      <c r="Y22"/>
      <c r="Z22"/>
    </row>
    <row r="23" spans="1:26" ht="15" customHeight="1">
      <c r="A23" s="100" t="s">
        <v>99</v>
      </c>
      <c r="B23" s="100"/>
      <c r="C23" s="100"/>
      <c r="D23" s="100"/>
      <c r="E23" s="101" t="s">
        <v>100</v>
      </c>
      <c r="F23" s="101"/>
      <c r="G23" s="101"/>
      <c r="H23" s="101"/>
      <c r="S23" s="5"/>
      <c r="T23" s="5"/>
      <c r="U23" s="5"/>
      <c r="V23" s="5" t="s">
        <v>101</v>
      </c>
      <c r="W23" s="5" t="s">
        <v>102</v>
      </c>
      <c r="X23"/>
      <c r="Y23"/>
      <c r="Z23"/>
    </row>
    <row r="24" spans="1:26" ht="18.75" customHeight="1">
      <c r="A24" s="100"/>
      <c r="B24" s="100"/>
      <c r="C24" s="100"/>
      <c r="D24" s="100"/>
      <c r="E24" s="101"/>
      <c r="F24" s="101"/>
      <c r="G24" s="101"/>
      <c r="H24" s="101"/>
      <c r="S24" s="5"/>
      <c r="T24" s="5"/>
      <c r="U24" s="5"/>
      <c r="V24" s="5" t="s">
        <v>103</v>
      </c>
      <c r="W24" s="5" t="s">
        <v>104</v>
      </c>
      <c r="X24"/>
      <c r="Y24"/>
      <c r="Z24"/>
    </row>
    <row r="25" spans="1:26" ht="15" customHeight="1">
      <c r="A25" s="100" t="s">
        <v>105</v>
      </c>
      <c r="B25" s="100"/>
      <c r="C25" s="100"/>
      <c r="D25" s="100"/>
      <c r="E25" s="188" t="s">
        <v>106</v>
      </c>
      <c r="F25" s="188"/>
      <c r="G25" s="188"/>
      <c r="H25" s="188"/>
      <c r="S25" s="5"/>
      <c r="T25" s="5"/>
      <c r="U25" s="5"/>
      <c r="V25" s="5" t="s">
        <v>107</v>
      </c>
      <c r="W25" s="5" t="s">
        <v>108</v>
      </c>
      <c r="X25"/>
      <c r="Y25"/>
      <c r="Z25"/>
    </row>
    <row r="26" spans="1:26" ht="15" customHeight="1">
      <c r="A26" s="131" t="s">
        <v>109</v>
      </c>
      <c r="B26" s="131"/>
      <c r="C26" s="131"/>
      <c r="D26" s="131"/>
      <c r="E26" s="188" t="str">
        <f>IF(AND(G20="Mumbai"),"Upper Class","Middle Class")</f>
        <v>Middle Class</v>
      </c>
      <c r="F26" s="188"/>
      <c r="G26" s="188"/>
      <c r="H26" s="188"/>
      <c r="S26" s="5"/>
      <c r="T26" s="5"/>
      <c r="U26" s="5"/>
      <c r="V26" s="5" t="s">
        <v>110</v>
      </c>
      <c r="W26" s="5" t="s">
        <v>111</v>
      </c>
      <c r="X26"/>
      <c r="Y26"/>
      <c r="Z26"/>
    </row>
    <row r="27" spans="1:26">
      <c r="A27" s="131" t="s">
        <v>112</v>
      </c>
      <c r="B27" s="131"/>
      <c r="C27" s="131"/>
      <c r="D27" s="131"/>
      <c r="E27" s="188" t="s">
        <v>113</v>
      </c>
      <c r="F27" s="188"/>
      <c r="G27" s="188"/>
      <c r="H27" s="188"/>
      <c r="S27" s="5"/>
      <c r="T27" s="5"/>
      <c r="U27" s="5"/>
      <c r="V27" s="5" t="s">
        <v>114</v>
      </c>
      <c r="W27" s="5" t="s">
        <v>115</v>
      </c>
      <c r="X27"/>
      <c r="Y27"/>
      <c r="Z27"/>
    </row>
    <row r="28" spans="1:26" ht="15.75" customHeight="1">
      <c r="A28" s="131" t="s">
        <v>116</v>
      </c>
      <c r="B28" s="131"/>
      <c r="C28" s="131"/>
      <c r="D28" s="131"/>
      <c r="E28" s="188" t="str">
        <f>IF(AND(G20="Mumbai"),"Developed","Developing")</f>
        <v>Developing</v>
      </c>
      <c r="F28" s="188"/>
      <c r="G28" s="188"/>
      <c r="H28" s="188"/>
    </row>
    <row r="29" spans="1:26">
      <c r="A29" s="131" t="s">
        <v>117</v>
      </c>
      <c r="B29" s="131"/>
      <c r="C29" s="131"/>
      <c r="D29" s="131"/>
      <c r="E29" s="188" t="s">
        <v>118</v>
      </c>
      <c r="F29" s="188"/>
      <c r="G29" s="188"/>
      <c r="H29" s="188"/>
    </row>
    <row r="30" spans="1:26" ht="15.75" customHeight="1">
      <c r="A30" s="131" t="s">
        <v>119</v>
      </c>
      <c r="B30" s="131"/>
      <c r="C30" s="131"/>
      <c r="D30" s="131"/>
      <c r="E30" s="188" t="s">
        <v>120</v>
      </c>
      <c r="F30" s="188"/>
      <c r="G30" s="188"/>
      <c r="H30" s="188"/>
    </row>
    <row r="31" spans="1:26" ht="15" customHeight="1">
      <c r="A31" s="131" t="s">
        <v>121</v>
      </c>
      <c r="B31" s="131"/>
      <c r="C31" s="131"/>
      <c r="D31" s="131"/>
      <c r="E31" s="18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88"/>
      <c r="G31" s="188"/>
      <c r="H31" s="188"/>
    </row>
    <row r="32" spans="1:26" ht="15.75" customHeight="1">
      <c r="A32" s="131" t="s">
        <v>122</v>
      </c>
      <c r="B32" s="131"/>
      <c r="C32" s="131"/>
      <c r="D32" s="131"/>
      <c r="E32" s="188" t="s">
        <v>123</v>
      </c>
      <c r="F32" s="188"/>
      <c r="G32" s="188"/>
      <c r="H32" s="188"/>
    </row>
    <row r="33" spans="1:19" s="37" customFormat="1">
      <c r="A33" s="223" t="s">
        <v>124</v>
      </c>
      <c r="B33" s="223"/>
      <c r="C33" s="224" t="s">
        <v>125</v>
      </c>
      <c r="D33" s="225"/>
      <c r="E33" s="226"/>
      <c r="F33" s="224" t="s">
        <v>126</v>
      </c>
      <c r="G33" s="225"/>
      <c r="H33" s="226"/>
      <c r="S33" s="37" t="e">
        <f ca="1">OFFSET($S$13,1,MATCH($G20,$S$13:$W$13,0)-1,15,1)</f>
        <v>#VALUE!</v>
      </c>
    </row>
    <row r="34" spans="1:19" s="37" customFormat="1">
      <c r="A34" s="218" t="s">
        <v>127</v>
      </c>
      <c r="B34" s="218" t="s">
        <v>39</v>
      </c>
      <c r="C34" s="219" t="s">
        <v>128</v>
      </c>
      <c r="D34" s="220"/>
      <c r="E34" s="221"/>
      <c r="F34" s="219" t="s">
        <v>75</v>
      </c>
      <c r="G34" s="220"/>
      <c r="H34" s="221"/>
    </row>
    <row r="35" spans="1:19">
      <c r="A35" s="218" t="s">
        <v>129</v>
      </c>
      <c r="B35" s="218" t="s">
        <v>39</v>
      </c>
      <c r="C35" s="219" t="s">
        <v>130</v>
      </c>
      <c r="D35" s="220"/>
      <c r="E35" s="221"/>
      <c r="F35" s="219" t="s">
        <v>131</v>
      </c>
      <c r="G35" s="220"/>
      <c r="H35" s="221"/>
    </row>
    <row r="36" spans="1:19" s="37" customFormat="1">
      <c r="A36" s="218" t="s">
        <v>132</v>
      </c>
      <c r="B36" s="218" t="s">
        <v>39</v>
      </c>
      <c r="C36" s="219" t="s">
        <v>133</v>
      </c>
      <c r="D36" s="220"/>
      <c r="E36" s="221"/>
      <c r="F36" s="219" t="s">
        <v>134</v>
      </c>
      <c r="G36" s="220"/>
      <c r="H36" s="221"/>
    </row>
    <row r="37" spans="1:19">
      <c r="A37" s="218" t="s">
        <v>135</v>
      </c>
      <c r="B37" s="218" t="s">
        <v>39</v>
      </c>
      <c r="C37" s="219" t="s">
        <v>136</v>
      </c>
      <c r="D37" s="220"/>
      <c r="E37" s="221"/>
      <c r="F37" s="219" t="s">
        <v>75</v>
      </c>
      <c r="G37" s="220"/>
      <c r="H37" s="221"/>
    </row>
    <row r="38" spans="1:19">
      <c r="A38" s="131" t="s">
        <v>137</v>
      </c>
      <c r="B38" s="131"/>
      <c r="C38" s="131"/>
      <c r="D38" s="131"/>
      <c r="E38" s="131"/>
      <c r="F38" s="131"/>
      <c r="G38" s="131"/>
      <c r="H38" s="131"/>
    </row>
    <row r="39" spans="1:19" ht="15.75" customHeight="1">
      <c r="A39" s="131" t="s">
        <v>138</v>
      </c>
      <c r="B39" s="131"/>
      <c r="C39" s="172" t="s">
        <v>139</v>
      </c>
      <c r="D39" s="172"/>
      <c r="E39" s="172"/>
      <c r="F39" s="172"/>
      <c r="G39" s="172"/>
      <c r="H39" s="172"/>
    </row>
    <row r="40" spans="1:19">
      <c r="A40" s="131" t="s">
        <v>140</v>
      </c>
      <c r="B40" s="131"/>
      <c r="C40" s="222" t="s">
        <v>141</v>
      </c>
      <c r="D40" s="188"/>
      <c r="E40" s="188"/>
      <c r="F40" s="188"/>
      <c r="G40" s="188"/>
      <c r="H40" s="188"/>
    </row>
    <row r="41" spans="1:19">
      <c r="A41" s="172" t="s">
        <v>142</v>
      </c>
      <c r="B41" s="172"/>
      <c r="C41" s="172"/>
      <c r="D41" s="172"/>
      <c r="E41" s="172"/>
      <c r="F41" s="172"/>
      <c r="G41" s="172"/>
      <c r="H41" s="172"/>
    </row>
    <row r="42" spans="1:19">
      <c r="A42" s="131" t="s">
        <v>143</v>
      </c>
      <c r="B42" s="131"/>
      <c r="C42" s="131"/>
      <c r="D42" s="131"/>
      <c r="E42" s="215">
        <v>754</v>
      </c>
      <c r="F42" s="215"/>
      <c r="G42" s="215"/>
      <c r="H42" s="215"/>
    </row>
    <row r="43" spans="1:19">
      <c r="A43" s="131" t="s">
        <v>144</v>
      </c>
      <c r="B43" s="131"/>
      <c r="C43" s="131"/>
      <c r="D43" s="131"/>
      <c r="E43" s="216">
        <f>829.4/E42</f>
        <v>1.0999999999999999</v>
      </c>
      <c r="F43" s="216"/>
      <c r="G43" s="216"/>
      <c r="H43" s="216"/>
    </row>
    <row r="44" spans="1:19">
      <c r="A44" s="131" t="s">
        <v>145</v>
      </c>
      <c r="B44" s="131"/>
      <c r="C44" s="131"/>
      <c r="D44" s="131"/>
      <c r="E44" s="216">
        <f>E46/E42-E43</f>
        <v>2.0668965517241382</v>
      </c>
      <c r="F44" s="216"/>
      <c r="G44" s="216"/>
      <c r="H44" s="216"/>
    </row>
    <row r="45" spans="1:19">
      <c r="A45" s="131" t="s">
        <v>146</v>
      </c>
      <c r="B45" s="131"/>
      <c r="C45" s="131"/>
      <c r="D45" s="131"/>
      <c r="E45" s="216">
        <f>E43+E44</f>
        <v>3.1668965517241379</v>
      </c>
      <c r="F45" s="216"/>
      <c r="G45" s="216"/>
      <c r="H45" s="216"/>
    </row>
    <row r="46" spans="1:19">
      <c r="A46" s="131" t="s">
        <v>147</v>
      </c>
      <c r="B46" s="131"/>
      <c r="C46" s="131"/>
      <c r="D46" s="131"/>
      <c r="E46" s="217">
        <v>2387.84</v>
      </c>
      <c r="F46" s="217"/>
      <c r="G46" s="217"/>
      <c r="H46" s="217"/>
    </row>
    <row r="47" spans="1:19">
      <c r="A47" s="101" t="s">
        <v>148</v>
      </c>
      <c r="B47" s="101"/>
      <c r="C47" s="101"/>
      <c r="D47" s="101"/>
      <c r="E47" s="101" t="s">
        <v>37</v>
      </c>
      <c r="F47" s="101"/>
      <c r="G47" s="101"/>
      <c r="H47" s="101"/>
    </row>
    <row r="48" spans="1:19">
      <c r="A48" s="172" t="s">
        <v>149</v>
      </c>
      <c r="B48" s="172"/>
      <c r="C48" s="172"/>
      <c r="D48" s="172"/>
      <c r="E48" s="172"/>
      <c r="F48" s="172"/>
      <c r="G48" s="172"/>
      <c r="H48" s="172"/>
    </row>
    <row r="49" spans="1:24" ht="33.75" customHeight="1">
      <c r="A49" s="200" t="s">
        <v>150</v>
      </c>
      <c r="B49" s="202"/>
      <c r="C49" s="212" t="s">
        <v>151</v>
      </c>
      <c r="D49" s="213"/>
      <c r="E49" s="213"/>
      <c r="F49" s="213"/>
      <c r="G49" s="213"/>
      <c r="H49" s="214"/>
      <c r="R49" t="s">
        <v>152</v>
      </c>
      <c r="S49" s="10" t="s">
        <v>42</v>
      </c>
      <c r="T49" s="10" t="s">
        <v>40</v>
      </c>
      <c r="U49" s="10" t="s">
        <v>43</v>
      </c>
      <c r="V49" s="10" t="s">
        <v>41</v>
      </c>
    </row>
    <row r="50" spans="1:24" ht="15.75" customHeight="1">
      <c r="A50" s="200" t="s">
        <v>153</v>
      </c>
      <c r="B50" s="202"/>
      <c r="C50" s="200" t="s">
        <v>154</v>
      </c>
      <c r="D50" s="201"/>
      <c r="E50" s="202"/>
      <c r="F50" s="45" t="s">
        <v>155</v>
      </c>
      <c r="G50" s="208">
        <v>44890</v>
      </c>
      <c r="H50" s="202"/>
      <c r="R50"/>
      <c r="S50" s="10" t="s">
        <v>156</v>
      </c>
      <c r="T50" s="10" t="s">
        <v>157</v>
      </c>
      <c r="U50" s="10" t="s">
        <v>158</v>
      </c>
      <c r="V50" s="10" t="s">
        <v>159</v>
      </c>
    </row>
    <row r="51" spans="1:24">
      <c r="A51" s="200" t="s">
        <v>160</v>
      </c>
      <c r="B51" s="202"/>
      <c r="C51" s="200" t="str">
        <f>C50</f>
        <v>KBNP/NRV/BD/692-155</v>
      </c>
      <c r="D51" s="201"/>
      <c r="E51" s="202"/>
      <c r="F51" s="45" t="s">
        <v>155</v>
      </c>
      <c r="G51" s="208">
        <v>44890</v>
      </c>
      <c r="H51" s="202"/>
      <c r="R51"/>
      <c r="S51" s="10" t="s">
        <v>161</v>
      </c>
      <c r="T51" s="10" t="s">
        <v>162</v>
      </c>
      <c r="U51" s="10" t="s">
        <v>163</v>
      </c>
      <c r="V51" s="10" t="s">
        <v>164</v>
      </c>
    </row>
    <row r="52" spans="1:24" s="38" customFormat="1" ht="33" customHeight="1">
      <c r="A52" s="102" t="s">
        <v>165</v>
      </c>
      <c r="B52" s="103"/>
      <c r="C52" s="200" t="s">
        <v>166</v>
      </c>
      <c r="D52" s="201"/>
      <c r="E52" s="202"/>
      <c r="F52" s="45" t="s">
        <v>155</v>
      </c>
      <c r="G52" s="208">
        <v>44890</v>
      </c>
      <c r="H52" s="202"/>
      <c r="R52"/>
      <c r="S52" s="10" t="s">
        <v>167</v>
      </c>
      <c r="T52" s="10" t="s">
        <v>168</v>
      </c>
      <c r="U52" s="10" t="s">
        <v>169</v>
      </c>
      <c r="V52" s="10" t="s">
        <v>170</v>
      </c>
    </row>
    <row r="53" spans="1:24" s="38" customFormat="1">
      <c r="A53" s="104"/>
      <c r="B53" s="105"/>
      <c r="C53" s="200" t="s">
        <v>394</v>
      </c>
      <c r="D53" s="201"/>
      <c r="E53" s="201"/>
      <c r="F53" s="201"/>
      <c r="G53" s="201"/>
      <c r="H53" s="202"/>
      <c r="R53"/>
      <c r="S53" s="10" t="s">
        <v>171</v>
      </c>
      <c r="T53" s="10" t="s">
        <v>172</v>
      </c>
      <c r="U53" s="10" t="s">
        <v>173</v>
      </c>
      <c r="V53" s="48"/>
    </row>
    <row r="54" spans="1:24" s="38" customFormat="1" hidden="1">
      <c r="A54" s="96" t="s">
        <v>174</v>
      </c>
      <c r="B54" s="97"/>
      <c r="C54" s="200" t="str">
        <f>C53</f>
        <v>(Phase III) = Gr/St + 1st to 7th Floor</v>
      </c>
      <c r="D54" s="201"/>
      <c r="E54" s="202"/>
      <c r="F54" s="45" t="s">
        <v>155</v>
      </c>
      <c r="G54" s="200"/>
      <c r="H54" s="202"/>
      <c r="R54"/>
      <c r="S54" s="10" t="s">
        <v>167</v>
      </c>
      <c r="T54" s="10" t="s">
        <v>168</v>
      </c>
      <c r="U54" s="10" t="s">
        <v>169</v>
      </c>
      <c r="V54" s="10" t="s">
        <v>170</v>
      </c>
    </row>
    <row r="55" spans="1:24" s="38" customFormat="1" ht="32.25" hidden="1" customHeight="1">
      <c r="A55" s="98"/>
      <c r="B55" s="99"/>
      <c r="C55" s="209"/>
      <c r="D55" s="210"/>
      <c r="E55" s="210"/>
      <c r="F55" s="210"/>
      <c r="G55" s="210"/>
      <c r="H55" s="211"/>
      <c r="R55"/>
      <c r="S55" s="10" t="s">
        <v>169</v>
      </c>
      <c r="T55" s="10" t="s">
        <v>151</v>
      </c>
      <c r="U55" s="10" t="s">
        <v>175</v>
      </c>
      <c r="V55" s="49"/>
      <c r="W55" s="44"/>
      <c r="X55" s="44"/>
    </row>
    <row r="56" spans="1:24" s="38" customFormat="1" ht="34.5" hidden="1" customHeight="1">
      <c r="A56" s="96" t="s">
        <v>176</v>
      </c>
      <c r="B56" s="97"/>
      <c r="C56" s="200">
        <f>C55</f>
        <v>0</v>
      </c>
      <c r="D56" s="201"/>
      <c r="E56" s="202"/>
      <c r="F56" s="45" t="s">
        <v>155</v>
      </c>
      <c r="G56" s="200">
        <f>G55</f>
        <v>0</v>
      </c>
      <c r="H56" s="202"/>
      <c r="R56"/>
      <c r="S56" s="49"/>
      <c r="T56" s="10" t="s">
        <v>177</v>
      </c>
      <c r="U56" s="10" t="s">
        <v>178</v>
      </c>
      <c r="V56" s="49"/>
      <c r="W56" s="44"/>
      <c r="X56" s="44"/>
    </row>
    <row r="57" spans="1:24" s="38" customFormat="1" ht="41.25" hidden="1" customHeight="1">
      <c r="A57" s="98"/>
      <c r="B57" s="99"/>
      <c r="C57" s="200"/>
      <c r="D57" s="201"/>
      <c r="E57" s="201"/>
      <c r="F57" s="201"/>
      <c r="G57" s="201"/>
      <c r="H57" s="202"/>
      <c r="R57"/>
      <c r="S57" s="49"/>
      <c r="T57" s="10" t="s">
        <v>179</v>
      </c>
      <c r="U57" s="10" t="s">
        <v>180</v>
      </c>
      <c r="V57" s="49"/>
      <c r="W57" s="44"/>
      <c r="X57" s="44"/>
    </row>
    <row r="58" spans="1:24" s="38" customFormat="1" ht="15.75" hidden="1" customHeight="1">
      <c r="A58" s="96" t="s">
        <v>181</v>
      </c>
      <c r="B58" s="97"/>
      <c r="C58" s="200">
        <f>C57</f>
        <v>0</v>
      </c>
      <c r="D58" s="201"/>
      <c r="E58" s="202"/>
      <c r="F58" s="45" t="s">
        <v>155</v>
      </c>
      <c r="G58" s="200">
        <f>G57</f>
        <v>0</v>
      </c>
      <c r="H58" s="202"/>
      <c r="R58"/>
      <c r="S58" s="49"/>
      <c r="T58" s="10" t="s">
        <v>182</v>
      </c>
      <c r="U58" s="49" t="s">
        <v>183</v>
      </c>
      <c r="V58" s="49"/>
      <c r="W58" s="44"/>
      <c r="X58" s="44"/>
    </row>
    <row r="59" spans="1:24" s="38" customFormat="1" ht="33.75" hidden="1" customHeight="1">
      <c r="A59" s="98"/>
      <c r="B59" s="99"/>
      <c r="C59" s="200"/>
      <c r="D59" s="201"/>
      <c r="E59" s="201"/>
      <c r="F59" s="201"/>
      <c r="G59" s="201"/>
      <c r="H59" s="202"/>
      <c r="R59"/>
      <c r="S59" s="49"/>
      <c r="T59" s="10" t="s">
        <v>184</v>
      </c>
      <c r="U59" s="49"/>
      <c r="V59" s="49"/>
      <c r="W59" s="44"/>
      <c r="X59" s="44"/>
    </row>
    <row r="60" spans="1:24">
      <c r="A60" s="203" t="s">
        <v>185</v>
      </c>
      <c r="B60" s="204"/>
      <c r="C60" s="203" t="s">
        <v>186</v>
      </c>
      <c r="D60" s="205"/>
      <c r="E60" s="204"/>
      <c r="F60" s="46" t="s">
        <v>155</v>
      </c>
      <c r="G60" s="206" t="s">
        <v>39</v>
      </c>
      <c r="H60" s="207"/>
      <c r="R60"/>
      <c r="S60" s="49"/>
      <c r="T60" s="10" t="s">
        <v>187</v>
      </c>
      <c r="U60" s="49"/>
      <c r="V60" s="49"/>
    </row>
    <row r="61" spans="1:24">
      <c r="A61" s="141" t="s">
        <v>188</v>
      </c>
      <c r="B61" s="141"/>
      <c r="C61" s="141"/>
      <c r="D61" s="141"/>
      <c r="E61" s="141"/>
      <c r="F61" s="141"/>
      <c r="G61" s="141"/>
      <c r="H61" s="141"/>
      <c r="S61" s="49"/>
      <c r="T61" s="10" t="s">
        <v>189</v>
      </c>
      <c r="U61" s="49"/>
      <c r="V61" s="49"/>
    </row>
    <row r="62" spans="1:24">
      <c r="A62" s="100" t="s">
        <v>190</v>
      </c>
      <c r="B62" s="100"/>
      <c r="C62" s="100"/>
      <c r="D62" s="131">
        <f>E46</f>
        <v>2387.84</v>
      </c>
      <c r="E62" s="131"/>
      <c r="F62" s="131"/>
      <c r="G62" s="131"/>
      <c r="H62" s="131"/>
      <c r="R62"/>
    </row>
    <row r="63" spans="1:24">
      <c r="A63" s="192" t="s">
        <v>191</v>
      </c>
      <c r="B63" s="193"/>
      <c r="C63" s="193"/>
      <c r="D63" s="101" t="s">
        <v>192</v>
      </c>
      <c r="E63" s="101"/>
      <c r="F63" s="101"/>
      <c r="G63" s="101"/>
      <c r="H63" s="101"/>
      <c r="I63" s="47"/>
      <c r="R63"/>
    </row>
    <row r="64" spans="1:24">
      <c r="A64" s="194" t="s">
        <v>193</v>
      </c>
      <c r="B64" s="195"/>
      <c r="C64" s="196"/>
      <c r="D64" s="190" t="s">
        <v>389</v>
      </c>
      <c r="E64" s="197"/>
      <c r="F64" s="197"/>
      <c r="G64" s="197"/>
      <c r="H64" s="197"/>
      <c r="R64"/>
    </row>
    <row r="65" spans="1:19" ht="15.75" customHeight="1">
      <c r="A65" s="194" t="s">
        <v>194</v>
      </c>
      <c r="B65" s="195"/>
      <c r="C65" s="195"/>
      <c r="D65" s="188" t="s">
        <v>389</v>
      </c>
      <c r="E65" s="101"/>
      <c r="F65" s="101"/>
      <c r="G65" s="101"/>
      <c r="H65" s="101"/>
      <c r="R65"/>
    </row>
    <row r="66" spans="1:19" ht="15.75" customHeight="1">
      <c r="A66" s="131" t="s">
        <v>195</v>
      </c>
      <c r="B66" s="131"/>
      <c r="C66" s="131"/>
      <c r="D66" s="198" t="s">
        <v>196</v>
      </c>
      <c r="E66" s="198"/>
      <c r="F66" s="198"/>
      <c r="G66" s="198"/>
      <c r="H66" s="198"/>
      <c r="J66" s="61"/>
      <c r="K66" s="47"/>
      <c r="N66" s="47"/>
      <c r="S66"/>
    </row>
    <row r="67" spans="1:19" ht="15.75" customHeight="1">
      <c r="A67" s="131" t="s">
        <v>197</v>
      </c>
      <c r="B67" s="131"/>
      <c r="C67" s="131"/>
      <c r="D67" s="199" t="str">
        <f>(IF(G60="NA","60 Years After Completion",IF(G60&lt;&gt;"NA",""&amp;60-ROUNDDOWN((E3-G60)/360,0)&amp;" Years"," ")))</f>
        <v>60 Years After Completion</v>
      </c>
      <c r="E67" s="199"/>
      <c r="F67" s="199"/>
      <c r="G67" s="199"/>
      <c r="H67" s="199"/>
      <c r="N67" s="47"/>
      <c r="S67"/>
    </row>
    <row r="68" spans="1:19" ht="15.75" customHeight="1">
      <c r="A68" s="131" t="s">
        <v>198</v>
      </c>
      <c r="B68" s="131"/>
      <c r="C68" s="131"/>
      <c r="D68" s="100" t="s">
        <v>118</v>
      </c>
      <c r="E68" s="100"/>
      <c r="F68" s="100"/>
      <c r="G68" s="100"/>
      <c r="H68" s="100"/>
      <c r="J68" s="62"/>
      <c r="K68" s="62"/>
      <c r="S68"/>
    </row>
    <row r="69" spans="1:19" ht="66" customHeight="1">
      <c r="A69" s="101" t="s">
        <v>388</v>
      </c>
      <c r="B69" s="101"/>
      <c r="C69" s="101"/>
      <c r="D69" s="188" t="s">
        <v>199</v>
      </c>
      <c r="E69" s="100"/>
      <c r="F69" s="100"/>
      <c r="G69" s="100"/>
      <c r="H69" s="100"/>
      <c r="I69" s="85" t="s">
        <v>392</v>
      </c>
      <c r="S69"/>
    </row>
    <row r="70" spans="1:19">
      <c r="A70" s="100" t="s">
        <v>200</v>
      </c>
      <c r="B70" s="100"/>
      <c r="C70" s="100"/>
      <c r="D70" s="100" t="s">
        <v>39</v>
      </c>
      <c r="E70" s="100"/>
      <c r="F70" s="100"/>
      <c r="G70" s="100"/>
      <c r="H70" s="100"/>
      <c r="I70" s="63"/>
      <c r="J70" s="63"/>
      <c r="K70" s="63"/>
      <c r="L70" s="63"/>
      <c r="M70" s="63"/>
      <c r="N70" s="63"/>
    </row>
    <row r="71" spans="1:19" ht="15.75" customHeight="1">
      <c r="A71" s="189" t="s">
        <v>201</v>
      </c>
      <c r="B71" s="189"/>
      <c r="C71" s="189"/>
      <c r="D71" s="190" t="str">
        <f ca="1">(IF(G77&gt;95%,"Nothing",IF(G77&gt;0%,"Cement, Aggregate, Steel, etc",IF(G77=0%,"Work not yet Started"))))</f>
        <v>Cement, Aggregate, Steel, etc</v>
      </c>
      <c r="E71" s="190"/>
      <c r="F71" s="190"/>
      <c r="G71" s="190"/>
      <c r="H71" s="190"/>
      <c r="J71" s="62"/>
      <c r="S71"/>
    </row>
    <row r="72" spans="1:19" ht="33.75" customHeight="1">
      <c r="A72" s="191" t="s">
        <v>202</v>
      </c>
      <c r="B72" s="191"/>
      <c r="C72" s="191"/>
      <c r="D72" s="190" t="str">
        <f ca="1">(IF(D71="Nothing","Yes",IF(D71="Cement, Aggregate, Steel, etc","Under Construction",IF(D71="Work not yet Started","Work not yet Started"))))</f>
        <v>Under Construction</v>
      </c>
      <c r="E72" s="190"/>
      <c r="F72" s="190" t="str">
        <f ca="1">(IF(D71="Nothing","Yes",IF(D71="Cement, Aggregate, Steel, etc","Under Construction",IF(D71="Work not yet Started","Work not yet Started"))))</f>
        <v>Under Construction</v>
      </c>
      <c r="G72" s="190"/>
      <c r="H72" s="190"/>
      <c r="S72"/>
    </row>
    <row r="73" spans="1:19" ht="15.75" customHeight="1">
      <c r="A73" s="186" t="s">
        <v>203</v>
      </c>
      <c r="B73" s="187"/>
      <c r="C73" s="178" t="str">
        <f>D65</f>
        <v xml:space="preserve">Phase III - Gr/St + 1st to 7th Floor
</v>
      </c>
      <c r="D73" s="179"/>
      <c r="E73" s="179"/>
      <c r="F73" s="179"/>
      <c r="G73" s="179"/>
      <c r="H73" s="180"/>
      <c r="I73" s="64" t="str">
        <f ca="1">IF(D86=100%,"All work Completed. Possession granted to the Building.",IF(D85=100%,"All work Completed, Waiting for OC",I74&amp;""&amp;I75&amp;""&amp;J74&amp;""&amp;J73&amp;" "&amp;J75))</f>
        <v>Excavation, Plinth Completed, RCC upto 5 Slab, Brickwork upto 2 Floor Completed</v>
      </c>
      <c r="J73" s="65"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5 Slab, Brickwork upto 2 Floor</v>
      </c>
      <c r="S73"/>
    </row>
    <row r="74" spans="1:19">
      <c r="A74" s="50" t="s">
        <v>204</v>
      </c>
      <c r="B74" s="51">
        <f>IF(AND(ISNUMBER(SEARCH("1B",C73))),1,IF(AND(ISNUMBER(SEARCH("2B",C73))),2,IF(AND(ISNUMBER(SEARCH("3B",C73))),3,IF(AND(ISNUMBER(SEARCH("4B",C73))),4,IF(ISNUMBER(SEARCH("5B",C73)),5,0)))))</f>
        <v>0</v>
      </c>
      <c r="C74" s="51" t="s">
        <v>205</v>
      </c>
      <c r="D74" s="51">
        <v>1</v>
      </c>
      <c r="E74" s="51" t="s">
        <v>206</v>
      </c>
      <c r="F74" s="51">
        <v>0</v>
      </c>
      <c r="G74" s="53" t="s">
        <v>207</v>
      </c>
      <c r="H74" s="54">
        <f ca="1">--TRIM(RIGHT(SUBSTITUTE(LEFT(C73,_xlfn.AGGREGATE(16,6,FIND({0,1,2,3,4,5,6,7,8,9},C73,ROW(INDIRECT("1:"&amp;LEN(C73)))),1))," ",REPT(" ",LEN(C73))),LEN(C73)))</f>
        <v>7</v>
      </c>
      <c r="I74" s="66" t="str">
        <f ca="1">IF(D77=100%,"Excavation","")&amp;IF(D78=100%,", Plinth","")&amp;IF(D79=100%,", RCC Slab","")&amp;IF(D80=100%,", Brickwork","")&amp;IF(D81=100%,", Internal Plaster","")&amp;IF(D82=100%,", External Plaster","")&amp;IF(D83=100%,", Flooring","")&amp;IF(D84=100%,", Painting","")&amp;IF(D85=100%,", Building common Amenities","")</f>
        <v>Excavation, Plinth</v>
      </c>
      <c r="J74" s="67"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c r="A75" s="181" t="s">
        <v>208</v>
      </c>
      <c r="B75" s="182"/>
      <c r="C75" s="183" t="str">
        <f ca="1">I73</f>
        <v>Excavation, Plinth Completed, RCC upto 5 Slab, Brickwork upto 2 Floor Completed</v>
      </c>
      <c r="D75" s="183"/>
      <c r="E75" s="183"/>
      <c r="F75" s="183"/>
      <c r="G75" s="183"/>
      <c r="H75" s="184"/>
      <c r="I75" s="66" t="str">
        <f ca="1">IF(I74&lt;&gt;""," Completed","")</f>
        <v xml:space="preserve"> Completed</v>
      </c>
      <c r="J75" s="67" t="str">
        <f ca="1">IF(J73&lt;&gt;"","Completed","")</f>
        <v>Completed</v>
      </c>
      <c r="S75"/>
    </row>
    <row r="76" spans="1:19" ht="15.75" customHeight="1">
      <c r="A76" s="173" t="s">
        <v>209</v>
      </c>
      <c r="B76" s="174"/>
      <c r="C76" s="55" t="s">
        <v>210</v>
      </c>
      <c r="D76" s="55" t="s">
        <v>211</v>
      </c>
      <c r="E76" s="174" t="s">
        <v>212</v>
      </c>
      <c r="F76" s="174"/>
      <c r="G76" s="174" t="s">
        <v>213</v>
      </c>
      <c r="H76" s="185"/>
      <c r="I76" s="68" t="s">
        <v>214</v>
      </c>
      <c r="J76" s="69">
        <f ca="1">H74*25%</f>
        <v>1.75</v>
      </c>
      <c r="S76"/>
    </row>
    <row r="77" spans="1:19">
      <c r="A77" s="173" t="s">
        <v>215</v>
      </c>
      <c r="B77" s="174"/>
      <c r="C77" s="83">
        <f ca="1">J78</f>
        <v>7</v>
      </c>
      <c r="D77" s="57">
        <f ca="1">((100/H74)*C77)/100</f>
        <v>1</v>
      </c>
      <c r="E77" s="106">
        <f ca="1">(((C78/H74*10)+(40/(D74+F74+H74)*C79)+(7.5/(H74)*C80)+(7.5/(H74)*C81)+(10/H74*C82)+(10/H74*C83)+(5/H74*C84)+(5/H74*C85)+(5/H74*C86))/100)</f>
        <v>0.37142857142857144</v>
      </c>
      <c r="F77" s="107"/>
      <c r="G77" s="106">
        <f ca="1">((((C77/H74)*20)+((C78/H74)*25)+(30/(H74+F74+D74)*C79)+(5/H74*C80)+(5/H74*C81)+(5/H74*C82)+(5/H74*C83)+(0/H74*C84)+(0/H74*C85)+(5/H74*C86))/100)</f>
        <v>0.6517857142857143</v>
      </c>
      <c r="H77" s="112"/>
      <c r="I77" s="68" t="s">
        <v>216</v>
      </c>
      <c r="J77" s="70">
        <f ca="1">H74*50%</f>
        <v>3.5</v>
      </c>
    </row>
    <row r="78" spans="1:19">
      <c r="A78" s="173" t="s">
        <v>217</v>
      </c>
      <c r="B78" s="174"/>
      <c r="C78" s="84">
        <f ca="1">J86</f>
        <v>7</v>
      </c>
      <c r="D78" s="57">
        <f ca="1">((100/H74)*C78)/100</f>
        <v>1</v>
      </c>
      <c r="E78" s="108"/>
      <c r="F78" s="109"/>
      <c r="G78" s="108"/>
      <c r="H78" s="113"/>
      <c r="I78" s="68" t="s">
        <v>218</v>
      </c>
      <c r="J78" s="70">
        <f ca="1">H74</f>
        <v>7</v>
      </c>
      <c r="S78"/>
    </row>
    <row r="79" spans="1:19" ht="15.75" customHeight="1">
      <c r="A79" s="173" t="s">
        <v>219</v>
      </c>
      <c r="B79" s="174"/>
      <c r="C79" s="55">
        <v>5</v>
      </c>
      <c r="D79" s="57">
        <f ca="1">((100/(D74+F74+H74))*C79)/100</f>
        <v>0.625</v>
      </c>
      <c r="E79" s="108"/>
      <c r="F79" s="109"/>
      <c r="G79" s="108"/>
      <c r="H79" s="113"/>
      <c r="I79" s="68" t="s">
        <v>220</v>
      </c>
      <c r="J79" s="71">
        <f ca="1">(IF(B74&gt;1,(H74/(B74+2)),H74/4))</f>
        <v>1.75</v>
      </c>
      <c r="K79" s="44">
        <f>0.35*8</f>
        <v>2.8</v>
      </c>
      <c r="S79"/>
    </row>
    <row r="80" spans="1:19" ht="15.75" customHeight="1">
      <c r="A80" s="173" t="s">
        <v>221</v>
      </c>
      <c r="B80" s="174" t="s">
        <v>222</v>
      </c>
      <c r="C80" s="55">
        <v>2</v>
      </c>
      <c r="D80" s="57">
        <f ca="1">((100/H74)*C80)/100</f>
        <v>0.28571428571428575</v>
      </c>
      <c r="E80" s="108"/>
      <c r="F80" s="109"/>
      <c r="G80" s="108"/>
      <c r="H80" s="113"/>
      <c r="I80" s="68" t="s">
        <v>223</v>
      </c>
      <c r="J80" s="71">
        <f ca="1">(IF(B74&gt;1,(H74/(B74+2)+J79),H74/4+J79))</f>
        <v>3.5</v>
      </c>
    </row>
    <row r="81" spans="1:19" ht="15.75" customHeight="1">
      <c r="A81" s="173" t="s">
        <v>224</v>
      </c>
      <c r="B81" s="174" t="s">
        <v>222</v>
      </c>
      <c r="C81" s="55">
        <v>0</v>
      </c>
      <c r="D81" s="57">
        <f ca="1">((100/H74)*C81)/100</f>
        <v>0</v>
      </c>
      <c r="E81" s="108"/>
      <c r="F81" s="109"/>
      <c r="G81" s="108"/>
      <c r="H81" s="113"/>
      <c r="I81" s="68" t="s">
        <v>225</v>
      </c>
      <c r="J81" s="71">
        <f>(IF(B74&gt;1,(H74/(B74+2)+J80),0))</f>
        <v>0</v>
      </c>
    </row>
    <row r="82" spans="1:19" ht="15" customHeight="1">
      <c r="A82" s="173" t="s">
        <v>226</v>
      </c>
      <c r="B82" s="174" t="s">
        <v>227</v>
      </c>
      <c r="C82" s="55">
        <v>0</v>
      </c>
      <c r="D82" s="57">
        <f ca="1">((100/(H74))*C82)/100</f>
        <v>0</v>
      </c>
      <c r="E82" s="108"/>
      <c r="F82" s="109"/>
      <c r="G82" s="108"/>
      <c r="H82" s="113"/>
      <c r="I82" s="68" t="s">
        <v>228</v>
      </c>
      <c r="J82" s="71">
        <f>(IF(B74&gt;2,(H74/(B74+2)+J81),0))</f>
        <v>0</v>
      </c>
    </row>
    <row r="83" spans="1:19" ht="15.75" customHeight="1">
      <c r="A83" s="173" t="s">
        <v>229</v>
      </c>
      <c r="B83" s="174" t="s">
        <v>229</v>
      </c>
      <c r="C83" s="55">
        <v>0</v>
      </c>
      <c r="D83" s="57">
        <f ca="1">((100/H74)*C83)/100</f>
        <v>0</v>
      </c>
      <c r="E83" s="108"/>
      <c r="F83" s="109"/>
      <c r="G83" s="108"/>
      <c r="H83" s="113"/>
      <c r="I83" s="68" t="s">
        <v>230</v>
      </c>
      <c r="J83" s="72">
        <f>(IF(B74&gt;3,(H74/(B74+2)+J82),0))</f>
        <v>0</v>
      </c>
    </row>
    <row r="84" spans="1:19" ht="15.75" customHeight="1">
      <c r="A84" s="173" t="s">
        <v>231</v>
      </c>
      <c r="B84" s="174"/>
      <c r="C84" s="55">
        <v>0</v>
      </c>
      <c r="D84" s="57">
        <f ca="1">((100/H74)*C84)/100</f>
        <v>0</v>
      </c>
      <c r="E84" s="108"/>
      <c r="F84" s="109"/>
      <c r="G84" s="108"/>
      <c r="H84" s="113"/>
      <c r="I84" s="68" t="s">
        <v>232</v>
      </c>
      <c r="J84" s="71">
        <f>(IF(B74&gt;4,(H74/(B74+2)+J83),0))</f>
        <v>0</v>
      </c>
    </row>
    <row r="85" spans="1:19" ht="15.75" customHeight="1">
      <c r="A85" s="173" t="s">
        <v>233</v>
      </c>
      <c r="B85" s="174" t="s">
        <v>233</v>
      </c>
      <c r="C85" s="55">
        <v>0</v>
      </c>
      <c r="D85" s="57">
        <f ca="1">((100/(H74))*C85)/100</f>
        <v>0</v>
      </c>
      <c r="E85" s="108"/>
      <c r="F85" s="109"/>
      <c r="G85" s="108"/>
      <c r="H85" s="113"/>
      <c r="I85" s="68" t="s">
        <v>234</v>
      </c>
      <c r="J85" s="71">
        <f ca="1">(IF(B74=1,(H74/(B74+3)+J80),IF(B74=0,(H74/4+J80),IF(B74&gt;1,0))))</f>
        <v>5.25</v>
      </c>
    </row>
    <row r="86" spans="1:19">
      <c r="A86" s="175" t="s">
        <v>235</v>
      </c>
      <c r="B86" s="176"/>
      <c r="C86" s="58">
        <v>0</v>
      </c>
      <c r="D86" s="59">
        <f ca="1">((100/(H74))*C86)/100</f>
        <v>0</v>
      </c>
      <c r="E86" s="110"/>
      <c r="F86" s="111"/>
      <c r="G86" s="110"/>
      <c r="H86" s="114"/>
      <c r="I86" s="73" t="s">
        <v>236</v>
      </c>
      <c r="J86" s="74">
        <f ca="1">(IF(B74&gt;1.5,(H74/(B74+2)+J80+MAX(0,J81-J80)+MAX(0,J82-J81)+MAX(0,J83-J82)+MAX(0,J84-J83)+MAX(0,J85-J84)),IF(B74=1,(H74/(B74+3)+J85),IF(B74=0,H74/4+J85))))</f>
        <v>7</v>
      </c>
    </row>
    <row r="87" spans="1:19" ht="15.75" hidden="1" customHeight="1">
      <c r="A87" s="186" t="s">
        <v>203</v>
      </c>
      <c r="B87" s="187"/>
      <c r="C87" s="178" t="e">
        <f>#REF!</f>
        <v>#REF!</v>
      </c>
      <c r="D87" s="179"/>
      <c r="E87" s="179"/>
      <c r="F87" s="179"/>
      <c r="G87" s="179"/>
      <c r="H87" s="180"/>
      <c r="I87" s="64" t="e">
        <f ca="1">IF(D100=100%,"All work Completed. Possession granted to the Building.",IF(D99=100%,"All work Completed, Waiting for OC",I88&amp;""&amp;I89&amp;""&amp;J88&amp;""&amp;J87&amp;" "&amp;J89))</f>
        <v>#REF!</v>
      </c>
      <c r="J87" s="65" t="e">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#REF!</v>
      </c>
      <c r="S87"/>
    </row>
    <row r="88" spans="1:19" hidden="1">
      <c r="A88" s="50" t="s">
        <v>204</v>
      </c>
      <c r="B88" s="51">
        <f>IF(AND(ISNUMBER(SEARCH("1B",C87))),1,IF(AND(ISNUMBER(SEARCH("2B",C87))),2,IF(AND(ISNUMBER(SEARCH("3B",C87))),3,IF(AND(ISNUMBER(SEARCH("4B",C87))),4,IF(ISNUMBER(SEARCH("5B",C87)),5,0)))))</f>
        <v>0</v>
      </c>
      <c r="C88" s="51" t="s">
        <v>205</v>
      </c>
      <c r="D88" s="51">
        <v>1</v>
      </c>
      <c r="E88" s="51" t="s">
        <v>206</v>
      </c>
      <c r="F88" s="52">
        <v>0</v>
      </c>
      <c r="G88" s="53" t="s">
        <v>207</v>
      </c>
      <c r="H88" s="54" t="e">
        <f ca="1">--TRIM(RIGHT(SUBSTITUTE(LEFT(C87,_xlfn.AGGREGATE(16,6,FIND({0,1,2,3,4,5,6,7,8,9},C87,ROW(INDIRECT("1:"&amp;LEN(C87)))),1))," ",REPT(" ",LEN(C87))),LEN(C87)))</f>
        <v>#REF!</v>
      </c>
      <c r="I88" s="66" t="e">
        <f ca="1">IF(D91=100%,"Excavation","")&amp;IF(D92=100%,", Plinth","")&amp;IF(D93=100%,", RCC Slab","")&amp;IF(D94=100%,", Brickwork","")&amp;IF(D95=100%,", Internal Plaster","")&amp;IF(D96=100%,", External Plaster","")&amp;IF(D97=100%,", Flooring","")&amp;IF(D98=100%,", Painting","")&amp;IF(D99=100%,", Building common Amenities","")</f>
        <v>#REF!</v>
      </c>
      <c r="J88" s="67" t="e">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#REF!</v>
      </c>
      <c r="S88"/>
    </row>
    <row r="89" spans="1:19" hidden="1">
      <c r="A89" s="181" t="s">
        <v>208</v>
      </c>
      <c r="B89" s="182"/>
      <c r="C89" s="183" t="e">
        <f ca="1">I87</f>
        <v>#REF!</v>
      </c>
      <c r="D89" s="183"/>
      <c r="E89" s="183"/>
      <c r="F89" s="183"/>
      <c r="G89" s="183"/>
      <c r="H89" s="184"/>
      <c r="I89" s="66" t="e">
        <f ca="1">IF(I88&lt;&gt;""," Completed","")</f>
        <v>#REF!</v>
      </c>
      <c r="J89" s="67" t="e">
        <f ca="1">IF(J87&lt;&gt;"","Completed","")</f>
        <v>#REF!</v>
      </c>
      <c r="S89"/>
    </row>
    <row r="90" spans="1:19" ht="15.75" hidden="1" customHeight="1">
      <c r="A90" s="173" t="s">
        <v>209</v>
      </c>
      <c r="B90" s="174"/>
      <c r="C90" s="55" t="s">
        <v>210</v>
      </c>
      <c r="D90" s="55" t="s">
        <v>211</v>
      </c>
      <c r="E90" s="174" t="s">
        <v>212</v>
      </c>
      <c r="F90" s="174"/>
      <c r="G90" s="174" t="s">
        <v>213</v>
      </c>
      <c r="H90" s="185"/>
      <c r="I90" s="68" t="s">
        <v>214</v>
      </c>
      <c r="J90" s="69" t="e">
        <f ca="1">H88*25%</f>
        <v>#REF!</v>
      </c>
      <c r="S90"/>
    </row>
    <row r="91" spans="1:19" hidden="1">
      <c r="A91" s="173" t="s">
        <v>215</v>
      </c>
      <c r="B91" s="174"/>
      <c r="C91" s="56" t="e">
        <f ca="1">J92</f>
        <v>#REF!</v>
      </c>
      <c r="D91" s="57" t="e">
        <f ca="1">((100/H88)*C91)/100</f>
        <v>#REF!</v>
      </c>
      <c r="E91" s="106" t="e">
        <f ca="1">(((C92/H88*10)+(40/(D88+F88+H88)*C93)+(7.5/(H88)*C94)+(7.5/(H88)*C95)+(10/H88*C96)+(10/H88*C97)+(5/H88*C98)+(5/H88*C99)+(5/H88*C100))/100)</f>
        <v>#REF!</v>
      </c>
      <c r="F91" s="107"/>
      <c r="G91" s="106" t="e">
        <f ca="1">((((C91/H88)*20)+((C92/H88)*25)+(30/(H88+F88+D88)*C93)+(5/H88*C94)+(5/H88*C95)+(5/H88*C96)+(5/H88*C97)+(0/H88*C98)+(0/H88*C99)+(5/H88*C100))/100)</f>
        <v>#REF!</v>
      </c>
      <c r="H91" s="112"/>
      <c r="I91" s="68" t="s">
        <v>216</v>
      </c>
      <c r="J91" s="70" t="e">
        <f ca="1">H88*50%</f>
        <v>#REF!</v>
      </c>
    </row>
    <row r="92" spans="1:19" hidden="1">
      <c r="A92" s="173" t="s">
        <v>217</v>
      </c>
      <c r="B92" s="174"/>
      <c r="C92" s="55" t="e">
        <f ca="1">J100</f>
        <v>#REF!</v>
      </c>
      <c r="D92" s="57" t="e">
        <f ca="1">((100/H88)*C92)/100</f>
        <v>#REF!</v>
      </c>
      <c r="E92" s="108"/>
      <c r="F92" s="109"/>
      <c r="G92" s="108"/>
      <c r="H92" s="113"/>
      <c r="I92" s="68" t="s">
        <v>218</v>
      </c>
      <c r="J92" s="70" t="e">
        <f ca="1">H88</f>
        <v>#REF!</v>
      </c>
      <c r="S92"/>
    </row>
    <row r="93" spans="1:19" ht="15.75" hidden="1" customHeight="1">
      <c r="A93" s="173" t="s">
        <v>219</v>
      </c>
      <c r="B93" s="174"/>
      <c r="C93" s="55">
        <v>0</v>
      </c>
      <c r="D93" s="57" t="e">
        <f ca="1">((100/(D88+F88+H88))*C93)/100</f>
        <v>#REF!</v>
      </c>
      <c r="E93" s="108"/>
      <c r="F93" s="109"/>
      <c r="G93" s="108"/>
      <c r="H93" s="113"/>
      <c r="I93" s="68" t="s">
        <v>220</v>
      </c>
      <c r="J93" s="71" t="e">
        <f ca="1">(IF(B88&gt;1,(H88/(B88+2)),H88/4))</f>
        <v>#REF!</v>
      </c>
      <c r="S93"/>
    </row>
    <row r="94" spans="1:19" ht="15.75" hidden="1" customHeight="1">
      <c r="A94" s="173" t="s">
        <v>221</v>
      </c>
      <c r="B94" s="174" t="s">
        <v>222</v>
      </c>
      <c r="C94" s="55">
        <v>0</v>
      </c>
      <c r="D94" s="57" t="e">
        <f ca="1">((100/H88)*C94)/100</f>
        <v>#REF!</v>
      </c>
      <c r="E94" s="108"/>
      <c r="F94" s="109"/>
      <c r="G94" s="108"/>
      <c r="H94" s="113"/>
      <c r="I94" s="68" t="s">
        <v>223</v>
      </c>
      <c r="J94" s="71" t="e">
        <f ca="1">(IF(B88&gt;1,(H88/(B88+2)+J93),H88/4+J93))</f>
        <v>#REF!</v>
      </c>
    </row>
    <row r="95" spans="1:19" ht="15.75" hidden="1" customHeight="1">
      <c r="A95" s="173" t="s">
        <v>224</v>
      </c>
      <c r="B95" s="174" t="s">
        <v>222</v>
      </c>
      <c r="C95" s="55">
        <v>0</v>
      </c>
      <c r="D95" s="57" t="e">
        <f ca="1">((100/H88)*C95)/100</f>
        <v>#REF!</v>
      </c>
      <c r="E95" s="108"/>
      <c r="F95" s="109"/>
      <c r="G95" s="108"/>
      <c r="H95" s="113"/>
      <c r="I95" s="68" t="s">
        <v>225</v>
      </c>
      <c r="J95" s="71">
        <f>(IF(B88&gt;1,(H88/(B88+2)+J94),0))</f>
        <v>0</v>
      </c>
    </row>
    <row r="96" spans="1:19" ht="15" hidden="1" customHeight="1">
      <c r="A96" s="173" t="s">
        <v>226</v>
      </c>
      <c r="B96" s="174" t="s">
        <v>227</v>
      </c>
      <c r="C96" s="55">
        <v>0</v>
      </c>
      <c r="D96" s="57" t="e">
        <f ca="1">((100/(H88))*C96)/100</f>
        <v>#REF!</v>
      </c>
      <c r="E96" s="108"/>
      <c r="F96" s="109"/>
      <c r="G96" s="108"/>
      <c r="H96" s="113"/>
      <c r="I96" s="68" t="s">
        <v>228</v>
      </c>
      <c r="J96" s="71">
        <f>(IF(B88&gt;2,(H88/(B88+2)+J95),0))</f>
        <v>0</v>
      </c>
    </row>
    <row r="97" spans="1:22" ht="15.75" hidden="1" customHeight="1">
      <c r="A97" s="173" t="s">
        <v>229</v>
      </c>
      <c r="B97" s="174" t="s">
        <v>229</v>
      </c>
      <c r="C97" s="55">
        <v>0</v>
      </c>
      <c r="D97" s="57" t="e">
        <f ca="1">((100/H88)*C97)/100</f>
        <v>#REF!</v>
      </c>
      <c r="E97" s="108"/>
      <c r="F97" s="109"/>
      <c r="G97" s="108"/>
      <c r="H97" s="113"/>
      <c r="I97" s="68" t="s">
        <v>230</v>
      </c>
      <c r="J97" s="72">
        <f>(IF(B88&gt;3,(H88/(B88+2)+J96),0))</f>
        <v>0</v>
      </c>
    </row>
    <row r="98" spans="1:22" ht="15.75" hidden="1" customHeight="1">
      <c r="A98" s="173" t="s">
        <v>231</v>
      </c>
      <c r="B98" s="174"/>
      <c r="C98" s="55">
        <v>0</v>
      </c>
      <c r="D98" s="57" t="e">
        <f ca="1">((100/H88)*C98)/100</f>
        <v>#REF!</v>
      </c>
      <c r="E98" s="108"/>
      <c r="F98" s="109"/>
      <c r="G98" s="108"/>
      <c r="H98" s="113"/>
      <c r="I98" s="68" t="s">
        <v>232</v>
      </c>
      <c r="J98" s="71">
        <f>(IF(B88&gt;4,(H88/(B88+2)+J97),0))</f>
        <v>0</v>
      </c>
    </row>
    <row r="99" spans="1:22" ht="15.75" hidden="1" customHeight="1">
      <c r="A99" s="173" t="s">
        <v>233</v>
      </c>
      <c r="B99" s="174" t="s">
        <v>233</v>
      </c>
      <c r="C99" s="55">
        <v>0</v>
      </c>
      <c r="D99" s="57" t="e">
        <f ca="1">((100/(H88))*C99)/100</f>
        <v>#REF!</v>
      </c>
      <c r="E99" s="108"/>
      <c r="F99" s="109"/>
      <c r="G99" s="108"/>
      <c r="H99" s="113"/>
      <c r="I99" s="68" t="s">
        <v>234</v>
      </c>
      <c r="J99" s="71" t="e">
        <f ca="1">(IF(B88=1,(H88/(B88+3)+J94),IF(B88=0,(H88/4+J94),IF(B88&gt;1,0))))</f>
        <v>#REF!</v>
      </c>
    </row>
    <row r="100" spans="1:22" hidden="1">
      <c r="A100" s="175" t="s">
        <v>235</v>
      </c>
      <c r="B100" s="176"/>
      <c r="C100" s="58">
        <v>0</v>
      </c>
      <c r="D100" s="59" t="e">
        <f ca="1">((100/(H88))*C100)/100</f>
        <v>#REF!</v>
      </c>
      <c r="E100" s="110"/>
      <c r="F100" s="111"/>
      <c r="G100" s="110"/>
      <c r="H100" s="114"/>
      <c r="I100" s="73" t="s">
        <v>236</v>
      </c>
      <c r="J100" s="74" t="e">
        <f ca="1">(IF(B88&gt;1.5,(H88/(B88+2)+J94+MAX(0,J95-J94)+MAX(0,J96-J95)+MAX(0,J97-J96)+MAX(0,J98-J97)+MAX(0,J99-J98)),IF(B88=1,(H88/(B88+3)+J99),IF(B88=0,H88/4+J99))))</f>
        <v>#REF!</v>
      </c>
    </row>
    <row r="101" spans="1:22">
      <c r="A101" s="177" t="s">
        <v>237</v>
      </c>
      <c r="B101" s="177"/>
      <c r="C101" s="177"/>
      <c r="D101" s="177"/>
      <c r="E101" s="177"/>
      <c r="F101" s="149" t="s">
        <v>238</v>
      </c>
      <c r="G101" s="149"/>
      <c r="H101" s="149"/>
      <c r="R101" t="s">
        <v>152</v>
      </c>
      <c r="S101" t="s">
        <v>42</v>
      </c>
      <c r="T101" t="s">
        <v>40</v>
      </c>
      <c r="U101" t="s">
        <v>43</v>
      </c>
      <c r="V101" t="s">
        <v>41</v>
      </c>
    </row>
    <row r="102" spans="1:22">
      <c r="A102" s="131" t="s">
        <v>239</v>
      </c>
      <c r="B102" s="131"/>
      <c r="C102" s="131"/>
      <c r="D102" s="131"/>
      <c r="E102" s="131"/>
      <c r="F102" s="171">
        <v>4200</v>
      </c>
      <c r="G102" s="171"/>
      <c r="H102" s="171"/>
      <c r="K102" s="44" t="s">
        <v>401</v>
      </c>
      <c r="R102"/>
      <c r="S102">
        <v>800000</v>
      </c>
      <c r="T102">
        <v>150000</v>
      </c>
      <c r="U102">
        <v>100000</v>
      </c>
      <c r="V102">
        <v>100000</v>
      </c>
    </row>
    <row r="103" spans="1:22">
      <c r="A103" s="131" t="s">
        <v>240</v>
      </c>
      <c r="B103" s="131"/>
      <c r="C103" s="131"/>
      <c r="D103" s="131"/>
      <c r="E103" s="131"/>
      <c r="F103" s="171">
        <v>8500</v>
      </c>
      <c r="G103" s="171"/>
      <c r="H103" s="171"/>
      <c r="R103"/>
      <c r="S103">
        <v>900000</v>
      </c>
      <c r="T103">
        <v>200000</v>
      </c>
      <c r="U103">
        <v>150000</v>
      </c>
      <c r="V103">
        <v>150000</v>
      </c>
    </row>
    <row r="104" spans="1:22" hidden="1">
      <c r="A104" s="131" t="s">
        <v>241</v>
      </c>
      <c r="B104" s="131"/>
      <c r="C104" s="131"/>
      <c r="D104" s="131"/>
      <c r="E104" s="131"/>
      <c r="F104" s="171"/>
      <c r="G104" s="171"/>
      <c r="H104" s="171"/>
      <c r="R104"/>
      <c r="S104">
        <v>1000000</v>
      </c>
      <c r="T104">
        <v>250000</v>
      </c>
      <c r="U104">
        <v>200000</v>
      </c>
      <c r="V104">
        <v>200000</v>
      </c>
    </row>
    <row r="105" spans="1:22" s="39" customFormat="1" hidden="1">
      <c r="A105" s="131" t="s">
        <v>242</v>
      </c>
      <c r="B105" s="131"/>
      <c r="C105" s="131"/>
      <c r="D105" s="131"/>
      <c r="E105" s="131"/>
      <c r="F105" s="171"/>
      <c r="G105" s="171"/>
      <c r="H105" s="171"/>
      <c r="R105"/>
      <c r="S105">
        <v>1100000</v>
      </c>
      <c r="T105">
        <v>300000</v>
      </c>
      <c r="U105">
        <v>250000</v>
      </c>
      <c r="V105" s="38">
        <v>250000</v>
      </c>
    </row>
    <row r="106" spans="1:22" s="39" customFormat="1" hidden="1">
      <c r="A106" s="131" t="s">
        <v>243</v>
      </c>
      <c r="B106" s="131"/>
      <c r="C106" s="131"/>
      <c r="D106" s="131"/>
      <c r="E106" s="131"/>
      <c r="F106" s="171"/>
      <c r="G106" s="171"/>
      <c r="H106" s="171"/>
      <c r="R106"/>
      <c r="S106">
        <v>1200000</v>
      </c>
      <c r="T106">
        <v>350000</v>
      </c>
      <c r="U106">
        <v>300000</v>
      </c>
      <c r="V106">
        <v>300000</v>
      </c>
    </row>
    <row r="107" spans="1:22" s="39" customFormat="1" hidden="1">
      <c r="A107" s="131" t="s">
        <v>244</v>
      </c>
      <c r="B107" s="131"/>
      <c r="C107" s="131"/>
      <c r="D107" s="131"/>
      <c r="E107" s="131"/>
      <c r="F107" s="171"/>
      <c r="G107" s="171"/>
      <c r="H107" s="171"/>
      <c r="R107"/>
      <c r="S107">
        <v>1300000</v>
      </c>
      <c r="T107">
        <v>400000</v>
      </c>
      <c r="U107">
        <v>350000</v>
      </c>
      <c r="V107" s="38">
        <v>400000</v>
      </c>
    </row>
    <row r="108" spans="1:22" s="39" customFormat="1" hidden="1">
      <c r="A108" s="131" t="s">
        <v>245</v>
      </c>
      <c r="B108" s="131"/>
      <c r="C108" s="131"/>
      <c r="D108" s="131"/>
      <c r="E108" s="131"/>
      <c r="F108" s="171"/>
      <c r="G108" s="171"/>
      <c r="H108" s="171"/>
      <c r="R108"/>
      <c r="S108">
        <v>1400000</v>
      </c>
      <c r="T108">
        <v>500000</v>
      </c>
      <c r="U108">
        <v>400000</v>
      </c>
      <c r="V108"/>
    </row>
    <row r="109" spans="1:22" s="39" customFormat="1" hidden="1">
      <c r="A109" s="131" t="s">
        <v>246</v>
      </c>
      <c r="B109" s="131"/>
      <c r="C109" s="131"/>
      <c r="D109" s="131"/>
      <c r="E109" s="131"/>
      <c r="F109" s="171"/>
      <c r="G109" s="171"/>
      <c r="H109" s="171"/>
      <c r="R109"/>
      <c r="S109">
        <v>1500000</v>
      </c>
      <c r="T109">
        <v>600000</v>
      </c>
      <c r="U109">
        <v>500000</v>
      </c>
      <c r="V109" s="38"/>
    </row>
    <row r="110" spans="1:22" s="39" customFormat="1" hidden="1">
      <c r="A110" s="131" t="s">
        <v>247</v>
      </c>
      <c r="B110" s="131"/>
      <c r="C110" s="131"/>
      <c r="D110" s="131"/>
      <c r="E110" s="131"/>
      <c r="F110" s="171"/>
      <c r="G110" s="171"/>
      <c r="H110" s="171"/>
      <c r="R110"/>
      <c r="S110">
        <v>1600000</v>
      </c>
      <c r="T110">
        <v>700000</v>
      </c>
      <c r="U110">
        <v>600000</v>
      </c>
      <c r="V110"/>
    </row>
    <row r="111" spans="1:22" s="39" customFormat="1" hidden="1">
      <c r="A111" s="131" t="s">
        <v>248</v>
      </c>
      <c r="B111" s="131"/>
      <c r="C111" s="131"/>
      <c r="D111" s="131"/>
      <c r="E111" s="131"/>
      <c r="F111" s="171"/>
      <c r="G111" s="171"/>
      <c r="H111" s="171"/>
      <c r="R111"/>
      <c r="S111">
        <v>1700000</v>
      </c>
      <c r="T111">
        <v>800000</v>
      </c>
      <c r="U111"/>
      <c r="V111" s="38"/>
    </row>
    <row r="112" spans="1:22">
      <c r="A112" s="131" t="s">
        <v>249</v>
      </c>
      <c r="B112" s="131"/>
      <c r="C112" s="131"/>
      <c r="D112" s="131"/>
      <c r="E112" s="131"/>
      <c r="F112" s="171">
        <v>300000</v>
      </c>
      <c r="G112" s="171"/>
      <c r="H112" s="171"/>
      <c r="R112"/>
      <c r="S112">
        <v>1800000</v>
      </c>
      <c r="T112">
        <v>900000</v>
      </c>
      <c r="U112"/>
    </row>
    <row r="113" spans="1:22" s="40" customFormat="1">
      <c r="A113" s="172" t="s">
        <v>250</v>
      </c>
      <c r="B113" s="172"/>
      <c r="C113" s="172"/>
      <c r="D113" s="172"/>
      <c r="E113" s="172"/>
      <c r="F113" s="171">
        <f>F102*0.8</f>
        <v>3360</v>
      </c>
      <c r="G113" s="171"/>
      <c r="H113" s="171"/>
      <c r="R113" s="44"/>
      <c r="S113" s="44"/>
      <c r="T113">
        <v>1000000</v>
      </c>
      <c r="U113"/>
      <c r="V113" s="44"/>
    </row>
    <row r="114" spans="1:22" s="41" customFormat="1" ht="15.75" customHeight="1">
      <c r="A114" s="163" t="s">
        <v>251</v>
      </c>
      <c r="B114" s="163"/>
      <c r="C114" s="163"/>
      <c r="D114" s="163"/>
      <c r="E114" s="163"/>
      <c r="F114" s="163"/>
      <c r="G114" s="163"/>
      <c r="H114" s="163"/>
      <c r="R114"/>
      <c r="S114" s="44"/>
      <c r="T114"/>
      <c r="U114"/>
      <c r="V114" s="44"/>
    </row>
    <row r="115" spans="1:22" s="41" customFormat="1" ht="15.75" customHeight="1">
      <c r="A115" s="164" t="s">
        <v>252</v>
      </c>
      <c r="B115" s="164"/>
      <c r="C115" s="165" t="s">
        <v>253</v>
      </c>
      <c r="D115" s="165"/>
      <c r="E115" s="166" t="s">
        <v>254</v>
      </c>
      <c r="F115" s="166"/>
      <c r="G115" s="164" t="s">
        <v>255</v>
      </c>
      <c r="H115" s="164"/>
      <c r="R115"/>
      <c r="S115" s="44"/>
      <c r="T115"/>
      <c r="U115" s="44"/>
      <c r="V115" s="44"/>
    </row>
    <row r="116" spans="1:22" s="41" customFormat="1">
      <c r="A116" s="167" t="s">
        <v>390</v>
      </c>
      <c r="B116" s="167"/>
      <c r="C116" s="168">
        <f>COUNT(D129:D132)</f>
        <v>4</v>
      </c>
      <c r="D116" s="169"/>
      <c r="E116" s="168">
        <f t="shared" ref="E116" si="0">SUM(F129:F132)</f>
        <v>1045.1843999999999</v>
      </c>
      <c r="F116" s="169"/>
      <c r="G116" s="168">
        <f t="shared" ref="G116" si="1">SUM(H129:H132)</f>
        <v>1567.7765999999999</v>
      </c>
      <c r="H116" s="169"/>
      <c r="R116"/>
      <c r="S116" s="44"/>
      <c r="T116"/>
      <c r="U116" s="44"/>
      <c r="V116" s="44"/>
    </row>
    <row r="117" spans="1:22" s="41" customFormat="1" hidden="1">
      <c r="A117" s="163" t="s">
        <v>256</v>
      </c>
      <c r="B117" s="163"/>
      <c r="C117" s="170">
        <f>SUM(C116)</f>
        <v>4</v>
      </c>
      <c r="D117" s="165"/>
      <c r="E117" s="170">
        <f t="shared" ref="E117" si="2">SUM(E116)</f>
        <v>1045.1843999999999</v>
      </c>
      <c r="F117" s="165"/>
      <c r="G117" s="170">
        <f t="shared" ref="G117" si="3">SUM(G116)</f>
        <v>1567.7765999999999</v>
      </c>
      <c r="H117" s="165"/>
      <c r="R117"/>
      <c r="S117" s="44"/>
      <c r="T117"/>
      <c r="U117" s="44"/>
      <c r="V117" s="44"/>
    </row>
    <row r="118" spans="1:22" s="41" customFormat="1">
      <c r="A118" s="163" t="s">
        <v>257</v>
      </c>
      <c r="B118" s="163"/>
      <c r="C118" s="163"/>
      <c r="D118" s="163"/>
      <c r="E118" s="163"/>
      <c r="F118" s="163"/>
      <c r="G118" s="163"/>
      <c r="H118" s="163"/>
      <c r="T118"/>
    </row>
    <row r="119" spans="1:22" s="41" customFormat="1" ht="15.75" customHeight="1">
      <c r="A119" s="164" t="s">
        <v>252</v>
      </c>
      <c r="B119" s="164"/>
      <c r="C119" s="165" t="s">
        <v>253</v>
      </c>
      <c r="D119" s="165"/>
      <c r="E119" s="166" t="s">
        <v>254</v>
      </c>
      <c r="F119" s="166"/>
      <c r="G119" s="164" t="s">
        <v>255</v>
      </c>
      <c r="H119" s="164"/>
      <c r="T119"/>
    </row>
    <row r="120" spans="1:22" s="41" customFormat="1">
      <c r="A120" s="167" t="s">
        <v>391</v>
      </c>
      <c r="B120" s="167"/>
      <c r="C120" s="168">
        <f>COUNT(D138:D143)+COUNT(D145:D150)*6</f>
        <v>42</v>
      </c>
      <c r="D120" s="168"/>
      <c r="E120" s="168">
        <f t="shared" ref="E120" si="4">SUM(F138:F143)+SUM(F145:F150)*6</f>
        <v>23219.562600000001</v>
      </c>
      <c r="F120" s="168"/>
      <c r="G120" s="168">
        <f t="shared" ref="G120" si="5">SUM(H138:H143)+SUM(H145:H150)*6</f>
        <v>33862.871249999997</v>
      </c>
      <c r="H120" s="168"/>
      <c r="T120"/>
    </row>
    <row r="121" spans="1:22" s="41" customFormat="1" hidden="1">
      <c r="A121" s="156" t="s">
        <v>256</v>
      </c>
      <c r="B121" s="156"/>
      <c r="C121" s="154">
        <f>SUM(C120)</f>
        <v>42</v>
      </c>
      <c r="D121" s="155"/>
      <c r="E121" s="154">
        <f t="shared" ref="E121" si="6">SUM(E120)</f>
        <v>23219.562600000001</v>
      </c>
      <c r="F121" s="155"/>
      <c r="G121" s="154">
        <f t="shared" ref="G121" si="7">SUM(G120)</f>
        <v>33862.871249999997</v>
      </c>
      <c r="H121" s="155"/>
      <c r="T121"/>
    </row>
    <row r="122" spans="1:22" s="41" customFormat="1">
      <c r="A122" s="157" t="s">
        <v>258</v>
      </c>
      <c r="B122" s="158"/>
      <c r="C122" s="159">
        <f>C117+C121</f>
        <v>46</v>
      </c>
      <c r="D122" s="159"/>
      <c r="E122" s="160">
        <f>E117+E121</f>
        <v>24264.746999999999</v>
      </c>
      <c r="F122" s="160"/>
      <c r="G122" s="161">
        <f>G117+G121</f>
        <v>35430.647849999994</v>
      </c>
      <c r="H122" s="162"/>
      <c r="T122"/>
    </row>
    <row r="123" spans="1:22" s="40" customFormat="1">
      <c r="A123" s="149" t="s">
        <v>259</v>
      </c>
      <c r="B123" s="149"/>
      <c r="C123" s="149"/>
      <c r="D123" s="149"/>
      <c r="E123" s="149"/>
      <c r="F123" s="149"/>
      <c r="G123" s="149"/>
      <c r="H123" s="149"/>
      <c r="T123" s="41"/>
    </row>
    <row r="124" spans="1:22">
      <c r="A124" s="150" t="s">
        <v>260</v>
      </c>
      <c r="B124" s="150"/>
      <c r="C124" s="150"/>
      <c r="D124" s="150"/>
      <c r="E124" s="150"/>
      <c r="F124" s="150"/>
      <c r="G124" s="150"/>
      <c r="H124" s="150"/>
      <c r="T124" s="41"/>
    </row>
    <row r="125" spans="1:22" ht="47.25" customHeight="1">
      <c r="A125" s="116" t="s">
        <v>397</v>
      </c>
      <c r="B125" s="116" t="s">
        <v>261</v>
      </c>
      <c r="C125" s="116" t="s">
        <v>262</v>
      </c>
      <c r="D125" s="116" t="s">
        <v>263</v>
      </c>
      <c r="E125" s="119" t="s">
        <v>264</v>
      </c>
      <c r="F125" s="116" t="s">
        <v>265</v>
      </c>
      <c r="G125" s="119" t="s">
        <v>266</v>
      </c>
      <c r="H125" s="86" t="s">
        <v>267</v>
      </c>
      <c r="T125" s="41"/>
    </row>
    <row r="126" spans="1:22" s="42" customFormat="1">
      <c r="A126" s="117"/>
      <c r="B126" s="117"/>
      <c r="C126" s="117"/>
      <c r="D126" s="117"/>
      <c r="E126" s="120"/>
      <c r="F126" s="117"/>
      <c r="G126" s="120"/>
      <c r="H126" s="88">
        <v>0.5</v>
      </c>
      <c r="T126" s="41"/>
    </row>
    <row r="127" spans="1:22" s="82" customFormat="1">
      <c r="A127" s="151" t="s">
        <v>395</v>
      </c>
      <c r="B127" s="152"/>
      <c r="C127" s="152"/>
      <c r="D127" s="152"/>
      <c r="E127" s="152"/>
      <c r="F127" s="152"/>
      <c r="G127" s="152"/>
      <c r="H127" s="153"/>
      <c r="J127" s="78"/>
      <c r="T127" s="41"/>
    </row>
    <row r="128" spans="1:22" s="42" customFormat="1">
      <c r="A128" s="151" t="s">
        <v>268</v>
      </c>
      <c r="B128" s="152"/>
      <c r="C128" s="152"/>
      <c r="D128" s="152"/>
      <c r="E128" s="152"/>
      <c r="F128" s="152"/>
      <c r="G128" s="152"/>
      <c r="H128" s="153"/>
      <c r="J128" s="78"/>
      <c r="T128" s="41"/>
    </row>
    <row r="129" spans="1:20" s="42" customFormat="1" ht="15.75" customHeight="1">
      <c r="A129" s="145">
        <v>1</v>
      </c>
      <c r="B129" s="146"/>
      <c r="C129" s="89" t="s">
        <v>269</v>
      </c>
      <c r="D129" s="90">
        <f>(23.8)*10.764</f>
        <v>256.1832</v>
      </c>
      <c r="E129" s="91">
        <v>0</v>
      </c>
      <c r="F129" s="91">
        <f>D129+(IF(E129&lt;201,E129,IF(E129&lt;301,E129/2,E129/3)))</f>
        <v>256.1832</v>
      </c>
      <c r="G129" s="92">
        <v>0</v>
      </c>
      <c r="H129" s="91">
        <f>(F129+(IF(G129&lt;101,G129,IF(G129&lt;201,G129/2,IF(G129&lt;=301,G129/3,G129/4)))))*(($H$126)+1)</f>
        <v>384.27480000000003</v>
      </c>
      <c r="I129" s="78"/>
      <c r="L129" s="143"/>
      <c r="M129" s="143"/>
      <c r="N129" s="78"/>
      <c r="T129" s="41"/>
    </row>
    <row r="130" spans="1:20" s="42" customFormat="1" ht="15.75" customHeight="1">
      <c r="A130" s="145">
        <f>A129+1</f>
        <v>2</v>
      </c>
      <c r="B130" s="146"/>
      <c r="C130" s="89" t="s">
        <v>269</v>
      </c>
      <c r="D130" s="90">
        <f>(24)*10.764</f>
        <v>258.33600000000001</v>
      </c>
      <c r="E130" s="91">
        <v>0</v>
      </c>
      <c r="F130" s="91">
        <f t="shared" ref="F130:F132" si="8">D130+(IF(E130&lt;201,E130,IF(E130&lt;301,E130/2,E130/3)))</f>
        <v>258.33600000000001</v>
      </c>
      <c r="G130" s="91">
        <v>0</v>
      </c>
      <c r="H130" s="91">
        <f t="shared" ref="H130:H132" si="9">(F130+(IF(G130&lt;101,G130,IF(G130&lt;201,G130/2,IF(G130&lt;=301,G130/3,G130/4)))))*(($H$126)+1)</f>
        <v>387.50400000000002</v>
      </c>
      <c r="I130" s="78"/>
      <c r="L130" s="143"/>
      <c r="M130" s="143"/>
      <c r="N130" s="78"/>
      <c r="T130" s="40"/>
    </row>
    <row r="131" spans="1:20" s="42" customFormat="1" ht="15.75" customHeight="1">
      <c r="A131" s="145">
        <f>A130+1</f>
        <v>3</v>
      </c>
      <c r="B131" s="146"/>
      <c r="C131" s="89" t="s">
        <v>269</v>
      </c>
      <c r="D131" s="90">
        <f>(25.83)*10.764</f>
        <v>278.03411999999997</v>
      </c>
      <c r="E131" s="91">
        <v>0</v>
      </c>
      <c r="F131" s="91">
        <f t="shared" si="8"/>
        <v>278.03411999999997</v>
      </c>
      <c r="G131" s="91">
        <v>0</v>
      </c>
      <c r="H131" s="91">
        <f t="shared" si="9"/>
        <v>417.05117999999993</v>
      </c>
      <c r="I131" s="78"/>
      <c r="L131" s="143"/>
      <c r="M131" s="143"/>
      <c r="N131" s="78"/>
      <c r="T131" s="44"/>
    </row>
    <row r="132" spans="1:20" s="42" customFormat="1" ht="15.75" customHeight="1">
      <c r="A132" s="145">
        <f>A131+1</f>
        <v>4</v>
      </c>
      <c r="B132" s="146"/>
      <c r="C132" s="89" t="s">
        <v>269</v>
      </c>
      <c r="D132" s="90">
        <f>(23.47)*10.764</f>
        <v>252.63107999999997</v>
      </c>
      <c r="E132" s="91">
        <v>0</v>
      </c>
      <c r="F132" s="91">
        <f t="shared" si="8"/>
        <v>252.63107999999997</v>
      </c>
      <c r="G132" s="91">
        <v>0</v>
      </c>
      <c r="H132" s="91">
        <f t="shared" si="9"/>
        <v>378.94661999999994</v>
      </c>
      <c r="I132" s="78"/>
      <c r="L132" s="143"/>
      <c r="M132" s="143"/>
      <c r="N132" s="78"/>
      <c r="T132" s="44"/>
    </row>
    <row r="133" spans="1:20" s="42" customFormat="1">
      <c r="A133" s="147"/>
      <c r="B133" s="147"/>
      <c r="C133" s="147"/>
      <c r="D133" s="147"/>
      <c r="E133" s="147"/>
      <c r="F133" s="147"/>
      <c r="G133" s="147"/>
      <c r="H133" s="147"/>
      <c r="I133" s="78"/>
      <c r="N133" s="78"/>
    </row>
    <row r="134" spans="1:20" ht="47.25" customHeight="1">
      <c r="A134" s="118" t="s">
        <v>398</v>
      </c>
      <c r="B134" s="118" t="s">
        <v>270</v>
      </c>
      <c r="C134" s="118" t="s">
        <v>262</v>
      </c>
      <c r="D134" s="118" t="s">
        <v>263</v>
      </c>
      <c r="E134" s="118" t="s">
        <v>271</v>
      </c>
      <c r="F134" s="118" t="s">
        <v>265</v>
      </c>
      <c r="G134" s="148" t="s">
        <v>266</v>
      </c>
      <c r="H134" s="93" t="s">
        <v>267</v>
      </c>
      <c r="I134" s="78"/>
      <c r="T134" s="42"/>
    </row>
    <row r="135" spans="1:20" s="42" customFormat="1">
      <c r="A135" s="118"/>
      <c r="B135" s="118"/>
      <c r="C135" s="118"/>
      <c r="D135" s="118"/>
      <c r="E135" s="118"/>
      <c r="F135" s="118"/>
      <c r="G135" s="148"/>
      <c r="H135" s="94">
        <v>0.45</v>
      </c>
      <c r="I135" s="78"/>
    </row>
    <row r="136" spans="1:20" s="82" customFormat="1">
      <c r="A136" s="142" t="s">
        <v>395</v>
      </c>
      <c r="B136" s="142"/>
      <c r="C136" s="142"/>
      <c r="D136" s="142"/>
      <c r="E136" s="142"/>
      <c r="F136" s="142"/>
      <c r="G136" s="142"/>
      <c r="H136" s="142"/>
      <c r="J136" s="78"/>
      <c r="T136" s="41"/>
    </row>
    <row r="137" spans="1:20" s="42" customFormat="1">
      <c r="A137" s="142" t="s">
        <v>272</v>
      </c>
      <c r="B137" s="142"/>
      <c r="C137" s="142"/>
      <c r="D137" s="142"/>
      <c r="E137" s="142"/>
      <c r="F137" s="142"/>
      <c r="G137" s="142"/>
      <c r="H137" s="142"/>
      <c r="I137" s="78"/>
      <c r="L137" s="143"/>
      <c r="M137" s="143"/>
    </row>
    <row r="138" spans="1:20" s="42" customFormat="1">
      <c r="A138" s="144">
        <v>1</v>
      </c>
      <c r="B138" s="144"/>
      <c r="C138" s="75" t="s">
        <v>273</v>
      </c>
      <c r="D138" s="76">
        <f>(50.23)*10.764</f>
        <v>540.67571999999996</v>
      </c>
      <c r="E138" s="76">
        <f>(3+2.2+2.75)*10.764</f>
        <v>85.573799999999991</v>
      </c>
      <c r="F138" s="87">
        <f t="shared" ref="F138:F143" si="10">D138+E138</f>
        <v>626.24951999999996</v>
      </c>
      <c r="G138" s="76">
        <f>(4.54)*10.764</f>
        <v>48.868559999999995</v>
      </c>
      <c r="H138" s="87">
        <f t="shared" ref="H138:H143" si="11">F138*(($H$135)+1)+(IF(G138&lt;101,G138,IF(G138&lt;201,G138/2,IF(G138&lt;=301,G138/3,G138/4))))</f>
        <v>956.93036399999994</v>
      </c>
      <c r="I138" s="78"/>
      <c r="N138" s="78"/>
    </row>
    <row r="139" spans="1:20" s="42" customFormat="1">
      <c r="A139" s="144">
        <f t="shared" ref="A139:A143" si="12">A138+1</f>
        <v>2</v>
      </c>
      <c r="B139" s="144"/>
      <c r="C139" s="75" t="s">
        <v>274</v>
      </c>
      <c r="D139" s="76">
        <f>(59.76)*10.764</f>
        <v>643.25663999999995</v>
      </c>
      <c r="E139" s="76">
        <f>(2.1+2.45+2.75+3)*10.764</f>
        <v>110.86920000000001</v>
      </c>
      <c r="F139" s="87">
        <f t="shared" si="10"/>
        <v>754.12583999999993</v>
      </c>
      <c r="G139" s="76">
        <f>(7.03)*10.764</f>
        <v>75.670919999999995</v>
      </c>
      <c r="H139" s="87">
        <f t="shared" si="11"/>
        <v>1169.1533879999999</v>
      </c>
      <c r="I139" s="78"/>
      <c r="N139" s="78"/>
    </row>
    <row r="140" spans="1:20" s="42" customFormat="1">
      <c r="A140" s="144">
        <f t="shared" si="12"/>
        <v>3</v>
      </c>
      <c r="B140" s="144"/>
      <c r="C140" s="75" t="s">
        <v>275</v>
      </c>
      <c r="D140" s="76">
        <f>(35.09)*10.764</f>
        <v>377.70876000000004</v>
      </c>
      <c r="E140" s="76">
        <f>(2.75+2.15)*10.764</f>
        <v>52.743600000000001</v>
      </c>
      <c r="F140" s="87">
        <f t="shared" si="10"/>
        <v>430.45236000000006</v>
      </c>
      <c r="G140" s="76">
        <f>(6.5)*10.764</f>
        <v>69.965999999999994</v>
      </c>
      <c r="H140" s="87">
        <f t="shared" si="11"/>
        <v>694.12192200000004</v>
      </c>
      <c r="I140" s="78"/>
      <c r="N140" s="78"/>
    </row>
    <row r="141" spans="1:20" s="42" customFormat="1">
      <c r="A141" s="144">
        <f t="shared" si="12"/>
        <v>4</v>
      </c>
      <c r="B141" s="144"/>
      <c r="C141" s="75" t="s">
        <v>275</v>
      </c>
      <c r="D141" s="76">
        <f>(34.83)*10.764</f>
        <v>374.91011999999995</v>
      </c>
      <c r="E141" s="76">
        <f>(2.75+2.15+4.3)*10.764</f>
        <v>99.02879999999999</v>
      </c>
      <c r="F141" s="87">
        <f t="shared" si="10"/>
        <v>473.93891999999994</v>
      </c>
      <c r="G141" s="87">
        <v>0</v>
      </c>
      <c r="H141" s="87">
        <f t="shared" si="11"/>
        <v>687.21143399999994</v>
      </c>
      <c r="I141" s="78"/>
      <c r="N141" s="78"/>
    </row>
    <row r="142" spans="1:20" s="42" customFormat="1">
      <c r="A142" s="144">
        <f t="shared" si="12"/>
        <v>5</v>
      </c>
      <c r="B142" s="144"/>
      <c r="C142" s="75" t="s">
        <v>275</v>
      </c>
      <c r="D142" s="76">
        <f>(35.85)*10.764</f>
        <v>385.88939999999997</v>
      </c>
      <c r="E142" s="76">
        <f>(4.4+2.75+2.75)*10.764</f>
        <v>106.56359999999999</v>
      </c>
      <c r="F142" s="87">
        <f t="shared" si="10"/>
        <v>492.45299999999997</v>
      </c>
      <c r="G142" s="87">
        <v>0</v>
      </c>
      <c r="H142" s="87">
        <f t="shared" si="11"/>
        <v>714.05684999999994</v>
      </c>
      <c r="I142" s="78"/>
      <c r="N142" s="78"/>
    </row>
    <row r="143" spans="1:20" s="42" customFormat="1">
      <c r="A143" s="144">
        <f t="shared" si="12"/>
        <v>6</v>
      </c>
      <c r="B143" s="144"/>
      <c r="C143" s="75" t="s">
        <v>275</v>
      </c>
      <c r="D143" s="76">
        <f>(36.79)*10.764</f>
        <v>396.00755999999996</v>
      </c>
      <c r="E143" s="76">
        <f>(2.75+2.75+2.25)*10.764</f>
        <v>83.420999999999992</v>
      </c>
      <c r="F143" s="77">
        <f t="shared" si="10"/>
        <v>479.42855999999995</v>
      </c>
      <c r="G143" s="77">
        <v>0</v>
      </c>
      <c r="H143" s="77">
        <f t="shared" si="11"/>
        <v>695.17141199999992</v>
      </c>
      <c r="I143" s="78"/>
      <c r="N143" s="78"/>
    </row>
    <row r="144" spans="1:20" s="42" customFormat="1">
      <c r="A144" s="123" t="s">
        <v>276</v>
      </c>
      <c r="B144" s="124"/>
      <c r="C144" s="124"/>
      <c r="D144" s="124"/>
      <c r="E144" s="124"/>
      <c r="F144" s="124"/>
      <c r="G144" s="124"/>
      <c r="H144" s="125"/>
      <c r="I144" s="78"/>
    </row>
    <row r="145" spans="1:20" s="42" customFormat="1" ht="15.75" customHeight="1">
      <c r="A145" s="121">
        <v>1</v>
      </c>
      <c r="B145" s="122"/>
      <c r="C145" s="75" t="s">
        <v>273</v>
      </c>
      <c r="D145" s="76">
        <f>(50.23)*10.764</f>
        <v>540.67571999999996</v>
      </c>
      <c r="E145" s="76">
        <f>(3+2.2+2.75+2.75)*10.764</f>
        <v>115.17479999999999</v>
      </c>
      <c r="F145" s="77">
        <f t="shared" ref="F145:F150" si="13">D145+E145</f>
        <v>655.85051999999996</v>
      </c>
      <c r="G145" s="77">
        <v>0</v>
      </c>
      <c r="H145" s="77">
        <f t="shared" ref="H145:H150" si="14">F145*(($H$135)+1)+(IF(G145&lt;101,G145,IF(G145&lt;201,G145/2,IF(G145&lt;=301,G145/3,G145/4))))</f>
        <v>950.98325399999987</v>
      </c>
      <c r="I145" s="78"/>
    </row>
    <row r="146" spans="1:20" s="42" customFormat="1" ht="15.75" customHeight="1">
      <c r="A146" s="121">
        <f t="shared" ref="A146:A150" si="15">A145+1</f>
        <v>2</v>
      </c>
      <c r="B146" s="122"/>
      <c r="C146" s="75" t="s">
        <v>274</v>
      </c>
      <c r="D146" s="76">
        <f>(59.76)*10.764</f>
        <v>643.25663999999995</v>
      </c>
      <c r="E146" s="76">
        <f>(1.9+2.1+2.45+2.75+3)*10.764</f>
        <v>131.32079999999999</v>
      </c>
      <c r="F146" s="77">
        <f t="shared" si="13"/>
        <v>774.57743999999991</v>
      </c>
      <c r="G146" s="77">
        <v>0</v>
      </c>
      <c r="H146" s="77">
        <f t="shared" si="14"/>
        <v>1123.1372879999999</v>
      </c>
      <c r="I146" s="78"/>
    </row>
    <row r="147" spans="1:20" s="42" customFormat="1" ht="15.75" customHeight="1">
      <c r="A147" s="121">
        <f t="shared" si="15"/>
        <v>3</v>
      </c>
      <c r="B147" s="122"/>
      <c r="C147" s="75" t="s">
        <v>275</v>
      </c>
      <c r="D147" s="76">
        <f>(35.09)*10.764</f>
        <v>377.70876000000004</v>
      </c>
      <c r="E147" s="76">
        <f>(1.9+2.75+2.15)*10.764</f>
        <v>73.1952</v>
      </c>
      <c r="F147" s="77">
        <f t="shared" si="13"/>
        <v>450.90396000000004</v>
      </c>
      <c r="G147" s="77">
        <v>0</v>
      </c>
      <c r="H147" s="77">
        <f t="shared" si="14"/>
        <v>653.810742</v>
      </c>
      <c r="I147" s="78"/>
      <c r="N147" s="42">
        <f>3199000/H147</f>
        <v>4892.8532287712087</v>
      </c>
    </row>
    <row r="148" spans="1:20" s="42" customFormat="1" ht="15.75" customHeight="1">
      <c r="A148" s="121">
        <f t="shared" si="15"/>
        <v>4</v>
      </c>
      <c r="B148" s="122"/>
      <c r="C148" s="75" t="s">
        <v>275</v>
      </c>
      <c r="D148" s="76">
        <f>(34.83)*10.764</f>
        <v>374.91011999999995</v>
      </c>
      <c r="E148" s="76">
        <f>(2.75+2.15+4.3)*10.764</f>
        <v>99.02879999999999</v>
      </c>
      <c r="F148" s="77">
        <f t="shared" si="13"/>
        <v>473.93891999999994</v>
      </c>
      <c r="G148" s="77">
        <v>0</v>
      </c>
      <c r="H148" s="77">
        <f t="shared" si="14"/>
        <v>687.21143399999994</v>
      </c>
      <c r="I148" s="78"/>
    </row>
    <row r="149" spans="1:20" s="42" customFormat="1" ht="15.75" customHeight="1">
      <c r="A149" s="121">
        <f t="shared" si="15"/>
        <v>5</v>
      </c>
      <c r="B149" s="122"/>
      <c r="C149" s="75" t="s">
        <v>275</v>
      </c>
      <c r="D149" s="76">
        <f>(35.85)*10.764</f>
        <v>385.88939999999997</v>
      </c>
      <c r="E149" s="76">
        <f>(4.4+2.75+2.75)*10.764</f>
        <v>106.56359999999999</v>
      </c>
      <c r="F149" s="77">
        <f t="shared" si="13"/>
        <v>492.45299999999997</v>
      </c>
      <c r="G149" s="77">
        <v>0</v>
      </c>
      <c r="H149" s="77">
        <f t="shared" si="14"/>
        <v>714.05684999999994</v>
      </c>
      <c r="I149" s="78"/>
    </row>
    <row r="150" spans="1:20" s="42" customFormat="1" ht="15.75" customHeight="1">
      <c r="A150" s="121">
        <f t="shared" si="15"/>
        <v>6</v>
      </c>
      <c r="B150" s="122"/>
      <c r="C150" s="75" t="s">
        <v>275</v>
      </c>
      <c r="D150" s="76">
        <f>(36.79)*10.764</f>
        <v>396.00755999999996</v>
      </c>
      <c r="E150" s="76">
        <f>(2.75+2.75+2.25)*10.764</f>
        <v>83.420999999999992</v>
      </c>
      <c r="F150" s="77">
        <f t="shared" si="13"/>
        <v>479.42855999999995</v>
      </c>
      <c r="G150" s="77">
        <v>0</v>
      </c>
      <c r="H150" s="77">
        <f t="shared" si="14"/>
        <v>695.17141199999992</v>
      </c>
      <c r="I150" s="78"/>
    </row>
    <row r="151" spans="1:20" s="42" customFormat="1" hidden="1">
      <c r="A151" s="123" t="s">
        <v>277</v>
      </c>
      <c r="B151" s="124"/>
      <c r="C151" s="124"/>
      <c r="D151" s="124"/>
      <c r="E151" s="124"/>
      <c r="F151" s="124"/>
      <c r="G151" s="124"/>
      <c r="H151" s="125"/>
      <c r="J151" s="78"/>
    </row>
    <row r="152" spans="1:20" s="42" customFormat="1" ht="15.75" hidden="1" customHeight="1">
      <c r="A152" s="121">
        <v>1</v>
      </c>
      <c r="B152" s="122"/>
      <c r="C152" s="77"/>
      <c r="D152" s="77"/>
      <c r="E152" s="77">
        <v>0</v>
      </c>
      <c r="F152" s="77">
        <f>D152+E152</f>
        <v>0</v>
      </c>
      <c r="G152" s="77">
        <v>0</v>
      </c>
      <c r="H152" s="77">
        <f>F152*(($H$135)+1)+(IF(G152&lt;101,G152,IF(G152&lt;201,G152/2,IF(G152&lt;=301,G152/3,G152/4))))</f>
        <v>0</v>
      </c>
      <c r="I152" s="78"/>
      <c r="L152" s="143"/>
      <c r="M152" s="143"/>
      <c r="N152" s="78"/>
    </row>
    <row r="153" spans="1:20" s="42" customFormat="1" ht="15.75" hidden="1" customHeight="1">
      <c r="A153" s="121">
        <f>A152+1</f>
        <v>2</v>
      </c>
      <c r="B153" s="122"/>
      <c r="C153" s="77"/>
      <c r="D153" s="77"/>
      <c r="E153" s="77">
        <v>0</v>
      </c>
      <c r="F153" s="77">
        <f>D153+E153</f>
        <v>0</v>
      </c>
      <c r="G153" s="77">
        <v>0</v>
      </c>
      <c r="H153" s="77">
        <f>F153*(($H$135)+1)+(IF(G153&lt;101,G153,IF(G153&lt;201,G153/2,IF(G153&lt;=301,G153/3,G153/4))))</f>
        <v>0</v>
      </c>
      <c r="I153" s="78"/>
      <c r="L153" s="143"/>
      <c r="M153" s="143"/>
      <c r="N153" s="78"/>
    </row>
    <row r="154" spans="1:20" s="42" customFormat="1" ht="15.75" hidden="1" customHeight="1">
      <c r="A154" s="121">
        <f>A153+1</f>
        <v>3</v>
      </c>
      <c r="B154" s="122"/>
      <c r="C154" s="77"/>
      <c r="D154" s="77"/>
      <c r="E154" s="77">
        <v>0</v>
      </c>
      <c r="F154" s="77">
        <f>D154+E154</f>
        <v>0</v>
      </c>
      <c r="G154" s="77">
        <v>0</v>
      </c>
      <c r="H154" s="77">
        <f>F154*(($H$135)+1)+(IF(G154&lt;101,G154,IF(G154&lt;201,G154/2,IF(G154&lt;=301,G154/3,G154/4))))</f>
        <v>0</v>
      </c>
      <c r="I154" s="78"/>
      <c r="L154" s="143"/>
      <c r="M154" s="143"/>
      <c r="N154" s="78"/>
    </row>
    <row r="155" spans="1:20" s="42" customFormat="1" ht="15.75" hidden="1" customHeight="1">
      <c r="A155" s="121">
        <f>A154+1</f>
        <v>4</v>
      </c>
      <c r="B155" s="122"/>
      <c r="C155" s="77"/>
      <c r="D155" s="77"/>
      <c r="E155" s="77">
        <v>0</v>
      </c>
      <c r="F155" s="77">
        <f>D155+E155</f>
        <v>0</v>
      </c>
      <c r="G155" s="77">
        <v>0</v>
      </c>
      <c r="H155" s="77">
        <f>F155*(($H$135)+1)+(IF(G155&lt;101,G155,IF(G155&lt;201,G155/2,IF(G155&lt;=301,G155/3,G155/4))))</f>
        <v>0</v>
      </c>
      <c r="I155" s="78"/>
      <c r="L155" s="143"/>
      <c r="M155" s="143"/>
      <c r="N155" s="78"/>
      <c r="T155" s="44"/>
    </row>
    <row r="156" spans="1:20" s="42" customFormat="1" hidden="1">
      <c r="A156" s="142" t="s">
        <v>278</v>
      </c>
      <c r="B156" s="142"/>
      <c r="C156" s="142"/>
      <c r="D156" s="142"/>
      <c r="E156" s="142"/>
      <c r="F156" s="142"/>
      <c r="G156" s="142"/>
      <c r="H156" s="142"/>
      <c r="I156" s="78"/>
      <c r="L156" s="143"/>
      <c r="M156" s="143"/>
    </row>
    <row r="157" spans="1:20" s="42" customFormat="1" hidden="1">
      <c r="A157" s="144">
        <f>LEFT(A156,SUM(LEN(A156)-LEN(SUBSTITUTE(A156,{"0","1","2","3","4","5","6","7","8","9"},""))))*100+1</f>
        <v>201</v>
      </c>
      <c r="B157" s="144"/>
      <c r="C157" s="77"/>
      <c r="D157" s="77"/>
      <c r="E157" s="77">
        <v>0</v>
      </c>
      <c r="F157" s="77">
        <f>D157+E157</f>
        <v>0</v>
      </c>
      <c r="G157" s="77">
        <v>0</v>
      </c>
      <c r="H157" s="77">
        <f>F157*(($H$135)+1)+(IF(G157&lt;101,G157,IF(G157&lt;201,G157/2,IF(G157&lt;=301,G157/3,G157/4))))</f>
        <v>0</v>
      </c>
      <c r="I157" s="78"/>
      <c r="N157" s="78"/>
    </row>
    <row r="158" spans="1:20" s="42" customFormat="1" hidden="1">
      <c r="A158" s="144">
        <f>A157+1</f>
        <v>202</v>
      </c>
      <c r="B158" s="144"/>
      <c r="C158" s="77"/>
      <c r="D158" s="77"/>
      <c r="E158" s="77">
        <v>0</v>
      </c>
      <c r="F158" s="77">
        <f>D158+E158</f>
        <v>0</v>
      </c>
      <c r="G158" s="77">
        <v>0</v>
      </c>
      <c r="H158" s="77">
        <f>F158*(($H$135)+1)+(IF(G158&lt;101,G158,IF(G158&lt;201,G158/2,IF(G158&lt;=301,G158/3,G158/4))))</f>
        <v>0</v>
      </c>
      <c r="I158" s="78"/>
      <c r="N158" s="78"/>
    </row>
    <row r="159" spans="1:20" s="42" customFormat="1" hidden="1">
      <c r="A159" s="144">
        <f>A158+1</f>
        <v>203</v>
      </c>
      <c r="B159" s="144"/>
      <c r="C159" s="77"/>
      <c r="D159" s="77"/>
      <c r="E159" s="77">
        <v>0</v>
      </c>
      <c r="F159" s="77">
        <f>D159+E159</f>
        <v>0</v>
      </c>
      <c r="G159" s="77">
        <v>0</v>
      </c>
      <c r="H159" s="77">
        <f>F159*(($H$135)+1)+(IF(G159&lt;101,G159,IF(G159&lt;201,G159/2,IF(G159&lt;=301,G159/3,G159/4))))</f>
        <v>0</v>
      </c>
      <c r="I159" s="78"/>
      <c r="N159" s="78"/>
    </row>
    <row r="160" spans="1:20" s="42" customFormat="1" hidden="1">
      <c r="A160" s="144">
        <f>A159+1</f>
        <v>204</v>
      </c>
      <c r="B160" s="144"/>
      <c r="C160" s="77"/>
      <c r="D160" s="77"/>
      <c r="E160" s="77">
        <v>0</v>
      </c>
      <c r="F160" s="77">
        <f>D160+E160</f>
        <v>0</v>
      </c>
      <c r="G160" s="77">
        <v>0</v>
      </c>
      <c r="H160" s="77">
        <f>F160*(($H$135)+1)+(IF(G160&lt;101,G160,IF(G160&lt;201,G160/2,IF(G160&lt;=301,G160/3,G160/4))))</f>
        <v>0</v>
      </c>
      <c r="I160" s="78"/>
      <c r="N160" s="78"/>
    </row>
    <row r="161" spans="1:14" s="42" customFormat="1" hidden="1">
      <c r="A161" s="144">
        <f>A160+1</f>
        <v>205</v>
      </c>
      <c r="B161" s="144"/>
      <c r="C161" s="77"/>
      <c r="D161" s="77"/>
      <c r="E161" s="77">
        <v>0</v>
      </c>
      <c r="F161" s="77">
        <f>D161+E161</f>
        <v>0</v>
      </c>
      <c r="G161" s="77">
        <v>0</v>
      </c>
      <c r="H161" s="77">
        <f>F161*(($H$135)+1)+(IF(G161&lt;101,G161,IF(G161&lt;201,G161/2,IF(G161&lt;=301,G161/3,G161/4))))</f>
        <v>0</v>
      </c>
      <c r="I161" s="78"/>
      <c r="N161" s="78"/>
    </row>
    <row r="162" spans="1:14" s="42" customFormat="1" ht="15.75" hidden="1" customHeight="1">
      <c r="A162" s="123" t="s">
        <v>279</v>
      </c>
      <c r="B162" s="124"/>
      <c r="C162" s="124"/>
      <c r="D162" s="124"/>
      <c r="E162" s="124"/>
      <c r="F162" s="124"/>
      <c r="G162" s="124"/>
      <c r="H162" s="125"/>
      <c r="I162" s="78"/>
    </row>
    <row r="163" spans="1:14" s="42" customFormat="1" ht="15.75" hidden="1" customHeight="1">
      <c r="A163" s="121" t="str">
        <f ca="1">(SUMPRODUCT(MID(0&amp;(LEFT(A162,SUM(LEN(A162)-LEN(SUBSTITUTE(A162,{"0","1","2"},""))))),LARGE(INDEX(ISNUMBER(--MID((LEFT(A162,SUM(LEN(A162)-LEN(SUBSTITUTE(A162,{"0","1","2"},""))))),ROW(INDIRECT("1:"&amp;LEN((LEFT(A162,SUM(LEN(A162)-LEN(SUBSTITUTE(A162,{"0","1","2"},"")))))))),1))*ROW(INDIRECT("1:"&amp;LEN((LEFT(A162,SUM(LEN(A162)-LEN(SUBSTITUTE(A162,{"0","1","2"},"")))))))),0),ROW(INDIRECT("1:"&amp;LEN((LEFT(A162,SUM(LEN(A162)-LEN(SUBSTITUTE(A162,{"0","1","2"},"")))))))))+1,1)*10^ROW(INDIRECT("1:"&amp;LEN((LEFT(A162,SUM(LEN(A162)-LEN(SUBSTITUTE(A162,{"0","1","2"},""))))))))/10))*100+1&amp;""&amp;" ,.., "&amp;""&amp;(SUMPRODUCT(MID(0&amp;(--TRIM(RIGHT(SUBSTITUTE(LEFT(A162,_xlfn.AGGREGATE(16,6,FIND({0,1,2,3,4,5,6,7,8,9},A162,ROW(INDIRECT("1:"&amp;LEN(A162)))),1))," ",REPT(" ",LEN(A162))),LEN(A162)))),LARGE(INDEX(ISNUMBER(--MID((--TRIM(RIGHT(SUBSTITUTE(LEFT(A162,_xlfn.AGGREGATE(16,6,FIND({0,1,2,3,4,5,6,7,8,9},A162,ROW(INDIRECT("1:"&amp;LEN(A162)))),1))," ",REPT(" ",LEN(A162))),LEN(A162)))),ROW(INDIRECT("1:"&amp;LEN((--TRIM(RIGHT(SUBSTITUTE(LEFT(A162,_xlfn.AGGREGATE(16,6,FIND({0,1,2,3,4,5,6,7,8,9},A162,ROW(INDIRECT("1:"&amp;LEN(A162)))),1))," ",REPT(" ",LEN(A162))),LEN(A162))))))),1))*ROW(INDIRECT("1:"&amp;LEN((--TRIM(RIGHT(SUBSTITUTE(LEFT(A162,_xlfn.AGGREGATE(16,6,FIND({0,1,2,3,4,5,6,7,8,9},A162,ROW(INDIRECT("1:"&amp;LEN(A162)))),1))," ",REPT(" ",LEN(A162))),LEN(A162))))))),0),ROW(INDIRECT("1:"&amp;LEN((--TRIM(RIGHT(SUBSTITUTE(LEFT(A162,_xlfn.AGGREGATE(16,6,FIND({0,1,2,3,4,5,6,7,8,9},A162,ROW(INDIRECT("1:"&amp;LEN(A162)))),1))," ",REPT(" ",LEN(A162))),LEN(A162))))))))+1,1)*10^ROW(INDIRECT("1:"&amp;LEN((--TRIM(RIGHT(SUBSTITUTE(LEFT(A162,_xlfn.AGGREGATE(16,6,FIND({0,1,2,3,4,5,6,7,8,9},A162,ROW(INDIRECT("1:"&amp;LEN(A162)))),1))," ",REPT(" ",LEN(A162))),LEN(A162)))))))/10))*100+1</f>
        <v>301 ,.., 1501</v>
      </c>
      <c r="B163" s="122"/>
      <c r="C163" s="77"/>
      <c r="D163" s="77"/>
      <c r="E163" s="77">
        <v>0</v>
      </c>
      <c r="F163" s="77">
        <f>D163+E163</f>
        <v>0</v>
      </c>
      <c r="G163" s="77">
        <v>0</v>
      </c>
      <c r="H163" s="77">
        <f>F163*(($H$135)+1)+(IF(G163&lt;101,G163,IF(G163&lt;201,G163/2,IF(G163&lt;=301,G163/3,G163/4))))</f>
        <v>0</v>
      </c>
      <c r="I163" s="78"/>
    </row>
    <row r="164" spans="1:14" s="42" customFormat="1" ht="15.75" hidden="1" customHeight="1">
      <c r="A164" s="121" t="str">
        <f ca="1">(SUMPRODUCT(MID(0&amp;(LEFT(A163,SUM(LEN(A163)-LEN(SUBSTITUTE(A163,{"0","1","2"},""))))),LARGE(INDEX(ISNUMBER(--MID((LEFT(A163,SUM(LEN(A163)-LEN(SUBSTITUTE(A163,{"0","1","2"},""))))),ROW(INDIRECT("1:"&amp;LEN((LEFT(A163,SUM(LEN(A163)-LEN(SUBSTITUTE(A163,{"0","1","2"},"")))))))),1))*ROW(INDIRECT("1:"&amp;LEN((LEFT(A163,SUM(LEN(A163)-LEN(SUBSTITUTE(A163,{"0","1","2"},"")))))))),0),ROW(INDIRECT("1:"&amp;LEN((LEFT(A163,SUM(LEN(A163)-LEN(SUBSTITUTE(A163,{"0","1","2"},"")))))))))+1,1)*10^ROW(INDIRECT("1:"&amp;LEN((LEFT(A163,SUM(LEN(A163)-LEN(SUBSTITUTE(A163,{"0","1","2"},""))))))))/10))*1+1&amp;""&amp;" ,.., "&amp;""&amp;(SUMPRODUCT(MID(0&amp;(--TRIM(RIGHT(SUBSTITUTE(LEFT(A163,_xlfn.AGGREGATE(16,6,FIND({0,1,2,3,4,5,6,7,8,9},A163,ROW(INDIRECT("1:"&amp;LEN(A163)))),1))," ",REPT(" ",LEN(A163))),LEN(A163)))),LARGE(INDEX(ISNUMBER(--MID((--TRIM(RIGHT(SUBSTITUTE(LEFT(A163,_xlfn.AGGREGATE(16,6,FIND({0,1,2,3,4,5,6,7,8,9},A163,ROW(INDIRECT("1:"&amp;LEN(A163)))),1))," ",REPT(" ",LEN(A163))),LEN(A163)))),ROW(INDIRECT("1:"&amp;LEN((--TRIM(RIGHT(SUBSTITUTE(LEFT(A163,_xlfn.AGGREGATE(16,6,FIND({0,1,2,3,4,5,6,7,8,9},A163,ROW(INDIRECT("1:"&amp;LEN(A163)))),1))," ",REPT(" ",LEN(A163))),LEN(A163))))))),1))*ROW(INDIRECT("1:"&amp;LEN((--TRIM(RIGHT(SUBSTITUTE(LEFT(A163,_xlfn.AGGREGATE(16,6,FIND({0,1,2,3,4,5,6,7,8,9},A163,ROW(INDIRECT("1:"&amp;LEN(A163)))),1))," ",REPT(" ",LEN(A163))),LEN(A163))))))),0),ROW(INDIRECT("1:"&amp;LEN((--TRIM(RIGHT(SUBSTITUTE(LEFT(A163,_xlfn.AGGREGATE(16,6,FIND({0,1,2,3,4,5,6,7,8,9},A163,ROW(INDIRECT("1:"&amp;LEN(A163)))),1))," ",REPT(" ",LEN(A163))),LEN(A163))))))))+1,1)*10^ROW(INDIRECT("1:"&amp;LEN((--TRIM(RIGHT(SUBSTITUTE(LEFT(A163,_xlfn.AGGREGATE(16,6,FIND({0,1,2,3,4,5,6,7,8,9},A163,ROW(INDIRECT("1:"&amp;LEN(A163)))),1))," ",REPT(" ",LEN(A163))),LEN(A163)))))))/10))*1+1</f>
        <v>302 ,.., 1502</v>
      </c>
      <c r="B164" s="122"/>
      <c r="C164" s="77"/>
      <c r="D164" s="77"/>
      <c r="E164" s="77">
        <v>0</v>
      </c>
      <c r="F164" s="77">
        <f>D164+E164</f>
        <v>0</v>
      </c>
      <c r="G164" s="77">
        <v>0</v>
      </c>
      <c r="H164" s="77">
        <f>F164*(($H$135)+1)+(IF(G164&lt;101,G164,IF(G164&lt;201,G164/2,IF(G164&lt;=301,G164/3,G164/4))))</f>
        <v>0</v>
      </c>
      <c r="I164" s="78"/>
    </row>
    <row r="165" spans="1:14" s="42" customFormat="1" ht="15.75" hidden="1" customHeight="1">
      <c r="A165" s="121" t="str">
        <f ca="1">(SUMPRODUCT(MID(0&amp;(LEFT(A164,SUM(LEN(A164)-LEN(SUBSTITUTE(A164,{"0","1","2"},""))))),LARGE(INDEX(ISNUMBER(--MID((LEFT(A164,SUM(LEN(A164)-LEN(SUBSTITUTE(A164,{"0","1","2"},""))))),ROW(INDIRECT("1:"&amp;LEN((LEFT(A164,SUM(LEN(A164)-LEN(SUBSTITUTE(A164,{"0","1","2"},"")))))))),1))*ROW(INDIRECT("1:"&amp;LEN((LEFT(A164,SUM(LEN(A164)-LEN(SUBSTITUTE(A164,{"0","1","2"},"")))))))),0),ROW(INDIRECT("1:"&amp;LEN((LEFT(A164,SUM(LEN(A164)-LEN(SUBSTITUTE(A164,{"0","1","2"},"")))))))))+1,1)*10^ROW(INDIRECT("1:"&amp;LEN((LEFT(A164,SUM(LEN(A164)-LEN(SUBSTITUTE(A164,{"0","1","2"},""))))))))/10))*1+1&amp;""&amp;" ,.., "&amp;""&amp;(SUMPRODUCT(MID(0&amp;(--TRIM(RIGHT(SUBSTITUTE(LEFT(A164,_xlfn.AGGREGATE(16,6,FIND({0,1,2,3,4,5,6,7,8,9},A164,ROW(INDIRECT("1:"&amp;LEN(A164)))),1))," ",REPT(" ",LEN(A164))),LEN(A164)))),LARGE(INDEX(ISNUMBER(--MID((--TRIM(RIGHT(SUBSTITUTE(LEFT(A164,_xlfn.AGGREGATE(16,6,FIND({0,1,2,3,4,5,6,7,8,9},A164,ROW(INDIRECT("1:"&amp;LEN(A164)))),1))," ",REPT(" ",LEN(A164))),LEN(A164)))),ROW(INDIRECT("1:"&amp;LEN((--TRIM(RIGHT(SUBSTITUTE(LEFT(A164,_xlfn.AGGREGATE(16,6,FIND({0,1,2,3,4,5,6,7,8,9},A164,ROW(INDIRECT("1:"&amp;LEN(A164)))),1))," ",REPT(" ",LEN(A164))),LEN(A164))))))),1))*ROW(INDIRECT("1:"&amp;LEN((--TRIM(RIGHT(SUBSTITUTE(LEFT(A164,_xlfn.AGGREGATE(16,6,FIND({0,1,2,3,4,5,6,7,8,9},A164,ROW(INDIRECT("1:"&amp;LEN(A164)))),1))," ",REPT(" ",LEN(A164))),LEN(A164))))))),0),ROW(INDIRECT("1:"&amp;LEN((--TRIM(RIGHT(SUBSTITUTE(LEFT(A164,_xlfn.AGGREGATE(16,6,FIND({0,1,2,3,4,5,6,7,8,9},A164,ROW(INDIRECT("1:"&amp;LEN(A164)))),1))," ",REPT(" ",LEN(A164))),LEN(A164))))))))+1,1)*10^ROW(INDIRECT("1:"&amp;LEN((--TRIM(RIGHT(SUBSTITUTE(LEFT(A164,_xlfn.AGGREGATE(16,6,FIND({0,1,2,3,4,5,6,7,8,9},A164,ROW(INDIRECT("1:"&amp;LEN(A164)))),1))," ",REPT(" ",LEN(A164))),LEN(A164)))))))/10))*1+1</f>
        <v>303 ,.., 1503</v>
      </c>
      <c r="B165" s="122"/>
      <c r="C165" s="77"/>
      <c r="D165" s="77"/>
      <c r="E165" s="77">
        <v>0</v>
      </c>
      <c r="F165" s="77">
        <f>D165+E165</f>
        <v>0</v>
      </c>
      <c r="G165" s="77">
        <v>0</v>
      </c>
      <c r="H165" s="77">
        <f>F165*(($H$135)+1)+(IF(G165&lt;101,G165,IF(G165&lt;201,G165/2,IF(G165&lt;=301,G165/3,G165/4))))</f>
        <v>0</v>
      </c>
      <c r="I165" s="78"/>
    </row>
    <row r="166" spans="1:14" s="42" customFormat="1" ht="15.75" hidden="1" customHeight="1">
      <c r="A166" s="121" t="str">
        <f ca="1">(SUMPRODUCT(MID(0&amp;(LEFT(A165,SUM(LEN(A165)-LEN(SUBSTITUTE(A165,{"0","1","2"},""))))),LARGE(INDEX(ISNUMBER(--MID((LEFT(A165,SUM(LEN(A165)-LEN(SUBSTITUTE(A165,{"0","1","2"},""))))),ROW(INDIRECT("1:"&amp;LEN((LEFT(A165,SUM(LEN(A165)-LEN(SUBSTITUTE(A165,{"0","1","2"},"")))))))),1))*ROW(INDIRECT("1:"&amp;LEN((LEFT(A165,SUM(LEN(A165)-LEN(SUBSTITUTE(A165,{"0","1","2"},"")))))))),0),ROW(INDIRECT("1:"&amp;LEN((LEFT(A165,SUM(LEN(A165)-LEN(SUBSTITUTE(A165,{"0","1","2"},"")))))))))+1,1)*10^ROW(INDIRECT("1:"&amp;LEN((LEFT(A165,SUM(LEN(A165)-LEN(SUBSTITUTE(A165,{"0","1","2"},""))))))))/10))*1+1&amp;""&amp;" ,.., "&amp;""&amp;(SUMPRODUCT(MID(0&amp;(--TRIM(RIGHT(SUBSTITUTE(LEFT(A165,_xlfn.AGGREGATE(16,6,FIND({0,1,2,3,4,5,6,7,8,9},A165,ROW(INDIRECT("1:"&amp;LEN(A165)))),1))," ",REPT(" ",LEN(A165))),LEN(A165)))),LARGE(INDEX(ISNUMBER(--MID((--TRIM(RIGHT(SUBSTITUTE(LEFT(A165,_xlfn.AGGREGATE(16,6,FIND({0,1,2,3,4,5,6,7,8,9},A165,ROW(INDIRECT("1:"&amp;LEN(A165)))),1))," ",REPT(" ",LEN(A165))),LEN(A165)))),ROW(INDIRECT("1:"&amp;LEN((--TRIM(RIGHT(SUBSTITUTE(LEFT(A165,_xlfn.AGGREGATE(16,6,FIND({0,1,2,3,4,5,6,7,8,9},A165,ROW(INDIRECT("1:"&amp;LEN(A165)))),1))," ",REPT(" ",LEN(A165))),LEN(A165))))))),1))*ROW(INDIRECT("1:"&amp;LEN((--TRIM(RIGHT(SUBSTITUTE(LEFT(A165,_xlfn.AGGREGATE(16,6,FIND({0,1,2,3,4,5,6,7,8,9},A165,ROW(INDIRECT("1:"&amp;LEN(A165)))),1))," ",REPT(" ",LEN(A165))),LEN(A165))))))),0),ROW(INDIRECT("1:"&amp;LEN((--TRIM(RIGHT(SUBSTITUTE(LEFT(A165,_xlfn.AGGREGATE(16,6,FIND({0,1,2,3,4,5,6,7,8,9},A165,ROW(INDIRECT("1:"&amp;LEN(A165)))),1))," ",REPT(" ",LEN(A165))),LEN(A165))))))))+1,1)*10^ROW(INDIRECT("1:"&amp;LEN((--TRIM(RIGHT(SUBSTITUTE(LEFT(A165,_xlfn.AGGREGATE(16,6,FIND({0,1,2,3,4,5,6,7,8,9},A165,ROW(INDIRECT("1:"&amp;LEN(A165)))),1))," ",REPT(" ",LEN(A165))),LEN(A165)))))))/10))*1+1</f>
        <v>304 ,.., 1504</v>
      </c>
      <c r="B166" s="122"/>
      <c r="C166" s="77"/>
      <c r="D166" s="77"/>
      <c r="E166" s="77">
        <v>0</v>
      </c>
      <c r="F166" s="77">
        <f>D166+E166</f>
        <v>0</v>
      </c>
      <c r="G166" s="77">
        <v>0</v>
      </c>
      <c r="H166" s="77">
        <f>F166*(($H$135)+1)+(IF(G166&lt;101,G166,IF(G166&lt;201,G166/2,IF(G166&lt;=301,G166/3,G166/4))))</f>
        <v>0</v>
      </c>
      <c r="I166" s="78"/>
    </row>
    <row r="167" spans="1:14" s="42" customFormat="1" ht="15.75" hidden="1" customHeight="1">
      <c r="A167" s="121" t="str">
        <f ca="1">(SUMPRODUCT(MID(0&amp;(LEFT(A166,SUM(LEN(A166)-LEN(SUBSTITUTE(A166,{"0","1","2"},""))))),LARGE(INDEX(ISNUMBER(--MID((LEFT(A166,SUM(LEN(A166)-LEN(SUBSTITUTE(A166,{"0","1","2"},""))))),ROW(INDIRECT("1:"&amp;LEN((LEFT(A166,SUM(LEN(A166)-LEN(SUBSTITUTE(A166,{"0","1","2"},"")))))))),1))*ROW(INDIRECT("1:"&amp;LEN((LEFT(A166,SUM(LEN(A166)-LEN(SUBSTITUTE(A166,{"0","1","2"},"")))))))),0),ROW(INDIRECT("1:"&amp;LEN((LEFT(A166,SUM(LEN(A166)-LEN(SUBSTITUTE(A166,{"0","1","2"},"")))))))))+1,1)*10^ROW(INDIRECT("1:"&amp;LEN((LEFT(A166,SUM(LEN(A166)-LEN(SUBSTITUTE(A166,{"0","1","2"},""))))))))/10))*1+1&amp;""&amp;" ,.., "&amp;""&amp;(SUMPRODUCT(MID(0&amp;(--TRIM(RIGHT(SUBSTITUTE(LEFT(A166,_xlfn.AGGREGATE(16,6,FIND({0,1,2,3,4,5,6,7,8,9},A166,ROW(INDIRECT("1:"&amp;LEN(A166)))),1))," ",REPT(" ",LEN(A166))),LEN(A166)))),LARGE(INDEX(ISNUMBER(--MID((--TRIM(RIGHT(SUBSTITUTE(LEFT(A166,_xlfn.AGGREGATE(16,6,FIND({0,1,2,3,4,5,6,7,8,9},A166,ROW(INDIRECT("1:"&amp;LEN(A166)))),1))," ",REPT(" ",LEN(A166))),LEN(A166)))),ROW(INDIRECT("1:"&amp;LEN((--TRIM(RIGHT(SUBSTITUTE(LEFT(A166,_xlfn.AGGREGATE(16,6,FIND({0,1,2,3,4,5,6,7,8,9},A166,ROW(INDIRECT("1:"&amp;LEN(A166)))),1))," ",REPT(" ",LEN(A166))),LEN(A166))))))),1))*ROW(INDIRECT("1:"&amp;LEN((--TRIM(RIGHT(SUBSTITUTE(LEFT(A166,_xlfn.AGGREGATE(16,6,FIND({0,1,2,3,4,5,6,7,8,9},A166,ROW(INDIRECT("1:"&amp;LEN(A166)))),1))," ",REPT(" ",LEN(A166))),LEN(A166))))))),0),ROW(INDIRECT("1:"&amp;LEN((--TRIM(RIGHT(SUBSTITUTE(LEFT(A166,_xlfn.AGGREGATE(16,6,FIND({0,1,2,3,4,5,6,7,8,9},A166,ROW(INDIRECT("1:"&amp;LEN(A166)))),1))," ",REPT(" ",LEN(A166))),LEN(A166))))))))+1,1)*10^ROW(INDIRECT("1:"&amp;LEN((--TRIM(RIGHT(SUBSTITUTE(LEFT(A166,_xlfn.AGGREGATE(16,6,FIND({0,1,2,3,4,5,6,7,8,9},A166,ROW(INDIRECT("1:"&amp;LEN(A166)))),1))," ",REPT(" ",LEN(A166))),LEN(A166)))))))/10))*1+1</f>
        <v>305 ,.., 1505</v>
      </c>
      <c r="B167" s="122"/>
      <c r="C167" s="77"/>
      <c r="D167" s="77"/>
      <c r="E167" s="77">
        <v>0</v>
      </c>
      <c r="F167" s="77">
        <f>D167+E167</f>
        <v>0</v>
      </c>
      <c r="G167" s="77">
        <v>0</v>
      </c>
      <c r="H167" s="77">
        <f>F167*(($H$135)+1)+(IF(G167&lt;101,G167,IF(G167&lt;201,G167/2,IF(G167&lt;=301,G167/3,G167/4))))</f>
        <v>0</v>
      </c>
      <c r="I167" s="78"/>
    </row>
    <row r="168" spans="1:14" s="42" customFormat="1" hidden="1">
      <c r="A168" s="123" t="s">
        <v>280</v>
      </c>
      <c r="B168" s="124"/>
      <c r="C168" s="124"/>
      <c r="D168" s="124"/>
      <c r="E168" s="124"/>
      <c r="F168" s="124"/>
      <c r="G168" s="124"/>
      <c r="H168" s="125"/>
      <c r="I168" s="78"/>
    </row>
    <row r="169" spans="1:14" s="42" customFormat="1" ht="15.75" hidden="1" customHeight="1">
      <c r="A169" s="121" t="str">
        <f ca="1">(SUMPRODUCT(MID(0&amp;(LEFT(A168,SUM(LEN(A168)-LEN(SUBSTITUTE(A168,{"0","1","2"},""))))),LARGE(INDEX(ISNUMBER(--MID((LEFT(A168,SUM(LEN(A168)-LEN(SUBSTITUTE(A168,{"0","1","2"},""))))),ROW(INDIRECT("1:"&amp;LEN((LEFT(A168,SUM(LEN(A168)-LEN(SUBSTITUTE(A168,{"0","1","2"},"")))))))),1))*ROW(INDIRECT("1:"&amp;LEN((LEFT(A168,SUM(LEN(A168)-LEN(SUBSTITUTE(A168,{"0","1","2"},"")))))))),0),ROW(INDIRECT("1:"&amp;LEN((LEFT(A168,SUM(LEN(A168)-LEN(SUBSTITUTE(A168,{"0","1","2"},"")))))))))+1,1)*10^ROW(INDIRECT("1:"&amp;LEN((LEFT(A168,SUM(LEN(A168)-LEN(SUBSTITUTE(A168,{"0","1","2"},""))))))))/10))*100+1&amp;""&amp;" to "&amp;""&amp;(SUMPRODUCT(MID(0&amp;(--TRIM(RIGHT(SUBSTITUTE(LEFT(A168,_xlfn.AGGREGATE(16,6,FIND({0,1,2,3,4,5,6,7,8,9},A168,ROW(INDIRECT("1:"&amp;LEN(A168)))),1))," ",REPT(" ",LEN(A168))),LEN(A168)))),LARGE(INDEX(ISNUMBER(--MID((--TRIM(RIGHT(SUBSTITUTE(LEFT(A168,_xlfn.AGGREGATE(16,6,FIND({0,1,2,3,4,5,6,7,8,9},A168,ROW(INDIRECT("1:"&amp;LEN(A168)))),1))," ",REPT(" ",LEN(A168))),LEN(A168)))),ROW(INDIRECT("1:"&amp;LEN((--TRIM(RIGHT(SUBSTITUTE(LEFT(A168,_xlfn.AGGREGATE(16,6,FIND({0,1,2,3,4,5,6,7,8,9},A168,ROW(INDIRECT("1:"&amp;LEN(A168)))),1))," ",REPT(" ",LEN(A168))),LEN(A168))))))),1))*ROW(INDIRECT("1:"&amp;LEN((--TRIM(RIGHT(SUBSTITUTE(LEFT(A168,_xlfn.AGGREGATE(16,6,FIND({0,1,2,3,4,5,6,7,8,9},A168,ROW(INDIRECT("1:"&amp;LEN(A168)))),1))," ",REPT(" ",LEN(A168))),LEN(A168))))))),0),ROW(INDIRECT("1:"&amp;LEN((--TRIM(RIGHT(SUBSTITUTE(LEFT(A168,_xlfn.AGGREGATE(16,6,FIND({0,1,2,3,4,5,6,7,8,9},A168,ROW(INDIRECT("1:"&amp;LEN(A168)))),1))," ",REPT(" ",LEN(A168))),LEN(A168))))))))+1,1)*10^ROW(INDIRECT("1:"&amp;LEN((--TRIM(RIGHT(SUBSTITUTE(LEFT(A168,_xlfn.AGGREGATE(16,6,FIND({0,1,2,3,4,5,6,7,8,9},A168,ROW(INDIRECT("1:"&amp;LEN(A168)))),1))," ",REPT(" ",LEN(A168))),LEN(A168)))))))/10))*100+1</f>
        <v>201 to 501</v>
      </c>
      <c r="B169" s="122"/>
      <c r="C169" s="77"/>
      <c r="D169" s="77"/>
      <c r="E169" s="77">
        <v>0</v>
      </c>
      <c r="F169" s="77">
        <f>D169+E169</f>
        <v>0</v>
      </c>
      <c r="G169" s="77">
        <v>0</v>
      </c>
      <c r="H169" s="77">
        <f>F169*(($H$135)+1)+(IF(G169&lt;101,G169,IF(G169&lt;201,G169/2,IF(G169&lt;=301,G169/3,G169/4))))</f>
        <v>0</v>
      </c>
      <c r="I169" s="78"/>
    </row>
    <row r="170" spans="1:14" s="42" customFormat="1" ht="15.75" hidden="1" customHeight="1">
      <c r="A170" s="121" t="str">
        <f ca="1">(SUMPRODUCT(MID(0&amp;(LEFT(A169,SUM(LEN(A169)-LEN(SUBSTITUTE(A169,{"0","1","2"},""))))),LARGE(INDEX(ISNUMBER(--MID((LEFT(A169,SUM(LEN(A169)-LEN(SUBSTITUTE(A169,{"0","1","2"},""))))),ROW(INDIRECT("1:"&amp;LEN((LEFT(A169,SUM(LEN(A169)-LEN(SUBSTITUTE(A169,{"0","1","2"},"")))))))),1))*ROW(INDIRECT("1:"&amp;LEN((LEFT(A169,SUM(LEN(A169)-LEN(SUBSTITUTE(A169,{"0","1","2"},"")))))))),0),ROW(INDIRECT("1:"&amp;LEN((LEFT(A169,SUM(LEN(A169)-LEN(SUBSTITUTE(A169,{"0","1","2"},"")))))))))+1,1)*10^ROW(INDIRECT("1:"&amp;LEN((LEFT(A169,SUM(LEN(A169)-LEN(SUBSTITUTE(A169,{"0","1","2"},""))))))))/10))*1+1&amp;""&amp;" to "&amp;""&amp;(SUMPRODUCT(MID(0&amp;(--TRIM(RIGHT(SUBSTITUTE(LEFT(A169,_xlfn.AGGREGATE(16,6,FIND({0,1,2,3,4,5,6,7,8,9},A169,ROW(INDIRECT("1:"&amp;LEN(A169)))),1))," ",REPT(" ",LEN(A169))),LEN(A169)))),LARGE(INDEX(ISNUMBER(--MID((--TRIM(RIGHT(SUBSTITUTE(LEFT(A169,_xlfn.AGGREGATE(16,6,FIND({0,1,2,3,4,5,6,7,8,9},A169,ROW(INDIRECT("1:"&amp;LEN(A169)))),1))," ",REPT(" ",LEN(A169))),LEN(A169)))),ROW(INDIRECT("1:"&amp;LEN((--TRIM(RIGHT(SUBSTITUTE(LEFT(A169,_xlfn.AGGREGATE(16,6,FIND({0,1,2,3,4,5,6,7,8,9},A169,ROW(INDIRECT("1:"&amp;LEN(A169)))),1))," ",REPT(" ",LEN(A169))),LEN(A169))))))),1))*ROW(INDIRECT("1:"&amp;LEN((--TRIM(RIGHT(SUBSTITUTE(LEFT(A169,_xlfn.AGGREGATE(16,6,FIND({0,1,2,3,4,5,6,7,8,9},A169,ROW(INDIRECT("1:"&amp;LEN(A169)))),1))," ",REPT(" ",LEN(A169))),LEN(A169))))))),0),ROW(INDIRECT("1:"&amp;LEN((--TRIM(RIGHT(SUBSTITUTE(LEFT(A169,_xlfn.AGGREGATE(16,6,FIND({0,1,2,3,4,5,6,7,8,9},A169,ROW(INDIRECT("1:"&amp;LEN(A169)))),1))," ",REPT(" ",LEN(A169))),LEN(A169))))))))+1,1)*10^ROW(INDIRECT("1:"&amp;LEN((--TRIM(RIGHT(SUBSTITUTE(LEFT(A169,_xlfn.AGGREGATE(16,6,FIND({0,1,2,3,4,5,6,7,8,9},A169,ROW(INDIRECT("1:"&amp;LEN(A169)))),1))," ",REPT(" ",LEN(A169))),LEN(A169)))))))/10))*1+1</f>
        <v>202 to 502</v>
      </c>
      <c r="B170" s="122"/>
      <c r="C170" s="77"/>
      <c r="D170" s="77"/>
      <c r="E170" s="77">
        <v>0</v>
      </c>
      <c r="F170" s="77">
        <f>D170+E170</f>
        <v>0</v>
      </c>
      <c r="G170" s="77">
        <v>0</v>
      </c>
      <c r="H170" s="77">
        <f>F170*(($H$135)+1)+(IF(G170&lt;101,G170,IF(G170&lt;201,G170/2,IF(G170&lt;=301,G170/3,G170/4))))</f>
        <v>0</v>
      </c>
      <c r="I170" s="78"/>
    </row>
    <row r="171" spans="1:14" s="42" customFormat="1" ht="15.75" hidden="1" customHeight="1">
      <c r="A171" s="121" t="str">
        <f ca="1">(SUMPRODUCT(MID(0&amp;(LEFT(A170,SUM(LEN(A170)-LEN(SUBSTITUTE(A170,{"0","1","2"},""))))),LARGE(INDEX(ISNUMBER(--MID((LEFT(A170,SUM(LEN(A170)-LEN(SUBSTITUTE(A170,{"0","1","2"},""))))),ROW(INDIRECT("1:"&amp;LEN((LEFT(A170,SUM(LEN(A170)-LEN(SUBSTITUTE(A170,{"0","1","2"},"")))))))),1))*ROW(INDIRECT("1:"&amp;LEN((LEFT(A170,SUM(LEN(A170)-LEN(SUBSTITUTE(A170,{"0","1","2"},"")))))))),0),ROW(INDIRECT("1:"&amp;LEN((LEFT(A170,SUM(LEN(A170)-LEN(SUBSTITUTE(A170,{"0","1","2"},"")))))))))+1,1)*10^ROW(INDIRECT("1:"&amp;LEN((LEFT(A170,SUM(LEN(A170)-LEN(SUBSTITUTE(A170,{"0","1","2"},""))))))))/10))*1+1&amp;""&amp;" to "&amp;""&amp;(SUMPRODUCT(MID(0&amp;(--TRIM(RIGHT(SUBSTITUTE(LEFT(A170,_xlfn.AGGREGATE(16,6,FIND({0,1,2,3,4,5,6,7,8,9},A170,ROW(INDIRECT("1:"&amp;LEN(A170)))),1))," ",REPT(" ",LEN(A170))),LEN(A170)))),LARGE(INDEX(ISNUMBER(--MID((--TRIM(RIGHT(SUBSTITUTE(LEFT(A170,_xlfn.AGGREGATE(16,6,FIND({0,1,2,3,4,5,6,7,8,9},A170,ROW(INDIRECT("1:"&amp;LEN(A170)))),1))," ",REPT(" ",LEN(A170))),LEN(A170)))),ROW(INDIRECT("1:"&amp;LEN((--TRIM(RIGHT(SUBSTITUTE(LEFT(A170,_xlfn.AGGREGATE(16,6,FIND({0,1,2,3,4,5,6,7,8,9},A170,ROW(INDIRECT("1:"&amp;LEN(A170)))),1))," ",REPT(" ",LEN(A170))),LEN(A170))))))),1))*ROW(INDIRECT("1:"&amp;LEN((--TRIM(RIGHT(SUBSTITUTE(LEFT(A170,_xlfn.AGGREGATE(16,6,FIND({0,1,2,3,4,5,6,7,8,9},A170,ROW(INDIRECT("1:"&amp;LEN(A170)))),1))," ",REPT(" ",LEN(A170))),LEN(A170))))))),0),ROW(INDIRECT("1:"&amp;LEN((--TRIM(RIGHT(SUBSTITUTE(LEFT(A170,_xlfn.AGGREGATE(16,6,FIND({0,1,2,3,4,5,6,7,8,9},A170,ROW(INDIRECT("1:"&amp;LEN(A170)))),1))," ",REPT(" ",LEN(A170))),LEN(A170))))))))+1,1)*10^ROW(INDIRECT("1:"&amp;LEN((--TRIM(RIGHT(SUBSTITUTE(LEFT(A170,_xlfn.AGGREGATE(16,6,FIND({0,1,2,3,4,5,6,7,8,9},A170,ROW(INDIRECT("1:"&amp;LEN(A170)))),1))," ",REPT(" ",LEN(A170))),LEN(A170)))))))/10))*1+1</f>
        <v>203 to 503</v>
      </c>
      <c r="B171" s="122"/>
      <c r="C171" s="77"/>
      <c r="D171" s="77"/>
      <c r="E171" s="77">
        <v>0</v>
      </c>
      <c r="F171" s="77">
        <f>D171+E171</f>
        <v>0</v>
      </c>
      <c r="G171" s="77">
        <v>0</v>
      </c>
      <c r="H171" s="77">
        <f>F171*(($H$135)+1)+(IF(G171&lt;101,G171,IF(G171&lt;201,G171/2,IF(G171&lt;=301,G171/3,G171/4))))</f>
        <v>0</v>
      </c>
      <c r="I171" s="78"/>
    </row>
    <row r="172" spans="1:14" s="42" customFormat="1" ht="15.75" hidden="1" customHeight="1">
      <c r="A172" s="121" t="str">
        <f ca="1">(SUMPRODUCT(MID(0&amp;(LEFT(A171,SUM(LEN(A171)-LEN(SUBSTITUTE(A171,{"0","1","2"},""))))),LARGE(INDEX(ISNUMBER(--MID((LEFT(A171,SUM(LEN(A171)-LEN(SUBSTITUTE(A171,{"0","1","2"},""))))),ROW(INDIRECT("1:"&amp;LEN((LEFT(A171,SUM(LEN(A171)-LEN(SUBSTITUTE(A171,{"0","1","2"},"")))))))),1))*ROW(INDIRECT("1:"&amp;LEN((LEFT(A171,SUM(LEN(A171)-LEN(SUBSTITUTE(A171,{"0","1","2"},"")))))))),0),ROW(INDIRECT("1:"&amp;LEN((LEFT(A171,SUM(LEN(A171)-LEN(SUBSTITUTE(A171,{"0","1","2"},"")))))))))+1,1)*10^ROW(INDIRECT("1:"&amp;LEN((LEFT(A171,SUM(LEN(A171)-LEN(SUBSTITUTE(A171,{"0","1","2"},""))))))))/10))*1+1&amp;""&amp;" to "&amp;""&amp;(SUMPRODUCT(MID(0&amp;(--TRIM(RIGHT(SUBSTITUTE(LEFT(A171,_xlfn.AGGREGATE(16,6,FIND({0,1,2,3,4,5,6,7,8,9},A171,ROW(INDIRECT("1:"&amp;LEN(A171)))),1))," ",REPT(" ",LEN(A171))),LEN(A171)))),LARGE(INDEX(ISNUMBER(--MID((--TRIM(RIGHT(SUBSTITUTE(LEFT(A171,_xlfn.AGGREGATE(16,6,FIND({0,1,2,3,4,5,6,7,8,9},A171,ROW(INDIRECT("1:"&amp;LEN(A171)))),1))," ",REPT(" ",LEN(A171))),LEN(A171)))),ROW(INDIRECT("1:"&amp;LEN((--TRIM(RIGHT(SUBSTITUTE(LEFT(A171,_xlfn.AGGREGATE(16,6,FIND({0,1,2,3,4,5,6,7,8,9},A171,ROW(INDIRECT("1:"&amp;LEN(A171)))),1))," ",REPT(" ",LEN(A171))),LEN(A171))))))),1))*ROW(INDIRECT("1:"&amp;LEN((--TRIM(RIGHT(SUBSTITUTE(LEFT(A171,_xlfn.AGGREGATE(16,6,FIND({0,1,2,3,4,5,6,7,8,9},A171,ROW(INDIRECT("1:"&amp;LEN(A171)))),1))," ",REPT(" ",LEN(A171))),LEN(A171))))))),0),ROW(INDIRECT("1:"&amp;LEN((--TRIM(RIGHT(SUBSTITUTE(LEFT(A171,_xlfn.AGGREGATE(16,6,FIND({0,1,2,3,4,5,6,7,8,9},A171,ROW(INDIRECT("1:"&amp;LEN(A171)))),1))," ",REPT(" ",LEN(A171))),LEN(A171))))))))+1,1)*10^ROW(INDIRECT("1:"&amp;LEN((--TRIM(RIGHT(SUBSTITUTE(LEFT(A171,_xlfn.AGGREGATE(16,6,FIND({0,1,2,3,4,5,6,7,8,9},A171,ROW(INDIRECT("1:"&amp;LEN(A171)))),1))," ",REPT(" ",LEN(A171))),LEN(A171)))))))/10))*1+1</f>
        <v>204 to 504</v>
      </c>
      <c r="B172" s="122"/>
      <c r="C172" s="77"/>
      <c r="D172" s="77"/>
      <c r="E172" s="77">
        <v>0</v>
      </c>
      <c r="F172" s="77">
        <f>D172+E172</f>
        <v>0</v>
      </c>
      <c r="G172" s="77">
        <v>0</v>
      </c>
      <c r="H172" s="77">
        <f>F172*(($H$135)+1)+(IF(G172&lt;101,G172,IF(G172&lt;201,G172/2,IF(G172&lt;=301,G172/3,G172/4))))</f>
        <v>0</v>
      </c>
      <c r="I172" s="78"/>
    </row>
    <row r="173" spans="1:14" s="42" customFormat="1" ht="15.75" hidden="1" customHeight="1">
      <c r="A173" s="121" t="str">
        <f ca="1">(SUMPRODUCT(MID(0&amp;(LEFT(A172,SUM(LEN(A172)-LEN(SUBSTITUTE(A172,{"0","1","2"},""))))),LARGE(INDEX(ISNUMBER(--MID((LEFT(A172,SUM(LEN(A172)-LEN(SUBSTITUTE(A172,{"0","1","2"},""))))),ROW(INDIRECT("1:"&amp;LEN((LEFT(A172,SUM(LEN(A172)-LEN(SUBSTITUTE(A172,{"0","1","2"},"")))))))),1))*ROW(INDIRECT("1:"&amp;LEN((LEFT(A172,SUM(LEN(A172)-LEN(SUBSTITUTE(A172,{"0","1","2"},"")))))))),0),ROW(INDIRECT("1:"&amp;LEN((LEFT(A172,SUM(LEN(A172)-LEN(SUBSTITUTE(A172,{"0","1","2"},"")))))))))+1,1)*10^ROW(INDIRECT("1:"&amp;LEN((LEFT(A172,SUM(LEN(A172)-LEN(SUBSTITUTE(A172,{"0","1","2"},""))))))))/10))*1+1&amp;""&amp;" to "&amp;""&amp;(SUMPRODUCT(MID(0&amp;(--TRIM(RIGHT(SUBSTITUTE(LEFT(A172,_xlfn.AGGREGATE(16,6,FIND({0,1,2,3,4,5,6,7,8,9},A172,ROW(INDIRECT("1:"&amp;LEN(A172)))),1))," ",REPT(" ",LEN(A172))),LEN(A172)))),LARGE(INDEX(ISNUMBER(--MID((--TRIM(RIGHT(SUBSTITUTE(LEFT(A172,_xlfn.AGGREGATE(16,6,FIND({0,1,2,3,4,5,6,7,8,9},A172,ROW(INDIRECT("1:"&amp;LEN(A172)))),1))," ",REPT(" ",LEN(A172))),LEN(A172)))),ROW(INDIRECT("1:"&amp;LEN((--TRIM(RIGHT(SUBSTITUTE(LEFT(A172,_xlfn.AGGREGATE(16,6,FIND({0,1,2,3,4,5,6,7,8,9},A172,ROW(INDIRECT("1:"&amp;LEN(A172)))),1))," ",REPT(" ",LEN(A172))),LEN(A172))))))),1))*ROW(INDIRECT("1:"&amp;LEN((--TRIM(RIGHT(SUBSTITUTE(LEFT(A172,_xlfn.AGGREGATE(16,6,FIND({0,1,2,3,4,5,6,7,8,9},A172,ROW(INDIRECT("1:"&amp;LEN(A172)))),1))," ",REPT(" ",LEN(A172))),LEN(A172))))))),0),ROW(INDIRECT("1:"&amp;LEN((--TRIM(RIGHT(SUBSTITUTE(LEFT(A172,_xlfn.AGGREGATE(16,6,FIND({0,1,2,3,4,5,6,7,8,9},A172,ROW(INDIRECT("1:"&amp;LEN(A172)))),1))," ",REPT(" ",LEN(A172))),LEN(A172))))))))+1,1)*10^ROW(INDIRECT("1:"&amp;LEN((--TRIM(RIGHT(SUBSTITUTE(LEFT(A172,_xlfn.AGGREGATE(16,6,FIND({0,1,2,3,4,5,6,7,8,9},A172,ROW(INDIRECT("1:"&amp;LEN(A172)))),1))," ",REPT(" ",LEN(A172))),LEN(A172)))))))/10))*1+1</f>
        <v>205 to 505</v>
      </c>
      <c r="B173" s="122"/>
      <c r="C173" s="77"/>
      <c r="D173" s="77"/>
      <c r="E173" s="77">
        <v>0</v>
      </c>
      <c r="F173" s="77">
        <f>D173+E173</f>
        <v>0</v>
      </c>
      <c r="G173" s="77">
        <v>0</v>
      </c>
      <c r="H173" s="77">
        <f>F173*(($H$135)+1)+(IF(G173&lt;101,G173,IF(G173&lt;201,G173/2,IF(G173&lt;=301,G173/3,G173/4))))</f>
        <v>0</v>
      </c>
      <c r="I173" s="78"/>
    </row>
    <row r="174" spans="1:14" s="42" customFormat="1" hidden="1">
      <c r="A174" s="123" t="s">
        <v>281</v>
      </c>
      <c r="B174" s="124"/>
      <c r="C174" s="124"/>
      <c r="D174" s="124"/>
      <c r="E174" s="124"/>
      <c r="F174" s="124"/>
      <c r="G174" s="124"/>
      <c r="H174" s="125"/>
      <c r="I174" s="78"/>
    </row>
    <row r="175" spans="1:14" s="42" customFormat="1" ht="15.75" hidden="1" customHeight="1">
      <c r="A175" s="121" t="str">
        <f ca="1">(SUMPRODUCT(MID(0&amp;(LEFT(A174,SUM(LEN(A174)-LEN(SUBSTITUTE(A174,{"0","1","2"},""))))),LARGE(INDEX(ISNUMBER(--MID((LEFT(A174,SUM(LEN(A174)-LEN(SUBSTITUTE(A174,{"0","1","2"},""))))),ROW(INDIRECT("1:"&amp;LEN((LEFT(A174,SUM(LEN(A174)-LEN(SUBSTITUTE(A174,{"0","1","2"},"")))))))),1))*ROW(INDIRECT("1:"&amp;LEN((LEFT(A174,SUM(LEN(A174)-LEN(SUBSTITUTE(A174,{"0","1","2"},"")))))))),0),ROW(INDIRECT("1:"&amp;LEN((LEFT(A174,SUM(LEN(A174)-LEN(SUBSTITUTE(A174,{"0","1","2"},"")))))))))+1,1)*10^ROW(INDIRECT("1:"&amp;LEN((LEFT(A174,SUM(LEN(A174)-LEN(SUBSTITUTE(A174,{"0","1","2"},""))))))))/10))*100+1&amp;""&amp;" &amp; "&amp;""&amp;(SUMPRODUCT(MID(0&amp;(--TRIM(RIGHT(SUBSTITUTE(LEFT(A174,_xlfn.AGGREGATE(16,6,FIND({0,1,2,3,4,5,6,7,8,9},A174,ROW(INDIRECT("1:"&amp;LEN(A174)))),1))," ",REPT(" ",LEN(A174))),LEN(A174)))),LARGE(INDEX(ISNUMBER(--MID((--TRIM(RIGHT(SUBSTITUTE(LEFT(A174,_xlfn.AGGREGATE(16,6,FIND({0,1,2,3,4,5,6,7,8,9},A174,ROW(INDIRECT("1:"&amp;LEN(A174)))),1))," ",REPT(" ",LEN(A174))),LEN(A174)))),ROW(INDIRECT("1:"&amp;LEN((--TRIM(RIGHT(SUBSTITUTE(LEFT(A174,_xlfn.AGGREGATE(16,6,FIND({0,1,2,3,4,5,6,7,8,9},A174,ROW(INDIRECT("1:"&amp;LEN(A174)))),1))," ",REPT(" ",LEN(A174))),LEN(A174))))))),1))*ROW(INDIRECT("1:"&amp;LEN((--TRIM(RIGHT(SUBSTITUTE(LEFT(A174,_xlfn.AGGREGATE(16,6,FIND({0,1,2,3,4,5,6,7,8,9},A174,ROW(INDIRECT("1:"&amp;LEN(A174)))),1))," ",REPT(" ",LEN(A174))),LEN(A174))))))),0),ROW(INDIRECT("1:"&amp;LEN((--TRIM(RIGHT(SUBSTITUTE(LEFT(A174,_xlfn.AGGREGATE(16,6,FIND({0,1,2,3,4,5,6,7,8,9},A174,ROW(INDIRECT("1:"&amp;LEN(A174)))),1))," ",REPT(" ",LEN(A174))),LEN(A174))))))))+1,1)*10^ROW(INDIRECT("1:"&amp;LEN((--TRIM(RIGHT(SUBSTITUTE(LEFT(A174,_xlfn.AGGREGATE(16,6,FIND({0,1,2,3,4,5,6,7,8,9},A174,ROW(INDIRECT("1:"&amp;LEN(A174)))),1))," ",REPT(" ",LEN(A174))),LEN(A174)))))))/10))*100+1</f>
        <v>201 &amp; 501</v>
      </c>
      <c r="B175" s="122"/>
      <c r="C175" s="77"/>
      <c r="D175" s="77"/>
      <c r="E175" s="77">
        <v>0</v>
      </c>
      <c r="F175" s="77">
        <f>D175+E175</f>
        <v>0</v>
      </c>
      <c r="G175" s="77">
        <v>0</v>
      </c>
      <c r="H175" s="77">
        <f>F175*(($H$135)+1)+(IF(G175&lt;101,G175,IF(G175&lt;201,G175/2,IF(G175&lt;=301,G175/3,G175/4))))</f>
        <v>0</v>
      </c>
      <c r="I175" s="78"/>
    </row>
    <row r="176" spans="1:14" s="42" customFormat="1" ht="15.75" hidden="1" customHeight="1">
      <c r="A176" s="121" t="str">
        <f ca="1">(SUMPRODUCT(MID(0&amp;(LEFT(A175,SUM(LEN(A175)-LEN(SUBSTITUTE(A175,{"0","1","2"},""))))),LARGE(INDEX(ISNUMBER(--MID((LEFT(A175,SUM(LEN(A175)-LEN(SUBSTITUTE(A175,{"0","1","2"},""))))),ROW(INDIRECT("1:"&amp;LEN((LEFT(A175,SUM(LEN(A175)-LEN(SUBSTITUTE(A175,{"0","1","2"},"")))))))),1))*ROW(INDIRECT("1:"&amp;LEN((LEFT(A175,SUM(LEN(A175)-LEN(SUBSTITUTE(A175,{"0","1","2"},"")))))))),0),ROW(INDIRECT("1:"&amp;LEN((LEFT(A175,SUM(LEN(A175)-LEN(SUBSTITUTE(A175,{"0","1","2"},"")))))))))+1,1)*10^ROW(INDIRECT("1:"&amp;LEN((LEFT(A175,SUM(LEN(A175)-LEN(SUBSTITUTE(A175,{"0","1","2"},""))))))))/10))*1+1&amp;""&amp;" &amp; "&amp;""&amp;(SUMPRODUCT(MID(0&amp;(--TRIM(RIGHT(SUBSTITUTE(LEFT(A175,_xlfn.AGGREGATE(16,6,FIND({0,1,2,3,4,5,6,7,8,9},A175,ROW(INDIRECT("1:"&amp;LEN(A175)))),1))," ",REPT(" ",LEN(A175))),LEN(A175)))),LARGE(INDEX(ISNUMBER(--MID((--TRIM(RIGHT(SUBSTITUTE(LEFT(A175,_xlfn.AGGREGATE(16,6,FIND({0,1,2,3,4,5,6,7,8,9},A175,ROW(INDIRECT("1:"&amp;LEN(A175)))),1))," ",REPT(" ",LEN(A175))),LEN(A175)))),ROW(INDIRECT("1:"&amp;LEN((--TRIM(RIGHT(SUBSTITUTE(LEFT(A175,_xlfn.AGGREGATE(16,6,FIND({0,1,2,3,4,5,6,7,8,9},A175,ROW(INDIRECT("1:"&amp;LEN(A175)))),1))," ",REPT(" ",LEN(A175))),LEN(A175))))))),1))*ROW(INDIRECT("1:"&amp;LEN((--TRIM(RIGHT(SUBSTITUTE(LEFT(A175,_xlfn.AGGREGATE(16,6,FIND({0,1,2,3,4,5,6,7,8,9},A175,ROW(INDIRECT("1:"&amp;LEN(A175)))),1))," ",REPT(" ",LEN(A175))),LEN(A175))))))),0),ROW(INDIRECT("1:"&amp;LEN((--TRIM(RIGHT(SUBSTITUTE(LEFT(A175,_xlfn.AGGREGATE(16,6,FIND({0,1,2,3,4,5,6,7,8,9},A175,ROW(INDIRECT("1:"&amp;LEN(A175)))),1))," ",REPT(" ",LEN(A175))),LEN(A175))))))))+1,1)*10^ROW(INDIRECT("1:"&amp;LEN((--TRIM(RIGHT(SUBSTITUTE(LEFT(A175,_xlfn.AGGREGATE(16,6,FIND({0,1,2,3,4,5,6,7,8,9},A175,ROW(INDIRECT("1:"&amp;LEN(A175)))),1))," ",REPT(" ",LEN(A175))),LEN(A175)))))))/10))*1+1</f>
        <v>202 &amp; 502</v>
      </c>
      <c r="B176" s="122"/>
      <c r="C176" s="77"/>
      <c r="D176" s="77"/>
      <c r="E176" s="77">
        <v>0</v>
      </c>
      <c r="F176" s="77">
        <f>D176+E176</f>
        <v>0</v>
      </c>
      <c r="G176" s="77">
        <v>0</v>
      </c>
      <c r="H176" s="77">
        <f>F176*(($H$135)+1)+(IF(G176&lt;101,G176,IF(G176&lt;201,G176/2,IF(G176&lt;=301,G176/3,G176/4))))</f>
        <v>0</v>
      </c>
      <c r="I176" s="78"/>
    </row>
    <row r="177" spans="1:20" s="42" customFormat="1" ht="15.75" hidden="1" customHeight="1">
      <c r="A177" s="121" t="str">
        <f ca="1">(SUMPRODUCT(MID(0&amp;(LEFT(A176,SUM(LEN(A176)-LEN(SUBSTITUTE(A176,{"0","1","2"},""))))),LARGE(INDEX(ISNUMBER(--MID((LEFT(A176,SUM(LEN(A176)-LEN(SUBSTITUTE(A176,{"0","1","2"},""))))),ROW(INDIRECT("1:"&amp;LEN((LEFT(A176,SUM(LEN(A176)-LEN(SUBSTITUTE(A176,{"0","1","2"},"")))))))),1))*ROW(INDIRECT("1:"&amp;LEN((LEFT(A176,SUM(LEN(A176)-LEN(SUBSTITUTE(A176,{"0","1","2"},"")))))))),0),ROW(INDIRECT("1:"&amp;LEN((LEFT(A176,SUM(LEN(A176)-LEN(SUBSTITUTE(A176,{"0","1","2"},"")))))))))+1,1)*10^ROW(INDIRECT("1:"&amp;LEN((LEFT(A176,SUM(LEN(A176)-LEN(SUBSTITUTE(A176,{"0","1","2"},""))))))))/10))*1+1&amp;""&amp;" &amp; "&amp;""&amp;(SUMPRODUCT(MID(0&amp;(--TRIM(RIGHT(SUBSTITUTE(LEFT(A176,_xlfn.AGGREGATE(16,6,FIND({0,1,2,3,4,5,6,7,8,9},A176,ROW(INDIRECT("1:"&amp;LEN(A176)))),1))," ",REPT(" ",LEN(A176))),LEN(A176)))),LARGE(INDEX(ISNUMBER(--MID((--TRIM(RIGHT(SUBSTITUTE(LEFT(A176,_xlfn.AGGREGATE(16,6,FIND({0,1,2,3,4,5,6,7,8,9},A176,ROW(INDIRECT("1:"&amp;LEN(A176)))),1))," ",REPT(" ",LEN(A176))),LEN(A176)))),ROW(INDIRECT("1:"&amp;LEN((--TRIM(RIGHT(SUBSTITUTE(LEFT(A176,_xlfn.AGGREGATE(16,6,FIND({0,1,2,3,4,5,6,7,8,9},A176,ROW(INDIRECT("1:"&amp;LEN(A176)))),1))," ",REPT(" ",LEN(A176))),LEN(A176))))))),1))*ROW(INDIRECT("1:"&amp;LEN((--TRIM(RIGHT(SUBSTITUTE(LEFT(A176,_xlfn.AGGREGATE(16,6,FIND({0,1,2,3,4,5,6,7,8,9},A176,ROW(INDIRECT("1:"&amp;LEN(A176)))),1))," ",REPT(" ",LEN(A176))),LEN(A176))))))),0),ROW(INDIRECT("1:"&amp;LEN((--TRIM(RIGHT(SUBSTITUTE(LEFT(A176,_xlfn.AGGREGATE(16,6,FIND({0,1,2,3,4,5,6,7,8,9},A176,ROW(INDIRECT("1:"&amp;LEN(A176)))),1))," ",REPT(" ",LEN(A176))),LEN(A176))))))))+1,1)*10^ROW(INDIRECT("1:"&amp;LEN((--TRIM(RIGHT(SUBSTITUTE(LEFT(A176,_xlfn.AGGREGATE(16,6,FIND({0,1,2,3,4,5,6,7,8,9},A176,ROW(INDIRECT("1:"&amp;LEN(A176)))),1))," ",REPT(" ",LEN(A176))),LEN(A176)))))))/10))*1+1</f>
        <v>203 &amp; 503</v>
      </c>
      <c r="B177" s="122"/>
      <c r="C177" s="77"/>
      <c r="D177" s="77"/>
      <c r="E177" s="77">
        <v>0</v>
      </c>
      <c r="F177" s="77">
        <f>D177+E177</f>
        <v>0</v>
      </c>
      <c r="G177" s="77">
        <v>0</v>
      </c>
      <c r="H177" s="77">
        <f>F177*(($H$135)+1)+(IF(G177&lt;101,G177,IF(G177&lt;201,G177/2,IF(G177&lt;=301,G177/3,G177/4))))</f>
        <v>0</v>
      </c>
      <c r="I177" s="78"/>
    </row>
    <row r="178" spans="1:20" s="42" customFormat="1" ht="15.75" hidden="1" customHeight="1">
      <c r="A178" s="121" t="str">
        <f ca="1">(SUMPRODUCT(MID(0&amp;(LEFT(A177,SUM(LEN(A177)-LEN(SUBSTITUTE(A177,{"0","1","2"},""))))),LARGE(INDEX(ISNUMBER(--MID((LEFT(A177,SUM(LEN(A177)-LEN(SUBSTITUTE(A177,{"0","1","2"},""))))),ROW(INDIRECT("1:"&amp;LEN((LEFT(A177,SUM(LEN(A177)-LEN(SUBSTITUTE(A177,{"0","1","2"},"")))))))),1))*ROW(INDIRECT("1:"&amp;LEN((LEFT(A177,SUM(LEN(A177)-LEN(SUBSTITUTE(A177,{"0","1","2"},"")))))))),0),ROW(INDIRECT("1:"&amp;LEN((LEFT(A177,SUM(LEN(A177)-LEN(SUBSTITUTE(A177,{"0","1","2"},"")))))))))+1,1)*10^ROW(INDIRECT("1:"&amp;LEN((LEFT(A177,SUM(LEN(A177)-LEN(SUBSTITUTE(A177,{"0","1","2"},""))))))))/10))*1+1&amp;""&amp;" &amp; "&amp;""&amp;(SUMPRODUCT(MID(0&amp;(--TRIM(RIGHT(SUBSTITUTE(LEFT(A177,_xlfn.AGGREGATE(16,6,FIND({0,1,2,3,4,5,6,7,8,9},A177,ROW(INDIRECT("1:"&amp;LEN(A177)))),1))," ",REPT(" ",LEN(A177))),LEN(A177)))),LARGE(INDEX(ISNUMBER(--MID((--TRIM(RIGHT(SUBSTITUTE(LEFT(A177,_xlfn.AGGREGATE(16,6,FIND({0,1,2,3,4,5,6,7,8,9},A177,ROW(INDIRECT("1:"&amp;LEN(A177)))),1))," ",REPT(" ",LEN(A177))),LEN(A177)))),ROW(INDIRECT("1:"&amp;LEN((--TRIM(RIGHT(SUBSTITUTE(LEFT(A177,_xlfn.AGGREGATE(16,6,FIND({0,1,2,3,4,5,6,7,8,9},A177,ROW(INDIRECT("1:"&amp;LEN(A177)))),1))," ",REPT(" ",LEN(A177))),LEN(A177))))))),1))*ROW(INDIRECT("1:"&amp;LEN((--TRIM(RIGHT(SUBSTITUTE(LEFT(A177,_xlfn.AGGREGATE(16,6,FIND({0,1,2,3,4,5,6,7,8,9},A177,ROW(INDIRECT("1:"&amp;LEN(A177)))),1))," ",REPT(" ",LEN(A177))),LEN(A177))))))),0),ROW(INDIRECT("1:"&amp;LEN((--TRIM(RIGHT(SUBSTITUTE(LEFT(A177,_xlfn.AGGREGATE(16,6,FIND({0,1,2,3,4,5,6,7,8,9},A177,ROW(INDIRECT("1:"&amp;LEN(A177)))),1))," ",REPT(" ",LEN(A177))),LEN(A177))))))))+1,1)*10^ROW(INDIRECT("1:"&amp;LEN((--TRIM(RIGHT(SUBSTITUTE(LEFT(A177,_xlfn.AGGREGATE(16,6,FIND({0,1,2,3,4,5,6,7,8,9},A177,ROW(INDIRECT("1:"&amp;LEN(A177)))),1))," ",REPT(" ",LEN(A177))),LEN(A177)))))))/10))*1+1</f>
        <v>204 &amp; 504</v>
      </c>
      <c r="B178" s="122"/>
      <c r="C178" s="77"/>
      <c r="D178" s="77"/>
      <c r="E178" s="77">
        <v>0</v>
      </c>
      <c r="F178" s="77">
        <f>D178+E178</f>
        <v>0</v>
      </c>
      <c r="G178" s="77">
        <v>0</v>
      </c>
      <c r="H178" s="77">
        <f>F178*(($H$135)+1)+(IF(G178&lt;101,G178,IF(G178&lt;201,G178/2,IF(G178&lt;=301,G178/3,G178/4))))</f>
        <v>0</v>
      </c>
      <c r="I178" s="78"/>
    </row>
    <row r="179" spans="1:20" s="42" customFormat="1" ht="15.75" hidden="1" customHeight="1">
      <c r="A179" s="121" t="str">
        <f ca="1">(SUMPRODUCT(MID(0&amp;(LEFT(A178,SUM(LEN(A178)-LEN(SUBSTITUTE(A178,{"0","1","2"},""))))),LARGE(INDEX(ISNUMBER(--MID((LEFT(A178,SUM(LEN(A178)-LEN(SUBSTITUTE(A178,{"0","1","2"},""))))),ROW(INDIRECT("1:"&amp;LEN((LEFT(A178,SUM(LEN(A178)-LEN(SUBSTITUTE(A178,{"0","1","2"},"")))))))),1))*ROW(INDIRECT("1:"&amp;LEN((LEFT(A178,SUM(LEN(A178)-LEN(SUBSTITUTE(A178,{"0","1","2"},"")))))))),0),ROW(INDIRECT("1:"&amp;LEN((LEFT(A178,SUM(LEN(A178)-LEN(SUBSTITUTE(A178,{"0","1","2"},"")))))))))+1,1)*10^ROW(INDIRECT("1:"&amp;LEN((LEFT(A178,SUM(LEN(A178)-LEN(SUBSTITUTE(A178,{"0","1","2"},""))))))))/10))*1+1&amp;""&amp;" &amp; "&amp;""&amp;(SUMPRODUCT(MID(0&amp;(--TRIM(RIGHT(SUBSTITUTE(LEFT(A178,_xlfn.AGGREGATE(16,6,FIND({0,1,2,3,4,5,6,7,8,9},A178,ROW(INDIRECT("1:"&amp;LEN(A178)))),1))," ",REPT(" ",LEN(A178))),LEN(A178)))),LARGE(INDEX(ISNUMBER(--MID((--TRIM(RIGHT(SUBSTITUTE(LEFT(A178,_xlfn.AGGREGATE(16,6,FIND({0,1,2,3,4,5,6,7,8,9},A178,ROW(INDIRECT("1:"&amp;LEN(A178)))),1))," ",REPT(" ",LEN(A178))),LEN(A178)))),ROW(INDIRECT("1:"&amp;LEN((--TRIM(RIGHT(SUBSTITUTE(LEFT(A178,_xlfn.AGGREGATE(16,6,FIND({0,1,2,3,4,5,6,7,8,9},A178,ROW(INDIRECT("1:"&amp;LEN(A178)))),1))," ",REPT(" ",LEN(A178))),LEN(A178))))))),1))*ROW(INDIRECT("1:"&amp;LEN((--TRIM(RIGHT(SUBSTITUTE(LEFT(A178,_xlfn.AGGREGATE(16,6,FIND({0,1,2,3,4,5,6,7,8,9},A178,ROW(INDIRECT("1:"&amp;LEN(A178)))),1))," ",REPT(" ",LEN(A178))),LEN(A178))))))),0),ROW(INDIRECT("1:"&amp;LEN((--TRIM(RIGHT(SUBSTITUTE(LEFT(A178,_xlfn.AGGREGATE(16,6,FIND({0,1,2,3,4,5,6,7,8,9},A178,ROW(INDIRECT("1:"&amp;LEN(A178)))),1))," ",REPT(" ",LEN(A178))),LEN(A178))))))))+1,1)*10^ROW(INDIRECT("1:"&amp;LEN((--TRIM(RIGHT(SUBSTITUTE(LEFT(A178,_xlfn.AGGREGATE(16,6,FIND({0,1,2,3,4,5,6,7,8,9},A178,ROW(INDIRECT("1:"&amp;LEN(A178)))),1))," ",REPT(" ",LEN(A178))),LEN(A178)))))))/10))*1+1</f>
        <v>205 &amp; 505</v>
      </c>
      <c r="B179" s="122"/>
      <c r="C179" s="77"/>
      <c r="D179" s="77"/>
      <c r="E179" s="77">
        <v>0</v>
      </c>
      <c r="F179" s="77">
        <f>D179+E179</f>
        <v>0</v>
      </c>
      <c r="G179" s="77">
        <v>0</v>
      </c>
      <c r="H179" s="77">
        <f>F179*(($H$135)+1)+(IF(G179&lt;101,G179,IF(G179&lt;201,G179/2,IF(G179&lt;=301,G179/3,G179/4))))</f>
        <v>0</v>
      </c>
      <c r="I179" s="78"/>
    </row>
    <row r="180" spans="1:20" s="41" customFormat="1">
      <c r="A180" s="126" t="s">
        <v>282</v>
      </c>
      <c r="B180" s="126"/>
      <c r="C180" s="126"/>
      <c r="D180" s="126"/>
      <c r="E180" s="126"/>
      <c r="F180" s="126"/>
      <c r="G180" s="126"/>
      <c r="H180" s="126"/>
      <c r="T180" s="42"/>
    </row>
    <row r="181" spans="1:20" s="41" customFormat="1">
      <c r="A181" s="60" t="s">
        <v>283</v>
      </c>
      <c r="B181" s="127" t="s">
        <v>396</v>
      </c>
      <c r="C181" s="128"/>
      <c r="D181" s="128"/>
      <c r="E181" s="128"/>
      <c r="F181" s="128"/>
      <c r="G181" s="128"/>
      <c r="H181" s="129"/>
      <c r="J181" s="41" t="s">
        <v>400</v>
      </c>
      <c r="T181" s="42"/>
    </row>
    <row r="182" spans="1:20" s="41" customFormat="1">
      <c r="A182" s="60" t="s">
        <v>283</v>
      </c>
      <c r="B182" s="132" t="str">
        <f>(IF(H134="Saleable area Loading :","We have considered Saleable area of Flats as per our Calculation.","We considered Saleable area of Flat as per Builder area Sheet."))</f>
        <v>We have considered Saleable area of Flats as per our Calculation.</v>
      </c>
      <c r="C182" s="133"/>
      <c r="D182" s="133"/>
      <c r="E182" s="133"/>
      <c r="F182" s="133"/>
      <c r="G182" s="133"/>
      <c r="H182" s="134"/>
      <c r="T182" s="42"/>
    </row>
    <row r="183" spans="1:20" s="41" customFormat="1">
      <c r="A183" s="60" t="s">
        <v>283</v>
      </c>
      <c r="B183" s="132" t="str">
        <f>(IF(H125="Saleable area Loading :","We have considered Saleable area of Commercial as per our Calculation.","We considered Saleable area of Commercial as per Builder area Sheet."))</f>
        <v>We have considered Saleable area of Commercial as per our Calculation.</v>
      </c>
      <c r="C183" s="133"/>
      <c r="D183" s="133"/>
      <c r="E183" s="133"/>
      <c r="F183" s="133"/>
      <c r="G183" s="133"/>
      <c r="H183" s="134"/>
      <c r="T183" s="42"/>
    </row>
    <row r="184" spans="1:20" s="41" customFormat="1">
      <c r="A184" s="60" t="s">
        <v>283</v>
      </c>
      <c r="B184" s="135" t="s">
        <v>284</v>
      </c>
      <c r="C184" s="136"/>
      <c r="D184" s="136"/>
      <c r="E184" s="136"/>
      <c r="F184" s="136"/>
      <c r="G184" s="136"/>
      <c r="H184" s="137"/>
      <c r="T184" s="42"/>
    </row>
    <row r="185" spans="1:20" s="41" customFormat="1">
      <c r="A185" s="60" t="s">
        <v>283</v>
      </c>
      <c r="B185" s="135" t="s">
        <v>393</v>
      </c>
      <c r="C185" s="136"/>
      <c r="D185" s="136"/>
      <c r="E185" s="136"/>
      <c r="F185" s="136"/>
      <c r="G185" s="136"/>
      <c r="H185" s="137"/>
      <c r="T185" s="42"/>
    </row>
    <row r="186" spans="1:20" s="41" customFormat="1">
      <c r="A186" s="60" t="s">
        <v>283</v>
      </c>
      <c r="B186" s="135" t="s">
        <v>285</v>
      </c>
      <c r="C186" s="136"/>
      <c r="D186" s="136"/>
      <c r="E186" s="136"/>
      <c r="F186" s="136"/>
      <c r="G186" s="136"/>
      <c r="H186" s="137"/>
    </row>
    <row r="187" spans="1:20" s="41" customFormat="1">
      <c r="A187" s="60" t="s">
        <v>283</v>
      </c>
      <c r="B187" s="135" t="s">
        <v>286</v>
      </c>
      <c r="C187" s="136"/>
      <c r="D187" s="136"/>
      <c r="E187" s="136"/>
      <c r="F187" s="136"/>
      <c r="G187" s="136"/>
      <c r="H187" s="137"/>
    </row>
    <row r="188" spans="1:20" s="41" customFormat="1" ht="34.5" customHeight="1">
      <c r="A188" s="60" t="s">
        <v>283</v>
      </c>
      <c r="B188" s="135" t="s">
        <v>287</v>
      </c>
      <c r="C188" s="136"/>
      <c r="D188" s="136"/>
      <c r="E188" s="136"/>
      <c r="F188" s="136"/>
      <c r="G188" s="136"/>
      <c r="H188" s="137"/>
    </row>
    <row r="189" spans="1:20" s="41" customFormat="1">
      <c r="A189" s="60" t="s">
        <v>283</v>
      </c>
      <c r="B189" s="135" t="s">
        <v>288</v>
      </c>
      <c r="C189" s="136"/>
      <c r="D189" s="136"/>
      <c r="E189" s="136"/>
      <c r="F189" s="136"/>
      <c r="G189" s="136"/>
      <c r="H189" s="137"/>
    </row>
    <row r="190" spans="1:20" s="41" customFormat="1" ht="32.25" hidden="1" customHeight="1">
      <c r="A190" s="60" t="s">
        <v>283</v>
      </c>
      <c r="B190" s="138" t="s">
        <v>289</v>
      </c>
      <c r="C190" s="139"/>
      <c r="D190" s="139"/>
      <c r="E190" s="139"/>
      <c r="F190" s="139"/>
      <c r="G190" s="139"/>
      <c r="H190" s="140"/>
    </row>
    <row r="191" spans="1:20" s="41" customFormat="1" hidden="1">
      <c r="A191" s="60" t="s">
        <v>283</v>
      </c>
      <c r="B191" s="138" t="s">
        <v>290</v>
      </c>
      <c r="C191" s="139"/>
      <c r="D191" s="139"/>
      <c r="E191" s="139"/>
      <c r="F191" s="139"/>
      <c r="G191" s="139"/>
      <c r="H191" s="140"/>
    </row>
    <row r="192" spans="1:20" s="41" customFormat="1">
      <c r="A192" s="60" t="s">
        <v>283</v>
      </c>
      <c r="B192" s="132" t="s">
        <v>291</v>
      </c>
      <c r="C192" s="139"/>
      <c r="D192" s="139"/>
      <c r="E192" s="139"/>
      <c r="F192" s="139"/>
      <c r="G192" s="139"/>
      <c r="H192" s="140"/>
    </row>
    <row r="193" spans="1:20">
      <c r="A193" s="141" t="s">
        <v>292</v>
      </c>
      <c r="B193" s="141"/>
      <c r="C193" s="141"/>
      <c r="D193" s="141"/>
      <c r="E193" s="141"/>
      <c r="F193" s="141"/>
      <c r="G193" s="141"/>
      <c r="H193" s="141"/>
      <c r="T193" s="41"/>
    </row>
    <row r="194" spans="1:20">
      <c r="A194" s="101" t="s">
        <v>293</v>
      </c>
      <c r="B194" s="101"/>
      <c r="C194" s="101"/>
      <c r="D194" s="101"/>
      <c r="E194" s="101"/>
      <c r="F194" s="101"/>
      <c r="G194" s="101"/>
      <c r="H194" s="101"/>
      <c r="T194" s="41"/>
    </row>
    <row r="195" spans="1:20" ht="15.75" customHeight="1">
      <c r="A195" s="130" t="s">
        <v>294</v>
      </c>
      <c r="B195" s="130"/>
      <c r="C195" s="130"/>
      <c r="D195" s="130"/>
      <c r="E195" s="130"/>
      <c r="F195" s="130"/>
      <c r="G195" s="130"/>
      <c r="H195" s="130"/>
      <c r="T195" s="41"/>
    </row>
    <row r="196" spans="1:20">
      <c r="A196" s="131" t="s">
        <v>295</v>
      </c>
      <c r="B196" s="131"/>
      <c r="C196" s="131"/>
      <c r="D196" s="131"/>
      <c r="E196" s="131"/>
      <c r="F196" s="131"/>
      <c r="G196" s="131"/>
      <c r="H196" s="131"/>
      <c r="T196" s="41"/>
    </row>
    <row r="197" spans="1:20">
      <c r="A197" s="131" t="s">
        <v>296</v>
      </c>
      <c r="B197" s="131"/>
      <c r="C197" s="131"/>
      <c r="D197" s="131"/>
      <c r="E197" s="131"/>
      <c r="F197" s="131"/>
      <c r="G197" s="131"/>
      <c r="H197" s="131"/>
      <c r="T197" s="41"/>
    </row>
    <row r="198" spans="1:20">
      <c r="A198" s="131" t="s">
        <v>297</v>
      </c>
      <c r="B198" s="131"/>
      <c r="C198" s="131"/>
      <c r="D198" s="131"/>
      <c r="E198" s="131"/>
      <c r="F198" s="131"/>
      <c r="G198" s="131"/>
      <c r="H198" s="131"/>
      <c r="T198" s="41"/>
    </row>
    <row r="199" spans="1:20" ht="34" customHeight="1">
      <c r="A199" s="100" t="s">
        <v>298</v>
      </c>
      <c r="B199" s="100"/>
      <c r="C199" s="100"/>
      <c r="D199" s="100"/>
      <c r="E199" s="100"/>
      <c r="F199" s="100"/>
      <c r="G199" s="100"/>
      <c r="H199" s="100"/>
    </row>
    <row r="200" spans="1:20">
      <c r="A200" s="115" t="s">
        <v>299</v>
      </c>
      <c r="B200" s="115"/>
      <c r="C200" s="115" t="s">
        <v>300</v>
      </c>
      <c r="D200" s="115"/>
      <c r="E200" s="115" t="s">
        <v>301</v>
      </c>
      <c r="F200" s="115"/>
      <c r="G200" s="115" t="s">
        <v>402</v>
      </c>
      <c r="H200" s="115"/>
    </row>
    <row r="201" spans="1:20">
      <c r="A201" s="95" t="s">
        <v>302</v>
      </c>
      <c r="B201" s="95"/>
      <c r="C201" s="95"/>
      <c r="D201" s="95"/>
      <c r="E201" s="95"/>
      <c r="F201" s="95"/>
      <c r="G201" s="95"/>
      <c r="H201" s="95"/>
    </row>
    <row r="202" spans="1:20">
      <c r="A202" s="95"/>
      <c r="B202" s="95"/>
      <c r="C202" s="95"/>
      <c r="D202" s="95"/>
      <c r="E202" s="95"/>
      <c r="F202" s="95"/>
      <c r="G202" s="95"/>
      <c r="H202" s="95"/>
    </row>
    <row r="203" spans="1:20">
      <c r="A203" s="95"/>
      <c r="B203" s="95"/>
      <c r="C203" s="95"/>
      <c r="D203" s="95"/>
      <c r="E203" s="95"/>
      <c r="F203" s="95"/>
      <c r="G203" s="95"/>
      <c r="H203" s="95"/>
    </row>
    <row r="204" spans="1:20">
      <c r="A204" s="95"/>
      <c r="B204" s="95"/>
      <c r="C204" s="95"/>
      <c r="D204" s="95"/>
      <c r="E204" s="95"/>
      <c r="F204" s="95"/>
      <c r="G204" s="95"/>
      <c r="H204" s="95"/>
    </row>
    <row r="205" spans="1:20">
      <c r="A205" s="79" t="s">
        <v>303</v>
      </c>
      <c r="B205" s="80"/>
      <c r="C205" s="80"/>
      <c r="D205" s="79" t="str">
        <f>E9</f>
        <v>Kendale Emeralds Phase III</v>
      </c>
      <c r="F205" s="80"/>
      <c r="G205" s="80"/>
      <c r="H205" s="80"/>
    </row>
    <row r="206" spans="1:20">
      <c r="A206" s="80"/>
      <c r="B206" s="80"/>
      <c r="C206" s="80"/>
      <c r="D206" s="80"/>
      <c r="E206" s="80"/>
      <c r="F206" s="80"/>
      <c r="G206" s="80"/>
      <c r="H206" s="80"/>
    </row>
    <row r="207" spans="1:20">
      <c r="A207" s="80"/>
      <c r="B207" s="80"/>
      <c r="C207" s="80"/>
      <c r="D207" s="80"/>
      <c r="E207" s="80"/>
      <c r="F207" s="80"/>
      <c r="G207" s="80"/>
      <c r="H207" s="80"/>
    </row>
    <row r="208" spans="1:20" ht="15" customHeight="1"/>
    <row r="248" spans="1:1">
      <c r="A248" s="81" t="s">
        <v>304</v>
      </c>
    </row>
    <row r="291" spans="1:1">
      <c r="A291" s="81" t="s">
        <v>305</v>
      </c>
    </row>
  </sheetData>
  <mergeCells count="349">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I15:P15"/>
    <mergeCell ref="A16:B16"/>
    <mergeCell ref="C16:H16"/>
    <mergeCell ref="A17:B17"/>
    <mergeCell ref="C17:H17"/>
    <mergeCell ref="A18:B18"/>
    <mergeCell ref="C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B33"/>
    <mergeCell ref="C33:E33"/>
    <mergeCell ref="F33:H33"/>
    <mergeCell ref="A34:B34"/>
    <mergeCell ref="C34:E34"/>
    <mergeCell ref="F34:H34"/>
    <mergeCell ref="A35:B35"/>
    <mergeCell ref="C35:E35"/>
    <mergeCell ref="F35:H35"/>
    <mergeCell ref="A36:B36"/>
    <mergeCell ref="C36:E36"/>
    <mergeCell ref="F36:H36"/>
    <mergeCell ref="A37:B37"/>
    <mergeCell ref="C37:E37"/>
    <mergeCell ref="F37:H37"/>
    <mergeCell ref="A38:H38"/>
    <mergeCell ref="A39:B39"/>
    <mergeCell ref="C39:H39"/>
    <mergeCell ref="A40:B40"/>
    <mergeCell ref="C40:H40"/>
    <mergeCell ref="A41:H41"/>
    <mergeCell ref="A42:D42"/>
    <mergeCell ref="E42:H42"/>
    <mergeCell ref="A43:D43"/>
    <mergeCell ref="E43:H43"/>
    <mergeCell ref="A44:D44"/>
    <mergeCell ref="E44:H44"/>
    <mergeCell ref="A45:D45"/>
    <mergeCell ref="E45:H45"/>
    <mergeCell ref="A46:D46"/>
    <mergeCell ref="E46:H46"/>
    <mergeCell ref="A47:D47"/>
    <mergeCell ref="E47:H47"/>
    <mergeCell ref="A48:H48"/>
    <mergeCell ref="A49:B49"/>
    <mergeCell ref="C49:H49"/>
    <mergeCell ref="A50:B50"/>
    <mergeCell ref="C50:E50"/>
    <mergeCell ref="G50:H50"/>
    <mergeCell ref="A51:B51"/>
    <mergeCell ref="C51:E51"/>
    <mergeCell ref="G51:H51"/>
    <mergeCell ref="C52:E52"/>
    <mergeCell ref="G52:H52"/>
    <mergeCell ref="C53:H53"/>
    <mergeCell ref="C54:E54"/>
    <mergeCell ref="G54:H54"/>
    <mergeCell ref="C55:H55"/>
    <mergeCell ref="C56:E56"/>
    <mergeCell ref="G56:H56"/>
    <mergeCell ref="C57:H57"/>
    <mergeCell ref="C58:E58"/>
    <mergeCell ref="G58:H58"/>
    <mergeCell ref="C59:H59"/>
    <mergeCell ref="A60:B60"/>
    <mergeCell ref="C60:E60"/>
    <mergeCell ref="G60:H60"/>
    <mergeCell ref="A61:H61"/>
    <mergeCell ref="A62:C62"/>
    <mergeCell ref="D62:H62"/>
    <mergeCell ref="A63:C63"/>
    <mergeCell ref="D63:H63"/>
    <mergeCell ref="A64:C64"/>
    <mergeCell ref="D64:H64"/>
    <mergeCell ref="A65:C65"/>
    <mergeCell ref="D65:H65"/>
    <mergeCell ref="A66:C66"/>
    <mergeCell ref="D66:H66"/>
    <mergeCell ref="A67:C67"/>
    <mergeCell ref="D67:H67"/>
    <mergeCell ref="A68:C68"/>
    <mergeCell ref="D68:H68"/>
    <mergeCell ref="A69:C69"/>
    <mergeCell ref="D69:H69"/>
    <mergeCell ref="A70:C70"/>
    <mergeCell ref="D70:H70"/>
    <mergeCell ref="A71:C71"/>
    <mergeCell ref="D71:H71"/>
    <mergeCell ref="A72:C72"/>
    <mergeCell ref="D72:H72"/>
    <mergeCell ref="A73:B73"/>
    <mergeCell ref="C73:H73"/>
    <mergeCell ref="A75:B75"/>
    <mergeCell ref="C75:H75"/>
    <mergeCell ref="A76:B76"/>
    <mergeCell ref="E76:F76"/>
    <mergeCell ref="G76:H76"/>
    <mergeCell ref="A77:B77"/>
    <mergeCell ref="A78:B78"/>
    <mergeCell ref="A79:B79"/>
    <mergeCell ref="A80:B80"/>
    <mergeCell ref="A81:B81"/>
    <mergeCell ref="A82:B82"/>
    <mergeCell ref="A83:B83"/>
    <mergeCell ref="A84:B84"/>
    <mergeCell ref="A85:B85"/>
    <mergeCell ref="A86:B86"/>
    <mergeCell ref="A87:B87"/>
    <mergeCell ref="C87:H87"/>
    <mergeCell ref="A89:B89"/>
    <mergeCell ref="C89:H89"/>
    <mergeCell ref="A90:B90"/>
    <mergeCell ref="E90:F90"/>
    <mergeCell ref="G90:H90"/>
    <mergeCell ref="A91:B91"/>
    <mergeCell ref="A92:B92"/>
    <mergeCell ref="A93:B93"/>
    <mergeCell ref="A94:B94"/>
    <mergeCell ref="A95:B95"/>
    <mergeCell ref="A96:B96"/>
    <mergeCell ref="A97:B97"/>
    <mergeCell ref="A98:B98"/>
    <mergeCell ref="A99:B99"/>
    <mergeCell ref="A100:B100"/>
    <mergeCell ref="A101:E101"/>
    <mergeCell ref="F101:H101"/>
    <mergeCell ref="A102:E102"/>
    <mergeCell ref="F102:H102"/>
    <mergeCell ref="A103:E103"/>
    <mergeCell ref="F103:H103"/>
    <mergeCell ref="A104:E104"/>
    <mergeCell ref="F104:H104"/>
    <mergeCell ref="A105:E105"/>
    <mergeCell ref="F105:H105"/>
    <mergeCell ref="A106:E106"/>
    <mergeCell ref="F106:H106"/>
    <mergeCell ref="A107:E107"/>
    <mergeCell ref="F107:H107"/>
    <mergeCell ref="A108:E108"/>
    <mergeCell ref="F108:H108"/>
    <mergeCell ref="A109:E109"/>
    <mergeCell ref="F109:H109"/>
    <mergeCell ref="A110:E110"/>
    <mergeCell ref="F110:H110"/>
    <mergeCell ref="A111:E111"/>
    <mergeCell ref="F111:H111"/>
    <mergeCell ref="A116:B116"/>
    <mergeCell ref="C116:D116"/>
    <mergeCell ref="E116:F116"/>
    <mergeCell ref="G116:H116"/>
    <mergeCell ref="E117:F117"/>
    <mergeCell ref="G117:H117"/>
    <mergeCell ref="A117:B117"/>
    <mergeCell ref="C117:D117"/>
    <mergeCell ref="A112:E112"/>
    <mergeCell ref="F112:H112"/>
    <mergeCell ref="A113:E113"/>
    <mergeCell ref="F113:H113"/>
    <mergeCell ref="A114:H114"/>
    <mergeCell ref="A115:B115"/>
    <mergeCell ref="C115:D115"/>
    <mergeCell ref="E115:F115"/>
    <mergeCell ref="G115:H115"/>
    <mergeCell ref="E121:F121"/>
    <mergeCell ref="G121:H121"/>
    <mergeCell ref="A121:B121"/>
    <mergeCell ref="C121:D121"/>
    <mergeCell ref="A122:B122"/>
    <mergeCell ref="C122:D122"/>
    <mergeCell ref="E122:F122"/>
    <mergeCell ref="G122:H122"/>
    <mergeCell ref="A118:H118"/>
    <mergeCell ref="A119:B119"/>
    <mergeCell ref="C119:D119"/>
    <mergeCell ref="E119:F119"/>
    <mergeCell ref="G119:H119"/>
    <mergeCell ref="A120:B120"/>
    <mergeCell ref="C120:D120"/>
    <mergeCell ref="E120:F120"/>
    <mergeCell ref="G120:H120"/>
    <mergeCell ref="A123:H123"/>
    <mergeCell ref="A124:H124"/>
    <mergeCell ref="A128:H128"/>
    <mergeCell ref="A129:B129"/>
    <mergeCell ref="L129:M129"/>
    <mergeCell ref="A130:B130"/>
    <mergeCell ref="L130:M130"/>
    <mergeCell ref="A131:B131"/>
    <mergeCell ref="L131:M131"/>
    <mergeCell ref="A127:H127"/>
    <mergeCell ref="F125:F126"/>
    <mergeCell ref="G125:G126"/>
    <mergeCell ref="A132:B132"/>
    <mergeCell ref="L132:M132"/>
    <mergeCell ref="A133:H133"/>
    <mergeCell ref="A137:H137"/>
    <mergeCell ref="L137:M137"/>
    <mergeCell ref="A138:B138"/>
    <mergeCell ref="A139:B139"/>
    <mergeCell ref="A140:B140"/>
    <mergeCell ref="A141:B141"/>
    <mergeCell ref="A136:H136"/>
    <mergeCell ref="E134:E135"/>
    <mergeCell ref="F134:F135"/>
    <mergeCell ref="G134:G135"/>
    <mergeCell ref="A142:B142"/>
    <mergeCell ref="A143:B143"/>
    <mergeCell ref="A144:H144"/>
    <mergeCell ref="A145:B145"/>
    <mergeCell ref="A146:B146"/>
    <mergeCell ref="A147:B147"/>
    <mergeCell ref="A148:B148"/>
    <mergeCell ref="A149:B149"/>
    <mergeCell ref="A150:B150"/>
    <mergeCell ref="A151:H151"/>
    <mergeCell ref="A152:B152"/>
    <mergeCell ref="L152:M152"/>
    <mergeCell ref="A153:B153"/>
    <mergeCell ref="L153:M153"/>
    <mergeCell ref="A154:B154"/>
    <mergeCell ref="L154:M154"/>
    <mergeCell ref="A155:B155"/>
    <mergeCell ref="L155:M155"/>
    <mergeCell ref="A170:B170"/>
    <mergeCell ref="A171:B171"/>
    <mergeCell ref="A172:B172"/>
    <mergeCell ref="A156:H156"/>
    <mergeCell ref="L156:M156"/>
    <mergeCell ref="A157:B157"/>
    <mergeCell ref="A158:B158"/>
    <mergeCell ref="A159:B159"/>
    <mergeCell ref="A160:B160"/>
    <mergeCell ref="A161:B161"/>
    <mergeCell ref="A162:H162"/>
    <mergeCell ref="A163:B163"/>
    <mergeCell ref="A164:B164"/>
    <mergeCell ref="A165:B165"/>
    <mergeCell ref="A166:B166"/>
    <mergeCell ref="A167:B167"/>
    <mergeCell ref="A168:H168"/>
    <mergeCell ref="A169:B169"/>
    <mergeCell ref="A195:H195"/>
    <mergeCell ref="A196:H196"/>
    <mergeCell ref="A197:H197"/>
    <mergeCell ref="A198:H198"/>
    <mergeCell ref="A199:H199"/>
    <mergeCell ref="B182:H182"/>
    <mergeCell ref="B183:H183"/>
    <mergeCell ref="B184:H184"/>
    <mergeCell ref="B185:H185"/>
    <mergeCell ref="B186:H186"/>
    <mergeCell ref="B187:H187"/>
    <mergeCell ref="B188:H188"/>
    <mergeCell ref="B189:H189"/>
    <mergeCell ref="B190:H190"/>
    <mergeCell ref="B191:H191"/>
    <mergeCell ref="B192:H192"/>
    <mergeCell ref="A193:H193"/>
    <mergeCell ref="A194:H194"/>
    <mergeCell ref="A173:B173"/>
    <mergeCell ref="A174:H174"/>
    <mergeCell ref="A175:B175"/>
    <mergeCell ref="A176:B176"/>
    <mergeCell ref="A177:B177"/>
    <mergeCell ref="A178:B178"/>
    <mergeCell ref="A179:B179"/>
    <mergeCell ref="A180:H180"/>
    <mergeCell ref="B181:H181"/>
    <mergeCell ref="A201:H204"/>
    <mergeCell ref="A54:B55"/>
    <mergeCell ref="A56:B57"/>
    <mergeCell ref="A23:D24"/>
    <mergeCell ref="E23:H24"/>
    <mergeCell ref="A58:B59"/>
    <mergeCell ref="A52:B53"/>
    <mergeCell ref="E91:F100"/>
    <mergeCell ref="G91:H100"/>
    <mergeCell ref="E77:F86"/>
    <mergeCell ref="G77:H86"/>
    <mergeCell ref="A200:B200"/>
    <mergeCell ref="C200:D200"/>
    <mergeCell ref="E200:F200"/>
    <mergeCell ref="G200:H200"/>
    <mergeCell ref="A125:A126"/>
    <mergeCell ref="A134:A135"/>
    <mergeCell ref="B125:B126"/>
    <mergeCell ref="B134:B135"/>
    <mergeCell ref="C125:C126"/>
    <mergeCell ref="C134:C135"/>
    <mergeCell ref="D125:D126"/>
    <mergeCell ref="D134:D135"/>
    <mergeCell ref="E125:E126"/>
  </mergeCells>
  <dataValidations count="17">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list" allowBlank="1" showInputMessage="1" showErrorMessage="1" sqref="C49:H49">
      <formula1>OFFSET($S$49,1,MATCH($G20,$S$49:$W$49,0)-1,15,1)</formula1>
    </dataValidation>
    <dataValidation type="list" allowBlank="1" showInputMessage="1" showErrorMessage="1" sqref="F101:H101">
      <formula1>"On Saleable Area,On Builtup Area,On Carpet Area,On Plot Area"</formula1>
    </dataValidation>
    <dataValidation type="list" allowBlank="1" showInputMessage="1" showErrorMessage="1" sqref="F112:H112">
      <formula1>OFFSET($S$101,1,MATCH($G20,$S$101:$W$101,0)-1,15,1)</formula1>
    </dataValidation>
    <dataValidation type="list" allowBlank="1" showInputMessage="1" showErrorMessage="1" sqref="H125 H134">
      <formula1>"Saleable area Loading :,Builder Saleable Area"</formula1>
    </dataValidation>
    <dataValidation type="list" allowBlank="1" showInputMessage="1" showErrorMessage="1" sqref="H126 H135">
      <formula1>".45,.50,.55,.60"</formula1>
    </dataValidation>
    <dataValidation type="list" allowBlank="1" showInputMessage="1" showErrorMessage="1" sqref="G200:H200">
      <formula1>"Kunal Kadam,Pranita Mhatre,Shruti Fule,Pooja Kawale,Gaurav Panchal,Shruti Tathare, Hitakshi Mhatre, Sachin Sawant"</formula1>
    </dataValidation>
    <dataValidation type="list" allowBlank="1" showInputMessage="1" showErrorMessage="1" sqref="B125:B126">
      <formula1>"Shop No. (Sale Plan),Sale / Rehab,Sale / Mhada"</formula1>
    </dataValidation>
    <dataValidation type="list" allowBlank="1" showInputMessage="1" showErrorMessage="1" sqref="B134:B135">
      <formula1>"Flat No. (Sale Plan),Sale / Rehab,Sale / Mhada"</formula1>
    </dataValidation>
    <dataValidation type="list" allowBlank="1" showInputMessage="1" showErrorMessage="1" sqref="D125:D126 D134:D135">
      <formula1>"Carpet area,RERA Carpet area"</formula1>
    </dataValidation>
    <dataValidation type="list" allowBlank="1" showInputMessage="1" showErrorMessage="1" sqref="E125:E126">
      <formula1>"Attached Loft area,Attached Otla area,Attached Mezzanine area"</formula1>
    </dataValidation>
    <dataValidation type="list" allowBlank="1" showInputMessage="1" showErrorMessage="1" sqref="E134:E135">
      <formula1>"Fungible area,Balcony Area,Chajja Area,Cornice Area,AP Area,WS Area"</formula1>
    </dataValidation>
  </dataValidations>
  <hyperlinks>
    <hyperlink ref="C40" r:id="rId1"/>
    <hyperlink ref="I69" display="https://www.googleadservices.com/pagead/aclk?sa=L&amp;ai=DChcSEwj-lcbU7aiJAxUAVQ8CHdY9BzcYABABGgJ0Yg&amp;ae=2&amp;co=1&amp;ase=5&amp;gclid=Cj0KCQjw4Oe4BhCcARIsADQ0csmqtDrOInbvaqrWl1E9xcsPRiFm74uUTxXn0WrTu3mwo2R5pPdf97EaAlvdEALw_wcB&amp;ohost=www.google.com&amp;cid=CAESVuD2Jh5FbtrIoT"/>
  </hyperlinks>
  <printOptions horizontalCentered="1"/>
  <pageMargins left="0.39370078740157499" right="0.39370078740157499" top="0.82677165354330695" bottom="0.78740157480314998" header="0.15748031496063" footer="0.196850393700787"/>
  <pageSetup paperSize="2" orientation="portrait" r:id="rId2"/>
  <headerFooter>
    <oddHeader>&amp;C&amp;G</oddHeader>
    <oddFooter>&amp;L&amp;"Times New Roman,Bold"&amp;12Ref No: &amp;F&amp;C&amp;G&amp;R&amp;"Times New Roman,Bold"&amp;12&amp;P</oddFooter>
  </headerFooter>
  <rowBreaks count="4" manualBreakCount="4">
    <brk id="72" max="16383" man="1"/>
    <brk id="204" max="16383" man="1"/>
    <brk id="247" max="16383" man="1"/>
    <brk id="29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cols>
    <col min="1" max="1" width="8.7265625" style="25"/>
    <col min="2" max="2" width="22.1796875" style="25" customWidth="1"/>
    <col min="3" max="3" width="37" style="25" customWidth="1"/>
    <col min="4" max="5" width="11.453125" style="25" customWidth="1"/>
    <col min="6" max="6" width="14" style="25" customWidth="1"/>
    <col min="7" max="7" width="20" style="25" customWidth="1"/>
    <col min="8" max="8" width="16.453125" style="25" customWidth="1"/>
    <col min="9" max="16384" width="8.7265625" style="25"/>
  </cols>
  <sheetData>
    <row r="1" spans="1:9" ht="15" customHeight="1"/>
    <row r="2" spans="1:9" ht="15" customHeight="1">
      <c r="A2" s="26"/>
      <c r="B2" s="26"/>
      <c r="C2" s="26"/>
      <c r="D2" s="26"/>
      <c r="E2" s="26"/>
      <c r="F2" s="26"/>
      <c r="G2" s="26"/>
      <c r="H2" s="26"/>
    </row>
    <row r="3" spans="1:9" ht="15.75" customHeight="1">
      <c r="A3" s="26"/>
      <c r="B3" s="234" t="s">
        <v>306</v>
      </c>
      <c r="C3" s="234"/>
      <c r="D3" s="234"/>
      <c r="E3" s="234"/>
      <c r="F3" s="234"/>
      <c r="G3" s="234"/>
      <c r="H3" s="234"/>
    </row>
    <row r="4" spans="1:9">
      <c r="A4" s="26"/>
      <c r="B4" s="27" t="s">
        <v>307</v>
      </c>
      <c r="C4" s="27" t="s">
        <v>308</v>
      </c>
      <c r="D4" s="27" t="s">
        <v>309</v>
      </c>
      <c r="E4" s="27" t="s">
        <v>310</v>
      </c>
      <c r="F4" s="27" t="s">
        <v>311</v>
      </c>
      <c r="G4" s="27" t="s">
        <v>312</v>
      </c>
      <c r="H4" s="27" t="s">
        <v>313</v>
      </c>
    </row>
    <row r="5" spans="1:9" ht="15" customHeight="1">
      <c r="A5" s="26"/>
      <c r="B5" s="28" t="s">
        <v>314</v>
      </c>
      <c r="C5" s="29"/>
      <c r="D5" s="28"/>
      <c r="E5" s="28"/>
      <c r="F5" s="30">
        <f>E5*1.6</f>
        <v>0</v>
      </c>
      <c r="G5" s="30" t="e">
        <f>H5/F5</f>
        <v>#DIV/0!</v>
      </c>
      <c r="H5" s="31"/>
    </row>
    <row r="6" spans="1:9">
      <c r="A6" s="26"/>
      <c r="B6" s="28" t="s">
        <v>314</v>
      </c>
      <c r="C6" s="32"/>
      <c r="D6" s="28"/>
      <c r="E6" s="28"/>
      <c r="F6" s="30">
        <f t="shared" ref="F6:F11" si="0">E6*1.6</f>
        <v>0</v>
      </c>
      <c r="G6" s="30" t="e">
        <f t="shared" ref="G6:G11" si="1">H6/F6</f>
        <v>#DIV/0!</v>
      </c>
      <c r="H6" s="31"/>
    </row>
    <row r="7" spans="1:9" ht="15" customHeight="1">
      <c r="A7" s="26"/>
      <c r="B7" s="28" t="s">
        <v>314</v>
      </c>
      <c r="C7" s="29"/>
      <c r="D7" s="28"/>
      <c r="E7" s="28"/>
      <c r="F7" s="30">
        <f t="shared" si="0"/>
        <v>0</v>
      </c>
      <c r="G7" s="30" t="e">
        <f t="shared" si="1"/>
        <v>#DIV/0!</v>
      </c>
      <c r="H7" s="31"/>
    </row>
    <row r="8" spans="1:9">
      <c r="A8" s="26"/>
      <c r="B8" s="28" t="s">
        <v>314</v>
      </c>
      <c r="C8" s="32"/>
      <c r="D8" s="28"/>
      <c r="E8" s="28"/>
      <c r="F8" s="30">
        <f t="shared" si="0"/>
        <v>0</v>
      </c>
      <c r="G8" s="30" t="e">
        <f t="shared" si="1"/>
        <v>#DIV/0!</v>
      </c>
      <c r="H8" s="31"/>
    </row>
    <row r="9" spans="1:9" ht="15" customHeight="1">
      <c r="A9" s="26"/>
      <c r="B9" s="28" t="s">
        <v>314</v>
      </c>
      <c r="C9" s="32"/>
      <c r="D9" s="28"/>
      <c r="E9" s="28"/>
      <c r="F9" s="30">
        <f t="shared" si="0"/>
        <v>0</v>
      </c>
      <c r="G9" s="30" t="e">
        <f t="shared" si="1"/>
        <v>#DIV/0!</v>
      </c>
      <c r="H9" s="31"/>
    </row>
    <row r="10" spans="1:9" ht="15" customHeight="1">
      <c r="A10" s="26"/>
      <c r="B10" s="28" t="s">
        <v>315</v>
      </c>
      <c r="C10" s="29"/>
      <c r="D10" s="28"/>
      <c r="E10" s="28"/>
      <c r="F10" s="30">
        <f t="shared" si="0"/>
        <v>0</v>
      </c>
      <c r="G10" s="30" t="e">
        <f t="shared" si="1"/>
        <v>#DIV/0!</v>
      </c>
      <c r="H10" s="31"/>
    </row>
    <row r="11" spans="1:9" ht="15" customHeight="1">
      <c r="A11" s="26"/>
      <c r="B11" s="28" t="s">
        <v>315</v>
      </c>
      <c r="C11" s="29"/>
      <c r="D11" s="28"/>
      <c r="E11" s="28"/>
      <c r="F11" s="30">
        <f t="shared" si="0"/>
        <v>0</v>
      </c>
      <c r="G11" s="30" t="e">
        <f t="shared" si="1"/>
        <v>#DIV/0!</v>
      </c>
      <c r="H11" s="31"/>
    </row>
    <row r="12" spans="1:9" ht="15" customHeight="1">
      <c r="A12" s="26"/>
      <c r="B12" s="33" t="s">
        <v>316</v>
      </c>
      <c r="C12" s="28"/>
      <c r="D12" s="28"/>
      <c r="E12" s="28"/>
      <c r="F12" s="28"/>
      <c r="G12" s="34" t="e">
        <f>AVERAGE(G5:G11)</f>
        <v>#DIV/0!</v>
      </c>
      <c r="H12" s="28"/>
    </row>
    <row r="13" spans="1:9" ht="15" customHeight="1">
      <c r="B13" s="33" t="s">
        <v>317</v>
      </c>
      <c r="C13" s="28"/>
      <c r="D13" s="28"/>
      <c r="E13" s="28"/>
      <c r="F13" s="35"/>
      <c r="G13" s="33"/>
      <c r="H13" s="33"/>
      <c r="I13" s="36"/>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ColWidth="9" defaultRowHeight="14.5"/>
  <cols>
    <col min="4" max="4" width="13.81640625" customWidth="1"/>
    <col min="5" max="5" width="10.453125" customWidth="1"/>
    <col min="6" max="6" width="12.453125" customWidth="1"/>
    <col min="7" max="7" width="18.1796875" customWidth="1"/>
    <col min="8" max="8" width="10.54296875" customWidth="1"/>
  </cols>
  <sheetData>
    <row r="3" spans="2:11">
      <c r="J3">
        <v>1</v>
      </c>
      <c r="K3">
        <v>2</v>
      </c>
    </row>
    <row r="4" spans="2:11">
      <c r="B4" s="1"/>
      <c r="C4" s="1" t="s">
        <v>84</v>
      </c>
      <c r="D4" s="5" t="s">
        <v>318</v>
      </c>
      <c r="E4" s="5" t="s">
        <v>41</v>
      </c>
      <c r="F4" s="5" t="s">
        <v>42</v>
      </c>
      <c r="G4" s="5" t="s">
        <v>43</v>
      </c>
      <c r="H4" s="5" t="s">
        <v>44</v>
      </c>
      <c r="J4" t="s">
        <v>43</v>
      </c>
      <c r="K4" t="s">
        <v>55</v>
      </c>
    </row>
    <row r="5" spans="2:11">
      <c r="B5" s="1"/>
      <c r="C5" s="1"/>
      <c r="D5" s="5" t="s">
        <v>40</v>
      </c>
      <c r="E5" s="5" t="s">
        <v>47</v>
      </c>
      <c r="F5" s="5" t="s">
        <v>48</v>
      </c>
      <c r="G5" s="5" t="s">
        <v>49</v>
      </c>
      <c r="H5" s="5" t="s">
        <v>50</v>
      </c>
    </row>
    <row r="6" spans="2:11">
      <c r="B6" s="1"/>
      <c r="C6" s="1"/>
      <c r="D6" s="5" t="s">
        <v>53</v>
      </c>
      <c r="E6" s="5" t="s">
        <v>54</v>
      </c>
      <c r="F6" s="5" t="s">
        <v>55</v>
      </c>
      <c r="G6" s="5" t="s">
        <v>56</v>
      </c>
      <c r="H6" s="5" t="s">
        <v>57</v>
      </c>
    </row>
    <row r="7" spans="2:11">
      <c r="B7" s="1"/>
      <c r="C7" s="1"/>
      <c r="D7" s="5" t="s">
        <v>59</v>
      </c>
      <c r="E7" s="5" t="s">
        <v>60</v>
      </c>
      <c r="F7" s="5" t="s">
        <v>61</v>
      </c>
      <c r="G7" s="5" t="s">
        <v>62</v>
      </c>
      <c r="H7" s="5" t="s">
        <v>63</v>
      </c>
    </row>
    <row r="8" spans="2:11">
      <c r="B8" s="1"/>
      <c r="C8" s="1"/>
      <c r="D8" s="5" t="s">
        <v>66</v>
      </c>
      <c r="E8" s="5" t="s">
        <v>67</v>
      </c>
      <c r="F8" s="5"/>
      <c r="G8" s="5" t="s">
        <v>68</v>
      </c>
      <c r="H8" s="5" t="s">
        <v>69</v>
      </c>
    </row>
    <row r="9" spans="2:11">
      <c r="B9" s="1"/>
      <c r="C9" s="1"/>
      <c r="D9" s="5" t="s">
        <v>72</v>
      </c>
      <c r="E9" s="5" t="s">
        <v>41</v>
      </c>
      <c r="F9" s="5"/>
      <c r="G9" s="5" t="s">
        <v>73</v>
      </c>
      <c r="H9" s="5" t="s">
        <v>74</v>
      </c>
    </row>
    <row r="10" spans="2:11">
      <c r="B10" s="1"/>
      <c r="C10" s="1"/>
      <c r="D10" s="5" t="s">
        <v>78</v>
      </c>
      <c r="E10" s="5" t="s">
        <v>79</v>
      </c>
      <c r="F10" s="5"/>
      <c r="G10" s="5" t="s">
        <v>80</v>
      </c>
      <c r="H10" s="5" t="s">
        <v>81</v>
      </c>
    </row>
    <row r="11" spans="2:11">
      <c r="B11" s="1"/>
      <c r="C11" s="1"/>
      <c r="D11" s="5" t="s">
        <v>85</v>
      </c>
      <c r="E11" s="5" t="s">
        <v>86</v>
      </c>
      <c r="F11" s="5"/>
      <c r="G11" s="5" t="s">
        <v>87</v>
      </c>
      <c r="H11" s="5" t="s">
        <v>88</v>
      </c>
    </row>
    <row r="12" spans="2:11">
      <c r="B12" s="1"/>
      <c r="C12" s="1"/>
      <c r="D12" s="5"/>
      <c r="E12" s="5"/>
      <c r="F12" s="5"/>
      <c r="G12" s="5" t="s">
        <v>91</v>
      </c>
      <c r="H12" s="5" t="s">
        <v>92</v>
      </c>
    </row>
    <row r="13" spans="2:11">
      <c r="B13" s="1"/>
      <c r="C13" s="1"/>
      <c r="D13" s="5"/>
      <c r="E13" s="5"/>
      <c r="F13" s="5"/>
      <c r="G13" s="5" t="s">
        <v>97</v>
      </c>
      <c r="H13" s="5" t="s">
        <v>98</v>
      </c>
    </row>
    <row r="14" spans="2:11">
      <c r="B14" s="1"/>
      <c r="C14" s="1"/>
      <c r="D14" s="5"/>
      <c r="E14" s="5"/>
      <c r="F14" s="5"/>
      <c r="G14" s="5" t="s">
        <v>101</v>
      </c>
      <c r="H14" s="5" t="s">
        <v>102</v>
      </c>
    </row>
    <row r="15" spans="2:11">
      <c r="B15" s="1"/>
      <c r="C15" s="1"/>
      <c r="D15" s="5"/>
      <c r="E15" s="5"/>
      <c r="F15" s="5"/>
      <c r="G15" s="5" t="s">
        <v>103</v>
      </c>
      <c r="H15" s="5" t="s">
        <v>104</v>
      </c>
    </row>
    <row r="16" spans="2:11">
      <c r="B16" s="1"/>
      <c r="C16" s="1"/>
      <c r="D16" s="5"/>
      <c r="E16" s="5"/>
      <c r="F16" s="5"/>
      <c r="G16" s="5" t="s">
        <v>107</v>
      </c>
      <c r="H16" s="5" t="s">
        <v>108</v>
      </c>
    </row>
    <row r="17" spans="2:8">
      <c r="B17" s="1"/>
      <c r="C17" s="1"/>
      <c r="D17" s="5"/>
      <c r="E17" s="5"/>
      <c r="F17" s="5"/>
      <c r="G17" s="5" t="s">
        <v>110</v>
      </c>
      <c r="H17" s="5" t="s">
        <v>111</v>
      </c>
    </row>
    <row r="18" spans="2:8">
      <c r="B18" s="1"/>
      <c r="C18" s="1"/>
      <c r="D18" s="5"/>
      <c r="E18" s="5"/>
      <c r="F18" s="5"/>
      <c r="G18" s="5" t="s">
        <v>114</v>
      </c>
      <c r="H18" s="5" t="s">
        <v>115</v>
      </c>
    </row>
    <row r="24" spans="2:8">
      <c r="C24" t="s">
        <v>46</v>
      </c>
    </row>
    <row r="25" spans="2:8">
      <c r="C25" t="s">
        <v>319</v>
      </c>
    </row>
    <row r="26" spans="2:8">
      <c r="C26" t="s">
        <v>320</v>
      </c>
    </row>
    <row r="27" spans="2:8">
      <c r="C27" t="s">
        <v>321</v>
      </c>
    </row>
    <row r="28" spans="2:8">
      <c r="C28" t="s">
        <v>322</v>
      </c>
    </row>
    <row r="29" spans="2:8">
      <c r="C29" t="s">
        <v>323</v>
      </c>
    </row>
    <row r="30" spans="2:8">
      <c r="C30" t="s">
        <v>46</v>
      </c>
    </row>
    <row r="33" spans="3:11">
      <c r="J33">
        <v>1</v>
      </c>
      <c r="K33">
        <v>2</v>
      </c>
    </row>
    <row r="34" spans="3:11">
      <c r="C34" s="24" t="s">
        <v>3</v>
      </c>
      <c r="D34" s="5" t="s">
        <v>4</v>
      </c>
      <c r="E34" s="5" t="s">
        <v>5</v>
      </c>
      <c r="F34" s="5" t="s">
        <v>6</v>
      </c>
      <c r="G34" s="5" t="s">
        <v>324</v>
      </c>
      <c r="H34" s="5" t="s">
        <v>8</v>
      </c>
      <c r="J34" t="s">
        <v>43</v>
      </c>
      <c r="K34" t="s">
        <v>55</v>
      </c>
    </row>
    <row r="35" spans="3:11">
      <c r="C35" s="1" t="s">
        <v>10</v>
      </c>
      <c r="D35" s="5" t="s">
        <v>11</v>
      </c>
      <c r="E35" s="5" t="s">
        <v>12</v>
      </c>
      <c r="F35" s="5" t="s">
        <v>13</v>
      </c>
      <c r="G35" s="5" t="s">
        <v>325</v>
      </c>
      <c r="H35" s="5"/>
    </row>
    <row r="36" spans="3:11">
      <c r="C36" s="1"/>
      <c r="D36" s="5" t="s">
        <v>17</v>
      </c>
      <c r="E36" s="5" t="s">
        <v>18</v>
      </c>
      <c r="F36" s="5" t="s">
        <v>19</v>
      </c>
      <c r="G36" s="5" t="s">
        <v>326</v>
      </c>
      <c r="H36" s="5"/>
    </row>
    <row r="37" spans="3:11">
      <c r="C37" s="1"/>
      <c r="D37" s="5" t="s">
        <v>22</v>
      </c>
      <c r="E37" s="5"/>
      <c r="F37" s="5"/>
      <c r="G37" s="5" t="s">
        <v>327</v>
      </c>
      <c r="H37" s="5"/>
    </row>
    <row r="38" spans="3:11">
      <c r="C38" s="1"/>
      <c r="D38" s="5" t="s">
        <v>16</v>
      </c>
      <c r="E38" s="5"/>
      <c r="F38" s="5"/>
      <c r="G38" s="5" t="s">
        <v>327</v>
      </c>
      <c r="H38" s="5"/>
    </row>
    <row r="39" spans="3:11">
      <c r="C39" s="1"/>
      <c r="D39" s="5"/>
      <c r="E39" s="5"/>
      <c r="F39" s="5"/>
      <c r="G39" s="5" t="s">
        <v>328</v>
      </c>
      <c r="H39" s="5"/>
    </row>
    <row r="40" spans="3:11">
      <c r="C40" s="1"/>
      <c r="D40" s="5"/>
      <c r="E40" s="5"/>
      <c r="F40" s="5"/>
      <c r="G40" s="5" t="s">
        <v>329</v>
      </c>
      <c r="H40" s="5"/>
    </row>
    <row r="41" spans="3:11">
      <c r="C41" s="1"/>
      <c r="D41" s="5"/>
      <c r="E41" s="5"/>
      <c r="F41" s="5"/>
      <c r="G41" s="5"/>
      <c r="H41" s="5"/>
    </row>
    <row r="43" spans="3:11">
      <c r="C43" t="s">
        <v>152</v>
      </c>
    </row>
    <row r="44" spans="3:11">
      <c r="C44" t="s">
        <v>42</v>
      </c>
      <c r="D44" t="s">
        <v>156</v>
      </c>
    </row>
    <row r="45" spans="3:11">
      <c r="D45" t="s">
        <v>161</v>
      </c>
    </row>
    <row r="46" spans="3:11">
      <c r="D46" t="s">
        <v>167</v>
      </c>
    </row>
    <row r="47" spans="3:11">
      <c r="D47" t="s">
        <v>171</v>
      </c>
    </row>
    <row r="48" spans="3:11">
      <c r="D48" t="s">
        <v>169</v>
      </c>
    </row>
    <row r="49" spans="3:4">
      <c r="C49" t="s">
        <v>318</v>
      </c>
      <c r="D49" t="s">
        <v>157</v>
      </c>
    </row>
    <row r="50" spans="3:4">
      <c r="D50" t="s">
        <v>162</v>
      </c>
    </row>
    <row r="51" spans="3:4">
      <c r="D51" t="s">
        <v>168</v>
      </c>
    </row>
    <row r="52" spans="3:4">
      <c r="D52" t="s">
        <v>172</v>
      </c>
    </row>
    <row r="53" spans="3:4">
      <c r="D53" t="s">
        <v>151</v>
      </c>
    </row>
    <row r="54" spans="3:4">
      <c r="D54" t="s">
        <v>177</v>
      </c>
    </row>
    <row r="55" spans="3:4">
      <c r="D55" t="s">
        <v>179</v>
      </c>
    </row>
    <row r="56" spans="3:4">
      <c r="D56" t="s">
        <v>182</v>
      </c>
    </row>
    <row r="57" spans="3:4">
      <c r="D57" t="s">
        <v>184</v>
      </c>
    </row>
    <row r="58" spans="3:4">
      <c r="D58" t="s">
        <v>187</v>
      </c>
    </row>
    <row r="59" spans="3:4">
      <c r="D59" t="s">
        <v>189</v>
      </c>
    </row>
    <row r="60" spans="3:4">
      <c r="C60" t="s">
        <v>43</v>
      </c>
      <c r="D60" t="s">
        <v>158</v>
      </c>
    </row>
    <row r="61" spans="3:4">
      <c r="D61" t="s">
        <v>163</v>
      </c>
    </row>
    <row r="62" spans="3:4">
      <c r="D62" t="s">
        <v>169</v>
      </c>
    </row>
    <row r="63" spans="3:4">
      <c r="D63" t="s">
        <v>173</v>
      </c>
    </row>
    <row r="64" spans="3:4">
      <c r="D64" t="s">
        <v>175</v>
      </c>
    </row>
    <row r="65" spans="3:4">
      <c r="D65" t="s">
        <v>178</v>
      </c>
    </row>
    <row r="66" spans="3:4">
      <c r="D66" t="s">
        <v>180</v>
      </c>
    </row>
    <row r="67" spans="3:4">
      <c r="C67" t="s">
        <v>41</v>
      </c>
      <c r="D67" t="s">
        <v>159</v>
      </c>
    </row>
    <row r="68" spans="3:4">
      <c r="D68" t="s">
        <v>164</v>
      </c>
    </row>
    <row r="69" spans="3:4">
      <c r="D69" t="s">
        <v>170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ColWidth="9" defaultRowHeight="14.5"/>
  <cols>
    <col min="2" max="2" width="3" customWidth="1"/>
    <col min="3" max="3" width="155.26953125" customWidth="1"/>
  </cols>
  <sheetData>
    <row r="2" spans="2:3" ht="15" customHeight="1">
      <c r="B2" s="10">
        <v>1</v>
      </c>
      <c r="C2" s="11" t="s">
        <v>330</v>
      </c>
    </row>
    <row r="3" spans="2:3">
      <c r="B3" s="10">
        <v>2</v>
      </c>
      <c r="C3" s="12" t="s">
        <v>331</v>
      </c>
    </row>
    <row r="4" spans="2:3">
      <c r="B4" s="10">
        <v>3</v>
      </c>
      <c r="C4" s="13" t="s">
        <v>332</v>
      </c>
    </row>
    <row r="5" spans="2:3">
      <c r="B5" s="10">
        <v>4</v>
      </c>
      <c r="C5" s="12" t="s">
        <v>333</v>
      </c>
    </row>
    <row r="6" spans="2:3">
      <c r="B6" s="10">
        <v>5</v>
      </c>
      <c r="C6" s="13" t="s">
        <v>334</v>
      </c>
    </row>
    <row r="7" spans="2:3" ht="29">
      <c r="B7" s="10">
        <v>6</v>
      </c>
      <c r="C7" s="12" t="s">
        <v>335</v>
      </c>
    </row>
    <row r="8" spans="2:3" ht="72.5">
      <c r="B8" s="10">
        <v>7</v>
      </c>
      <c r="C8" s="12" t="s">
        <v>336</v>
      </c>
    </row>
    <row r="9" spans="2:3">
      <c r="B9" s="10">
        <v>8</v>
      </c>
      <c r="C9" s="13" t="s">
        <v>337</v>
      </c>
    </row>
    <row r="10" spans="2:3">
      <c r="B10" s="10">
        <v>9</v>
      </c>
      <c r="C10" s="13" t="s">
        <v>338</v>
      </c>
    </row>
    <row r="11" spans="2:3">
      <c r="B11" s="10">
        <v>10</v>
      </c>
      <c r="C11" s="13" t="s">
        <v>339</v>
      </c>
    </row>
    <row r="12" spans="2:3">
      <c r="B12" s="10">
        <v>11</v>
      </c>
      <c r="C12" s="13" t="s">
        <v>340</v>
      </c>
    </row>
    <row r="13" spans="2:3">
      <c r="B13" s="10">
        <v>12</v>
      </c>
      <c r="C13" s="13" t="s">
        <v>341</v>
      </c>
    </row>
    <row r="14" spans="2:3">
      <c r="B14" s="10">
        <v>13</v>
      </c>
      <c r="C14" s="13" t="s">
        <v>342</v>
      </c>
    </row>
    <row r="15" spans="2:3">
      <c r="B15" s="10">
        <v>14</v>
      </c>
      <c r="C15" s="13" t="s">
        <v>332</v>
      </c>
    </row>
    <row r="16" spans="2:3">
      <c r="B16" s="10">
        <v>15</v>
      </c>
      <c r="C16" s="13" t="s">
        <v>343</v>
      </c>
    </row>
    <row r="17" spans="2:3">
      <c r="B17" s="14">
        <v>16</v>
      </c>
      <c r="C17" s="15" t="s">
        <v>344</v>
      </c>
    </row>
    <row r="18" spans="2:3">
      <c r="B18" s="16">
        <v>17</v>
      </c>
      <c r="C18" s="15" t="s">
        <v>345</v>
      </c>
    </row>
    <row r="19" spans="2:3">
      <c r="B19" s="17">
        <v>18</v>
      </c>
      <c r="C19" s="10" t="s">
        <v>346</v>
      </c>
    </row>
    <row r="20" spans="2:3">
      <c r="B20" s="16">
        <v>19</v>
      </c>
      <c r="C20" s="10" t="s">
        <v>347</v>
      </c>
    </row>
    <row r="21" spans="2:3">
      <c r="B21" s="18">
        <v>20</v>
      </c>
      <c r="C21" s="10" t="s">
        <v>348</v>
      </c>
    </row>
    <row r="22" spans="2:3">
      <c r="B22" s="16">
        <v>21</v>
      </c>
      <c r="C22" s="10" t="s">
        <v>346</v>
      </c>
    </row>
    <row r="23" spans="2:3" s="9" customFormat="1" ht="29.25" customHeight="1">
      <c r="B23" s="19">
        <v>22</v>
      </c>
      <c r="C23" s="11" t="s">
        <v>349</v>
      </c>
    </row>
    <row r="24" spans="2:3" s="9" customFormat="1" ht="30.75" customHeight="1">
      <c r="B24" s="20">
        <v>23</v>
      </c>
      <c r="C24" s="11" t="s">
        <v>350</v>
      </c>
    </row>
    <row r="25" spans="2:3">
      <c r="B25" s="18">
        <v>24</v>
      </c>
      <c r="C25" s="10" t="s">
        <v>351</v>
      </c>
    </row>
    <row r="26" spans="2:3">
      <c r="B26" s="16">
        <v>25</v>
      </c>
      <c r="C26" s="10" t="s">
        <v>352</v>
      </c>
    </row>
    <row r="27" spans="2:3">
      <c r="B27" s="20">
        <v>26</v>
      </c>
      <c r="C27" s="18" t="s">
        <v>353</v>
      </c>
    </row>
    <row r="28" spans="2:3">
      <c r="B28" s="21">
        <v>27</v>
      </c>
      <c r="C28" s="10" t="s">
        <v>354</v>
      </c>
    </row>
    <row r="29" spans="2:3" ht="43.5">
      <c r="B29" s="22">
        <v>28</v>
      </c>
      <c r="C29" s="12" t="s">
        <v>355</v>
      </c>
    </row>
    <row r="30" spans="2:3">
      <c r="B30" s="20">
        <v>29</v>
      </c>
      <c r="C30" s="10" t="s">
        <v>356</v>
      </c>
    </row>
    <row r="31" spans="2:3" ht="29">
      <c r="B31" s="23">
        <v>30</v>
      </c>
      <c r="C31" s="12" t="s">
        <v>357</v>
      </c>
    </row>
    <row r="32" spans="2:3">
      <c r="B32" s="20">
        <v>31</v>
      </c>
      <c r="C32" s="10" t="s">
        <v>358</v>
      </c>
    </row>
    <row r="33" spans="2:3">
      <c r="B33" s="20">
        <v>32</v>
      </c>
      <c r="C33" s="10" t="s">
        <v>359</v>
      </c>
    </row>
    <row r="34" spans="2:3" ht="36.75" customHeight="1">
      <c r="B34" s="23">
        <v>33</v>
      </c>
      <c r="C34" s="15" t="s">
        <v>360</v>
      </c>
    </row>
    <row r="35" spans="2:3">
      <c r="B35" s="20">
        <v>34</v>
      </c>
      <c r="C35" s="10"/>
    </row>
  </sheetData>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cols>
    <col min="1" max="1" width="9.1796875" style="1"/>
    <col min="2" max="2" width="12.26953125" style="1" customWidth="1"/>
    <col min="3" max="16384" width="9.1796875" style="1"/>
  </cols>
  <sheetData>
    <row r="2" spans="1:12">
      <c r="B2" s="2" t="s">
        <v>361</v>
      </c>
      <c r="C2" s="235"/>
      <c r="D2" s="235"/>
    </row>
    <row r="3" spans="1:12">
      <c r="D3" s="3"/>
      <c r="E3" s="3"/>
      <c r="F3" s="3"/>
      <c r="G3" s="3"/>
      <c r="H3" s="3"/>
      <c r="I3" s="3"/>
    </row>
    <row r="4" spans="1:12">
      <c r="A4" s="2" t="s">
        <v>309</v>
      </c>
      <c r="B4" s="4" t="s">
        <v>362</v>
      </c>
      <c r="C4" s="236" t="s">
        <v>363</v>
      </c>
      <c r="D4" s="236"/>
      <c r="E4" s="236"/>
      <c r="F4" s="4"/>
      <c r="G4" s="237" t="s">
        <v>364</v>
      </c>
      <c r="H4" s="237"/>
      <c r="I4" s="237"/>
      <c r="J4" s="238" t="s">
        <v>365</v>
      </c>
      <c r="K4" s="238"/>
      <c r="L4" s="238"/>
    </row>
    <row r="5" spans="1:12">
      <c r="A5" s="2"/>
      <c r="B5" s="4"/>
      <c r="C5" s="4" t="s">
        <v>366</v>
      </c>
      <c r="D5" s="4" t="s">
        <v>367</v>
      </c>
      <c r="E5" s="4" t="s">
        <v>368</v>
      </c>
      <c r="F5" s="4"/>
      <c r="G5" s="4" t="s">
        <v>366</v>
      </c>
      <c r="H5" s="4" t="s">
        <v>367</v>
      </c>
      <c r="I5" s="4" t="s">
        <v>368</v>
      </c>
      <c r="J5" s="4" t="s">
        <v>366</v>
      </c>
      <c r="K5" s="4" t="s">
        <v>367</v>
      </c>
      <c r="L5" s="4" t="s">
        <v>368</v>
      </c>
    </row>
    <row r="6" spans="1:12">
      <c r="B6" s="5" t="s">
        <v>369</v>
      </c>
      <c r="C6" s="5"/>
      <c r="D6" s="5"/>
      <c r="E6" s="5">
        <f>C6*D6</f>
        <v>0</v>
      </c>
      <c r="F6" s="5" t="s">
        <v>370</v>
      </c>
      <c r="G6" s="5"/>
      <c r="H6" s="5"/>
      <c r="I6" s="5">
        <f>G6*H6</f>
        <v>0</v>
      </c>
      <c r="J6" s="5"/>
      <c r="K6" s="5"/>
      <c r="L6" s="5">
        <f>J6*K6</f>
        <v>0</v>
      </c>
    </row>
    <row r="7" spans="1:12">
      <c r="B7" s="5"/>
      <c r="C7" s="5"/>
      <c r="D7" s="5"/>
      <c r="E7" s="5">
        <f t="shared" ref="E7:E41" si="0">C7*D7</f>
        <v>0</v>
      </c>
      <c r="F7" s="5" t="s">
        <v>370</v>
      </c>
      <c r="G7" s="5"/>
      <c r="H7" s="5"/>
      <c r="I7" s="5">
        <f t="shared" ref="I7:I36" si="1">G7*H7</f>
        <v>0</v>
      </c>
      <c r="J7" s="5"/>
      <c r="K7" s="5"/>
      <c r="L7" s="5">
        <f t="shared" ref="L7:L36" si="2">J7*K7</f>
        <v>0</v>
      </c>
    </row>
    <row r="8" spans="1:12">
      <c r="B8" s="5"/>
      <c r="C8" s="5"/>
      <c r="D8" s="5"/>
      <c r="E8" s="5">
        <f t="shared" si="0"/>
        <v>0</v>
      </c>
      <c r="F8" s="5"/>
      <c r="G8" s="5"/>
      <c r="H8" s="5"/>
      <c r="I8" s="5">
        <f t="shared" si="1"/>
        <v>0</v>
      </c>
      <c r="J8" s="5"/>
      <c r="K8" s="5"/>
      <c r="L8" s="5">
        <f t="shared" si="2"/>
        <v>0</v>
      </c>
    </row>
    <row r="9" spans="1:12">
      <c r="B9" s="5"/>
      <c r="C9" s="5"/>
      <c r="D9" s="5"/>
      <c r="E9" s="5">
        <f t="shared" si="0"/>
        <v>0</v>
      </c>
      <c r="F9" s="5" t="s">
        <v>371</v>
      </c>
      <c r="G9" s="5"/>
      <c r="H9" s="5"/>
      <c r="I9" s="5">
        <f t="shared" si="1"/>
        <v>0</v>
      </c>
      <c r="J9" s="5"/>
      <c r="K9" s="5"/>
      <c r="L9" s="5">
        <f t="shared" si="2"/>
        <v>0</v>
      </c>
    </row>
    <row r="10" spans="1:12">
      <c r="B10" s="5" t="s">
        <v>372</v>
      </c>
      <c r="C10" s="5"/>
      <c r="D10" s="5"/>
      <c r="E10" s="5">
        <f t="shared" si="0"/>
        <v>0</v>
      </c>
      <c r="F10" s="5" t="s">
        <v>371</v>
      </c>
      <c r="G10" s="5"/>
      <c r="H10" s="5"/>
      <c r="I10" s="5">
        <f t="shared" si="1"/>
        <v>0</v>
      </c>
      <c r="J10" s="5"/>
      <c r="K10" s="5"/>
      <c r="L10" s="5">
        <f t="shared" si="2"/>
        <v>0</v>
      </c>
    </row>
    <row r="11" spans="1:12">
      <c r="B11" s="5"/>
      <c r="C11" s="5"/>
      <c r="D11" s="5"/>
      <c r="E11" s="5">
        <f t="shared" si="0"/>
        <v>0</v>
      </c>
      <c r="F11" s="5" t="s">
        <v>373</v>
      </c>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c r="C13" s="5"/>
      <c r="D13" s="5"/>
      <c r="E13" s="5">
        <f t="shared" si="0"/>
        <v>0</v>
      </c>
      <c r="F13" s="5"/>
      <c r="G13" s="5"/>
      <c r="H13" s="5"/>
      <c r="I13" s="5">
        <f t="shared" si="1"/>
        <v>0</v>
      </c>
      <c r="J13" s="5"/>
      <c r="K13" s="5"/>
      <c r="L13" s="5">
        <f t="shared" si="2"/>
        <v>0</v>
      </c>
    </row>
    <row r="14" spans="1:12">
      <c r="B14" s="5" t="s">
        <v>374</v>
      </c>
      <c r="C14" s="5"/>
      <c r="D14" s="5"/>
      <c r="E14" s="5">
        <f t="shared" si="0"/>
        <v>0</v>
      </c>
      <c r="F14" s="5" t="s">
        <v>371</v>
      </c>
      <c r="G14" s="5"/>
      <c r="H14" s="5"/>
      <c r="I14" s="5">
        <f t="shared" si="1"/>
        <v>0</v>
      </c>
      <c r="J14" s="5"/>
      <c r="K14" s="5"/>
      <c r="L14" s="5">
        <f t="shared" si="2"/>
        <v>0</v>
      </c>
    </row>
    <row r="15" spans="1:12">
      <c r="B15" s="5"/>
      <c r="C15" s="5"/>
      <c r="D15" s="5"/>
      <c r="E15" s="5">
        <f t="shared" si="0"/>
        <v>0</v>
      </c>
      <c r="F15" s="5" t="s">
        <v>373</v>
      </c>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c r="C17" s="5"/>
      <c r="D17" s="5"/>
      <c r="E17" s="5">
        <f t="shared" si="0"/>
        <v>0</v>
      </c>
      <c r="F17" s="5"/>
      <c r="G17" s="5"/>
      <c r="H17" s="5"/>
      <c r="I17" s="5">
        <f t="shared" si="1"/>
        <v>0</v>
      </c>
      <c r="J17" s="5"/>
      <c r="K17" s="5"/>
      <c r="L17" s="5">
        <f t="shared" si="2"/>
        <v>0</v>
      </c>
    </row>
    <row r="18" spans="2:12">
      <c r="B18" s="5" t="s">
        <v>375</v>
      </c>
      <c r="C18" s="5"/>
      <c r="D18" s="5"/>
      <c r="E18" s="5">
        <f t="shared" si="0"/>
        <v>0</v>
      </c>
      <c r="F18" s="5" t="s">
        <v>371</v>
      </c>
      <c r="G18" s="5"/>
      <c r="H18" s="5"/>
      <c r="I18" s="5">
        <f t="shared" si="1"/>
        <v>0</v>
      </c>
      <c r="J18" s="5"/>
      <c r="K18" s="5"/>
      <c r="L18" s="5">
        <f t="shared" si="2"/>
        <v>0</v>
      </c>
    </row>
    <row r="19" spans="2:12">
      <c r="B19" s="5"/>
      <c r="C19" s="5"/>
      <c r="D19" s="5"/>
      <c r="E19" s="5">
        <f t="shared" si="0"/>
        <v>0</v>
      </c>
      <c r="F19" s="5" t="s">
        <v>373</v>
      </c>
      <c r="G19" s="5"/>
      <c r="H19" s="5"/>
      <c r="I19" s="5">
        <f t="shared" si="1"/>
        <v>0</v>
      </c>
      <c r="J19" s="5"/>
      <c r="K19" s="5"/>
      <c r="L19" s="5">
        <f t="shared" si="2"/>
        <v>0</v>
      </c>
    </row>
    <row r="20" spans="2:12">
      <c r="B20" s="5"/>
      <c r="C20" s="5"/>
      <c r="D20" s="5"/>
      <c r="E20" s="5">
        <f t="shared" si="0"/>
        <v>0</v>
      </c>
      <c r="F20" s="5"/>
      <c r="G20" s="5"/>
      <c r="H20" s="5"/>
      <c r="I20" s="5">
        <f t="shared" si="1"/>
        <v>0</v>
      </c>
      <c r="J20" s="5"/>
      <c r="K20" s="5"/>
      <c r="L20" s="5">
        <f t="shared" si="2"/>
        <v>0</v>
      </c>
    </row>
    <row r="21" spans="2:12">
      <c r="B21" s="5" t="s">
        <v>376</v>
      </c>
      <c r="C21" s="5"/>
      <c r="D21" s="5"/>
      <c r="E21" s="5">
        <f t="shared" si="0"/>
        <v>0</v>
      </c>
      <c r="F21" s="5" t="s">
        <v>371</v>
      </c>
      <c r="G21" s="5"/>
      <c r="H21" s="5"/>
      <c r="I21" s="5">
        <f t="shared" si="1"/>
        <v>0</v>
      </c>
      <c r="J21" s="5"/>
      <c r="K21" s="5"/>
      <c r="L21" s="5">
        <f t="shared" si="2"/>
        <v>0</v>
      </c>
    </row>
    <row r="22" spans="2:12">
      <c r="B22" s="5"/>
      <c r="C22" s="5"/>
      <c r="D22" s="5"/>
      <c r="E22" s="5">
        <f t="shared" si="0"/>
        <v>0</v>
      </c>
      <c r="F22" s="5" t="s">
        <v>373</v>
      </c>
      <c r="G22" s="5"/>
      <c r="H22" s="5"/>
      <c r="I22" s="5">
        <f t="shared" si="1"/>
        <v>0</v>
      </c>
      <c r="J22" s="5"/>
      <c r="K22" s="5"/>
      <c r="L22" s="5">
        <f t="shared" si="2"/>
        <v>0</v>
      </c>
    </row>
    <row r="23" spans="2:12">
      <c r="B23" s="5"/>
      <c r="C23" s="5"/>
      <c r="D23" s="5"/>
      <c r="E23" s="5">
        <f t="shared" si="0"/>
        <v>0</v>
      </c>
      <c r="F23" s="5"/>
      <c r="G23" s="5"/>
      <c r="H23" s="5"/>
      <c r="I23" s="5">
        <f t="shared" si="1"/>
        <v>0</v>
      </c>
      <c r="J23" s="5"/>
      <c r="K23" s="5"/>
      <c r="L23" s="5">
        <f t="shared" si="2"/>
        <v>0</v>
      </c>
    </row>
    <row r="24" spans="2:12">
      <c r="B24" s="5" t="s">
        <v>377</v>
      </c>
      <c r="C24" s="5"/>
      <c r="D24" s="5"/>
      <c r="E24" s="5">
        <f t="shared" si="0"/>
        <v>0</v>
      </c>
      <c r="F24" s="5" t="s">
        <v>378</v>
      </c>
      <c r="G24" s="5"/>
      <c r="H24" s="5"/>
      <c r="I24" s="5">
        <f t="shared" si="1"/>
        <v>0</v>
      </c>
      <c r="J24" s="5"/>
      <c r="K24" s="5"/>
      <c r="L24" s="5">
        <f t="shared" si="2"/>
        <v>0</v>
      </c>
    </row>
    <row r="25" spans="2:12">
      <c r="B25" s="5"/>
      <c r="C25" s="5"/>
      <c r="D25" s="5"/>
      <c r="E25" s="5">
        <f t="shared" ref="E25:E27" si="3">C25*D25</f>
        <v>0</v>
      </c>
      <c r="F25" s="5" t="s">
        <v>378</v>
      </c>
      <c r="G25" s="5"/>
      <c r="H25" s="5"/>
      <c r="I25" s="5">
        <f t="shared" ref="I25:I27" si="4">G25*H25</f>
        <v>0</v>
      </c>
      <c r="J25" s="5"/>
      <c r="K25" s="5"/>
      <c r="L25" s="5">
        <f t="shared" ref="L25:L27" si="5">J25*K25</f>
        <v>0</v>
      </c>
    </row>
    <row r="26" spans="2:12">
      <c r="B26" s="5"/>
      <c r="C26" s="5"/>
      <c r="D26" s="5"/>
      <c r="E26" s="5">
        <f t="shared" si="3"/>
        <v>0</v>
      </c>
      <c r="F26" s="5" t="s">
        <v>378</v>
      </c>
      <c r="G26" s="5"/>
      <c r="H26" s="5"/>
      <c r="I26" s="5">
        <f t="shared" si="4"/>
        <v>0</v>
      </c>
      <c r="J26" s="5"/>
      <c r="K26" s="5"/>
      <c r="L26" s="5">
        <f t="shared" si="5"/>
        <v>0</v>
      </c>
    </row>
    <row r="27" spans="2:12">
      <c r="B27" s="5"/>
      <c r="C27" s="5"/>
      <c r="D27" s="5"/>
      <c r="E27" s="5">
        <f t="shared" si="3"/>
        <v>0</v>
      </c>
      <c r="F27" s="5" t="s">
        <v>378</v>
      </c>
      <c r="G27" s="5"/>
      <c r="H27" s="5"/>
      <c r="I27" s="5">
        <f t="shared" si="4"/>
        <v>0</v>
      </c>
      <c r="J27" s="5"/>
      <c r="K27" s="5"/>
      <c r="L27" s="5">
        <f t="shared" si="5"/>
        <v>0</v>
      </c>
    </row>
    <row r="28" spans="2:12">
      <c r="B28" s="5" t="s">
        <v>379</v>
      </c>
      <c r="C28" s="5"/>
      <c r="D28" s="5"/>
      <c r="E28" s="5">
        <f t="shared" si="0"/>
        <v>0</v>
      </c>
      <c r="F28" s="5" t="s">
        <v>378</v>
      </c>
      <c r="G28" s="5"/>
      <c r="H28" s="5"/>
      <c r="I28" s="5">
        <f t="shared" si="1"/>
        <v>0</v>
      </c>
      <c r="J28" s="5"/>
      <c r="K28" s="5"/>
      <c r="L28" s="5">
        <f t="shared" si="2"/>
        <v>0</v>
      </c>
    </row>
    <row r="29" spans="2:12">
      <c r="B29" s="5" t="s">
        <v>380</v>
      </c>
      <c r="C29" s="5"/>
      <c r="D29" s="5"/>
      <c r="E29" s="5">
        <f t="shared" si="0"/>
        <v>0</v>
      </c>
      <c r="F29" s="5" t="s">
        <v>378</v>
      </c>
      <c r="G29" s="5"/>
      <c r="H29" s="5"/>
      <c r="I29" s="5">
        <f t="shared" si="1"/>
        <v>0</v>
      </c>
      <c r="J29" s="5"/>
      <c r="K29" s="5"/>
      <c r="L29" s="5">
        <f t="shared" si="2"/>
        <v>0</v>
      </c>
    </row>
    <row r="30" spans="2:12">
      <c r="B30" s="5" t="s">
        <v>381</v>
      </c>
      <c r="C30" s="5"/>
      <c r="D30" s="5"/>
      <c r="E30" s="5">
        <f t="shared" si="0"/>
        <v>0</v>
      </c>
      <c r="F30" s="5"/>
      <c r="G30" s="5"/>
      <c r="H30" s="5"/>
      <c r="I30" s="5">
        <f t="shared" si="1"/>
        <v>0</v>
      </c>
      <c r="J30" s="5"/>
      <c r="K30" s="5"/>
      <c r="L30" s="5">
        <f t="shared" si="2"/>
        <v>0</v>
      </c>
    </row>
    <row r="31" spans="2:12">
      <c r="B31" s="5"/>
      <c r="C31" s="5"/>
      <c r="D31" s="5"/>
      <c r="E31" s="5">
        <f t="shared" ref="E31:E32" si="6">C31*D31</f>
        <v>0</v>
      </c>
      <c r="F31" s="5"/>
      <c r="G31" s="5"/>
      <c r="H31" s="5"/>
      <c r="I31" s="5">
        <f t="shared" ref="I31:I32" si="7">G31*H31</f>
        <v>0</v>
      </c>
      <c r="J31" s="5"/>
      <c r="K31" s="5"/>
      <c r="L31" s="5">
        <f t="shared" ref="L31:L32" si="8">J31*K31</f>
        <v>0</v>
      </c>
    </row>
    <row r="32" spans="2:12">
      <c r="B32" s="5"/>
      <c r="C32" s="5"/>
      <c r="D32" s="5"/>
      <c r="E32" s="5">
        <f t="shared" si="6"/>
        <v>0</v>
      </c>
      <c r="F32" s="5"/>
      <c r="G32" s="5"/>
      <c r="H32" s="5"/>
      <c r="I32" s="5">
        <f t="shared" si="7"/>
        <v>0</v>
      </c>
      <c r="J32" s="5"/>
      <c r="K32" s="5"/>
      <c r="L32" s="5">
        <f t="shared" si="8"/>
        <v>0</v>
      </c>
    </row>
    <row r="33" spans="2:12">
      <c r="B33" s="5" t="s">
        <v>382</v>
      </c>
      <c r="C33" s="5"/>
      <c r="D33" s="5"/>
      <c r="E33" s="5">
        <f t="shared" si="0"/>
        <v>0</v>
      </c>
      <c r="F33" s="5"/>
      <c r="G33" s="5"/>
      <c r="H33" s="5"/>
      <c r="I33" s="5">
        <f t="shared" si="1"/>
        <v>0</v>
      </c>
      <c r="J33" s="5"/>
      <c r="K33" s="5"/>
      <c r="L33" s="5">
        <f t="shared" si="2"/>
        <v>0</v>
      </c>
    </row>
    <row r="34" spans="2:12">
      <c r="B34" s="5" t="s">
        <v>383</v>
      </c>
      <c r="C34" s="5"/>
      <c r="D34" s="5"/>
      <c r="E34" s="5">
        <f t="shared" si="0"/>
        <v>0</v>
      </c>
      <c r="F34" s="5"/>
      <c r="G34" s="5"/>
      <c r="H34" s="5"/>
      <c r="I34" s="5">
        <f t="shared" si="1"/>
        <v>0</v>
      </c>
      <c r="J34" s="5"/>
      <c r="K34" s="5"/>
      <c r="L34" s="5">
        <f t="shared" si="2"/>
        <v>0</v>
      </c>
    </row>
    <row r="35" spans="2:12">
      <c r="B35" s="5" t="s">
        <v>384</v>
      </c>
      <c r="C35" s="5"/>
      <c r="D35" s="5"/>
      <c r="E35" s="5">
        <f t="shared" si="0"/>
        <v>0</v>
      </c>
      <c r="F35" s="5"/>
      <c r="G35" s="5"/>
      <c r="H35" s="5"/>
      <c r="I35" s="5">
        <f t="shared" si="1"/>
        <v>0</v>
      </c>
      <c r="J35" s="5"/>
      <c r="K35" s="5"/>
      <c r="L35" s="5">
        <f t="shared" si="2"/>
        <v>0</v>
      </c>
    </row>
    <row r="36" spans="2:12">
      <c r="B36" s="5" t="s">
        <v>385</v>
      </c>
      <c r="C36" s="5"/>
      <c r="D36" s="5"/>
      <c r="E36" s="5">
        <f t="shared" si="0"/>
        <v>0</v>
      </c>
      <c r="F36" s="5"/>
      <c r="G36" s="5"/>
      <c r="H36" s="5"/>
      <c r="I36" s="5">
        <f t="shared" si="1"/>
        <v>0</v>
      </c>
      <c r="J36" s="5"/>
      <c r="K36" s="5"/>
      <c r="L36" s="5">
        <f t="shared" si="2"/>
        <v>0</v>
      </c>
    </row>
    <row r="37" spans="2:12">
      <c r="B37" s="5"/>
      <c r="C37" s="5"/>
      <c r="D37" s="5"/>
      <c r="E37" s="5">
        <f t="shared" ref="E37:E38" si="9">C37*D37</f>
        <v>0</v>
      </c>
      <c r="F37" s="5"/>
      <c r="G37" s="5"/>
      <c r="H37" s="5"/>
      <c r="I37" s="5">
        <f t="shared" ref="I37:I41" si="10">G37*H37</f>
        <v>0</v>
      </c>
      <c r="J37" s="5"/>
      <c r="K37" s="5"/>
      <c r="L37" s="5">
        <f t="shared" ref="L37:L41" si="11">J37*K37</f>
        <v>0</v>
      </c>
    </row>
    <row r="38" spans="2:12">
      <c r="B38" s="5" t="s">
        <v>386</v>
      </c>
      <c r="C38" s="5"/>
      <c r="D38" s="5"/>
      <c r="E38" s="5">
        <f t="shared" si="9"/>
        <v>0</v>
      </c>
      <c r="F38" s="5"/>
      <c r="G38" s="5"/>
      <c r="H38" s="5"/>
      <c r="I38" s="5">
        <f t="shared" si="10"/>
        <v>0</v>
      </c>
      <c r="J38" s="5"/>
      <c r="K38" s="5"/>
      <c r="L38" s="5">
        <f t="shared" si="11"/>
        <v>0</v>
      </c>
    </row>
    <row r="39" spans="2:12">
      <c r="B39" s="5"/>
      <c r="C39" s="5"/>
      <c r="D39" s="5"/>
      <c r="E39" s="5">
        <f t="shared" si="0"/>
        <v>0</v>
      </c>
      <c r="F39" s="5"/>
      <c r="G39" s="5"/>
      <c r="H39" s="5"/>
      <c r="I39" s="5">
        <f t="shared" si="10"/>
        <v>0</v>
      </c>
      <c r="J39" s="5"/>
      <c r="K39" s="5"/>
      <c r="L39" s="5">
        <f t="shared" si="11"/>
        <v>0</v>
      </c>
    </row>
    <row r="40" spans="2:12">
      <c r="B40" s="5"/>
      <c r="C40" s="5"/>
      <c r="D40" s="5"/>
      <c r="E40" s="5">
        <f t="shared" si="0"/>
        <v>0</v>
      </c>
      <c r="F40" s="5"/>
      <c r="G40" s="5"/>
      <c r="H40" s="5"/>
      <c r="I40" s="5">
        <f t="shared" si="10"/>
        <v>0</v>
      </c>
      <c r="J40" s="5"/>
      <c r="K40" s="5"/>
      <c r="L40" s="5">
        <f t="shared" si="11"/>
        <v>0</v>
      </c>
    </row>
    <row r="41" spans="2:12">
      <c r="B41" s="5"/>
      <c r="C41" s="5"/>
      <c r="D41" s="5"/>
      <c r="E41" s="5">
        <f t="shared" si="0"/>
        <v>0</v>
      </c>
      <c r="F41" s="5"/>
      <c r="G41" s="5"/>
      <c r="H41" s="5"/>
      <c r="I41" s="5">
        <f t="shared" si="10"/>
        <v>0</v>
      </c>
      <c r="J41" s="5"/>
      <c r="K41" s="5"/>
      <c r="L41" s="5">
        <f t="shared" si="11"/>
        <v>0</v>
      </c>
    </row>
    <row r="42" spans="2:12">
      <c r="B42" s="5" t="s">
        <v>256</v>
      </c>
      <c r="C42" s="5"/>
      <c r="D42" s="5">
        <f>E42*10.764</f>
        <v>0</v>
      </c>
      <c r="E42" s="6">
        <f>SUM(E6:E41)</f>
        <v>0</v>
      </c>
      <c r="F42" s="5"/>
      <c r="G42" s="5"/>
      <c r="H42" s="5">
        <f>I42*10.764</f>
        <v>0</v>
      </c>
      <c r="I42" s="7">
        <f>SUM(I6:I41)</f>
        <v>0</v>
      </c>
      <c r="J42" s="5"/>
      <c r="K42" s="5">
        <f>L42*10.764</f>
        <v>0</v>
      </c>
      <c r="L42" s="8">
        <f>SUM(L6:L41)</f>
        <v>0</v>
      </c>
    </row>
    <row r="44" spans="2:12">
      <c r="D44" s="1">
        <f>D42+H42</f>
        <v>0</v>
      </c>
      <c r="E44" s="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2024-10-25T12:55:57Z</cp:lastPrinted>
  <dcterms:created xsi:type="dcterms:W3CDTF">2019-07-16T09:29:00Z</dcterms:created>
  <dcterms:modified xsi:type="dcterms:W3CDTF">2025-07-04T04:16:21Z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DCA4CE24587E442E9A118AC7D84566EB_12</vt:lpwstr>
  </property>
  <property fmtid="{D5CDD505-2E9C-101B-9397-08002B2CF9AE}" pid="3" name="KSOProductBuildVer">
    <vt:lpwstr>1033-12.2.0.17562</vt:lpwstr>
  </property>
</Properties>
</file>