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03-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3" i="1" l="1"/>
  <c r="E340" i="1"/>
  <c r="E331" i="1"/>
  <c r="E328" i="1"/>
  <c r="E323" i="1"/>
  <c r="E321" i="1"/>
  <c r="E320" i="1"/>
  <c r="E313" i="1"/>
  <c r="E312" i="1"/>
  <c r="E311" i="1"/>
  <c r="E310" i="1"/>
  <c r="G306" i="1"/>
  <c r="G305" i="1"/>
  <c r="G304" i="1"/>
  <c r="G303" i="1"/>
  <c r="E302" i="1"/>
  <c r="E301" i="1"/>
  <c r="E293" i="1"/>
  <c r="E292" i="1"/>
  <c r="E278" i="1"/>
  <c r="E277" i="1"/>
  <c r="E276" i="1"/>
  <c r="E275" i="1"/>
  <c r="G267" i="1"/>
  <c r="G266" i="1"/>
  <c r="E269" i="1"/>
  <c r="E268" i="1"/>
  <c r="G256" i="1"/>
  <c r="G255" i="1"/>
  <c r="E260" i="1"/>
  <c r="E259" i="1"/>
  <c r="E249" i="1"/>
  <c r="E247" i="1"/>
  <c r="E246" i="1"/>
  <c r="G242" i="1"/>
  <c r="G241" i="1"/>
  <c r="G240" i="1"/>
  <c r="G239" i="1"/>
  <c r="J239" i="1"/>
  <c r="E238" i="1"/>
  <c r="E237" i="1"/>
  <c r="D186" i="1"/>
  <c r="D184" i="1"/>
  <c r="I247" i="1" l="1"/>
  <c r="C16" i="1"/>
  <c r="D192" i="1"/>
  <c r="F192" i="1" l="1"/>
  <c r="C118" i="1"/>
  <c r="C104" i="1"/>
  <c r="B133" i="1"/>
  <c r="H133" i="1"/>
  <c r="H192" i="1" l="1"/>
  <c r="J132" i="1"/>
  <c r="J134" i="1" s="1"/>
  <c r="J133" i="1"/>
  <c r="J135" i="1"/>
  <c r="D136" i="1"/>
  <c r="E136" i="1"/>
  <c r="G136" i="1"/>
  <c r="J136" i="1"/>
  <c r="D137" i="1"/>
  <c r="J137" i="1"/>
  <c r="D138" i="1"/>
  <c r="J138" i="1"/>
  <c r="J139" i="1" s="1"/>
  <c r="J144" i="1" s="1"/>
  <c r="J145" i="1" s="1"/>
  <c r="D139" i="1"/>
  <c r="D140" i="1"/>
  <c r="J140" i="1"/>
  <c r="D141" i="1"/>
  <c r="J141" i="1"/>
  <c r="D142" i="1"/>
  <c r="J142" i="1"/>
  <c r="D143" i="1"/>
  <c r="J143" i="1"/>
  <c r="D144" i="1"/>
  <c r="D145" i="1"/>
  <c r="C76" i="1"/>
  <c r="B119" i="1"/>
  <c r="H119" i="1"/>
  <c r="I133" i="1" l="1"/>
  <c r="I134" i="1" s="1"/>
  <c r="J123" i="1"/>
  <c r="D122" i="1" s="1"/>
  <c r="J121" i="1"/>
  <c r="J118" i="1"/>
  <c r="J120" i="1" s="1"/>
  <c r="D131" i="1"/>
  <c r="D130" i="1"/>
  <c r="D129" i="1"/>
  <c r="D128" i="1"/>
  <c r="D127" i="1"/>
  <c r="D126" i="1"/>
  <c r="D125" i="1"/>
  <c r="D124" i="1"/>
  <c r="J122" i="1"/>
  <c r="J124" i="1"/>
  <c r="J125" i="1" s="1"/>
  <c r="J130" i="1" s="1"/>
  <c r="J131" i="1" s="1"/>
  <c r="J126" i="1"/>
  <c r="J127" i="1"/>
  <c r="J128" i="1"/>
  <c r="J129" i="1"/>
  <c r="D345" i="1"/>
  <c r="F345" i="1" s="1"/>
  <c r="H345" i="1" s="1"/>
  <c r="D344" i="1"/>
  <c r="F344" i="1" s="1"/>
  <c r="H344" i="1" s="1"/>
  <c r="D343" i="1"/>
  <c r="F343" i="1" s="1"/>
  <c r="H343" i="1" s="1"/>
  <c r="D342" i="1"/>
  <c r="F342" i="1" s="1"/>
  <c r="H342" i="1" s="1"/>
  <c r="D341" i="1"/>
  <c r="D340" i="1"/>
  <c r="D339" i="1"/>
  <c r="D338" i="1"/>
  <c r="D328" i="1"/>
  <c r="D334" i="1"/>
  <c r="F334" i="1" s="1"/>
  <c r="H334" i="1" s="1"/>
  <c r="D333" i="1"/>
  <c r="D332" i="1"/>
  <c r="D331" i="1"/>
  <c r="D330" i="1"/>
  <c r="D326" i="1"/>
  <c r="D325" i="1"/>
  <c r="D324" i="1"/>
  <c r="D323" i="1"/>
  <c r="D322" i="1"/>
  <c r="D321" i="1"/>
  <c r="D320" i="1"/>
  <c r="I326" i="1"/>
  <c r="F338" i="1" l="1"/>
  <c r="H338" i="1" s="1"/>
  <c r="F339" i="1"/>
  <c r="H339" i="1" s="1"/>
  <c r="F333" i="1"/>
  <c r="H333" i="1" s="1"/>
  <c r="F340" i="1"/>
  <c r="H340" i="1" s="1"/>
  <c r="F341" i="1"/>
  <c r="H341" i="1" s="1"/>
  <c r="C170" i="1"/>
  <c r="C171" i="1"/>
  <c r="I132" i="1"/>
  <c r="C134" i="1" s="1"/>
  <c r="E122" i="1"/>
  <c r="D123" i="1"/>
  <c r="I119" i="1" s="1"/>
  <c r="I120" i="1" s="1"/>
  <c r="G122" i="1"/>
  <c r="J119" i="1"/>
  <c r="I320" i="1"/>
  <c r="F326" i="1"/>
  <c r="H326" i="1" s="1"/>
  <c r="F325" i="1"/>
  <c r="H325" i="1" s="1"/>
  <c r="D227" i="1"/>
  <c r="F227" i="1" s="1"/>
  <c r="H227" i="1" s="1"/>
  <c r="D226" i="1"/>
  <c r="F226" i="1" s="1"/>
  <c r="H226" i="1" s="1"/>
  <c r="D225" i="1"/>
  <c r="F225" i="1" s="1"/>
  <c r="H225" i="1" s="1"/>
  <c r="D224" i="1"/>
  <c r="F224" i="1" s="1"/>
  <c r="H224" i="1" s="1"/>
  <c r="D223" i="1"/>
  <c r="F223" i="1" s="1"/>
  <c r="H223" i="1" s="1"/>
  <c r="D222" i="1"/>
  <c r="F222" i="1" s="1"/>
  <c r="H222" i="1" s="1"/>
  <c r="D221" i="1"/>
  <c r="F221" i="1" s="1"/>
  <c r="H221" i="1" s="1"/>
  <c r="D220" i="1"/>
  <c r="F220" i="1" s="1"/>
  <c r="H220" i="1" s="1"/>
  <c r="D208" i="1"/>
  <c r="F208" i="1" s="1"/>
  <c r="H208" i="1" s="1"/>
  <c r="D207" i="1"/>
  <c r="F207" i="1" s="1"/>
  <c r="H207" i="1" s="1"/>
  <c r="D206" i="1"/>
  <c r="F206" i="1" s="1"/>
  <c r="H206" i="1" s="1"/>
  <c r="D205" i="1"/>
  <c r="D204" i="1"/>
  <c r="F204" i="1" s="1"/>
  <c r="H204" i="1" s="1"/>
  <c r="D203" i="1"/>
  <c r="F203" i="1" s="1"/>
  <c r="H203" i="1" s="1"/>
  <c r="F205" i="1"/>
  <c r="H205" i="1" s="1"/>
  <c r="A204" i="1"/>
  <c r="A205" i="1" s="1"/>
  <c r="A206" i="1" s="1"/>
  <c r="A207" i="1" s="1"/>
  <c r="A208" i="1" s="1"/>
  <c r="A220" i="1" s="1"/>
  <c r="A221" i="1" s="1"/>
  <c r="A222" i="1" s="1"/>
  <c r="A223" i="1" s="1"/>
  <c r="A224" i="1" s="1"/>
  <c r="A225" i="1" s="1"/>
  <c r="A226" i="1" s="1"/>
  <c r="A227" i="1" s="1"/>
  <c r="G171" i="1" l="1"/>
  <c r="E171" i="1"/>
  <c r="I118" i="1"/>
  <c r="C120" i="1" s="1"/>
  <c r="E304" i="1"/>
  <c r="E303" i="1"/>
  <c r="D315" i="1"/>
  <c r="D314" i="1"/>
  <c r="D313" i="1"/>
  <c r="D312" i="1"/>
  <c r="D311" i="1"/>
  <c r="D310" i="1"/>
  <c r="D309" i="1"/>
  <c r="D308" i="1"/>
  <c r="D306" i="1"/>
  <c r="F306" i="1" s="1"/>
  <c r="H306" i="1" s="1"/>
  <c r="D305" i="1"/>
  <c r="D304" i="1"/>
  <c r="D303" i="1"/>
  <c r="D302" i="1"/>
  <c r="F302" i="1" s="1"/>
  <c r="H302" i="1" s="1"/>
  <c r="D301" i="1"/>
  <c r="D300" i="1"/>
  <c r="D299" i="1"/>
  <c r="F324" i="1"/>
  <c r="H324" i="1" s="1"/>
  <c r="F323" i="1"/>
  <c r="H323" i="1" s="1"/>
  <c r="F322" i="1"/>
  <c r="H322" i="1" s="1"/>
  <c r="F321" i="1"/>
  <c r="H321" i="1" s="1"/>
  <c r="F320" i="1"/>
  <c r="D293" i="1"/>
  <c r="F293" i="1" s="1"/>
  <c r="H293" i="1" s="1"/>
  <c r="D292" i="1"/>
  <c r="D291" i="1"/>
  <c r="F291" i="1" s="1"/>
  <c r="H291" i="1" s="1"/>
  <c r="D290" i="1"/>
  <c r="F290" i="1" s="1"/>
  <c r="I291" i="1"/>
  <c r="D218" i="1"/>
  <c r="F218" i="1" s="1"/>
  <c r="H218" i="1" s="1"/>
  <c r="D217" i="1"/>
  <c r="F217" i="1" s="1"/>
  <c r="H217" i="1" s="1"/>
  <c r="D216" i="1"/>
  <c r="F216" i="1" s="1"/>
  <c r="H216" i="1" s="1"/>
  <c r="D215" i="1"/>
  <c r="F215" i="1" s="1"/>
  <c r="H215" i="1" s="1"/>
  <c r="D214" i="1"/>
  <c r="F214" i="1" s="1"/>
  <c r="H214" i="1" s="1"/>
  <c r="D213" i="1"/>
  <c r="F213" i="1" s="1"/>
  <c r="H213" i="1" s="1"/>
  <c r="D212" i="1"/>
  <c r="F212" i="1" s="1"/>
  <c r="H212" i="1" s="1"/>
  <c r="D211" i="1"/>
  <c r="D201" i="1"/>
  <c r="F201" i="1" s="1"/>
  <c r="H201" i="1" s="1"/>
  <c r="D200" i="1"/>
  <c r="F200" i="1" s="1"/>
  <c r="H200" i="1" s="1"/>
  <c r="D199" i="1"/>
  <c r="F199" i="1" s="1"/>
  <c r="H199" i="1" s="1"/>
  <c r="D198" i="1"/>
  <c r="F198" i="1" s="1"/>
  <c r="H198" i="1" s="1"/>
  <c r="D197" i="1"/>
  <c r="F197" i="1" s="1"/>
  <c r="H197" i="1" s="1"/>
  <c r="D196" i="1"/>
  <c r="F196" i="1" s="1"/>
  <c r="H196" i="1" s="1"/>
  <c r="D195" i="1"/>
  <c r="F195" i="1" s="1"/>
  <c r="H195" i="1" s="1"/>
  <c r="D194" i="1"/>
  <c r="F194" i="1" s="1"/>
  <c r="H194" i="1" s="1"/>
  <c r="D193" i="1"/>
  <c r="D189" i="1"/>
  <c r="F189" i="1" s="1"/>
  <c r="H189" i="1" s="1"/>
  <c r="D188" i="1"/>
  <c r="F188" i="1" s="1"/>
  <c r="H188" i="1" s="1"/>
  <c r="D187" i="1"/>
  <c r="F187" i="1" s="1"/>
  <c r="H187" i="1" s="1"/>
  <c r="F186" i="1"/>
  <c r="H186" i="1" s="1"/>
  <c r="D185" i="1"/>
  <c r="F185" i="1" s="1"/>
  <c r="H185" i="1" s="1"/>
  <c r="D183" i="1"/>
  <c r="D182" i="1"/>
  <c r="D181" i="1"/>
  <c r="I277" i="1"/>
  <c r="D280" i="1"/>
  <c r="D279" i="1"/>
  <c r="D278" i="1"/>
  <c r="D277" i="1"/>
  <c r="D276" i="1"/>
  <c r="D275" i="1"/>
  <c r="D274" i="1"/>
  <c r="D273" i="1"/>
  <c r="E267" i="1"/>
  <c r="E266" i="1"/>
  <c r="D271" i="1"/>
  <c r="D270" i="1"/>
  <c r="D269" i="1"/>
  <c r="D268" i="1"/>
  <c r="F268" i="1" s="1"/>
  <c r="H268" i="1" s="1"/>
  <c r="D267" i="1"/>
  <c r="D266" i="1"/>
  <c r="D265" i="1"/>
  <c r="D264" i="1"/>
  <c r="D262" i="1"/>
  <c r="D261" i="1"/>
  <c r="D260" i="1"/>
  <c r="D259" i="1"/>
  <c r="D256" i="1"/>
  <c r="D255" i="1"/>
  <c r="I255" i="1"/>
  <c r="I261" i="1"/>
  <c r="J259" i="1"/>
  <c r="A256" i="1"/>
  <c r="A257" i="1" s="1"/>
  <c r="I241" i="1"/>
  <c r="D251" i="1"/>
  <c r="F251" i="1" s="1"/>
  <c r="H251" i="1" s="1"/>
  <c r="D250" i="1"/>
  <c r="F250" i="1" s="1"/>
  <c r="H250" i="1" s="1"/>
  <c r="D249" i="1"/>
  <c r="D248" i="1"/>
  <c r="D247" i="1"/>
  <c r="D246" i="1"/>
  <c r="D245" i="1"/>
  <c r="D244" i="1"/>
  <c r="E240" i="1"/>
  <c r="D242" i="1"/>
  <c r="D241" i="1"/>
  <c r="F241" i="1" s="1"/>
  <c r="D240" i="1"/>
  <c r="D239" i="1"/>
  <c r="D238" i="1"/>
  <c r="D237" i="1"/>
  <c r="D236" i="1"/>
  <c r="D235" i="1"/>
  <c r="I235" i="1"/>
  <c r="F304" i="1" l="1"/>
  <c r="H304" i="1" s="1"/>
  <c r="C162" i="1"/>
  <c r="C163" i="1"/>
  <c r="F292" i="1"/>
  <c r="H292" i="1" s="1"/>
  <c r="F299" i="1"/>
  <c r="H299" i="1" s="1"/>
  <c r="F266" i="1"/>
  <c r="H266" i="1" s="1"/>
  <c r="F267" i="1"/>
  <c r="H267" i="1" s="1"/>
  <c r="F269" i="1"/>
  <c r="H269" i="1" s="1"/>
  <c r="F265" i="1"/>
  <c r="H265" i="1" s="1"/>
  <c r="F239" i="1"/>
  <c r="H239" i="1" s="1"/>
  <c r="F280" i="1"/>
  <c r="H280" i="1" s="1"/>
  <c r="F256" i="1"/>
  <c r="H256" i="1" s="1"/>
  <c r="F240" i="1"/>
  <c r="H240" i="1" s="1"/>
  <c r="F249" i="1"/>
  <c r="H249" i="1" s="1"/>
  <c r="F300" i="1"/>
  <c r="H300" i="1" s="1"/>
  <c r="F270" i="1"/>
  <c r="H270" i="1" s="1"/>
  <c r="F271" i="1"/>
  <c r="H271" i="1" s="1"/>
  <c r="F301" i="1"/>
  <c r="H301" i="1" s="1"/>
  <c r="F260" i="1"/>
  <c r="H260" i="1" s="1"/>
  <c r="F242" i="1"/>
  <c r="H242" i="1" s="1"/>
  <c r="F262" i="1"/>
  <c r="H262" i="1" s="1"/>
  <c r="F264" i="1"/>
  <c r="H264" i="1" s="1"/>
  <c r="F261" i="1"/>
  <c r="H261" i="1" s="1"/>
  <c r="A258" i="1"/>
  <c r="A259" i="1" s="1"/>
  <c r="A260" i="1" s="1"/>
  <c r="A261" i="1" s="1"/>
  <c r="A262" i="1" s="1"/>
  <c r="F193" i="1"/>
  <c r="F278" i="1"/>
  <c r="H278" i="1" s="1"/>
  <c r="F308" i="1"/>
  <c r="H308" i="1" s="1"/>
  <c r="F309" i="1"/>
  <c r="H309" i="1" s="1"/>
  <c r="F310" i="1"/>
  <c r="H310" i="1" s="1"/>
  <c r="F311" i="1"/>
  <c r="H311" i="1" s="1"/>
  <c r="F312" i="1"/>
  <c r="H312" i="1" s="1"/>
  <c r="F313" i="1"/>
  <c r="H313" i="1" s="1"/>
  <c r="F314" i="1"/>
  <c r="H314" i="1" s="1"/>
  <c r="F315" i="1"/>
  <c r="H315" i="1" s="1"/>
  <c r="F211" i="1"/>
  <c r="E163" i="1" s="1"/>
  <c r="F305" i="1"/>
  <c r="H305" i="1" s="1"/>
  <c r="C167" i="1"/>
  <c r="C168" i="1"/>
  <c r="H290" i="1"/>
  <c r="C161" i="1"/>
  <c r="C169" i="1"/>
  <c r="H320" i="1"/>
  <c r="F303" i="1"/>
  <c r="H303" i="1" s="1"/>
  <c r="F279" i="1"/>
  <c r="H279" i="1" s="1"/>
  <c r="F259" i="1"/>
  <c r="H259" i="1" s="1"/>
  <c r="F255" i="1"/>
  <c r="H241" i="1"/>
  <c r="H255" i="1" l="1"/>
  <c r="H193" i="1"/>
  <c r="G162" i="1" s="1"/>
  <c r="E162" i="1"/>
  <c r="E169" i="1"/>
  <c r="G169" i="1"/>
  <c r="C164" i="1"/>
  <c r="C172" i="1"/>
  <c r="H211" i="1"/>
  <c r="G163" i="1" s="1"/>
  <c r="E43" i="1"/>
  <c r="D70" i="1" l="1"/>
  <c r="I45" i="1" l="1"/>
  <c r="B349" i="1" l="1"/>
  <c r="F182" i="1" l="1"/>
  <c r="F183" i="1"/>
  <c r="H183" i="1" s="1"/>
  <c r="F184" i="1"/>
  <c r="H184" i="1" s="1"/>
  <c r="F181" i="1"/>
  <c r="E161" i="1" s="1"/>
  <c r="H182" i="1" l="1"/>
  <c r="H181" i="1"/>
  <c r="E164" i="1"/>
  <c r="G58" i="1"/>
  <c r="C58" i="1"/>
  <c r="G56" i="1"/>
  <c r="C56" i="1"/>
  <c r="C54" i="1"/>
  <c r="G161" i="1" l="1"/>
  <c r="G164" i="1"/>
  <c r="S33" i="1"/>
  <c r="F11" i="5" l="1"/>
  <c r="G11" i="5" s="1"/>
  <c r="G10" i="5"/>
  <c r="F10" i="5"/>
  <c r="F9" i="5"/>
  <c r="G9" i="5" s="1"/>
  <c r="F8" i="5"/>
  <c r="G8" i="5" s="1"/>
  <c r="F7" i="5"/>
  <c r="G7" i="5" s="1"/>
  <c r="F6" i="5"/>
  <c r="G6" i="5" s="1"/>
  <c r="F5" i="5"/>
  <c r="G5" i="5" s="1"/>
  <c r="G12" i="5" s="1"/>
  <c r="D372" i="1"/>
  <c r="B350" i="1"/>
  <c r="F332" i="1"/>
  <c r="H332" i="1" s="1"/>
  <c r="F331" i="1"/>
  <c r="H331" i="1" s="1"/>
  <c r="F330" i="1"/>
  <c r="H330" i="1" s="1"/>
  <c r="F328" i="1"/>
  <c r="F286" i="1"/>
  <c r="H286" i="1" s="1"/>
  <c r="F285" i="1"/>
  <c r="H285" i="1" s="1"/>
  <c r="F284" i="1"/>
  <c r="H284" i="1" s="1"/>
  <c r="F283" i="1"/>
  <c r="H283" i="1" s="1"/>
  <c r="F282" i="1"/>
  <c r="H282" i="1" s="1"/>
  <c r="F277" i="1"/>
  <c r="H277" i="1" s="1"/>
  <c r="F276" i="1"/>
  <c r="H276" i="1" s="1"/>
  <c r="F275" i="1"/>
  <c r="H275" i="1" s="1"/>
  <c r="F274" i="1"/>
  <c r="H274" i="1" s="1"/>
  <c r="F273" i="1"/>
  <c r="F248" i="1"/>
  <c r="H248" i="1" s="1"/>
  <c r="F247" i="1"/>
  <c r="H247" i="1" s="1"/>
  <c r="F246" i="1"/>
  <c r="H246" i="1" s="1"/>
  <c r="F245" i="1"/>
  <c r="H245" i="1" s="1"/>
  <c r="F244" i="1"/>
  <c r="H244" i="1" s="1"/>
  <c r="F238" i="1"/>
  <c r="H238" i="1" s="1"/>
  <c r="F237" i="1"/>
  <c r="H237" i="1" s="1"/>
  <c r="F236" i="1"/>
  <c r="H236" i="1" s="1"/>
  <c r="A236" i="1"/>
  <c r="A237" i="1" s="1"/>
  <c r="A238" i="1" s="1"/>
  <c r="A239" i="1" s="1"/>
  <c r="A240" i="1" s="1"/>
  <c r="A241" i="1" s="1"/>
  <c r="A242" i="1" s="1"/>
  <c r="F235" i="1"/>
  <c r="A182" i="1"/>
  <c r="A183" i="1" s="1"/>
  <c r="A184" i="1" s="1"/>
  <c r="A185" i="1" s="1"/>
  <c r="A186" i="1" s="1"/>
  <c r="A187" i="1" s="1"/>
  <c r="A188" i="1" s="1"/>
  <c r="A189" i="1" s="1"/>
  <c r="C173" i="1"/>
  <c r="F158" i="1"/>
  <c r="C90" i="1"/>
  <c r="D62" i="1"/>
  <c r="C51" i="1"/>
  <c r="C52" i="1" s="1"/>
  <c r="E44" i="1"/>
  <c r="E45" i="1" s="1"/>
  <c r="E31" i="1"/>
  <c r="E28" i="1"/>
  <c r="E26" i="1"/>
  <c r="I15" i="1"/>
  <c r="Z13" i="1"/>
  <c r="E8" i="1"/>
  <c r="E3" i="1"/>
  <c r="H105" i="1"/>
  <c r="A282" i="1"/>
  <c r="H77" i="1"/>
  <c r="H91" i="1"/>
  <c r="E167" i="1" l="1"/>
  <c r="E168" i="1"/>
  <c r="E170" i="1"/>
  <c r="A192" i="1"/>
  <c r="A193" i="1" s="1"/>
  <c r="A194" i="1" s="1"/>
  <c r="A195" i="1" s="1"/>
  <c r="A196" i="1" s="1"/>
  <c r="A197" i="1" s="1"/>
  <c r="A198" i="1" s="1"/>
  <c r="A199" i="1" s="1"/>
  <c r="A200" i="1" s="1"/>
  <c r="A201" i="1" s="1"/>
  <c r="A211" i="1" s="1"/>
  <c r="A212" i="1" s="1"/>
  <c r="A213" i="1" s="1"/>
  <c r="A214" i="1" s="1"/>
  <c r="A215" i="1" s="1"/>
  <c r="A216" i="1" s="1"/>
  <c r="A217" i="1" s="1"/>
  <c r="A218" i="1" s="1"/>
  <c r="H235" i="1"/>
  <c r="G167" i="1" s="1"/>
  <c r="H273" i="1"/>
  <c r="G168" i="1" s="1"/>
  <c r="H328" i="1"/>
  <c r="G170" i="1" s="1"/>
  <c r="J76" i="1"/>
  <c r="J78" i="1" s="1"/>
  <c r="J79" i="1"/>
  <c r="J80" i="1"/>
  <c r="J81" i="1"/>
  <c r="C80" i="1" s="1"/>
  <c r="J95" i="1"/>
  <c r="C94" i="1" s="1"/>
  <c r="D99" i="1"/>
  <c r="D101" i="1"/>
  <c r="J94" i="1"/>
  <c r="D100" i="1"/>
  <c r="J90" i="1"/>
  <c r="J92" i="1" s="1"/>
  <c r="D98" i="1"/>
  <c r="J93" i="1"/>
  <c r="D97" i="1"/>
  <c r="D103" i="1"/>
  <c r="D102" i="1"/>
  <c r="D96" i="1"/>
  <c r="D84" i="1"/>
  <c r="D86" i="1"/>
  <c r="D85" i="1"/>
  <c r="D89" i="1"/>
  <c r="D83" i="1"/>
  <c r="D88" i="1"/>
  <c r="D82" i="1"/>
  <c r="D87" i="1"/>
  <c r="J104" i="1"/>
  <c r="J106" i="1" s="1"/>
  <c r="D113" i="1"/>
  <c r="D115" i="1"/>
  <c r="J109" i="1"/>
  <c r="C108" i="1" s="1"/>
  <c r="D114" i="1"/>
  <c r="J108" i="1"/>
  <c r="D112" i="1"/>
  <c r="J107" i="1"/>
  <c r="D111" i="1"/>
  <c r="D117" i="1"/>
  <c r="D116" i="1"/>
  <c r="B105" i="1"/>
  <c r="B91" i="1"/>
  <c r="B77" i="1"/>
  <c r="J82" i="1" s="1"/>
  <c r="A283" i="1"/>
  <c r="E172" i="1" l="1"/>
  <c r="E173" i="1" s="1"/>
  <c r="G172" i="1"/>
  <c r="G173" i="1" s="1"/>
  <c r="D108" i="1"/>
  <c r="D94" i="1"/>
  <c r="D80" i="1"/>
  <c r="D110" i="1"/>
  <c r="J115" i="1"/>
  <c r="J112" i="1"/>
  <c r="J114" i="1"/>
  <c r="J113" i="1"/>
  <c r="J110" i="1"/>
  <c r="J111" i="1" s="1"/>
  <c r="J116" i="1" s="1"/>
  <c r="J117" i="1" s="1"/>
  <c r="J101" i="1"/>
  <c r="J98" i="1"/>
  <c r="J100" i="1"/>
  <c r="J99" i="1"/>
  <c r="J96" i="1"/>
  <c r="J97" i="1" s="1"/>
  <c r="J86" i="1"/>
  <c r="J84" i="1"/>
  <c r="J85" i="1"/>
  <c r="J83" i="1"/>
  <c r="J88" i="1" s="1"/>
  <c r="J89" i="1" s="1"/>
  <c r="C81" i="1" s="1"/>
  <c r="J87" i="1"/>
  <c r="A284" i="1"/>
  <c r="C109" i="1" l="1"/>
  <c r="J105" i="1" s="1"/>
  <c r="J77" i="1"/>
  <c r="J102" i="1"/>
  <c r="J103" i="1" s="1"/>
  <c r="E80" i="1"/>
  <c r="D81" i="1"/>
  <c r="I77" i="1" s="1"/>
  <c r="G80" i="1"/>
  <c r="D74" i="1" s="1"/>
  <c r="A285" i="1"/>
  <c r="E108" i="1" l="1"/>
  <c r="G108" i="1"/>
  <c r="D109" i="1"/>
  <c r="I105" i="1" s="1"/>
  <c r="I106" i="1" s="1"/>
  <c r="I104" i="1" s="1"/>
  <c r="C106" i="1" s="1"/>
  <c r="C95" i="1"/>
  <c r="J91" i="1" s="1"/>
  <c r="F75" i="1"/>
  <c r="D75" i="1"/>
  <c r="I78" i="1"/>
  <c r="I76" i="1" s="1"/>
  <c r="C78" i="1" s="1"/>
  <c r="A286" i="1"/>
  <c r="E94" i="1" l="1"/>
  <c r="D95" i="1"/>
  <c r="I91" i="1" s="1"/>
  <c r="I92" i="1" s="1"/>
  <c r="G94" i="1"/>
  <c r="I90" i="1" l="1"/>
  <c r="C92"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5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3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<sst xmlns="http://schemas.openxmlformats.org/spreadsheetml/2006/main" count="856" uniqueCount="385">
  <si>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</si>
  <si>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</si>
  <si>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</si>
  <si>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</si>
  <si>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</si>
  <si>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</si>
  <si>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</si>
  <si>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</si>
  <si>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</si>
  <si>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</si>
  <si>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</si>
  <si>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</si>
  <si>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</si>
  <si>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</si>
  <si>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</si>
  <si>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</si>
  <si>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</si>
  <si>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</si>
  <si>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</si>
  <si>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</si>
  <si>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</si>
  <si>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</si>
  <si>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</si>
  <si>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</si>
  <si>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</si>
  <si>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</si>
  <si>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</si>
  <si>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</si>
  <si>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</si>
  <si>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</si>
  <si>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</si>
  <si>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</si>
  <si>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</si>
  <si>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</si>
  <si>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</si>
  <si>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</si>
  <si>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</si>
  <si>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</si>
  <si>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</si>
  <si>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</si>
  <si>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</si>
  <si>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</si>
  <si>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</si>
  <si>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</si>
  <si>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</si>
  <si>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</si>
  <si>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</si>
  <si>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</si>
  <si>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</si>
  <si>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</si>
  <si>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</si>
  <si>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</si>
  <si>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</si>
  <si>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</si>
  <si>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</si>
  <si>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</si>
  <si>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</si>
  <si>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</si>
  <si>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</si>
  <si>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</si>
  <si>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</si>
  <si>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</si>
  <si>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</si>
  <si>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</si>
  <si>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</si>
  <si>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</si>
  <si>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</si>
  <si>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</si>
  <si>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</si>
  <si>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</si>
  <si>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</si>
  <si>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</si>
  <si>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</si>
  <si>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</si>
  <si>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</si>
  <si>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</si>
  <si>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</si>
  <si>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</si>
  <si>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</si>
  <si>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</si>
  <si>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</si>
  <si>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</si>
  <si>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</si>
  <si>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</si>
  <si>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</si>
  <si>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</si>
  <si>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</si>
  <si>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</si>
  <si>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</si>
  <si>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</si>
  <si>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</si>
  <si>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</si>
  <si>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</si>
  <si>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</si>
  <si>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</si>
  <si>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</si>
  <si>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</si>
  <si>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</si>
  <si>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</si>
  <si>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</si>
  <si>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</si>
  <si>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</si>
  <si>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</si>
  <si>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</si>
  <si>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</si>
  <si>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</si>
  <si>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</si>
  <si>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</si>
  <si>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</si>
  <si>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</si>
  <si>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</si>
  <si>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</si>
  <si>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</si>
  <si>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</si>
  <si>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</si>
  <si>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</si>
  <si>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</si>
  <si>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</si>
  <si>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</si>
  <si>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</si>
  <si>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</si>
  <si>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</si>
  <si>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</si>
  <si>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</si>
  <si>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</si>
  <si>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</si>
  <si>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</si>
  <si>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</si>
  <si>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</si>
  <si>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</si>
  <si>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</si>
  <si>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</si>
  <si>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</si>
  <si>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</si>
  <si>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</si>
  <si>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</si>
  <si>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</si>
  <si>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</si>
  <si>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</si>
  <si>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</si>
  <si>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</si>
  <si>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</si>
  <si>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</si>
  <si>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</si>
  <si>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</si>
  <si>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</si>
  <si>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</si>
  <si>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</si>
  <si>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</si>
  <si>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</si>
  <si>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</si>
  <si>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</si>
  <si>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</si>
  <si>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</si>
  <si>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</si>
  <si>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</si>
  <si>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</si>
  <si>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</si>
  <si>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</si>
  <si>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</si>
  <si>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</si>
  <si>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</si>
  <si>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</si>
  <si>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</si>
  <si>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</si>
  <si>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</si>
  <si>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</si>
  <si>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</si>
  <si>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</si>
  <si>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</si>
  <si>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</si>
  <si>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</si>
  <si>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</si>
  <si>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</si>
  <si>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</si>
  <si>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</si>
  <si>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</si>
  <si>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</si>
  <si>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</si>
  <si>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</si>
  <si>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</si>
  <si>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</si>
  <si>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</si>
  <si>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</si>
  <si>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</si>
  <si>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</si>
  <si>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</si>
  <si>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</si>
  <si>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</si>
  <si>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</si>
  <si>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</si>
  <si>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</si>
  <si>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</si>
  <si>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</si>
  <si>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</si>
  <si>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</si>
  <si>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</si>
  <si>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</si>
  <si>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</si>
  <si>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</si>
  <si>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</si>
  <si>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</si>
  <si>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</si>
  <si>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</si>
  <si>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</si>
  <si>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</si>
  <si>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</si>
  <si>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</si>
  <si>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</si>
  <si>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</si>
  <si>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</si>
  <si>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</si>
  <si>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</si>
  <si>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</si>
  <si>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</si>
  <si>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</si>
  <si>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</si>
  <si>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</si>
  <si>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</si>
  <si>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</si>
  <si>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</si>
  <si>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</si>
  <si>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</si>
  <si>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</si>
  <si>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</si>
  <si>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</si>
  <si>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</si>
  <si>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</si>
  <si>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</si>
  <si>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</si>
  <si>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</si>
  <si>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</si>
  <si>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</si>
  <si>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</si>
  <si>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</si>
  <si>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</si>
  <si>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</si>
  <si>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</si>
  <si>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</si>
  <si>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</si>
  <si>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</si>
  <si>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</si>
  <si>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</si>
  <si>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</si>
  <si>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</si>
  <si>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</si>
  <si>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</si>
  <si>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</si>
  <si>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</si>
  <si>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</si>
  <si>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</si>
  <si>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</si>
  <si>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</si>
  <si>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</si>
  <si>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</si>
  <si>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</si>
  <si>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</si>
  <si>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</si>
  <si>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</si>
  <si>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</si>
  <si>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</si>
  <si>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</si>
  <si>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</si>
  <si>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</si>
  <si>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</si>
  <si>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</si>
  <si>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</si>
  <si>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</si>
  <si>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</si>
  <si>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</si>
  <si>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</si>
  <si>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</si>
  <si>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</si>
  <si>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</si>
  <si>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</si>
  <si>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</si>
  <si>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</si>
  <si>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</si>
  <si>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</si>
  <si>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</si>
  <si>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</si>
  <si>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</si>
  <si>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</si>
  <si>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</si>
  <si>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</si>
  <si>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</si>
  <si>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</si>
  <si>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</si>
  <si>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</si>
  <si>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</si>
  <si>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</si>
  <si>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</si>
  <si>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</si>
  <si>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</si>
  <si>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</si>
  <si>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</si>
  <si>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</si>
  <si>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</si>
  <si>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</si>
  <si>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Tirumala Developers</t>
  </si>
  <si>
    <t>Tirumala Heights</t>
  </si>
  <si>
    <t>Mr Vitthal Borkar 7972965767</t>
  </si>
  <si>
    <t>P99000053922</t>
  </si>
  <si>
    <t>Survey No</t>
  </si>
  <si>
    <t>Virar East</t>
  </si>
  <si>
    <t>Virar</t>
  </si>
  <si>
    <t>https://maps.app.goo.gl/F3vxoKSGgQknoxCaA</t>
  </si>
  <si>
    <t>9.00 M W DP Road</t>
  </si>
  <si>
    <t>Phoolpada Road</t>
  </si>
  <si>
    <t>Other Plot</t>
  </si>
  <si>
    <t>Jha Niwas</t>
  </si>
  <si>
    <t>Govind Residency</t>
  </si>
  <si>
    <t>Ishika Apartment</t>
  </si>
  <si>
    <t>As per RERA - 31/12/2028</t>
  </si>
  <si>
    <t>Shop</t>
  </si>
  <si>
    <t>Ground Floor For Commercial, Enterance Lobby &amp; Parking</t>
  </si>
  <si>
    <t>1BHK</t>
  </si>
  <si>
    <t>2nd to 7th Floor</t>
  </si>
  <si>
    <t>201 to 701</t>
  </si>
  <si>
    <t>202 to 702</t>
  </si>
  <si>
    <t>203 to 703</t>
  </si>
  <si>
    <t>204 to 704</t>
  </si>
  <si>
    <t>205 to 705</t>
  </si>
  <si>
    <t>206 to 706</t>
  </si>
  <si>
    <t>207 to 707</t>
  </si>
  <si>
    <t>208 to 708</t>
  </si>
  <si>
    <t>3rd to 7th Floor</t>
  </si>
  <si>
    <t>301 to 701</t>
  </si>
  <si>
    <t>302 to 702</t>
  </si>
  <si>
    <t>303 to 703</t>
  </si>
  <si>
    <t>304 to 704</t>
  </si>
  <si>
    <t>305 to 705</t>
  </si>
  <si>
    <t>306 to 706</t>
  </si>
  <si>
    <t>307 to 707</t>
  </si>
  <si>
    <t>308 to 708</t>
  </si>
  <si>
    <t>Building No 01</t>
  </si>
  <si>
    <t>2BHK</t>
  </si>
  <si>
    <t>Ground Floor for Residential, Enterance Lobby &amp; Parking</t>
  </si>
  <si>
    <t>Commercial</t>
  </si>
  <si>
    <t>Terrace</t>
  </si>
  <si>
    <t>Vitrified tiles flooring, Granite Kitchen Platform, Decorative Entrance.</t>
  </si>
  <si>
    <t xml:space="preserve">Building No 1 = Construction work is in process at the time of Visit (labour found).
Building No 2 = Work not yet Started. </t>
  </si>
  <si>
    <t>B Wing = G/Stilt + 1st  Floor</t>
  </si>
  <si>
    <t>Building No 1 Wing B</t>
  </si>
  <si>
    <t>Building No 1 Wing C</t>
  </si>
  <si>
    <t>VVCMC/TP/AMEND/VP/6748/219/2023-24</t>
  </si>
  <si>
    <t>1st Floor For Residential</t>
  </si>
  <si>
    <t>1st Floor For Residential &amp; Commercial</t>
  </si>
  <si>
    <t>Wing A</t>
  </si>
  <si>
    <t>Wing B</t>
  </si>
  <si>
    <t xml:space="preserve">Wing C </t>
  </si>
  <si>
    <t>Building No 2 Wing A</t>
  </si>
  <si>
    <t>Building No 1 Wing A</t>
  </si>
  <si>
    <t>Building No 2 Wing B</t>
  </si>
  <si>
    <t>Wing C</t>
  </si>
  <si>
    <t xml:space="preserve">1st Floor For Commercial </t>
  </si>
  <si>
    <t>Ground Floor For Commercial, Entrance Lobby &amp; Parking</t>
  </si>
  <si>
    <t>Navnath Bhatkar</t>
  </si>
  <si>
    <t>1.6 KM from Virar Railway Station</t>
  </si>
  <si>
    <t>91/A/6 &amp; 91/B</t>
  </si>
  <si>
    <t>2nd Floor For Terrace Area</t>
  </si>
  <si>
    <t>Building No 1 (Wing A, B, C)
Building No 2 (Wing A, B)</t>
  </si>
  <si>
    <t>Mahatma Gandhi Chowk Bus Stop</t>
  </si>
  <si>
    <t xml:space="preserve">Commencement-CC No
Valid Up to: </t>
  </si>
  <si>
    <t>Bldg No 01 = A, B, C Wing = G/Stilt + 1st to 7th Floor.
Bldg No 02 = A, B Wing = Gr/Stilt + 2nd Floor. 
BUA 8679.02 sq.mt</t>
  </si>
  <si>
    <t>05 Buildings</t>
  </si>
  <si>
    <t xml:space="preserve">Building No 01 (A, B, C Wing) = G/Stilt + 1st to 7th Floor
Building No 02 (A &amp; B Wing) = Gr/Stilt + 2nd Floor
</t>
  </si>
  <si>
    <t>Building No 1</t>
  </si>
  <si>
    <t>Building No 01 A Wing = G/Stilt + 1st to 7th Floor</t>
  </si>
  <si>
    <t>Building No 01 B Wing = G/Stilt + 1st to 7th Floor</t>
  </si>
  <si>
    <t>Building No 01 C Wing = G/Stilt + 1st to 7th Floor</t>
  </si>
  <si>
    <t>Building No 02 (A &amp; B Wing) = Gr/Stilt + 1st to 7th Floor</t>
  </si>
  <si>
    <t>Balcony Area</t>
  </si>
  <si>
    <r>
      <t xml:space="preserve">Flat No.
</t>
    </r>
    <r>
      <rPr>
        <b/>
        <sz val="11"/>
        <rFont val="Times New Roman"/>
        <family val="1"/>
      </rPr>
      <t>(Approved Plan)</t>
    </r>
  </si>
  <si>
    <t>Building No. 02</t>
  </si>
  <si>
    <t>Ground Floor for Residential, Entrance Lobby, Society Office &amp; Parking</t>
  </si>
  <si>
    <t>We considered Gross carpet area = Net carpet + Balcony Area.</t>
  </si>
  <si>
    <r>
      <t xml:space="preserve">Proposed Amenities :                                                                                                                                                                                                                         </t>
    </r>
    <r>
      <rPr>
        <b/>
        <sz val="12"/>
        <rFont val="Times New Roman"/>
        <family val="1"/>
      </rPr>
      <t xml:space="preserve">                                               </t>
    </r>
  </si>
  <si>
    <t>Flats -183, Shops -41</t>
  </si>
  <si>
    <t>Recommended rate of the Shop Per Sq. Ft. 1st Floor</t>
  </si>
  <si>
    <t>Recommended rate of the Shop Per Sq. Ft. Gr. Floor</t>
  </si>
  <si>
    <t>19.454570,72.825525</t>
  </si>
  <si>
    <t>Pooja Kawale</t>
  </si>
  <si>
    <t>Rate 500+ by akash verbal on 18/08/2025</t>
  </si>
  <si>
    <t>Recommended Rates of the Property have been revised on 18/08/2025.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</si>
</sst>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64" fontId="7" fillId="0" borderId="0" xfId="1" applyNumberFormat="1"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64" fontId="7" fillId="0" borderId="0" xfId="1" applyNumberFormat="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0" fontId="25" fillId="0" borderId="31" xfId="0" applyFont="1" applyBorder="1"/>
    <xf numFmtId="0" fontId="25" fillId="0" borderId="0" xfId="0" applyFont="1"/>
    <xf numFmtId="1" fontId="13" fillId="0" borderId="3" xfId="1" applyNumberFormat="1" applyFont="1" applyBorder="1" applyAlignment="1" applyProtection="1">
      <alignment horizontal="center" vertical="top" wrapText="1"/>
      <protection locked="0"/>
    </xf>
    <xf numFmtId="1" fontId="12" fillId="0" borderId="0" xfId="1" applyNumberFormat="1" applyFont="1" applyAlignment="1">
      <alignment horizontal="center" vertical="center"/>
    </xf>
    <xf numFmtId="0" fontId="12" fillId="0" borderId="0" xfId="1" applyFont="1" applyAlignment="1">
      <alignment horizontal="center" vertical="center"/>
    </xf>
    <xf numFmtId="9" fontId="13" fillId="0" borderId="16" xfId="8" applyFont="1" applyFill="1" applyBorder="1" applyAlignment="1" applyProtection="1">
      <alignment horizontal="center" vertical="top" wrapText="1"/>
      <protection locked="0"/>
    </xf>
    <xf numFmtId="0" fontId="12" fillId="0" borderId="0" xfId="0"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0" fontId="12" fillId="0" borderId="3" xfId="1" applyFont="1" applyBorder="1" applyAlignment="1" applyProtection="1">
      <alignment horizontal="center" vertical="top" wrapText="1"/>
      <protection locked="0"/>
    </xf>
    <xf numFmtId="9" fontId="12" fillId="0" borderId="3" xfId="8" applyFont="1" applyFill="1" applyBorder="1" applyAlignment="1" applyProtection="1">
      <alignment horizontal="center"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7" fillId="0" borderId="8" xfId="0" applyNumberFormat="1"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1" applyFont="1" applyAlignment="1">
      <alignment horizontal="center" vertical="center"/>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13" fillId="0" borderId="37"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8"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8" fillId="0" borderId="1"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39"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9" fontId="12" fillId="0" borderId="1"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6" fillId="0" borderId="19"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6" fillId="0" borderId="8" xfId="1" applyNumberFormat="1" applyFont="1" applyBorder="1" applyAlignment="1" applyProtection="1">
      <alignment horizontal="left" vertical="top" wrapText="1"/>
      <protection locked="0"/>
    </xf>
    <xf numFmtId="1" fontId="6" fillId="0" borderId="21" xfId="1" applyNumberFormat="1" applyFont="1" applyBorder="1" applyAlignment="1" applyProtection="1">
      <alignment horizontal="left" vertical="top" wrapText="1"/>
      <protection locked="0"/>
    </xf>
    <xf numFmtId="1" fontId="6" fillId="0" borderId="9"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 fontId="13" fillId="0" borderId="1" xfId="0" applyNumberFormat="1" applyFont="1" applyBorder="1" applyAlignment="1" applyProtection="1">
      <alignment vertical="top" wrapText="1"/>
      <protection locked="0"/>
    </xf>
    <xf numFmtId="1" fontId="10" fillId="0" borderId="35" xfId="0" applyNumberFormat="1" applyFont="1" applyBorder="1" applyAlignment="1" applyProtection="1">
      <alignment horizontal="center" vertical="center"/>
      <protection locked="0"/>
    </xf>
    <xf numFmtId="1" fontId="10" fillId="0" borderId="36" xfId="0" applyNumberFormat="1" applyFont="1" applyBorder="1" applyAlignment="1" applyProtection="1">
      <alignment horizontal="center" vertical="center"/>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0" fontId="12" fillId="0" borderId="25" xfId="1" applyFont="1" applyBorder="1" applyAlignment="1" applyProtection="1">
      <alignment horizontal="left" vertical="top"/>
      <protection locked="0"/>
    </xf>
    <xf numFmtId="0" fontId="12" fillId="0" borderId="0" xfId="1" applyFont="1" applyBorder="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1</xdr:col>
      <xdr:colOff>666750</xdr:colOff>
      <xdr:row>415</xdr:row>
      <xdr:rowOff>190500</xdr:rowOff>
    </xdr:from>
    <xdr:to>
      <xdr:col>5</xdr:col>
      <xdr:colOff>426574</xdr:colOff>
      <xdr:row>432</xdr:row>
      <xdr:rowOff>30075</xdr:rowOff>
    </xdr:to>
    <xdr:grpSp>
      <xdr:nvGrpSpPr>
        <xdr:cNvPr id="25" name="Group 24"/>
        <xdr:cNvGrpSpPr/>
      </xdr:nvGrpSpPr>
      <xdr:grpSpPr>
        <a:xfrm>
          <a:off x="1466850" y="79978250"/>
          <a:ext cx="3265024" cy="3186025"/>
          <a:chOff x="1593098" y="1134216"/>
          <a:chExt cx="3103099" cy="3240000"/>
        </a:xfrm>
      </xdr:grpSpPr>
      <xdr:pic>
        <xdr:nvPicPr>
          <xdr:cNvPr id="26" name="Picture 25"/>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93098" y="1134216"/>
            <a:ext cx="3103099" cy="3240000"/>
          </a:xfrm>
          <a:prstGeom prst="rect">
            <a:avLst/>
          </a:prstGeom>
          <a:ln>
            <a:solidFill>
              <a:schemeClr val="tx1"/>
            </a:solidFill>
          </a:ln>
        </xdr:spPr>
      </xdr:pic>
      <xdr:sp macro="" textlink="">
        <xdr:nvSpPr>
          <xdr:cNvPr id="27" name="Freeform 26"/>
          <xdr:cNvSpPr/>
        </xdr:nvSpPr>
        <xdr:spPr>
          <a:xfrm>
            <a:off x="2828472" y="2593388"/>
            <a:ext cx="666749" cy="428625"/>
          </a:xfrm>
          <a:custGeom>
            <a:avLst/>
            <a:gdLst>
              <a:gd name="connsiteX0" fmla="*/ 0 w 495300"/>
              <a:gd name="connsiteY0" fmla="*/ 152400 h 333375"/>
              <a:gd name="connsiteX1" fmla="*/ 266700 w 495300"/>
              <a:gd name="connsiteY1" fmla="*/ 0 h 333375"/>
              <a:gd name="connsiteX2" fmla="*/ 495300 w 495300"/>
              <a:gd name="connsiteY2" fmla="*/ 9525 h 333375"/>
              <a:gd name="connsiteX3" fmla="*/ 428625 w 495300"/>
              <a:gd name="connsiteY3" fmla="*/ 247650 h 333375"/>
              <a:gd name="connsiteX4" fmla="*/ 333375 w 495300"/>
              <a:gd name="connsiteY4" fmla="*/ 257175 h 333375"/>
              <a:gd name="connsiteX5" fmla="*/ 323850 w 495300"/>
              <a:gd name="connsiteY5" fmla="*/ 333375 h 333375"/>
              <a:gd name="connsiteX6" fmla="*/ 152400 w 495300"/>
              <a:gd name="connsiteY6" fmla="*/ 285750 h 333375"/>
              <a:gd name="connsiteX7" fmla="*/ 171450 w 495300"/>
              <a:gd name="connsiteY7" fmla="*/ 190500 h 333375"/>
              <a:gd name="connsiteX8" fmla="*/ 0 w 495300"/>
              <a:gd name="connsiteY8" fmla="*/ 152400 h 333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95300" h="333375">
                <a:moveTo>
                  <a:pt x="0" y="152400"/>
                </a:moveTo>
                <a:lnTo>
                  <a:pt x="266700" y="0"/>
                </a:lnTo>
                <a:lnTo>
                  <a:pt x="495300" y="9525"/>
                </a:lnTo>
                <a:lnTo>
                  <a:pt x="428625" y="247650"/>
                </a:lnTo>
                <a:lnTo>
                  <a:pt x="333375" y="257175"/>
                </a:lnTo>
                <a:lnTo>
                  <a:pt x="323850" y="333375"/>
                </a:lnTo>
                <a:lnTo>
                  <a:pt x="152400" y="285750"/>
                </a:lnTo>
                <a:lnTo>
                  <a:pt x="171450" y="190500"/>
                </a:lnTo>
                <a:lnTo>
                  <a:pt x="0" y="15240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0</xdr:col>
      <xdr:colOff>381000</xdr:colOff>
      <xdr:row>459</xdr:row>
      <xdr:rowOff>28575</xdr:rowOff>
    </xdr:from>
    <xdr:to>
      <xdr:col>7</xdr:col>
      <xdr:colOff>241871</xdr:colOff>
      <xdr:row>473</xdr:row>
      <xdr:rowOff>108225</xdr:rowOff>
    </xdr:to>
    <xdr:pic>
      <xdr:nvPicPr>
        <xdr:cNvPr id="28" name="Picture 27"/>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81000" y="90982800"/>
          <a:ext cx="5442521" cy="2880000"/>
        </a:xfrm>
        <a:prstGeom prst="rect">
          <a:avLst/>
        </a:prstGeom>
        <a:ln>
          <a:solidFill>
            <a:schemeClr val="tx1"/>
          </a:solidFill>
        </a:ln>
      </xdr:spPr>
    </xdr:pic>
    <xdr:clientData/>
  </xdr:twoCellAnchor>
  <xdr:twoCellAnchor>
    <xdr:from>
      <xdr:col>1</xdr:col>
      <xdr:colOff>295275</xdr:colOff>
      <xdr:row>474</xdr:row>
      <xdr:rowOff>180975</xdr:rowOff>
    </xdr:from>
    <xdr:to>
      <xdr:col>6</xdr:col>
      <xdr:colOff>296956</xdr:colOff>
      <xdr:row>489</xdr:row>
      <xdr:rowOff>138953</xdr:rowOff>
    </xdr:to>
    <xdr:grpSp>
      <xdr:nvGrpSpPr>
        <xdr:cNvPr id="32" name="Group 31"/>
        <xdr:cNvGrpSpPr/>
      </xdr:nvGrpSpPr>
      <xdr:grpSpPr>
        <a:xfrm>
          <a:off x="1095375" y="91582875"/>
          <a:ext cx="4287931" cy="2910728"/>
          <a:chOff x="1171575" y="82143600"/>
          <a:chExt cx="4087906" cy="2958353"/>
        </a:xfrm>
      </xdr:grpSpPr>
      <xdr:pic>
        <xdr:nvPicPr>
          <xdr:cNvPr id="31" name="Picture 30"/>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71575" y="82143600"/>
            <a:ext cx="4087906" cy="2958353"/>
          </a:xfrm>
          <a:prstGeom prst="rect">
            <a:avLst/>
          </a:prstGeom>
          <a:ln>
            <a:solidFill>
              <a:schemeClr val="tx1"/>
            </a:solidFill>
          </a:ln>
        </xdr:spPr>
      </xdr:pic>
      <xdr:sp macro="" textlink="">
        <xdr:nvSpPr>
          <xdr:cNvPr id="24" name="Freeform 23"/>
          <xdr:cNvSpPr/>
        </xdr:nvSpPr>
        <xdr:spPr>
          <a:xfrm>
            <a:off x="1311564" y="83077049"/>
            <a:ext cx="2946111" cy="1724025"/>
          </a:xfrm>
          <a:custGeom>
            <a:avLst/>
            <a:gdLst>
              <a:gd name="connsiteX0" fmla="*/ 0 w 2314575"/>
              <a:gd name="connsiteY0" fmla="*/ 785812 h 1538287"/>
              <a:gd name="connsiteX1" fmla="*/ 1014412 w 2314575"/>
              <a:gd name="connsiteY1" fmla="*/ 133350 h 1538287"/>
              <a:gd name="connsiteX2" fmla="*/ 2314575 w 2314575"/>
              <a:gd name="connsiteY2" fmla="*/ 0 h 1538287"/>
              <a:gd name="connsiteX3" fmla="*/ 1990725 w 2314575"/>
              <a:gd name="connsiteY3" fmla="*/ 1109662 h 1538287"/>
              <a:gd name="connsiteX4" fmla="*/ 1757362 w 2314575"/>
              <a:gd name="connsiteY4" fmla="*/ 1114425 h 1538287"/>
              <a:gd name="connsiteX5" fmla="*/ 1643062 w 2314575"/>
              <a:gd name="connsiteY5" fmla="*/ 1533525 h 1538287"/>
              <a:gd name="connsiteX6" fmla="*/ 800100 w 2314575"/>
              <a:gd name="connsiteY6" fmla="*/ 1538287 h 1538287"/>
              <a:gd name="connsiteX7" fmla="*/ 857250 w 2314575"/>
              <a:gd name="connsiteY7" fmla="*/ 1057275 h 1538287"/>
              <a:gd name="connsiteX8" fmla="*/ 0 w 2314575"/>
              <a:gd name="connsiteY8" fmla="*/ 785812 h 15382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314575" h="1538287">
                <a:moveTo>
                  <a:pt x="0" y="785812"/>
                </a:moveTo>
                <a:lnTo>
                  <a:pt x="1014412" y="133350"/>
                </a:lnTo>
                <a:lnTo>
                  <a:pt x="2314575" y="0"/>
                </a:lnTo>
                <a:lnTo>
                  <a:pt x="1990725" y="1109662"/>
                </a:lnTo>
                <a:lnTo>
                  <a:pt x="1757362" y="1114425"/>
                </a:lnTo>
                <a:lnTo>
                  <a:pt x="1643062" y="1533525"/>
                </a:lnTo>
                <a:lnTo>
                  <a:pt x="800100" y="1538287"/>
                </a:lnTo>
                <a:lnTo>
                  <a:pt x="857250" y="1057275"/>
                </a:lnTo>
                <a:lnTo>
                  <a:pt x="0" y="785812"/>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133350</xdr:colOff>
      <xdr:row>433</xdr:row>
      <xdr:rowOff>19050</xdr:rowOff>
    </xdr:from>
    <xdr:to>
      <xdr:col>7</xdr:col>
      <xdr:colOff>590550</xdr:colOff>
      <xdr:row>455</xdr:row>
      <xdr:rowOff>190500</xdr:rowOff>
    </xdr:to>
    <xdr:grpSp>
      <xdr:nvGrpSpPr>
        <xdr:cNvPr id="36" name="Group 35"/>
        <xdr:cNvGrpSpPr/>
      </xdr:nvGrpSpPr>
      <xdr:grpSpPr>
        <a:xfrm>
          <a:off x="133350" y="83350100"/>
          <a:ext cx="6311900" cy="4502150"/>
          <a:chOff x="133350" y="85353525"/>
          <a:chExt cx="6038850" cy="4572000"/>
        </a:xfrm>
      </xdr:grpSpPr>
      <xdr:grpSp>
        <xdr:nvGrpSpPr>
          <xdr:cNvPr id="11" name="Group 10"/>
          <xdr:cNvGrpSpPr/>
        </xdr:nvGrpSpPr>
        <xdr:grpSpPr>
          <a:xfrm>
            <a:off x="133350" y="85353525"/>
            <a:ext cx="6038850" cy="4572000"/>
            <a:chOff x="133350" y="85353525"/>
            <a:chExt cx="6038850" cy="4572000"/>
          </a:xfrm>
        </xdr:grpSpPr>
        <xdr:pic>
          <xdr:nvPicPr>
            <xdr:cNvPr id="17" name="Picture 16"/>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33350" y="85353525"/>
              <a:ext cx="6038850" cy="4572000"/>
            </a:xfrm>
            <a:prstGeom prst="rect">
              <a:avLst/>
            </a:prstGeom>
            <a:ln>
              <a:solidFill>
                <a:schemeClr val="tx1"/>
              </a:solidFill>
            </a:ln>
          </xdr:spPr>
        </xdr:pic>
        <xdr:sp macro="" textlink="">
          <xdr:nvSpPr>
            <xdr:cNvPr id="2" name="TextBox 1"/>
            <xdr:cNvSpPr txBox="1"/>
          </xdr:nvSpPr>
          <xdr:spPr>
            <a:xfrm rot="19757866">
              <a:off x="1695492" y="87417703"/>
              <a:ext cx="44153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t>1A</a:t>
              </a:r>
            </a:p>
          </xdr:txBody>
        </xdr:sp>
        <xdr:sp macro="" textlink="">
          <xdr:nvSpPr>
            <xdr:cNvPr id="19" name="TextBox 18"/>
            <xdr:cNvSpPr txBox="1"/>
          </xdr:nvSpPr>
          <xdr:spPr>
            <a:xfrm rot="365374">
              <a:off x="3034175" y="87106125"/>
              <a:ext cx="43108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t>1B</a:t>
              </a:r>
            </a:p>
          </xdr:txBody>
        </xdr:sp>
        <xdr:sp macro="" textlink="">
          <xdr:nvSpPr>
            <xdr:cNvPr id="20" name="TextBox 19"/>
            <xdr:cNvSpPr txBox="1"/>
          </xdr:nvSpPr>
          <xdr:spPr>
            <a:xfrm rot="844554">
              <a:off x="4435297" y="87265651"/>
              <a:ext cx="637212"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800" b="1"/>
                <a:t>1C</a:t>
              </a:r>
            </a:p>
          </xdr:txBody>
        </xdr:sp>
        <xdr:sp macro="" textlink="">
          <xdr:nvSpPr>
            <xdr:cNvPr id="21" name="TextBox 20"/>
            <xdr:cNvSpPr txBox="1"/>
          </xdr:nvSpPr>
          <xdr:spPr>
            <a:xfrm rot="255689">
              <a:off x="2705101" y="88734900"/>
              <a:ext cx="44153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t>2A</a:t>
              </a:r>
            </a:p>
          </xdr:txBody>
        </xdr:sp>
        <xdr:sp macro="" textlink="">
          <xdr:nvSpPr>
            <xdr:cNvPr id="22" name="TextBox 21"/>
            <xdr:cNvSpPr txBox="1"/>
          </xdr:nvSpPr>
          <xdr:spPr>
            <a:xfrm>
              <a:off x="3714750" y="88411050"/>
              <a:ext cx="43108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t>2B</a:t>
              </a:r>
            </a:p>
          </xdr:txBody>
        </xdr:sp>
      </xdr:grpSp>
      <xdr:sp macro="" textlink="">
        <xdr:nvSpPr>
          <xdr:cNvPr id="12" name="TextBox 11"/>
          <xdr:cNvSpPr txBox="1"/>
        </xdr:nvSpPr>
        <xdr:spPr>
          <a:xfrm>
            <a:off x="3209925" y="86572725"/>
            <a:ext cx="756104"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solidFill>
                  <a:srgbClr val="FFFF00"/>
                </a:solidFill>
              </a:rPr>
              <a:t>ROAD</a:t>
            </a:r>
          </a:p>
        </xdr:txBody>
      </xdr:sp>
      <xdr:sp macro="" textlink="">
        <xdr:nvSpPr>
          <xdr:cNvPr id="34" name="Freeform 33"/>
          <xdr:cNvSpPr/>
        </xdr:nvSpPr>
        <xdr:spPr>
          <a:xfrm>
            <a:off x="581025" y="86534625"/>
            <a:ext cx="5057775" cy="466725"/>
          </a:xfrm>
          <a:custGeom>
            <a:avLst/>
            <a:gdLst>
              <a:gd name="connsiteX0" fmla="*/ 0 w 5057775"/>
              <a:gd name="connsiteY0" fmla="*/ 0 h 466725"/>
              <a:gd name="connsiteX1" fmla="*/ 47625 w 5057775"/>
              <a:gd name="connsiteY1" fmla="*/ 9525 h 466725"/>
              <a:gd name="connsiteX2" fmla="*/ 76200 w 5057775"/>
              <a:gd name="connsiteY2" fmla="*/ 19050 h 466725"/>
              <a:gd name="connsiteX3" fmla="*/ 228600 w 5057775"/>
              <a:gd name="connsiteY3" fmla="*/ 47625 h 466725"/>
              <a:gd name="connsiteX4" fmla="*/ 257175 w 5057775"/>
              <a:gd name="connsiteY4" fmla="*/ 57150 h 466725"/>
              <a:gd name="connsiteX5" fmla="*/ 400050 w 5057775"/>
              <a:gd name="connsiteY5" fmla="*/ 76200 h 466725"/>
              <a:gd name="connsiteX6" fmla="*/ 428625 w 5057775"/>
              <a:gd name="connsiteY6" fmla="*/ 85725 h 466725"/>
              <a:gd name="connsiteX7" fmla="*/ 561975 w 5057775"/>
              <a:gd name="connsiteY7" fmla="*/ 114300 h 466725"/>
              <a:gd name="connsiteX8" fmla="*/ 676275 w 5057775"/>
              <a:gd name="connsiteY8" fmla="*/ 152400 h 466725"/>
              <a:gd name="connsiteX9" fmla="*/ 704850 w 5057775"/>
              <a:gd name="connsiteY9" fmla="*/ 161925 h 466725"/>
              <a:gd name="connsiteX10" fmla="*/ 733425 w 5057775"/>
              <a:gd name="connsiteY10" fmla="*/ 171450 h 466725"/>
              <a:gd name="connsiteX11" fmla="*/ 847725 w 5057775"/>
              <a:gd name="connsiteY11" fmla="*/ 190500 h 466725"/>
              <a:gd name="connsiteX12" fmla="*/ 876300 w 5057775"/>
              <a:gd name="connsiteY12" fmla="*/ 200025 h 466725"/>
              <a:gd name="connsiteX13" fmla="*/ 990600 w 5057775"/>
              <a:gd name="connsiteY13" fmla="*/ 219075 h 466725"/>
              <a:gd name="connsiteX14" fmla="*/ 1057275 w 5057775"/>
              <a:gd name="connsiteY14" fmla="*/ 238125 h 466725"/>
              <a:gd name="connsiteX15" fmla="*/ 1152525 w 5057775"/>
              <a:gd name="connsiteY15" fmla="*/ 257175 h 466725"/>
              <a:gd name="connsiteX16" fmla="*/ 1190625 w 5057775"/>
              <a:gd name="connsiteY16" fmla="*/ 266700 h 466725"/>
              <a:gd name="connsiteX17" fmla="*/ 1257300 w 5057775"/>
              <a:gd name="connsiteY17" fmla="*/ 276225 h 466725"/>
              <a:gd name="connsiteX18" fmla="*/ 1304925 w 5057775"/>
              <a:gd name="connsiteY18" fmla="*/ 285750 h 466725"/>
              <a:gd name="connsiteX19" fmla="*/ 1381125 w 5057775"/>
              <a:gd name="connsiteY19" fmla="*/ 295275 h 466725"/>
              <a:gd name="connsiteX20" fmla="*/ 1524000 w 5057775"/>
              <a:gd name="connsiteY20" fmla="*/ 314325 h 466725"/>
              <a:gd name="connsiteX21" fmla="*/ 1790700 w 5057775"/>
              <a:gd name="connsiteY21" fmla="*/ 323850 h 466725"/>
              <a:gd name="connsiteX22" fmla="*/ 2095500 w 5057775"/>
              <a:gd name="connsiteY22" fmla="*/ 352425 h 466725"/>
              <a:gd name="connsiteX23" fmla="*/ 2409825 w 5057775"/>
              <a:gd name="connsiteY23" fmla="*/ 371475 h 466725"/>
              <a:gd name="connsiteX24" fmla="*/ 2505075 w 5057775"/>
              <a:gd name="connsiteY24" fmla="*/ 390525 h 466725"/>
              <a:gd name="connsiteX25" fmla="*/ 2628900 w 5057775"/>
              <a:gd name="connsiteY25" fmla="*/ 409575 h 466725"/>
              <a:gd name="connsiteX26" fmla="*/ 2676525 w 5057775"/>
              <a:gd name="connsiteY26" fmla="*/ 419100 h 466725"/>
              <a:gd name="connsiteX27" fmla="*/ 3181350 w 5057775"/>
              <a:gd name="connsiteY27" fmla="*/ 428625 h 466725"/>
              <a:gd name="connsiteX28" fmla="*/ 3543300 w 5057775"/>
              <a:gd name="connsiteY28" fmla="*/ 457200 h 466725"/>
              <a:gd name="connsiteX29" fmla="*/ 3648075 w 5057775"/>
              <a:gd name="connsiteY29" fmla="*/ 466725 h 466725"/>
              <a:gd name="connsiteX30" fmla="*/ 4152900 w 5057775"/>
              <a:gd name="connsiteY30" fmla="*/ 457200 h 466725"/>
              <a:gd name="connsiteX31" fmla="*/ 4333875 w 5057775"/>
              <a:gd name="connsiteY31" fmla="*/ 447675 h 466725"/>
              <a:gd name="connsiteX32" fmla="*/ 4419600 w 5057775"/>
              <a:gd name="connsiteY32" fmla="*/ 438150 h 466725"/>
              <a:gd name="connsiteX33" fmla="*/ 5057775 w 5057775"/>
              <a:gd name="connsiteY33" fmla="*/ 438150 h 466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5057775" h="466725">
                <a:moveTo>
                  <a:pt x="0" y="0"/>
                </a:moveTo>
                <a:cubicBezTo>
                  <a:pt x="15875" y="3175"/>
                  <a:pt x="31919" y="5598"/>
                  <a:pt x="47625" y="9525"/>
                </a:cubicBezTo>
                <a:cubicBezTo>
                  <a:pt x="57365" y="11960"/>
                  <a:pt x="66399" y="16872"/>
                  <a:pt x="76200" y="19050"/>
                </a:cubicBezTo>
                <a:cubicBezTo>
                  <a:pt x="128102" y="30584"/>
                  <a:pt x="176757" y="30344"/>
                  <a:pt x="228600" y="47625"/>
                </a:cubicBezTo>
                <a:cubicBezTo>
                  <a:pt x="238125" y="50800"/>
                  <a:pt x="247330" y="55181"/>
                  <a:pt x="257175" y="57150"/>
                </a:cubicBezTo>
                <a:cubicBezTo>
                  <a:pt x="279083" y="61532"/>
                  <a:pt x="381507" y="73882"/>
                  <a:pt x="400050" y="76200"/>
                </a:cubicBezTo>
                <a:cubicBezTo>
                  <a:pt x="409575" y="79375"/>
                  <a:pt x="418824" y="83547"/>
                  <a:pt x="428625" y="85725"/>
                </a:cubicBezTo>
                <a:cubicBezTo>
                  <a:pt x="500566" y="101712"/>
                  <a:pt x="481997" y="87641"/>
                  <a:pt x="561975" y="114300"/>
                </a:cubicBezTo>
                <a:lnTo>
                  <a:pt x="676275" y="152400"/>
                </a:lnTo>
                <a:lnTo>
                  <a:pt x="704850" y="161925"/>
                </a:lnTo>
                <a:cubicBezTo>
                  <a:pt x="714375" y="165100"/>
                  <a:pt x="723521" y="169799"/>
                  <a:pt x="733425" y="171450"/>
                </a:cubicBezTo>
                <a:cubicBezTo>
                  <a:pt x="771525" y="177800"/>
                  <a:pt x="811082" y="178286"/>
                  <a:pt x="847725" y="190500"/>
                </a:cubicBezTo>
                <a:cubicBezTo>
                  <a:pt x="857250" y="193675"/>
                  <a:pt x="866560" y="197590"/>
                  <a:pt x="876300" y="200025"/>
                </a:cubicBezTo>
                <a:cubicBezTo>
                  <a:pt x="913441" y="209310"/>
                  <a:pt x="952966" y="213699"/>
                  <a:pt x="990600" y="219075"/>
                </a:cubicBezTo>
                <a:cubicBezTo>
                  <a:pt x="1020586" y="229070"/>
                  <a:pt x="1023787" y="230949"/>
                  <a:pt x="1057275" y="238125"/>
                </a:cubicBezTo>
                <a:cubicBezTo>
                  <a:pt x="1088935" y="244909"/>
                  <a:pt x="1121113" y="249322"/>
                  <a:pt x="1152525" y="257175"/>
                </a:cubicBezTo>
                <a:cubicBezTo>
                  <a:pt x="1165225" y="260350"/>
                  <a:pt x="1177745" y="264358"/>
                  <a:pt x="1190625" y="266700"/>
                </a:cubicBezTo>
                <a:cubicBezTo>
                  <a:pt x="1212714" y="270716"/>
                  <a:pt x="1235155" y="272534"/>
                  <a:pt x="1257300" y="276225"/>
                </a:cubicBezTo>
                <a:cubicBezTo>
                  <a:pt x="1273269" y="278887"/>
                  <a:pt x="1288924" y="283288"/>
                  <a:pt x="1304925" y="285750"/>
                </a:cubicBezTo>
                <a:cubicBezTo>
                  <a:pt x="1330225" y="289642"/>
                  <a:pt x="1355825" y="291383"/>
                  <a:pt x="1381125" y="295275"/>
                </a:cubicBezTo>
                <a:cubicBezTo>
                  <a:pt x="1469581" y="308884"/>
                  <a:pt x="1393833" y="307474"/>
                  <a:pt x="1524000" y="314325"/>
                </a:cubicBezTo>
                <a:cubicBezTo>
                  <a:pt x="1612834" y="319000"/>
                  <a:pt x="1701800" y="320675"/>
                  <a:pt x="1790700" y="323850"/>
                </a:cubicBezTo>
                <a:cubicBezTo>
                  <a:pt x="1913191" y="336099"/>
                  <a:pt x="1981138" y="343954"/>
                  <a:pt x="2095500" y="352425"/>
                </a:cubicBezTo>
                <a:cubicBezTo>
                  <a:pt x="2215492" y="361313"/>
                  <a:pt x="2286646" y="364632"/>
                  <a:pt x="2409825" y="371475"/>
                </a:cubicBezTo>
                <a:cubicBezTo>
                  <a:pt x="2642568" y="404724"/>
                  <a:pt x="2385378" y="363926"/>
                  <a:pt x="2505075" y="390525"/>
                </a:cubicBezTo>
                <a:cubicBezTo>
                  <a:pt x="2536705" y="397554"/>
                  <a:pt x="2598516" y="404511"/>
                  <a:pt x="2628900" y="409575"/>
                </a:cubicBezTo>
                <a:cubicBezTo>
                  <a:pt x="2644869" y="412237"/>
                  <a:pt x="2660345" y="418542"/>
                  <a:pt x="2676525" y="419100"/>
                </a:cubicBezTo>
                <a:cubicBezTo>
                  <a:pt x="2844730" y="424900"/>
                  <a:pt x="3013075" y="425450"/>
                  <a:pt x="3181350" y="428625"/>
                </a:cubicBezTo>
                <a:cubicBezTo>
                  <a:pt x="3319834" y="474786"/>
                  <a:pt x="3152071" y="421634"/>
                  <a:pt x="3543300" y="457200"/>
                </a:cubicBezTo>
                <a:lnTo>
                  <a:pt x="3648075" y="466725"/>
                </a:lnTo>
                <a:lnTo>
                  <a:pt x="4152900" y="457200"/>
                </a:lnTo>
                <a:cubicBezTo>
                  <a:pt x="4213285" y="455523"/>
                  <a:pt x="4273620" y="451979"/>
                  <a:pt x="4333875" y="447675"/>
                </a:cubicBezTo>
                <a:cubicBezTo>
                  <a:pt x="4362553" y="445627"/>
                  <a:pt x="4390852" y="438528"/>
                  <a:pt x="4419600" y="438150"/>
                </a:cubicBezTo>
                <a:cubicBezTo>
                  <a:pt x="4632307" y="435351"/>
                  <a:pt x="4845050" y="438150"/>
                  <a:pt x="5057775" y="438150"/>
                </a:cubicBezTo>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5" name="Freeform 34"/>
          <xdr:cNvSpPr/>
        </xdr:nvSpPr>
        <xdr:spPr>
          <a:xfrm>
            <a:off x="447675" y="86001225"/>
            <a:ext cx="5334000" cy="628650"/>
          </a:xfrm>
          <a:custGeom>
            <a:avLst/>
            <a:gdLst>
              <a:gd name="connsiteX0" fmla="*/ 0 w 5334000"/>
              <a:gd name="connsiteY0" fmla="*/ 0 h 628650"/>
              <a:gd name="connsiteX1" fmla="*/ 47625 w 5334000"/>
              <a:gd name="connsiteY1" fmla="*/ 19050 h 628650"/>
              <a:gd name="connsiteX2" fmla="*/ 76200 w 5334000"/>
              <a:gd name="connsiteY2" fmla="*/ 47625 h 628650"/>
              <a:gd name="connsiteX3" fmla="*/ 133350 w 5334000"/>
              <a:gd name="connsiteY3" fmla="*/ 66675 h 628650"/>
              <a:gd name="connsiteX4" fmla="*/ 247650 w 5334000"/>
              <a:gd name="connsiteY4" fmla="*/ 104775 h 628650"/>
              <a:gd name="connsiteX5" fmla="*/ 276225 w 5334000"/>
              <a:gd name="connsiteY5" fmla="*/ 114300 h 628650"/>
              <a:gd name="connsiteX6" fmla="*/ 304800 w 5334000"/>
              <a:gd name="connsiteY6" fmla="*/ 123825 h 628650"/>
              <a:gd name="connsiteX7" fmla="*/ 333375 w 5334000"/>
              <a:gd name="connsiteY7" fmla="*/ 142875 h 628650"/>
              <a:gd name="connsiteX8" fmla="*/ 390525 w 5334000"/>
              <a:gd name="connsiteY8" fmla="*/ 161925 h 628650"/>
              <a:gd name="connsiteX9" fmla="*/ 447675 w 5334000"/>
              <a:gd name="connsiteY9" fmla="*/ 180975 h 628650"/>
              <a:gd name="connsiteX10" fmla="*/ 476250 w 5334000"/>
              <a:gd name="connsiteY10" fmla="*/ 190500 h 628650"/>
              <a:gd name="connsiteX11" fmla="*/ 504825 w 5334000"/>
              <a:gd name="connsiteY11" fmla="*/ 200025 h 628650"/>
              <a:gd name="connsiteX12" fmla="*/ 533400 w 5334000"/>
              <a:gd name="connsiteY12" fmla="*/ 219075 h 628650"/>
              <a:gd name="connsiteX13" fmla="*/ 590550 w 5334000"/>
              <a:gd name="connsiteY13" fmla="*/ 238125 h 628650"/>
              <a:gd name="connsiteX14" fmla="*/ 676275 w 5334000"/>
              <a:gd name="connsiteY14" fmla="*/ 266700 h 628650"/>
              <a:gd name="connsiteX15" fmla="*/ 762000 w 5334000"/>
              <a:gd name="connsiteY15" fmla="*/ 295275 h 628650"/>
              <a:gd name="connsiteX16" fmla="*/ 790575 w 5334000"/>
              <a:gd name="connsiteY16" fmla="*/ 304800 h 628650"/>
              <a:gd name="connsiteX17" fmla="*/ 828675 w 5334000"/>
              <a:gd name="connsiteY17" fmla="*/ 314325 h 628650"/>
              <a:gd name="connsiteX18" fmla="*/ 885825 w 5334000"/>
              <a:gd name="connsiteY18" fmla="*/ 333375 h 628650"/>
              <a:gd name="connsiteX19" fmla="*/ 942975 w 5334000"/>
              <a:gd name="connsiteY19" fmla="*/ 352425 h 628650"/>
              <a:gd name="connsiteX20" fmla="*/ 971550 w 5334000"/>
              <a:gd name="connsiteY20" fmla="*/ 361950 h 628650"/>
              <a:gd name="connsiteX21" fmla="*/ 1104900 w 5334000"/>
              <a:gd name="connsiteY21" fmla="*/ 390525 h 628650"/>
              <a:gd name="connsiteX22" fmla="*/ 1171575 w 5334000"/>
              <a:gd name="connsiteY22" fmla="*/ 400050 h 628650"/>
              <a:gd name="connsiteX23" fmla="*/ 1209675 w 5334000"/>
              <a:gd name="connsiteY23" fmla="*/ 409575 h 628650"/>
              <a:gd name="connsiteX24" fmla="*/ 1266825 w 5334000"/>
              <a:gd name="connsiteY24" fmla="*/ 419100 h 628650"/>
              <a:gd name="connsiteX25" fmla="*/ 1362075 w 5334000"/>
              <a:gd name="connsiteY25" fmla="*/ 438150 h 628650"/>
              <a:gd name="connsiteX26" fmla="*/ 1438275 w 5334000"/>
              <a:gd name="connsiteY26" fmla="*/ 457200 h 628650"/>
              <a:gd name="connsiteX27" fmla="*/ 1819275 w 5334000"/>
              <a:gd name="connsiteY27" fmla="*/ 476250 h 628650"/>
              <a:gd name="connsiteX28" fmla="*/ 2000250 w 5334000"/>
              <a:gd name="connsiteY28" fmla="*/ 495300 h 628650"/>
              <a:gd name="connsiteX29" fmla="*/ 2114550 w 5334000"/>
              <a:gd name="connsiteY29" fmla="*/ 514350 h 628650"/>
              <a:gd name="connsiteX30" fmla="*/ 2238375 w 5334000"/>
              <a:gd name="connsiteY30" fmla="*/ 533400 h 628650"/>
              <a:gd name="connsiteX31" fmla="*/ 2590800 w 5334000"/>
              <a:gd name="connsiteY31" fmla="*/ 542925 h 628650"/>
              <a:gd name="connsiteX32" fmla="*/ 2676525 w 5334000"/>
              <a:gd name="connsiteY32" fmla="*/ 552450 h 628650"/>
              <a:gd name="connsiteX33" fmla="*/ 2733675 w 5334000"/>
              <a:gd name="connsiteY33" fmla="*/ 561975 h 628650"/>
              <a:gd name="connsiteX34" fmla="*/ 3095625 w 5334000"/>
              <a:gd name="connsiteY34" fmla="*/ 571500 h 628650"/>
              <a:gd name="connsiteX35" fmla="*/ 3200400 w 5334000"/>
              <a:gd name="connsiteY35" fmla="*/ 581025 h 628650"/>
              <a:gd name="connsiteX36" fmla="*/ 3286125 w 5334000"/>
              <a:gd name="connsiteY36" fmla="*/ 600075 h 628650"/>
              <a:gd name="connsiteX37" fmla="*/ 3400425 w 5334000"/>
              <a:gd name="connsiteY37" fmla="*/ 619125 h 628650"/>
              <a:gd name="connsiteX38" fmla="*/ 3457575 w 5334000"/>
              <a:gd name="connsiteY38" fmla="*/ 628650 h 628650"/>
              <a:gd name="connsiteX39" fmla="*/ 4124325 w 5334000"/>
              <a:gd name="connsiteY39" fmla="*/ 619125 h 628650"/>
              <a:gd name="connsiteX40" fmla="*/ 4257675 w 5334000"/>
              <a:gd name="connsiteY40" fmla="*/ 600075 h 628650"/>
              <a:gd name="connsiteX41" fmla="*/ 4610100 w 5334000"/>
              <a:gd name="connsiteY41" fmla="*/ 581025 h 628650"/>
              <a:gd name="connsiteX42" fmla="*/ 4648200 w 5334000"/>
              <a:gd name="connsiteY42" fmla="*/ 571500 h 628650"/>
              <a:gd name="connsiteX43" fmla="*/ 4772025 w 5334000"/>
              <a:gd name="connsiteY43" fmla="*/ 561975 h 628650"/>
              <a:gd name="connsiteX44" fmla="*/ 4876800 w 5334000"/>
              <a:gd name="connsiteY44" fmla="*/ 552450 h 628650"/>
              <a:gd name="connsiteX45" fmla="*/ 4933950 w 5334000"/>
              <a:gd name="connsiteY45" fmla="*/ 542925 h 628650"/>
              <a:gd name="connsiteX46" fmla="*/ 5095875 w 5334000"/>
              <a:gd name="connsiteY46" fmla="*/ 523875 h 628650"/>
              <a:gd name="connsiteX47" fmla="*/ 5334000 w 5334000"/>
              <a:gd name="connsiteY47" fmla="*/ 523875 h 628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Lst>
            <a:rect l="l" t="t" r="r" b="b"/>
            <a:pathLst>
              <a:path w="5334000" h="628650">
                <a:moveTo>
                  <a:pt x="0" y="0"/>
                </a:moveTo>
                <a:cubicBezTo>
                  <a:pt x="15875" y="6350"/>
                  <a:pt x="33126" y="9988"/>
                  <a:pt x="47625" y="19050"/>
                </a:cubicBezTo>
                <a:cubicBezTo>
                  <a:pt x="59048" y="26189"/>
                  <a:pt x="64425" y="41083"/>
                  <a:pt x="76200" y="47625"/>
                </a:cubicBezTo>
                <a:cubicBezTo>
                  <a:pt x="93753" y="57377"/>
                  <a:pt x="114300" y="60325"/>
                  <a:pt x="133350" y="66675"/>
                </a:cubicBezTo>
                <a:lnTo>
                  <a:pt x="247650" y="104775"/>
                </a:lnTo>
                <a:lnTo>
                  <a:pt x="276225" y="114300"/>
                </a:lnTo>
                <a:cubicBezTo>
                  <a:pt x="285750" y="117475"/>
                  <a:pt x="296446" y="118256"/>
                  <a:pt x="304800" y="123825"/>
                </a:cubicBezTo>
                <a:cubicBezTo>
                  <a:pt x="314325" y="130175"/>
                  <a:pt x="322914" y="138226"/>
                  <a:pt x="333375" y="142875"/>
                </a:cubicBezTo>
                <a:cubicBezTo>
                  <a:pt x="351725" y="151030"/>
                  <a:pt x="371475" y="155575"/>
                  <a:pt x="390525" y="161925"/>
                </a:cubicBezTo>
                <a:lnTo>
                  <a:pt x="447675" y="180975"/>
                </a:lnTo>
                <a:lnTo>
                  <a:pt x="476250" y="190500"/>
                </a:lnTo>
                <a:cubicBezTo>
                  <a:pt x="485775" y="193675"/>
                  <a:pt x="496471" y="194456"/>
                  <a:pt x="504825" y="200025"/>
                </a:cubicBezTo>
                <a:cubicBezTo>
                  <a:pt x="514350" y="206375"/>
                  <a:pt x="522939" y="214426"/>
                  <a:pt x="533400" y="219075"/>
                </a:cubicBezTo>
                <a:cubicBezTo>
                  <a:pt x="551750" y="227230"/>
                  <a:pt x="571500" y="231775"/>
                  <a:pt x="590550" y="238125"/>
                </a:cubicBezTo>
                <a:lnTo>
                  <a:pt x="676275" y="266700"/>
                </a:lnTo>
                <a:lnTo>
                  <a:pt x="762000" y="295275"/>
                </a:lnTo>
                <a:cubicBezTo>
                  <a:pt x="771525" y="298450"/>
                  <a:pt x="780835" y="302365"/>
                  <a:pt x="790575" y="304800"/>
                </a:cubicBezTo>
                <a:cubicBezTo>
                  <a:pt x="803275" y="307975"/>
                  <a:pt x="816136" y="310563"/>
                  <a:pt x="828675" y="314325"/>
                </a:cubicBezTo>
                <a:cubicBezTo>
                  <a:pt x="847909" y="320095"/>
                  <a:pt x="866775" y="327025"/>
                  <a:pt x="885825" y="333375"/>
                </a:cubicBezTo>
                <a:lnTo>
                  <a:pt x="942975" y="352425"/>
                </a:lnTo>
                <a:cubicBezTo>
                  <a:pt x="952500" y="355600"/>
                  <a:pt x="961810" y="359515"/>
                  <a:pt x="971550" y="361950"/>
                </a:cubicBezTo>
                <a:cubicBezTo>
                  <a:pt x="1017755" y="373501"/>
                  <a:pt x="1054460" y="383319"/>
                  <a:pt x="1104900" y="390525"/>
                </a:cubicBezTo>
                <a:cubicBezTo>
                  <a:pt x="1127125" y="393700"/>
                  <a:pt x="1149486" y="396034"/>
                  <a:pt x="1171575" y="400050"/>
                </a:cubicBezTo>
                <a:cubicBezTo>
                  <a:pt x="1184455" y="402392"/>
                  <a:pt x="1196838" y="407008"/>
                  <a:pt x="1209675" y="409575"/>
                </a:cubicBezTo>
                <a:cubicBezTo>
                  <a:pt x="1228613" y="413363"/>
                  <a:pt x="1247843" y="415541"/>
                  <a:pt x="1266825" y="419100"/>
                </a:cubicBezTo>
                <a:cubicBezTo>
                  <a:pt x="1298649" y="425067"/>
                  <a:pt x="1331358" y="427911"/>
                  <a:pt x="1362075" y="438150"/>
                </a:cubicBezTo>
                <a:cubicBezTo>
                  <a:pt x="1392400" y="448258"/>
                  <a:pt x="1402748" y="453020"/>
                  <a:pt x="1438275" y="457200"/>
                </a:cubicBezTo>
                <a:cubicBezTo>
                  <a:pt x="1556228" y="471077"/>
                  <a:pt x="1712132" y="472423"/>
                  <a:pt x="1819275" y="476250"/>
                </a:cubicBezTo>
                <a:cubicBezTo>
                  <a:pt x="1879600" y="482600"/>
                  <a:pt x="1940770" y="483404"/>
                  <a:pt x="2000250" y="495300"/>
                </a:cubicBezTo>
                <a:cubicBezTo>
                  <a:pt x="2069890" y="509228"/>
                  <a:pt x="2031848" y="502535"/>
                  <a:pt x="2114550" y="514350"/>
                </a:cubicBezTo>
                <a:cubicBezTo>
                  <a:pt x="2166854" y="531785"/>
                  <a:pt x="2153926" y="529806"/>
                  <a:pt x="2238375" y="533400"/>
                </a:cubicBezTo>
                <a:cubicBezTo>
                  <a:pt x="2355787" y="538396"/>
                  <a:pt x="2473325" y="539750"/>
                  <a:pt x="2590800" y="542925"/>
                </a:cubicBezTo>
                <a:cubicBezTo>
                  <a:pt x="2619375" y="546100"/>
                  <a:pt x="2648026" y="548650"/>
                  <a:pt x="2676525" y="552450"/>
                </a:cubicBezTo>
                <a:cubicBezTo>
                  <a:pt x="2695668" y="555002"/>
                  <a:pt x="2714382" y="561098"/>
                  <a:pt x="2733675" y="561975"/>
                </a:cubicBezTo>
                <a:cubicBezTo>
                  <a:pt x="2854242" y="567455"/>
                  <a:pt x="2974975" y="568325"/>
                  <a:pt x="3095625" y="571500"/>
                </a:cubicBezTo>
                <a:cubicBezTo>
                  <a:pt x="3130550" y="574675"/>
                  <a:pt x="3165571" y="576927"/>
                  <a:pt x="3200400" y="581025"/>
                </a:cubicBezTo>
                <a:cubicBezTo>
                  <a:pt x="3299416" y="592674"/>
                  <a:pt x="3222612" y="584197"/>
                  <a:pt x="3286125" y="600075"/>
                </a:cubicBezTo>
                <a:cubicBezTo>
                  <a:pt x="3326368" y="610136"/>
                  <a:pt x="3358490" y="612673"/>
                  <a:pt x="3400425" y="619125"/>
                </a:cubicBezTo>
                <a:cubicBezTo>
                  <a:pt x="3419513" y="622062"/>
                  <a:pt x="3438525" y="625475"/>
                  <a:pt x="3457575" y="628650"/>
                </a:cubicBezTo>
                <a:lnTo>
                  <a:pt x="4124325" y="619125"/>
                </a:lnTo>
                <a:cubicBezTo>
                  <a:pt x="4276432" y="615274"/>
                  <a:pt x="4153539" y="611037"/>
                  <a:pt x="4257675" y="600075"/>
                </a:cubicBezTo>
                <a:cubicBezTo>
                  <a:pt x="4350982" y="590253"/>
                  <a:pt x="4531769" y="584431"/>
                  <a:pt x="4610100" y="581025"/>
                </a:cubicBezTo>
                <a:cubicBezTo>
                  <a:pt x="4622800" y="577850"/>
                  <a:pt x="4635199" y="573030"/>
                  <a:pt x="4648200" y="571500"/>
                </a:cubicBezTo>
                <a:cubicBezTo>
                  <a:pt x="4689313" y="566663"/>
                  <a:pt x="4730771" y="565413"/>
                  <a:pt x="4772025" y="561975"/>
                </a:cubicBezTo>
                <a:cubicBezTo>
                  <a:pt x="4806973" y="559063"/>
                  <a:pt x="4841971" y="556548"/>
                  <a:pt x="4876800" y="552450"/>
                </a:cubicBezTo>
                <a:cubicBezTo>
                  <a:pt x="4895980" y="550193"/>
                  <a:pt x="4914831" y="545656"/>
                  <a:pt x="4933950" y="542925"/>
                </a:cubicBezTo>
                <a:cubicBezTo>
                  <a:pt x="4950916" y="540501"/>
                  <a:pt x="5083283" y="524245"/>
                  <a:pt x="5095875" y="523875"/>
                </a:cubicBezTo>
                <a:cubicBezTo>
                  <a:pt x="5175216" y="521541"/>
                  <a:pt x="5254625" y="523875"/>
                  <a:pt x="5334000" y="523875"/>
                </a:cubicBezTo>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oneCellAnchor>
    <xdr:from>
      <xdr:col>9</xdr:col>
      <xdr:colOff>482600</xdr:colOff>
      <xdr:row>373</xdr:row>
      <xdr:rowOff>69850</xdr:rowOff>
    </xdr:from>
    <xdr:ext cx="634084" cy="280205"/>
    <xdr:sp macro="" textlink="">
      <xdr:nvSpPr>
        <xdr:cNvPr id="13" name="TextBox 12"/>
        <xdr:cNvSpPr txBox="1"/>
      </xdr:nvSpPr>
      <xdr:spPr>
        <a:xfrm>
          <a:off x="8324850" y="71399400"/>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A</a:t>
          </a:r>
        </a:p>
      </xdr:txBody>
    </xdr:sp>
    <xdr:clientData/>
  </xdr:oneCellAnchor>
  <xdr:twoCellAnchor>
    <xdr:from>
      <xdr:col>0</xdr:col>
      <xdr:colOff>69850</xdr:colOff>
      <xdr:row>372</xdr:row>
      <xdr:rowOff>82550</xdr:rowOff>
    </xdr:from>
    <xdr:to>
      <xdr:col>7</xdr:col>
      <xdr:colOff>723295</xdr:colOff>
      <xdr:row>411</xdr:row>
      <xdr:rowOff>139257</xdr:rowOff>
    </xdr:to>
    <xdr:grpSp>
      <xdr:nvGrpSpPr>
        <xdr:cNvPr id="14" name="Group 13"/>
        <xdr:cNvGrpSpPr/>
      </xdr:nvGrpSpPr>
      <xdr:grpSpPr>
        <a:xfrm>
          <a:off x="69850" y="71412100"/>
          <a:ext cx="6508145" cy="7727507"/>
          <a:chOff x="69850" y="71215250"/>
          <a:chExt cx="6508145" cy="7727507"/>
        </a:xfrm>
      </xdr:grpSpPr>
      <xdr:pic>
        <xdr:nvPicPr>
          <xdr:cNvPr id="29" name="Picture 2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5067570" y="76923898"/>
            <a:ext cx="1510425" cy="201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95251" y="71215250"/>
            <a:ext cx="2049863"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5250" y="74069574"/>
            <a:ext cx="2049863"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454327" y="74069574"/>
            <a:ext cx="2049863" cy="2736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735804" y="76923898"/>
            <a:ext cx="1510425" cy="2016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401687" y="76923898"/>
            <a:ext cx="1510425" cy="2016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281139" y="71215250"/>
            <a:ext cx="2049863" cy="2736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69850" y="76926757"/>
            <a:ext cx="1510425" cy="2016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454327" y="71215250"/>
            <a:ext cx="2049863"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81139" y="74069574"/>
            <a:ext cx="2049863" cy="2736000"/>
          </a:xfrm>
          <a:prstGeom prst="rect">
            <a:avLst/>
          </a:prstGeom>
          <a:ln>
            <a:solidFill>
              <a:schemeClr val="tx1"/>
            </a:solidFill>
          </a:ln>
        </xdr:spPr>
      </xdr:pic>
      <xdr:sp macro="" textlink="">
        <xdr:nvSpPr>
          <xdr:cNvPr id="44" name="TextBox 43"/>
          <xdr:cNvSpPr txBox="1"/>
        </xdr:nvSpPr>
        <xdr:spPr>
          <a:xfrm>
            <a:off x="895351" y="72904350"/>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45" name="TextBox 44"/>
          <xdr:cNvSpPr txBox="1"/>
        </xdr:nvSpPr>
        <xdr:spPr>
          <a:xfrm>
            <a:off x="3195539" y="72917050"/>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46" name="TextBox 45"/>
          <xdr:cNvSpPr txBox="1"/>
        </xdr:nvSpPr>
        <xdr:spPr>
          <a:xfrm>
            <a:off x="4727377" y="73132950"/>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47" name="TextBox 46"/>
          <xdr:cNvSpPr txBox="1"/>
        </xdr:nvSpPr>
        <xdr:spPr>
          <a:xfrm>
            <a:off x="419100" y="75796774"/>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48" name="TextBox 47"/>
          <xdr:cNvSpPr txBox="1"/>
        </xdr:nvSpPr>
        <xdr:spPr>
          <a:xfrm>
            <a:off x="2522439" y="75745974"/>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C</a:t>
            </a:r>
          </a:p>
        </xdr:txBody>
      </xdr:sp>
      <xdr:sp macro="" textlink="">
        <xdr:nvSpPr>
          <xdr:cNvPr id="49" name="TextBox 48"/>
          <xdr:cNvSpPr txBox="1"/>
        </xdr:nvSpPr>
        <xdr:spPr>
          <a:xfrm>
            <a:off x="4943277" y="75339574"/>
            <a:ext cx="6340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C</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3vxoKSGgQknoxCa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58"/>
  <sheetViews>
    <sheetView tabSelected="1" view="pageBreakPreview" topLeftCell="A350" zoomScaleNormal="100" zoomScaleSheetLayoutView="100" zoomScalePageLayoutView="85" workbookViewId="0">
      <selection activeCell="J361" sqref="J361"/>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24" t="s">
        <v>160</v>
      </c>
      <c r="B1" s="224"/>
      <c r="C1" s="224"/>
      <c r="D1" s="224"/>
      <c r="E1" s="224"/>
      <c r="F1" s="224"/>
      <c r="G1" s="224"/>
      <c r="H1" s="224"/>
    </row>
    <row r="2" spans="1:26" ht="16.5" customHeight="1" x14ac:dyDescent="0.35">
      <c r="A2" s="225" t="s">
        <v>0</v>
      </c>
      <c r="B2" s="225"/>
      <c r="C2" s="225"/>
      <c r="D2" s="225"/>
      <c r="E2" s="225"/>
      <c r="F2" s="225"/>
      <c r="G2" s="225"/>
      <c r="H2" s="225"/>
    </row>
    <row r="3" spans="1:26" x14ac:dyDescent="0.35">
      <c r="A3" s="198" t="s">
        <v>1</v>
      </c>
      <c r="B3" s="198"/>
      <c r="C3" s="198"/>
      <c r="D3" s="198"/>
      <c r="E3" s="198" t="str">
        <f ca="1">TEXT(TODAY(),"DD/MM/YYYY")</f>
        <v>18/08/2025</v>
      </c>
      <c r="F3" s="198"/>
      <c r="G3" s="198"/>
      <c r="H3" s="198"/>
      <c r="K3" s="55" t="s">
        <v>233</v>
      </c>
      <c r="L3" s="52" t="s">
        <v>231</v>
      </c>
      <c r="M3" s="52" t="s">
        <v>236</v>
      </c>
      <c r="N3" s="52" t="s">
        <v>234</v>
      </c>
      <c r="O3" s="52" t="s">
        <v>235</v>
      </c>
      <c r="P3" s="52" t="s">
        <v>237</v>
      </c>
    </row>
    <row r="4" spans="1:26" ht="15" customHeight="1" x14ac:dyDescent="0.35">
      <c r="A4" s="198" t="s">
        <v>230</v>
      </c>
      <c r="B4" s="198"/>
      <c r="C4" s="198"/>
      <c r="D4" s="198"/>
      <c r="E4" s="198" t="s">
        <v>231</v>
      </c>
      <c r="F4" s="198"/>
      <c r="G4" s="198"/>
      <c r="H4" s="198"/>
      <c r="K4" s="51" t="s">
        <v>232</v>
      </c>
      <c r="L4" s="52" t="s">
        <v>166</v>
      </c>
      <c r="M4" s="52" t="s">
        <v>241</v>
      </c>
      <c r="N4" s="52" t="s">
        <v>243</v>
      </c>
      <c r="O4" s="52" t="s">
        <v>245</v>
      </c>
      <c r="P4" s="52"/>
    </row>
    <row r="5" spans="1:26" ht="15" customHeight="1" x14ac:dyDescent="0.35">
      <c r="A5" s="198" t="s">
        <v>2</v>
      </c>
      <c r="B5" s="198"/>
      <c r="C5" s="198"/>
      <c r="D5" s="198"/>
      <c r="E5" s="198" t="s">
        <v>166</v>
      </c>
      <c r="F5" s="198"/>
      <c r="G5" s="198"/>
      <c r="H5" s="198"/>
      <c r="K5" s="51"/>
      <c r="L5" s="52" t="s">
        <v>238</v>
      </c>
      <c r="M5" s="52" t="s">
        <v>242</v>
      </c>
      <c r="N5" s="52" t="s">
        <v>244</v>
      </c>
      <c r="O5" s="52" t="s">
        <v>246</v>
      </c>
      <c r="P5" s="52"/>
    </row>
    <row r="6" spans="1:26" x14ac:dyDescent="0.35">
      <c r="A6" s="198" t="s">
        <v>3</v>
      </c>
      <c r="B6" s="198"/>
      <c r="C6" s="198"/>
      <c r="D6" s="198"/>
      <c r="E6" s="226">
        <v>45841</v>
      </c>
      <c r="F6" s="198"/>
      <c r="G6" s="198"/>
      <c r="H6" s="198"/>
      <c r="K6" s="51"/>
      <c r="L6" s="52" t="s">
        <v>239</v>
      </c>
      <c r="M6" s="52"/>
      <c r="N6" s="52"/>
      <c r="O6" s="52" t="s">
        <v>247</v>
      </c>
      <c r="P6" s="52"/>
    </row>
    <row r="7" spans="1:26" ht="16.5" customHeight="1" x14ac:dyDescent="0.35">
      <c r="A7" s="198" t="s">
        <v>4</v>
      </c>
      <c r="B7" s="198"/>
      <c r="C7" s="198"/>
      <c r="D7" s="198"/>
      <c r="E7" s="198" t="s">
        <v>299</v>
      </c>
      <c r="F7" s="198"/>
      <c r="G7" s="198"/>
      <c r="H7" s="198"/>
      <c r="K7" s="51"/>
      <c r="L7" s="52" t="s">
        <v>240</v>
      </c>
      <c r="M7" s="52"/>
      <c r="N7" s="52"/>
      <c r="O7" s="52" t="s">
        <v>247</v>
      </c>
      <c r="P7" s="52"/>
    </row>
    <row r="8" spans="1:26" ht="15" customHeight="1" x14ac:dyDescent="0.35">
      <c r="A8" s="198" t="s">
        <v>5</v>
      </c>
      <c r="B8" s="198"/>
      <c r="C8" s="198"/>
      <c r="D8" s="198"/>
      <c r="E8" s="198" t="str">
        <f>E7</f>
        <v>Tirumala Developers</v>
      </c>
      <c r="F8" s="198"/>
      <c r="G8" s="198"/>
      <c r="H8" s="198"/>
      <c r="K8" s="51"/>
      <c r="L8" s="52"/>
      <c r="M8" s="52"/>
      <c r="N8" s="52"/>
      <c r="O8" s="52" t="s">
        <v>248</v>
      </c>
      <c r="P8" s="52"/>
    </row>
    <row r="9" spans="1:26" x14ac:dyDescent="0.35">
      <c r="A9" s="198" t="s">
        <v>6</v>
      </c>
      <c r="B9" s="198"/>
      <c r="C9" s="198"/>
      <c r="D9" s="198"/>
      <c r="E9" s="147" t="s">
        <v>300</v>
      </c>
      <c r="F9" s="147"/>
      <c r="G9" s="147"/>
      <c r="H9" s="147"/>
      <c r="K9" s="51"/>
      <c r="L9" s="52"/>
      <c r="M9" s="52"/>
      <c r="N9" s="52"/>
      <c r="O9" s="52" t="s">
        <v>249</v>
      </c>
      <c r="P9" s="52"/>
    </row>
    <row r="10" spans="1:26" x14ac:dyDescent="0.35">
      <c r="A10" s="198" t="s">
        <v>163</v>
      </c>
      <c r="B10" s="198"/>
      <c r="C10" s="198"/>
      <c r="D10" s="198"/>
      <c r="E10" s="198">
        <v>8320995574</v>
      </c>
      <c r="F10" s="198"/>
      <c r="G10" s="198"/>
      <c r="H10" s="198"/>
      <c r="K10" s="51"/>
      <c r="L10" s="52"/>
      <c r="M10" s="52"/>
      <c r="N10" s="52"/>
      <c r="O10" s="52"/>
      <c r="P10" s="52"/>
    </row>
    <row r="11" spans="1:26" x14ac:dyDescent="0.35">
      <c r="A11" s="198" t="s">
        <v>164</v>
      </c>
      <c r="B11" s="198"/>
      <c r="C11" s="198"/>
      <c r="D11" s="198"/>
      <c r="E11" s="198" t="s">
        <v>301</v>
      </c>
      <c r="F11" s="198"/>
      <c r="G11" s="198"/>
      <c r="H11" s="198"/>
    </row>
    <row r="12" spans="1:26" ht="31.5" customHeight="1" x14ac:dyDescent="0.35">
      <c r="A12" s="198" t="s">
        <v>7</v>
      </c>
      <c r="B12" s="198"/>
      <c r="C12" s="198"/>
      <c r="D12" s="198"/>
      <c r="E12" s="187" t="s">
        <v>361</v>
      </c>
      <c r="F12" s="198"/>
      <c r="G12" s="198"/>
      <c r="H12" s="198"/>
    </row>
    <row r="13" spans="1:26" x14ac:dyDescent="0.35">
      <c r="A13" s="198" t="s">
        <v>167</v>
      </c>
      <c r="B13" s="198"/>
      <c r="C13" s="198"/>
      <c r="D13" s="198"/>
      <c r="E13" s="198" t="s">
        <v>28</v>
      </c>
      <c r="F13" s="198"/>
      <c r="G13" s="198"/>
      <c r="H13" s="198"/>
      <c r="S13" s="52" t="s">
        <v>175</v>
      </c>
      <c r="T13" s="52" t="s">
        <v>185</v>
      </c>
      <c r="U13" s="52" t="s">
        <v>168</v>
      </c>
      <c r="V13" s="52" t="s">
        <v>190</v>
      </c>
      <c r="W13" s="52" t="s">
        <v>208</v>
      </c>
      <c r="X13"/>
      <c r="Y13" t="s">
        <v>190</v>
      </c>
      <c r="Z13" t="e">
        <f ca="1">OFFSET($S$13,1,MATCH($G20,$S$13:$W$13,0)-1,15,1)</f>
        <v>#VALUE!</v>
      </c>
    </row>
    <row r="14" spans="1:26" x14ac:dyDescent="0.35">
      <c r="A14" s="169" t="s">
        <v>276</v>
      </c>
      <c r="B14" s="169"/>
      <c r="C14" s="169"/>
      <c r="D14" s="169"/>
      <c r="E14" s="187" t="s">
        <v>223</v>
      </c>
      <c r="F14" s="187"/>
      <c r="G14" s="187"/>
      <c r="H14" s="187"/>
      <c r="S14" s="52" t="s">
        <v>176</v>
      </c>
      <c r="T14" s="52" t="s">
        <v>183</v>
      </c>
      <c r="U14" s="52" t="s">
        <v>205</v>
      </c>
      <c r="V14" s="52" t="s">
        <v>191</v>
      </c>
      <c r="W14" s="52" t="s">
        <v>209</v>
      </c>
      <c r="X14"/>
      <c r="Y14"/>
      <c r="Z14"/>
    </row>
    <row r="15" spans="1:26" x14ac:dyDescent="0.35">
      <c r="A15" s="169" t="s">
        <v>8</v>
      </c>
      <c r="B15" s="169"/>
      <c r="C15" s="169"/>
      <c r="D15" s="169"/>
      <c r="E15" s="187" t="s">
        <v>302</v>
      </c>
      <c r="F15" s="198"/>
      <c r="G15" s="198"/>
      <c r="H15" s="198"/>
      <c r="I15" s="264" t="e">
        <f ca="1">OFFSET($D$5,1,MATCH($J13,$D$5:$H$5,0)-1,15,1)</f>
        <v>#N/A</v>
      </c>
      <c r="J15" s="265"/>
      <c r="K15" s="265"/>
      <c r="L15" s="265"/>
      <c r="M15" s="265"/>
      <c r="N15" s="265"/>
      <c r="O15" s="265"/>
      <c r="P15" s="265"/>
      <c r="S15" s="52" t="s">
        <v>177</v>
      </c>
      <c r="T15" s="52" t="s">
        <v>184</v>
      </c>
      <c r="U15" s="52" t="s">
        <v>206</v>
      </c>
      <c r="V15" s="52" t="s">
        <v>192</v>
      </c>
      <c r="W15" s="52" t="s">
        <v>222</v>
      </c>
      <c r="X15"/>
      <c r="Y15"/>
      <c r="Z15"/>
    </row>
    <row r="16" spans="1:26" ht="33.75" customHeight="1" x14ac:dyDescent="0.35">
      <c r="A16" s="187" t="s">
        <v>9</v>
      </c>
      <c r="B16" s="187"/>
      <c r="C16" s="187" t="str">
        <f>CONCATENATE((IF(OR(E9="",E9="NA"),"",E9)),", ",(IF(OR(A17="",A17="NA"),"",A17)),".",(IF(OR(C17="",C17="NA"),"",C17)),", near ",(IF(OR(C22="",C22="NA"),"",C22)),", ",(IF(OR(C19="",C19="NA"),"",C19)),", ",(IF(OR(C18="",C18="NA"),"",C18)),", ",(IF(OR(G19="",G19="NA"),"",G19)),", ",(IF(OR(C20="",C20="NA"),"",C20)),", ",(IF(OR(C21="",C21="NA"),"",C21)),", ",(IF(OR(G20="",G20="NA"),"",G20))," - ",(IF(OR(G21="",G21="NA"),"",G21)),".")</f>
        <v>Tirumala Heights, Survey No.91/A/6 &amp; 91/B, near Mahatma Gandhi Chowk Bus Stop, Phoolpada Road, , Virar, Virar East, Vasai, Palghar - 401305.</v>
      </c>
      <c r="D16" s="187"/>
      <c r="E16" s="187"/>
      <c r="F16" s="187"/>
      <c r="G16" s="187"/>
      <c r="H16" s="187"/>
      <c r="S16" s="52" t="s">
        <v>178</v>
      </c>
      <c r="T16" s="52" t="s">
        <v>186</v>
      </c>
      <c r="U16" s="52" t="s">
        <v>207</v>
      </c>
      <c r="V16" s="52" t="s">
        <v>193</v>
      </c>
      <c r="W16" s="52" t="s">
        <v>210</v>
      </c>
      <c r="X16"/>
      <c r="Y16"/>
      <c r="Z16"/>
    </row>
    <row r="17" spans="1:26" x14ac:dyDescent="0.35">
      <c r="A17" s="187" t="s">
        <v>303</v>
      </c>
      <c r="B17" s="187"/>
      <c r="C17" s="187" t="s">
        <v>359</v>
      </c>
      <c r="D17" s="187"/>
      <c r="E17" s="187"/>
      <c r="F17" s="187"/>
      <c r="G17" s="187"/>
      <c r="H17" s="187"/>
      <c r="S17" s="52" t="s">
        <v>179</v>
      </c>
      <c r="T17" s="52" t="s">
        <v>187</v>
      </c>
      <c r="U17" s="52" t="s">
        <v>168</v>
      </c>
      <c r="V17" s="52" t="s">
        <v>194</v>
      </c>
      <c r="W17" s="52" t="s">
        <v>211</v>
      </c>
      <c r="X17"/>
      <c r="Y17"/>
      <c r="Z17"/>
    </row>
    <row r="18" spans="1:26" ht="15.75" customHeight="1" x14ac:dyDescent="0.35">
      <c r="A18" s="187" t="s">
        <v>158</v>
      </c>
      <c r="B18" s="187"/>
      <c r="C18" s="187" t="s">
        <v>28</v>
      </c>
      <c r="D18" s="187"/>
      <c r="E18" s="187"/>
      <c r="F18" s="187"/>
      <c r="G18" s="187"/>
      <c r="H18" s="187"/>
      <c r="S18" s="52" t="s">
        <v>180</v>
      </c>
      <c r="T18" s="52" t="s">
        <v>185</v>
      </c>
      <c r="U18" s="52"/>
      <c r="V18" s="52" t="s">
        <v>195</v>
      </c>
      <c r="W18" s="52" t="s">
        <v>212</v>
      </c>
      <c r="X18"/>
      <c r="Y18"/>
      <c r="Z18"/>
    </row>
    <row r="19" spans="1:26" ht="15.75" customHeight="1" x14ac:dyDescent="0.35">
      <c r="A19" s="187" t="s">
        <v>10</v>
      </c>
      <c r="B19" s="187"/>
      <c r="C19" s="198" t="s">
        <v>308</v>
      </c>
      <c r="D19" s="198"/>
      <c r="E19" s="187" t="s">
        <v>70</v>
      </c>
      <c r="F19" s="187"/>
      <c r="G19" s="187" t="s">
        <v>305</v>
      </c>
      <c r="H19" s="187"/>
      <c r="S19" s="52" t="s">
        <v>181</v>
      </c>
      <c r="T19" s="52" t="s">
        <v>188</v>
      </c>
      <c r="U19" s="52"/>
      <c r="V19" s="52" t="s">
        <v>196</v>
      </c>
      <c r="W19" s="52" t="s">
        <v>213</v>
      </c>
      <c r="X19"/>
      <c r="Y19"/>
      <c r="Z19"/>
    </row>
    <row r="20" spans="1:26" x14ac:dyDescent="0.35">
      <c r="A20" s="198" t="s">
        <v>12</v>
      </c>
      <c r="B20" s="198"/>
      <c r="C20" s="187" t="s">
        <v>304</v>
      </c>
      <c r="D20" s="187"/>
      <c r="E20" s="187" t="s">
        <v>11</v>
      </c>
      <c r="F20" s="187"/>
      <c r="G20" s="223" t="s">
        <v>185</v>
      </c>
      <c r="H20" s="223"/>
      <c r="S20" s="52" t="s">
        <v>182</v>
      </c>
      <c r="T20" s="52" t="s">
        <v>189</v>
      </c>
      <c r="U20" s="52"/>
      <c r="V20" s="52" t="s">
        <v>197</v>
      </c>
      <c r="W20" s="52" t="s">
        <v>214</v>
      </c>
      <c r="X20"/>
      <c r="Y20"/>
      <c r="Z20"/>
    </row>
    <row r="21" spans="1:26" x14ac:dyDescent="0.35">
      <c r="A21" s="198" t="s">
        <v>71</v>
      </c>
      <c r="B21" s="198"/>
      <c r="C21" s="187" t="s">
        <v>186</v>
      </c>
      <c r="D21" s="187"/>
      <c r="E21" s="187" t="s">
        <v>13</v>
      </c>
      <c r="F21" s="187"/>
      <c r="G21" s="187">
        <v>401305</v>
      </c>
      <c r="H21" s="187"/>
      <c r="S21" s="52"/>
      <c r="T21" s="52"/>
      <c r="U21" s="52"/>
      <c r="V21" s="52" t="s">
        <v>198</v>
      </c>
      <c r="W21" s="52" t="s">
        <v>215</v>
      </c>
      <c r="X21"/>
      <c r="Y21"/>
      <c r="Z21"/>
    </row>
    <row r="22" spans="1:26" ht="32.25" customHeight="1" x14ac:dyDescent="0.35">
      <c r="A22" s="198" t="s">
        <v>119</v>
      </c>
      <c r="B22" s="198"/>
      <c r="C22" s="187" t="s">
        <v>362</v>
      </c>
      <c r="D22" s="187"/>
      <c r="E22" s="187" t="s">
        <v>14</v>
      </c>
      <c r="F22" s="187"/>
      <c r="G22" s="187" t="s">
        <v>358</v>
      </c>
      <c r="H22" s="187"/>
      <c r="S22" s="52"/>
      <c r="T22" s="52"/>
      <c r="U22" s="52"/>
      <c r="V22" s="52" t="s">
        <v>199</v>
      </c>
      <c r="W22" s="52" t="s">
        <v>216</v>
      </c>
      <c r="X22"/>
      <c r="Y22"/>
      <c r="Z22"/>
    </row>
    <row r="23" spans="1:26" ht="15" customHeight="1" x14ac:dyDescent="0.35">
      <c r="A23" s="197" t="s">
        <v>73</v>
      </c>
      <c r="B23" s="197"/>
      <c r="C23" s="197"/>
      <c r="D23" s="197"/>
      <c r="E23" s="198" t="s">
        <v>15</v>
      </c>
      <c r="F23" s="198"/>
      <c r="G23" s="198"/>
      <c r="H23" s="198"/>
      <c r="S23" s="52"/>
      <c r="T23" s="52"/>
      <c r="U23" s="52"/>
      <c r="V23" s="52" t="s">
        <v>200</v>
      </c>
      <c r="W23" s="52" t="s">
        <v>217</v>
      </c>
      <c r="X23"/>
      <c r="Y23"/>
      <c r="Z23"/>
    </row>
    <row r="24" spans="1:26" ht="18.75" customHeight="1" x14ac:dyDescent="0.35">
      <c r="A24" s="197"/>
      <c r="B24" s="197"/>
      <c r="C24" s="197"/>
      <c r="D24" s="197"/>
      <c r="E24" s="198"/>
      <c r="F24" s="198"/>
      <c r="G24" s="198"/>
      <c r="H24" s="198"/>
      <c r="S24" s="52"/>
      <c r="T24" s="52"/>
      <c r="U24" s="52"/>
      <c r="V24" s="52" t="s">
        <v>201</v>
      </c>
      <c r="W24" s="52" t="s">
        <v>218</v>
      </c>
      <c r="X24"/>
      <c r="Y24"/>
      <c r="Z24"/>
    </row>
    <row r="25" spans="1:26" ht="15" customHeight="1" x14ac:dyDescent="0.35">
      <c r="A25" s="197" t="s">
        <v>16</v>
      </c>
      <c r="B25" s="197"/>
      <c r="C25" s="197"/>
      <c r="D25" s="197"/>
      <c r="E25" s="187" t="s">
        <v>17</v>
      </c>
      <c r="F25" s="187"/>
      <c r="G25" s="187"/>
      <c r="H25" s="187"/>
      <c r="S25" s="52"/>
      <c r="T25" s="52"/>
      <c r="U25" s="52"/>
      <c r="V25" s="52" t="s">
        <v>202</v>
      </c>
      <c r="W25" s="52" t="s">
        <v>219</v>
      </c>
      <c r="X25"/>
      <c r="Y25"/>
      <c r="Z25"/>
    </row>
    <row r="26" spans="1:26" ht="15" customHeight="1" x14ac:dyDescent="0.35">
      <c r="A26" s="169" t="s">
        <v>18</v>
      </c>
      <c r="B26" s="169"/>
      <c r="C26" s="169"/>
      <c r="D26" s="169"/>
      <c r="E26" s="187" t="str">
        <f>IF(AND(G20="Mumbai"),"Upper Class","Middle Class")</f>
        <v>Middle Class</v>
      </c>
      <c r="F26" s="187"/>
      <c r="G26" s="187"/>
      <c r="H26" s="187"/>
      <c r="S26" s="52"/>
      <c r="T26" s="52"/>
      <c r="U26" s="52"/>
      <c r="V26" s="52" t="s">
        <v>203</v>
      </c>
      <c r="W26" s="52" t="s">
        <v>220</v>
      </c>
      <c r="X26"/>
      <c r="Y26"/>
      <c r="Z26"/>
    </row>
    <row r="27" spans="1:26" x14ac:dyDescent="0.35">
      <c r="A27" s="169" t="s">
        <v>19</v>
      </c>
      <c r="B27" s="169"/>
      <c r="C27" s="169"/>
      <c r="D27" s="169"/>
      <c r="E27" s="187" t="s">
        <v>20</v>
      </c>
      <c r="F27" s="187"/>
      <c r="G27" s="187"/>
      <c r="H27" s="187"/>
      <c r="S27" s="52"/>
      <c r="T27" s="52"/>
      <c r="U27" s="52"/>
      <c r="V27" s="52" t="s">
        <v>204</v>
      </c>
      <c r="W27" s="52" t="s">
        <v>221</v>
      </c>
      <c r="X27"/>
      <c r="Y27"/>
      <c r="Z27"/>
    </row>
    <row r="28" spans="1:26" ht="15.75" customHeight="1" x14ac:dyDescent="0.35">
      <c r="A28" s="169" t="s">
        <v>21</v>
      </c>
      <c r="B28" s="169"/>
      <c r="C28" s="169"/>
      <c r="D28" s="169"/>
      <c r="E28" s="187" t="str">
        <f>IF(AND(G20="Mumbai"),"Developed","Developing")</f>
        <v>Developing</v>
      </c>
      <c r="F28" s="187"/>
      <c r="G28" s="187"/>
      <c r="H28" s="187"/>
    </row>
    <row r="29" spans="1:26" x14ac:dyDescent="0.35">
      <c r="A29" s="169" t="s">
        <v>22</v>
      </c>
      <c r="B29" s="169"/>
      <c r="C29" s="169"/>
      <c r="D29" s="169"/>
      <c r="E29" s="187" t="s">
        <v>23</v>
      </c>
      <c r="F29" s="187"/>
      <c r="G29" s="187"/>
      <c r="H29" s="187"/>
    </row>
    <row r="30" spans="1:26" ht="15.75" customHeight="1" x14ac:dyDescent="0.35">
      <c r="A30" s="169" t="s">
        <v>78</v>
      </c>
      <c r="B30" s="169"/>
      <c r="C30" s="169"/>
      <c r="D30" s="169"/>
      <c r="E30" s="187" t="s">
        <v>79</v>
      </c>
      <c r="F30" s="187"/>
      <c r="G30" s="187"/>
      <c r="H30" s="187"/>
    </row>
    <row r="31" spans="1:26" ht="15" customHeight="1" x14ac:dyDescent="0.35">
      <c r="A31" s="169" t="s">
        <v>30</v>
      </c>
      <c r="B31" s="169"/>
      <c r="C31" s="169"/>
      <c r="D31" s="169"/>
      <c r="E31" s="18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87"/>
      <c r="G31" s="187"/>
      <c r="H31" s="187"/>
    </row>
    <row r="32" spans="1:26" ht="15.75" customHeight="1" x14ac:dyDescent="0.35">
      <c r="A32" s="169" t="s">
        <v>90</v>
      </c>
      <c r="B32" s="169"/>
      <c r="C32" s="169"/>
      <c r="D32" s="169"/>
      <c r="E32" s="187" t="s">
        <v>31</v>
      </c>
      <c r="F32" s="187"/>
      <c r="G32" s="187"/>
      <c r="H32" s="187"/>
    </row>
    <row r="33" spans="1:19" s="22" customFormat="1" x14ac:dyDescent="0.35">
      <c r="A33" s="222" t="s">
        <v>91</v>
      </c>
      <c r="B33" s="222"/>
      <c r="C33" s="221" t="s">
        <v>169</v>
      </c>
      <c r="D33" s="221"/>
      <c r="E33" s="221"/>
      <c r="F33" s="221" t="s">
        <v>29</v>
      </c>
      <c r="G33" s="221"/>
      <c r="H33" s="221"/>
      <c r="S33" s="22" t="e">
        <f ca="1">OFFSET($S$13,1,MATCH($G20,$S$13:$W$13,0)-1,15,1)</f>
        <v>#VALUE!</v>
      </c>
    </row>
    <row r="34" spans="1:19" s="22" customFormat="1" x14ac:dyDescent="0.35">
      <c r="A34" s="205" t="s">
        <v>24</v>
      </c>
      <c r="B34" s="205" t="s">
        <v>28</v>
      </c>
      <c r="C34" s="206" t="s">
        <v>309</v>
      </c>
      <c r="D34" s="206"/>
      <c r="E34" s="206"/>
      <c r="F34" s="206" t="s">
        <v>310</v>
      </c>
      <c r="G34" s="206"/>
      <c r="H34" s="206"/>
    </row>
    <row r="35" spans="1:19" x14ac:dyDescent="0.35">
      <c r="A35" s="205" t="s">
        <v>25</v>
      </c>
      <c r="B35" s="205" t="s">
        <v>28</v>
      </c>
      <c r="C35" s="206" t="s">
        <v>309</v>
      </c>
      <c r="D35" s="206"/>
      <c r="E35" s="206"/>
      <c r="F35" s="206" t="s">
        <v>311</v>
      </c>
      <c r="G35" s="206"/>
      <c r="H35" s="206"/>
    </row>
    <row r="36" spans="1:19" s="22" customFormat="1" x14ac:dyDescent="0.35">
      <c r="A36" s="205" t="s">
        <v>27</v>
      </c>
      <c r="B36" s="205" t="s">
        <v>28</v>
      </c>
      <c r="C36" s="206" t="s">
        <v>307</v>
      </c>
      <c r="D36" s="206"/>
      <c r="E36" s="206"/>
      <c r="F36" s="206" t="s">
        <v>308</v>
      </c>
      <c r="G36" s="206"/>
      <c r="H36" s="206"/>
    </row>
    <row r="37" spans="1:19" x14ac:dyDescent="0.35">
      <c r="A37" s="205" t="s">
        <v>26</v>
      </c>
      <c r="B37" s="205" t="s">
        <v>28</v>
      </c>
      <c r="C37" s="206" t="s">
        <v>309</v>
      </c>
      <c r="D37" s="206"/>
      <c r="E37" s="206"/>
      <c r="F37" s="206" t="s">
        <v>312</v>
      </c>
      <c r="G37" s="206"/>
      <c r="H37" s="206"/>
    </row>
    <row r="38" spans="1:19" x14ac:dyDescent="0.35">
      <c r="A38" s="169" t="s">
        <v>277</v>
      </c>
      <c r="B38" s="169"/>
      <c r="C38" s="169"/>
      <c r="D38" s="169"/>
      <c r="E38" s="169"/>
      <c r="F38" s="169"/>
      <c r="G38" s="169"/>
      <c r="H38" s="169"/>
    </row>
    <row r="39" spans="1:19" ht="15.75" customHeight="1" x14ac:dyDescent="0.35">
      <c r="A39" s="169" t="s">
        <v>161</v>
      </c>
      <c r="B39" s="169"/>
      <c r="C39" s="199" t="s">
        <v>381</v>
      </c>
      <c r="D39" s="199"/>
      <c r="E39" s="199"/>
      <c r="F39" s="199"/>
      <c r="G39" s="199"/>
      <c r="H39" s="199"/>
    </row>
    <row r="40" spans="1:19" x14ac:dyDescent="0.35">
      <c r="A40" s="169" t="s">
        <v>157</v>
      </c>
      <c r="B40" s="169"/>
      <c r="C40" s="186" t="s">
        <v>306</v>
      </c>
      <c r="D40" s="187"/>
      <c r="E40" s="187"/>
      <c r="F40" s="187"/>
      <c r="G40" s="187"/>
      <c r="H40" s="187"/>
    </row>
    <row r="41" spans="1:19" x14ac:dyDescent="0.35">
      <c r="A41" s="199" t="s">
        <v>32</v>
      </c>
      <c r="B41" s="199"/>
      <c r="C41" s="199"/>
      <c r="D41" s="199"/>
      <c r="E41" s="199"/>
      <c r="F41" s="199"/>
      <c r="G41" s="199"/>
      <c r="H41" s="199"/>
    </row>
    <row r="42" spans="1:19" x14ac:dyDescent="0.35">
      <c r="A42" s="169" t="s">
        <v>33</v>
      </c>
      <c r="B42" s="169"/>
      <c r="C42" s="169"/>
      <c r="D42" s="169"/>
      <c r="E42" s="208">
        <v>5367.2</v>
      </c>
      <c r="F42" s="208"/>
      <c r="G42" s="208"/>
      <c r="H42" s="208"/>
    </row>
    <row r="43" spans="1:19" x14ac:dyDescent="0.35">
      <c r="A43" s="169" t="s">
        <v>34</v>
      </c>
      <c r="B43" s="169"/>
      <c r="C43" s="169"/>
      <c r="D43" s="169"/>
      <c r="E43" s="218">
        <f>5367.2/E42</f>
        <v>1</v>
      </c>
      <c r="F43" s="218"/>
      <c r="G43" s="218"/>
      <c r="H43" s="218"/>
    </row>
    <row r="44" spans="1:19" x14ac:dyDescent="0.35">
      <c r="A44" s="169" t="s">
        <v>35</v>
      </c>
      <c r="B44" s="169"/>
      <c r="C44" s="169"/>
      <c r="D44" s="169"/>
      <c r="E44" s="218">
        <f>E46/E42-E43</f>
        <v>0.61704799523028786</v>
      </c>
      <c r="F44" s="218"/>
      <c r="G44" s="218"/>
      <c r="H44" s="218"/>
    </row>
    <row r="45" spans="1:19" x14ac:dyDescent="0.35">
      <c r="A45" s="169" t="s">
        <v>36</v>
      </c>
      <c r="B45" s="169"/>
      <c r="C45" s="169"/>
      <c r="D45" s="169"/>
      <c r="E45" s="218">
        <f>E43+E44</f>
        <v>1.6170479952302879</v>
      </c>
      <c r="F45" s="218"/>
      <c r="G45" s="218"/>
      <c r="H45" s="218"/>
      <c r="I45" s="67">
        <f>E46/E42</f>
        <v>1.6170479952302879</v>
      </c>
    </row>
    <row r="46" spans="1:19" x14ac:dyDescent="0.35">
      <c r="A46" s="169" t="s">
        <v>89</v>
      </c>
      <c r="B46" s="169"/>
      <c r="C46" s="169"/>
      <c r="D46" s="169"/>
      <c r="E46" s="219">
        <v>8679.02</v>
      </c>
      <c r="F46" s="219"/>
      <c r="G46" s="219"/>
      <c r="H46" s="219"/>
    </row>
    <row r="47" spans="1:19" x14ac:dyDescent="0.35">
      <c r="A47" s="198" t="s">
        <v>37</v>
      </c>
      <c r="B47" s="198"/>
      <c r="C47" s="198"/>
      <c r="D47" s="198"/>
      <c r="E47" s="198" t="s">
        <v>365</v>
      </c>
      <c r="F47" s="198"/>
      <c r="G47" s="198"/>
      <c r="H47" s="198"/>
    </row>
    <row r="48" spans="1:19" x14ac:dyDescent="0.35">
      <c r="A48" s="199" t="s">
        <v>38</v>
      </c>
      <c r="B48" s="199"/>
      <c r="C48" s="199"/>
      <c r="D48" s="199"/>
      <c r="E48" s="199"/>
      <c r="F48" s="199"/>
      <c r="G48" s="199"/>
      <c r="H48" s="199"/>
    </row>
    <row r="49" spans="1:24" ht="33.75" customHeight="1" x14ac:dyDescent="0.35">
      <c r="A49" s="162" t="s">
        <v>149</v>
      </c>
      <c r="B49" s="163"/>
      <c r="C49" s="164" t="s">
        <v>272</v>
      </c>
      <c r="D49" s="165"/>
      <c r="E49" s="165"/>
      <c r="F49" s="165"/>
      <c r="G49" s="165"/>
      <c r="H49" s="166"/>
      <c r="R49" t="s">
        <v>250</v>
      </c>
      <c r="S49" t="s">
        <v>168</v>
      </c>
      <c r="T49" t="s">
        <v>175</v>
      </c>
      <c r="U49" t="s">
        <v>190</v>
      </c>
      <c r="V49" t="s">
        <v>185</v>
      </c>
    </row>
    <row r="50" spans="1:24" ht="30.75" customHeight="1" x14ac:dyDescent="0.35">
      <c r="A50" s="162" t="s">
        <v>39</v>
      </c>
      <c r="B50" s="163"/>
      <c r="C50" s="162" t="s">
        <v>345</v>
      </c>
      <c r="D50" s="220"/>
      <c r="E50" s="163"/>
      <c r="F50" s="18" t="s">
        <v>40</v>
      </c>
      <c r="G50" s="255">
        <v>45303</v>
      </c>
      <c r="H50" s="163"/>
      <c r="R50"/>
      <c r="S50" t="s">
        <v>251</v>
      </c>
      <c r="T50" t="s">
        <v>256</v>
      </c>
      <c r="U50" t="s">
        <v>267</v>
      </c>
      <c r="V50" t="s">
        <v>272</v>
      </c>
    </row>
    <row r="51" spans="1:24" ht="31.5" customHeight="1" x14ac:dyDescent="0.35">
      <c r="A51" s="162" t="s">
        <v>41</v>
      </c>
      <c r="B51" s="163"/>
      <c r="C51" s="162" t="str">
        <f>C50</f>
        <v>VVCMC/TP/AMEND/VP/6748/219/2023-24</v>
      </c>
      <c r="D51" s="220"/>
      <c r="E51" s="163"/>
      <c r="F51" s="18" t="s">
        <v>40</v>
      </c>
      <c r="G51" s="255">
        <v>45303</v>
      </c>
      <c r="H51" s="163"/>
      <c r="R51"/>
      <c r="S51" t="s">
        <v>252</v>
      </c>
      <c r="T51" t="s">
        <v>257</v>
      </c>
      <c r="U51" t="s">
        <v>265</v>
      </c>
      <c r="V51" t="s">
        <v>273</v>
      </c>
    </row>
    <row r="52" spans="1:24" s="23" customFormat="1" ht="35.25" customHeight="1" x14ac:dyDescent="0.35">
      <c r="A52" s="262" t="s">
        <v>363</v>
      </c>
      <c r="B52" s="263"/>
      <c r="C52" s="162" t="str">
        <f>C51</f>
        <v>VVCMC/TP/AMEND/VP/6748/219/2023-24</v>
      </c>
      <c r="D52" s="220"/>
      <c r="E52" s="163"/>
      <c r="F52" s="18" t="s">
        <v>40</v>
      </c>
      <c r="G52" s="255">
        <v>45303</v>
      </c>
      <c r="H52" s="163"/>
      <c r="R52"/>
      <c r="S52" t="s">
        <v>253</v>
      </c>
      <c r="T52" t="s">
        <v>258</v>
      </c>
      <c r="U52" t="s">
        <v>255</v>
      </c>
      <c r="V52" t="s">
        <v>274</v>
      </c>
    </row>
    <row r="53" spans="1:24" s="23" customFormat="1" ht="51" customHeight="1" x14ac:dyDescent="0.35">
      <c r="A53" s="212"/>
      <c r="B53" s="214"/>
      <c r="C53" s="162" t="s">
        <v>364</v>
      </c>
      <c r="D53" s="220"/>
      <c r="E53" s="220"/>
      <c r="F53" s="220"/>
      <c r="G53" s="220"/>
      <c r="H53" s="163"/>
      <c r="R53"/>
      <c r="S53" t="s">
        <v>254</v>
      </c>
      <c r="T53" t="s">
        <v>261</v>
      </c>
      <c r="U53" t="s">
        <v>268</v>
      </c>
    </row>
    <row r="54" spans="1:24" s="23" customFormat="1" hidden="1" x14ac:dyDescent="0.35">
      <c r="A54" s="258" t="s">
        <v>278</v>
      </c>
      <c r="B54" s="259"/>
      <c r="C54" s="162" t="str">
        <f>C53</f>
        <v>Bldg No 01 = A, B, C Wing = G/Stilt + 1st to 7th Floor.
Bldg No 02 = A, B Wing = Gr/Stilt + 2nd Floor. 
BUA 8679.02 sq.mt</v>
      </c>
      <c r="D54" s="220"/>
      <c r="E54" s="163"/>
      <c r="F54" s="18" t="s">
        <v>40</v>
      </c>
      <c r="G54" s="162"/>
      <c r="H54" s="163"/>
      <c r="R54"/>
      <c r="S54" t="s">
        <v>253</v>
      </c>
      <c r="T54" t="s">
        <v>258</v>
      </c>
      <c r="U54" t="s">
        <v>255</v>
      </c>
      <c r="V54" t="s">
        <v>274</v>
      </c>
    </row>
    <row r="55" spans="1:24" s="23" customFormat="1" ht="32.25" hidden="1" customHeight="1" x14ac:dyDescent="0.35">
      <c r="A55" s="260"/>
      <c r="B55" s="261"/>
      <c r="C55" s="194"/>
      <c r="D55" s="195"/>
      <c r="E55" s="195"/>
      <c r="F55" s="195"/>
      <c r="G55" s="195"/>
      <c r="H55" s="196"/>
      <c r="R55"/>
      <c r="S55" t="s">
        <v>255</v>
      </c>
      <c r="T55" t="s">
        <v>259</v>
      </c>
      <c r="U55" t="s">
        <v>269</v>
      </c>
      <c r="V55" s="21"/>
      <c r="W55" s="21"/>
      <c r="X55" s="21"/>
    </row>
    <row r="56" spans="1:24" s="23" customFormat="1" ht="34.5" hidden="1" customHeight="1" x14ac:dyDescent="0.35">
      <c r="A56" s="258" t="s">
        <v>279</v>
      </c>
      <c r="B56" s="259"/>
      <c r="C56" s="162">
        <f>C55</f>
        <v>0</v>
      </c>
      <c r="D56" s="220"/>
      <c r="E56" s="163"/>
      <c r="F56" s="18" t="s">
        <v>40</v>
      </c>
      <c r="G56" s="162">
        <f>G55</f>
        <v>0</v>
      </c>
      <c r="H56" s="163"/>
      <c r="R56"/>
      <c r="S56" s="21"/>
      <c r="T56" t="s">
        <v>260</v>
      </c>
      <c r="U56" t="s">
        <v>270</v>
      </c>
      <c r="V56" s="21"/>
      <c r="W56" s="21"/>
      <c r="X56" s="21"/>
    </row>
    <row r="57" spans="1:24" s="23" customFormat="1" ht="41.25" hidden="1" customHeight="1" x14ac:dyDescent="0.35">
      <c r="A57" s="260"/>
      <c r="B57" s="261"/>
      <c r="C57" s="162"/>
      <c r="D57" s="220"/>
      <c r="E57" s="220"/>
      <c r="F57" s="220"/>
      <c r="G57" s="220"/>
      <c r="H57" s="163"/>
      <c r="R57"/>
      <c r="S57" s="21"/>
      <c r="T57" t="s">
        <v>262</v>
      </c>
      <c r="U57" t="s">
        <v>271</v>
      </c>
      <c r="V57" s="21"/>
      <c r="W57" s="21"/>
      <c r="X57" s="21"/>
    </row>
    <row r="58" spans="1:24" s="23" customFormat="1" ht="15.75" hidden="1" customHeight="1" x14ac:dyDescent="0.35">
      <c r="A58" s="258" t="s">
        <v>280</v>
      </c>
      <c r="B58" s="259"/>
      <c r="C58" s="162">
        <f>C57</f>
        <v>0</v>
      </c>
      <c r="D58" s="220"/>
      <c r="E58" s="163"/>
      <c r="F58" s="18" t="s">
        <v>40</v>
      </c>
      <c r="G58" s="162">
        <f>G57</f>
        <v>0</v>
      </c>
      <c r="H58" s="163"/>
      <c r="R58"/>
      <c r="S58" s="21"/>
      <c r="T58" t="s">
        <v>263</v>
      </c>
      <c r="U58" s="21" t="s">
        <v>294</v>
      </c>
      <c r="V58" s="21"/>
      <c r="W58" s="21"/>
      <c r="X58" s="21"/>
    </row>
    <row r="59" spans="1:24" s="23" customFormat="1" ht="33.75" hidden="1" customHeight="1" x14ac:dyDescent="0.35">
      <c r="A59" s="260"/>
      <c r="B59" s="261"/>
      <c r="C59" s="162"/>
      <c r="D59" s="220"/>
      <c r="E59" s="220"/>
      <c r="F59" s="220"/>
      <c r="G59" s="220"/>
      <c r="H59" s="163"/>
      <c r="R59"/>
      <c r="S59" s="21"/>
      <c r="T59" t="s">
        <v>264</v>
      </c>
      <c r="U59" s="21"/>
      <c r="V59" s="21"/>
      <c r="W59" s="21"/>
      <c r="X59" s="21"/>
    </row>
    <row r="60" spans="1:24" hidden="1" x14ac:dyDescent="0.35">
      <c r="A60" s="266" t="s">
        <v>42</v>
      </c>
      <c r="B60" s="267"/>
      <c r="C60" s="266" t="s">
        <v>103</v>
      </c>
      <c r="D60" s="268"/>
      <c r="E60" s="267"/>
      <c r="F60" s="43" t="s">
        <v>40</v>
      </c>
      <c r="G60" s="256" t="s">
        <v>28</v>
      </c>
      <c r="H60" s="257"/>
      <c r="R60"/>
      <c r="T60" t="s">
        <v>266</v>
      </c>
    </row>
    <row r="61" spans="1:24" x14ac:dyDescent="0.35">
      <c r="A61" s="239" t="s">
        <v>44</v>
      </c>
      <c r="B61" s="239"/>
      <c r="C61" s="239"/>
      <c r="D61" s="239"/>
      <c r="E61" s="239"/>
      <c r="F61" s="239"/>
      <c r="G61" s="239"/>
      <c r="H61" s="239"/>
      <c r="T61" t="s">
        <v>275</v>
      </c>
    </row>
    <row r="62" spans="1:24" x14ac:dyDescent="0.35">
      <c r="A62" s="197" t="s">
        <v>88</v>
      </c>
      <c r="B62" s="197"/>
      <c r="C62" s="197"/>
      <c r="D62" s="169">
        <f>E46</f>
        <v>8679.02</v>
      </c>
      <c r="E62" s="169"/>
      <c r="F62" s="169"/>
      <c r="G62" s="169"/>
      <c r="H62" s="169"/>
      <c r="R62"/>
    </row>
    <row r="63" spans="1:24" x14ac:dyDescent="0.35">
      <c r="A63" s="187" t="s">
        <v>45</v>
      </c>
      <c r="B63" s="198"/>
      <c r="C63" s="198"/>
      <c r="D63" s="198" t="s">
        <v>378</v>
      </c>
      <c r="E63" s="198"/>
      <c r="F63" s="198"/>
      <c r="G63" s="198"/>
      <c r="H63" s="198"/>
      <c r="I63" s="24"/>
      <c r="R63"/>
    </row>
    <row r="64" spans="1:24" ht="34.5" customHeight="1" x14ac:dyDescent="0.35">
      <c r="A64" s="97" t="s">
        <v>46</v>
      </c>
      <c r="B64" s="98"/>
      <c r="C64" s="204"/>
      <c r="D64" s="202" t="s">
        <v>366</v>
      </c>
      <c r="E64" s="203"/>
      <c r="F64" s="203"/>
      <c r="G64" s="203"/>
      <c r="H64" s="203"/>
      <c r="R64"/>
    </row>
    <row r="65" spans="1:19" ht="15.75" customHeight="1" x14ac:dyDescent="0.35">
      <c r="A65" s="97" t="s">
        <v>86</v>
      </c>
      <c r="B65" s="98"/>
      <c r="C65" s="98"/>
      <c r="D65" s="247" t="s">
        <v>368</v>
      </c>
      <c r="E65" s="248"/>
      <c r="F65" s="248"/>
      <c r="G65" s="248"/>
      <c r="H65" s="249"/>
      <c r="R65"/>
    </row>
    <row r="66" spans="1:19" ht="15.75" customHeight="1" x14ac:dyDescent="0.35">
      <c r="A66" s="99"/>
      <c r="B66" s="100"/>
      <c r="C66" s="100"/>
      <c r="D66" s="244" t="s">
        <v>369</v>
      </c>
      <c r="E66" s="245"/>
      <c r="F66" s="245"/>
      <c r="G66" s="245"/>
      <c r="H66" s="246"/>
      <c r="R66"/>
    </row>
    <row r="67" spans="1:19" ht="15.75" customHeight="1" x14ac:dyDescent="0.35">
      <c r="A67" s="99"/>
      <c r="B67" s="100"/>
      <c r="C67" s="100"/>
      <c r="D67" s="244" t="s">
        <v>370</v>
      </c>
      <c r="E67" s="245"/>
      <c r="F67" s="245"/>
      <c r="G67" s="245"/>
      <c r="H67" s="246"/>
      <c r="S67"/>
    </row>
    <row r="68" spans="1:19" ht="15.75" customHeight="1" x14ac:dyDescent="0.35">
      <c r="A68" s="101"/>
      <c r="B68" s="102"/>
      <c r="C68" s="102"/>
      <c r="D68" s="173" t="s">
        <v>371</v>
      </c>
      <c r="E68" s="174"/>
      <c r="F68" s="174"/>
      <c r="G68" s="174"/>
      <c r="H68" s="175"/>
      <c r="R68"/>
    </row>
    <row r="69" spans="1:19" ht="15.75" customHeight="1" x14ac:dyDescent="0.35">
      <c r="A69" s="209" t="s">
        <v>43</v>
      </c>
      <c r="B69" s="210"/>
      <c r="C69" s="211"/>
      <c r="D69" s="212" t="s">
        <v>313</v>
      </c>
      <c r="E69" s="213"/>
      <c r="F69" s="213"/>
      <c r="G69" s="213"/>
      <c r="H69" s="214"/>
      <c r="J69" s="25"/>
      <c r="K69" s="24"/>
      <c r="N69" s="24"/>
      <c r="S69"/>
    </row>
    <row r="70" spans="1:19" ht="15.75" customHeight="1" x14ac:dyDescent="0.35">
      <c r="A70" s="209" t="s">
        <v>84</v>
      </c>
      <c r="B70" s="210"/>
      <c r="C70" s="211"/>
      <c r="D70" s="215" t="str">
        <f>(IF(G60="NA","60 Years After Completion",IF(G60&lt;&gt;"NA",""&amp;60-ROUNDDOWN((E3-G60)/360,0)&amp;" Years"," ")))</f>
        <v>60 Years After Completion</v>
      </c>
      <c r="E70" s="216"/>
      <c r="F70" s="216"/>
      <c r="G70" s="216"/>
      <c r="H70" s="217"/>
      <c r="N70" s="24"/>
      <c r="S70"/>
    </row>
    <row r="71" spans="1:19" ht="15.75" customHeight="1" x14ac:dyDescent="0.35">
      <c r="A71" s="169" t="s">
        <v>85</v>
      </c>
      <c r="B71" s="169"/>
      <c r="C71" s="169"/>
      <c r="D71" s="197" t="s">
        <v>23</v>
      </c>
      <c r="E71" s="197"/>
      <c r="F71" s="197"/>
      <c r="G71" s="197"/>
      <c r="H71" s="197"/>
      <c r="J71" s="26"/>
      <c r="K71" s="26"/>
      <c r="S71"/>
    </row>
    <row r="72" spans="1:19" ht="32.25" customHeight="1" x14ac:dyDescent="0.35">
      <c r="A72" s="198" t="s">
        <v>377</v>
      </c>
      <c r="B72" s="198"/>
      <c r="C72" s="198"/>
      <c r="D72" s="187" t="s">
        <v>340</v>
      </c>
      <c r="E72" s="197"/>
      <c r="F72" s="197"/>
      <c r="G72" s="197"/>
      <c r="H72" s="197"/>
      <c r="S72"/>
    </row>
    <row r="73" spans="1:19" x14ac:dyDescent="0.35">
      <c r="A73" s="197" t="s">
        <v>146</v>
      </c>
      <c r="B73" s="197"/>
      <c r="C73" s="197"/>
      <c r="D73" s="197" t="s">
        <v>28</v>
      </c>
      <c r="E73" s="197"/>
      <c r="F73" s="197"/>
      <c r="G73" s="197"/>
      <c r="H73" s="197"/>
      <c r="I73" s="27"/>
      <c r="J73" s="27"/>
      <c r="K73" s="27"/>
      <c r="L73" s="27"/>
      <c r="M73" s="27"/>
      <c r="N73" s="27"/>
    </row>
    <row r="74" spans="1:19" ht="15.75" customHeight="1" x14ac:dyDescent="0.35">
      <c r="A74" s="169" t="s">
        <v>83</v>
      </c>
      <c r="B74" s="169"/>
      <c r="C74" s="169"/>
      <c r="D74" s="187" t="str">
        <f ca="1">(IF(G80&gt;95%,"Nothing",IF(G80&gt;0%,"Cement, Aggregate, Steel, etc",IF(G80=0%,"Work not yet Started"))))</f>
        <v>Cement, Aggregate, Steel, etc</v>
      </c>
      <c r="E74" s="187"/>
      <c r="F74" s="187"/>
      <c r="G74" s="187"/>
      <c r="H74" s="187"/>
      <c r="J74" s="26"/>
      <c r="S74"/>
    </row>
    <row r="75" spans="1:19" ht="33.75" customHeight="1" thickBot="1" x14ac:dyDescent="0.4">
      <c r="A75" s="197" t="s">
        <v>116</v>
      </c>
      <c r="B75" s="197"/>
      <c r="C75" s="197"/>
      <c r="D75" s="187" t="str">
        <f ca="1">(IF(D74="Nothing","Yes",IF(D74="Cement, Aggregate, Steel, etc","Under Construction",IF(D74="Work not yet Started","Work not yet Started"))))</f>
        <v>Under Construction</v>
      </c>
      <c r="E75" s="187"/>
      <c r="F75" s="187" t="str">
        <f ca="1">(IF(D74="Nothing","Yes",IF(D74="Cement, Aggregate, Steel, etc","Under Construction",IF(D74="Work not yet Started","Work not yet Started"))))</f>
        <v>Under Construction</v>
      </c>
      <c r="G75" s="187"/>
      <c r="H75" s="187"/>
      <c r="S75"/>
    </row>
    <row r="76" spans="1:19" s="23" customFormat="1" ht="15.75" customHeight="1" x14ac:dyDescent="0.35">
      <c r="A76" s="115" t="s">
        <v>137</v>
      </c>
      <c r="B76" s="115"/>
      <c r="C76" s="115" t="str">
        <f>D65</f>
        <v>Building No 01 A Wing = G/Stilt + 1st to 7th Floor</v>
      </c>
      <c r="D76" s="115"/>
      <c r="E76" s="115"/>
      <c r="F76" s="115"/>
      <c r="G76" s="115"/>
      <c r="H76" s="115"/>
      <c r="I76" s="93" t="str">
        <f ca="1">IF(D89=100%,"All work Completed. Possession granted to the Building.",IF(D88=100%,"All work Completed, Waiting for OC",I77&amp;""&amp;I78&amp;""&amp;J77&amp;""&amp;J76&amp;" "&amp;J78))</f>
        <v>Excavation, Plinth Completed, RCC upto 7 Slab, Brickwork upto 2 Floor Completed</v>
      </c>
      <c r="J76" s="85"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7 Slab, Brickwork upto 2 Floor</v>
      </c>
      <c r="S76" s="86"/>
    </row>
    <row r="77" spans="1:19" x14ac:dyDescent="0.35">
      <c r="A77" s="49" t="s">
        <v>139</v>
      </c>
      <c r="B77" s="49">
        <f>IF(AND(ISNUMBER(SEARCH("1B",C76))),1,IF(AND(ISNUMBER(SEARCH("2B",C76))),2,IF(AND(ISNUMBER(SEARCH("3B",C76))),3,IF(AND(ISNUMBER(SEARCH("4B",C76))),4,IF(ISNUMBER(SEARCH("5B",C76)),5,0)))))</f>
        <v>0</v>
      </c>
      <c r="C77" s="49" t="s">
        <v>69</v>
      </c>
      <c r="D77" s="49">
        <v>1</v>
      </c>
      <c r="E77" s="49" t="s">
        <v>68</v>
      </c>
      <c r="F77" s="49">
        <v>0</v>
      </c>
      <c r="G77" s="49" t="s">
        <v>77</v>
      </c>
      <c r="H77" s="49">
        <f ca="1">--TRIM(RIGHT(SUBSTITUTE(LEFT(C76,_xlfn.AGGREGATE(16,6,FIND({0,1,2,3,4,5,6,7,8,9},C76,ROW(INDIRECT("1:"&amp;LEN(C76)))),1))," ",REPT(" ",LEN(C76))),LEN(C76)))</f>
        <v>7</v>
      </c>
      <c r="I77" s="94" t="str">
        <f ca="1">IF(D80=100%,"Excavation","")&amp;IF(D81=100%,", Plinth","")&amp;IF(D82=100%,", RCC Slab","")&amp;IF(D83=100%,", Brickwork","")&amp;IF(D84=100%,", Internal Plaster","")&amp;IF(D85=100%,", External Plaster","")&amp;IF(D86=100%,", Flooring","")&amp;IF(D87=100%,", Painting","")&amp;IF(D88=100%,", Building common Amenities","")</f>
        <v>Excavation, Plinth</v>
      </c>
      <c r="J77" s="48"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1" customHeight="1" x14ac:dyDescent="0.35">
      <c r="A78" s="147" t="s">
        <v>87</v>
      </c>
      <c r="B78" s="147"/>
      <c r="C78" s="115" t="str">
        <f ca="1">I76</f>
        <v>Excavation, Plinth Completed, RCC upto 7 Slab, Brickwork upto 2 Floor Completed</v>
      </c>
      <c r="D78" s="115"/>
      <c r="E78" s="115"/>
      <c r="F78" s="115"/>
      <c r="G78" s="115"/>
      <c r="H78" s="115"/>
      <c r="I78" s="94" t="str">
        <f ca="1">IF(I77&lt;&gt;""," Completed","")</f>
        <v xml:space="preserve"> Completed</v>
      </c>
      <c r="J78" s="48" t="str">
        <f ca="1">IF(J76&lt;&gt;"","Completed","")</f>
        <v>Completed</v>
      </c>
      <c r="S78"/>
    </row>
    <row r="79" spans="1:19" ht="15.75" customHeight="1" x14ac:dyDescent="0.35">
      <c r="A79" s="149" t="s">
        <v>47</v>
      </c>
      <c r="B79" s="149"/>
      <c r="C79" s="80" t="s">
        <v>136</v>
      </c>
      <c r="D79" s="80" t="s">
        <v>80</v>
      </c>
      <c r="E79" s="149" t="s">
        <v>82</v>
      </c>
      <c r="F79" s="149"/>
      <c r="G79" s="149" t="s">
        <v>81</v>
      </c>
      <c r="H79" s="149"/>
      <c r="I79" s="13" t="s">
        <v>138</v>
      </c>
      <c r="J79" s="28">
        <f ca="1">H77*25%</f>
        <v>1.75</v>
      </c>
      <c r="S79"/>
    </row>
    <row r="80" spans="1:19" x14ac:dyDescent="0.35">
      <c r="A80" s="149" t="s">
        <v>125</v>
      </c>
      <c r="B80" s="149"/>
      <c r="C80" s="80">
        <f ca="1">J81</f>
        <v>7</v>
      </c>
      <c r="D80" s="81">
        <f ca="1">((100/H77)*C80)/100</f>
        <v>1</v>
      </c>
      <c r="E80" s="207">
        <f ca="1">(((C81/H77*10)+(40/(D77+F77+H77)*C82)+(7.5/(H77)*C83)+(7.5/(H77)*C84)+(10/H77*C85)+(10/H77*C86)+(5/H77*C87)+(5/H77*C88)+(5/H77*C89))/100)</f>
        <v>0.47142857142857147</v>
      </c>
      <c r="F80" s="207"/>
      <c r="G80" s="207">
        <f ca="1">((((C80/H77)*20)+((C81/H77)*25)+(30/(H77+F77+D77)*C82)+(5/H77*C83)+(5/H77*C84)+(5/H77*C85)+(5/H77*C86)+(0/H77*C87)+(0/H77*C88)+(5/H77*C89))/100)</f>
        <v>0.72678571428571426</v>
      </c>
      <c r="H80" s="207"/>
      <c r="I80" s="13" t="s">
        <v>98</v>
      </c>
      <c r="J80" s="29">
        <f ca="1">H77*50%</f>
        <v>3.5</v>
      </c>
    </row>
    <row r="81" spans="1:19" x14ac:dyDescent="0.35">
      <c r="A81" s="149" t="s">
        <v>48</v>
      </c>
      <c r="B81" s="149"/>
      <c r="C81" s="82">
        <f ca="1">J89</f>
        <v>7</v>
      </c>
      <c r="D81" s="81">
        <f ca="1">((100/H77)*C81)/100</f>
        <v>1</v>
      </c>
      <c r="E81" s="207"/>
      <c r="F81" s="207"/>
      <c r="G81" s="207"/>
      <c r="H81" s="207"/>
      <c r="I81" s="13" t="s">
        <v>99</v>
      </c>
      <c r="J81" s="29">
        <f ca="1">H77</f>
        <v>7</v>
      </c>
      <c r="S81"/>
    </row>
    <row r="82" spans="1:19" ht="15.75" customHeight="1" x14ac:dyDescent="0.35">
      <c r="A82" s="149" t="s">
        <v>126</v>
      </c>
      <c r="B82" s="149"/>
      <c r="C82" s="80">
        <v>7</v>
      </c>
      <c r="D82" s="81">
        <f ca="1">((100/(D77+F77+H77))*C82)/100</f>
        <v>0.875</v>
      </c>
      <c r="E82" s="207"/>
      <c r="F82" s="207"/>
      <c r="G82" s="207"/>
      <c r="H82" s="207"/>
      <c r="I82" s="13" t="s">
        <v>100</v>
      </c>
      <c r="J82" s="30">
        <f ca="1">(IF(B77&gt;1,(H77/(B77+2)),H77/4))</f>
        <v>1.75</v>
      </c>
      <c r="S82"/>
    </row>
    <row r="83" spans="1:19" ht="15.75" customHeight="1" x14ac:dyDescent="0.35">
      <c r="A83" s="149" t="s">
        <v>133</v>
      </c>
      <c r="B83" s="149" t="s">
        <v>127</v>
      </c>
      <c r="C83" s="80">
        <v>2</v>
      </c>
      <c r="D83" s="81">
        <f ca="1">((100/H77)*C83)/100</f>
        <v>0.28571428571428575</v>
      </c>
      <c r="E83" s="207"/>
      <c r="F83" s="207"/>
      <c r="G83" s="207"/>
      <c r="H83" s="207"/>
      <c r="I83" s="13" t="s">
        <v>101</v>
      </c>
      <c r="J83" s="30">
        <f ca="1">(IF(B77&gt;1,(H77/(B77+2)+J82),H77/4+J82))</f>
        <v>3.5</v>
      </c>
    </row>
    <row r="84" spans="1:19" ht="15.75" customHeight="1" x14ac:dyDescent="0.35">
      <c r="A84" s="149" t="s">
        <v>134</v>
      </c>
      <c r="B84" s="149" t="s">
        <v>127</v>
      </c>
      <c r="C84" s="80">
        <v>0</v>
      </c>
      <c r="D84" s="81">
        <f ca="1">((100/H77)*C84)/100</f>
        <v>0</v>
      </c>
      <c r="E84" s="207"/>
      <c r="F84" s="207"/>
      <c r="G84" s="207"/>
      <c r="H84" s="207"/>
      <c r="I84" s="13" t="s">
        <v>144</v>
      </c>
      <c r="J84" s="30">
        <f>(IF(B77&gt;1,(H77/(B77+2)+J83),0))</f>
        <v>0</v>
      </c>
    </row>
    <row r="85" spans="1:19" ht="15" customHeight="1" x14ac:dyDescent="0.35">
      <c r="A85" s="149" t="s">
        <v>132</v>
      </c>
      <c r="B85" s="149" t="s">
        <v>129</v>
      </c>
      <c r="C85" s="80">
        <v>0</v>
      </c>
      <c r="D85" s="81">
        <f ca="1">((100/(H77))*C85)/100</f>
        <v>0</v>
      </c>
      <c r="E85" s="207"/>
      <c r="F85" s="207"/>
      <c r="G85" s="207"/>
      <c r="H85" s="207"/>
      <c r="I85" s="13" t="s">
        <v>140</v>
      </c>
      <c r="J85" s="30">
        <f>(IF(B77&gt;2,(H77/(B77+2)+J84),0))</f>
        <v>0</v>
      </c>
    </row>
    <row r="86" spans="1:19" ht="15.75" customHeight="1" x14ac:dyDescent="0.35">
      <c r="A86" s="149" t="s">
        <v>128</v>
      </c>
      <c r="B86" s="149" t="s">
        <v>128</v>
      </c>
      <c r="C86" s="80">
        <v>0</v>
      </c>
      <c r="D86" s="81">
        <f ca="1">((100/H77)*C86)/100</f>
        <v>0</v>
      </c>
      <c r="E86" s="207"/>
      <c r="F86" s="207"/>
      <c r="G86" s="207"/>
      <c r="H86" s="207"/>
      <c r="I86" s="13" t="s">
        <v>141</v>
      </c>
      <c r="J86" s="31">
        <f>(IF(B77&gt;3,(H77/(B77+2)+J85),0))</f>
        <v>0</v>
      </c>
    </row>
    <row r="87" spans="1:19" ht="15.75" customHeight="1" x14ac:dyDescent="0.35">
      <c r="A87" s="149" t="s">
        <v>135</v>
      </c>
      <c r="B87" s="149"/>
      <c r="C87" s="80">
        <v>0</v>
      </c>
      <c r="D87" s="81">
        <f ca="1">((100/H77)*C87)/100</f>
        <v>0</v>
      </c>
      <c r="E87" s="207"/>
      <c r="F87" s="207"/>
      <c r="G87" s="207"/>
      <c r="H87" s="207"/>
      <c r="I87" s="13" t="s">
        <v>142</v>
      </c>
      <c r="J87" s="30">
        <f>(IF(B77&gt;4,(H77/(B77+2)+J86),0))</f>
        <v>0</v>
      </c>
    </row>
    <row r="88" spans="1:19" ht="15.75" customHeight="1" x14ac:dyDescent="0.35">
      <c r="A88" s="149" t="s">
        <v>130</v>
      </c>
      <c r="B88" s="149" t="s">
        <v>130</v>
      </c>
      <c r="C88" s="80">
        <v>0</v>
      </c>
      <c r="D88" s="81">
        <f ca="1">((100/(H77))*C88)/100</f>
        <v>0</v>
      </c>
      <c r="E88" s="207"/>
      <c r="F88" s="207"/>
      <c r="G88" s="207"/>
      <c r="H88" s="207"/>
      <c r="I88" s="13" t="s">
        <v>145</v>
      </c>
      <c r="J88" s="30">
        <f ca="1">(IF(B77=1,(H77/(B77+3)+J83),IF(B77=0,(H77/4+J83),IF(B77&gt;1,0))))</f>
        <v>5.25</v>
      </c>
    </row>
    <row r="89" spans="1:19" ht="16" thickBot="1" x14ac:dyDescent="0.4">
      <c r="A89" s="149" t="s">
        <v>131</v>
      </c>
      <c r="B89" s="149"/>
      <c r="C89" s="80">
        <v>0</v>
      </c>
      <c r="D89" s="81">
        <f ca="1">((100/(H77))*C89)/100</f>
        <v>0</v>
      </c>
      <c r="E89" s="207"/>
      <c r="F89" s="207"/>
      <c r="G89" s="207"/>
      <c r="H89" s="207"/>
      <c r="I89" s="15" t="s">
        <v>102</v>
      </c>
      <c r="J89" s="32">
        <f ca="1">(IF(B77&gt;1.5,(H77/(B77+2)+J83+MAX(0,J84-J83)+MAX(0,J85-J84)+MAX(0,J86-J85)+MAX(0,J87-J86)+MAX(0,J88-J87)),IF(B77=1,(H77/(B77+3)+J88),IF(B77=0,H77/4+J88))))</f>
        <v>7</v>
      </c>
    </row>
    <row r="90" spans="1:19" ht="15.75" customHeight="1" x14ac:dyDescent="0.35">
      <c r="A90" s="141" t="s">
        <v>137</v>
      </c>
      <c r="B90" s="142"/>
      <c r="C90" s="143" t="str">
        <f>D66</f>
        <v>Building No 01 B Wing = G/Stilt + 1st to 7th Floor</v>
      </c>
      <c r="D90" s="144"/>
      <c r="E90" s="144"/>
      <c r="F90" s="144"/>
      <c r="G90" s="144"/>
      <c r="H90" s="145"/>
      <c r="I90" s="45" t="str">
        <f ca="1">IF(D103=100%,"All work Completed. Possession granted to the Building.",IF(D102=100%,"All work Completed, Waiting for OC",I91&amp;""&amp;I92&amp;""&amp;J91&amp;""&amp;J90&amp;" "&amp;J92))</f>
        <v>Excavation, Plinth Completed, RCC upto 7 Slab, Brickwork upto 2 Floor Completed</v>
      </c>
      <c r="J90" s="46"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RCC upto 7 Slab, Brickwork upto 2 Floor</v>
      </c>
    </row>
    <row r="91" spans="1:19" x14ac:dyDescent="0.35">
      <c r="A91" s="16" t="s">
        <v>139</v>
      </c>
      <c r="B91" s="49">
        <f>IF(AND(ISNUMBER(SEARCH("1B",C90))),1,IF(AND(ISNUMBER(SEARCH("2B",C90))),2,IF(AND(ISNUMBER(SEARCH("3B",C90))),3,IF(AND(ISNUMBER(SEARCH("4B",C90))),4,IF(ISNUMBER(SEARCH("5B",C90)),5,0)))))</f>
        <v>0</v>
      </c>
      <c r="C91" s="49" t="s">
        <v>69</v>
      </c>
      <c r="D91" s="49">
        <v>1</v>
      </c>
      <c r="E91" s="49" t="s">
        <v>68</v>
      </c>
      <c r="F91" s="49">
        <v>0</v>
      </c>
      <c r="G91" s="49" t="s">
        <v>77</v>
      </c>
      <c r="H91" s="17">
        <f ca="1">--TRIM(RIGHT(SUBSTITUTE(LEFT(C90,_xlfn.AGGREGATE(16,6,FIND({0,1,2,3,4,5,6,7,8,9},C90,ROW(INDIRECT("1:"&amp;LEN(C90)))),1))," ",REPT(" ",LEN(C90))),LEN(C90)))</f>
        <v>7</v>
      </c>
      <c r="I91" s="47" t="str">
        <f ca="1">IF(D94=100%,"Excavation","")&amp;IF(D95=100%,", Plinth","")&amp;IF(D96=100%,", RCC Slab","")&amp;IF(D97=100%,", Brickwork","")&amp;IF(D98=100%,", Internal Plaster","")&amp;IF(D99=100%,", External Plaster","")&amp;IF(D100=100%,", Flooring","")&amp;IF(D101=100%,", Painting","")&amp;IF(D102=100%,", Building common Amenities","")</f>
        <v>Excavation, Plinth</v>
      </c>
      <c r="J91" s="48"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t="32" customHeight="1" x14ac:dyDescent="0.35">
      <c r="A92" s="146" t="s">
        <v>87</v>
      </c>
      <c r="B92" s="147"/>
      <c r="C92" s="115" t="str">
        <f ca="1">(IF($G$60="NA",I90,"All work Completed. OC Received."))</f>
        <v>Excavation, Plinth Completed, RCC upto 7 Slab, Brickwork upto 2 Floor Completed</v>
      </c>
      <c r="D92" s="115"/>
      <c r="E92" s="115"/>
      <c r="F92" s="115"/>
      <c r="G92" s="115"/>
      <c r="H92" s="116"/>
      <c r="I92" s="47" t="str">
        <f ca="1">IF(I91&lt;&gt;""," Completed","")</f>
        <v xml:space="preserve"> Completed</v>
      </c>
      <c r="J92" s="48" t="str">
        <f ca="1">IF(J90&lt;&gt;"","Completed","")</f>
        <v>Completed</v>
      </c>
    </row>
    <row r="93" spans="1:19" ht="15.75" customHeight="1" x14ac:dyDescent="0.35">
      <c r="A93" s="148" t="s">
        <v>47</v>
      </c>
      <c r="B93" s="149"/>
      <c r="C93" s="80" t="s">
        <v>136</v>
      </c>
      <c r="D93" s="80" t="s">
        <v>80</v>
      </c>
      <c r="E93" s="149" t="s">
        <v>82</v>
      </c>
      <c r="F93" s="149"/>
      <c r="G93" s="149" t="s">
        <v>81</v>
      </c>
      <c r="H93" s="150"/>
      <c r="I93" s="13" t="s">
        <v>138</v>
      </c>
      <c r="J93" s="28">
        <f ca="1">H91*25%</f>
        <v>1.75</v>
      </c>
    </row>
    <row r="94" spans="1:19" x14ac:dyDescent="0.35">
      <c r="A94" s="148" t="s">
        <v>125</v>
      </c>
      <c r="B94" s="149"/>
      <c r="C94" s="80">
        <f ca="1">J95</f>
        <v>7</v>
      </c>
      <c r="D94" s="81">
        <f ca="1">((100/H91)*C94)/100</f>
        <v>1</v>
      </c>
      <c r="E94" s="151">
        <f ca="1">(((C95/H91*10)+(40/(D91+F91+H91)*C96)+(7.5/(H91)*C97)+(7.5/(H91)*C98)+(10/H91*C99)+(10/H91*C100)+(5/H91*C101)+(5/H91*C102)+(5/H91*C103))/100)</f>
        <v>0.47142857142857147</v>
      </c>
      <c r="F94" s="152"/>
      <c r="G94" s="151">
        <f ca="1">((((C94/H91)*20)+((C95/H91)*25)+(30/(H91+F91+D91)*C96)+(5/H91*C97)+(5/H91*C98)+(5/H91*C99)+(5/H91*C100)+(0/H91*C101)+(0/H91*C102)+(5/H91*C103))/100)</f>
        <v>0.72678571428571426</v>
      </c>
      <c r="H94" s="157"/>
      <c r="I94" s="13" t="s">
        <v>98</v>
      </c>
      <c r="J94" s="29">
        <f ca="1">H91*50%</f>
        <v>3.5</v>
      </c>
    </row>
    <row r="95" spans="1:19" x14ac:dyDescent="0.35">
      <c r="A95" s="148" t="s">
        <v>48</v>
      </c>
      <c r="B95" s="149"/>
      <c r="C95" s="82">
        <f ca="1">J103</f>
        <v>7</v>
      </c>
      <c r="D95" s="81">
        <f ca="1">((100/H91)*C95)/100</f>
        <v>1</v>
      </c>
      <c r="E95" s="153"/>
      <c r="F95" s="154"/>
      <c r="G95" s="153"/>
      <c r="H95" s="158"/>
      <c r="I95" s="13" t="s">
        <v>99</v>
      </c>
      <c r="J95" s="29">
        <f ca="1">H91</f>
        <v>7</v>
      </c>
    </row>
    <row r="96" spans="1:19" ht="15.75" customHeight="1" x14ac:dyDescent="0.35">
      <c r="A96" s="148" t="s">
        <v>126</v>
      </c>
      <c r="B96" s="149"/>
      <c r="C96" s="80">
        <v>7</v>
      </c>
      <c r="D96" s="81">
        <f ca="1">((100/(D91+F91+H91))*C96)/100</f>
        <v>0.875</v>
      </c>
      <c r="E96" s="153"/>
      <c r="F96" s="154"/>
      <c r="G96" s="153"/>
      <c r="H96" s="158"/>
      <c r="I96" s="13" t="s">
        <v>100</v>
      </c>
      <c r="J96" s="30">
        <f ca="1">(IF(B91&gt;1,(H91/(B91+2)),H91/4))</f>
        <v>1.75</v>
      </c>
    </row>
    <row r="97" spans="1:10" ht="15.75" customHeight="1" x14ac:dyDescent="0.35">
      <c r="A97" s="148" t="s">
        <v>133</v>
      </c>
      <c r="B97" s="149" t="s">
        <v>127</v>
      </c>
      <c r="C97" s="80">
        <v>2</v>
      </c>
      <c r="D97" s="81">
        <f ca="1">((100/H91)*C97)/100</f>
        <v>0.28571428571428575</v>
      </c>
      <c r="E97" s="153"/>
      <c r="F97" s="154"/>
      <c r="G97" s="153"/>
      <c r="H97" s="158"/>
      <c r="I97" s="13" t="s">
        <v>101</v>
      </c>
      <c r="J97" s="30">
        <f ca="1">(IF(B91&gt;1,(H91/(B91+2)+J96),H91/4+J96))</f>
        <v>3.5</v>
      </c>
    </row>
    <row r="98" spans="1:10" ht="15.75" customHeight="1" x14ac:dyDescent="0.35">
      <c r="A98" s="148" t="s">
        <v>134</v>
      </c>
      <c r="B98" s="149" t="s">
        <v>127</v>
      </c>
      <c r="C98" s="80">
        <v>0</v>
      </c>
      <c r="D98" s="81">
        <f ca="1">((100/H91)*C98)/100</f>
        <v>0</v>
      </c>
      <c r="E98" s="153"/>
      <c r="F98" s="154"/>
      <c r="G98" s="153"/>
      <c r="H98" s="158"/>
      <c r="I98" s="13" t="s">
        <v>144</v>
      </c>
      <c r="J98" s="30">
        <f>(IF(B91&gt;1,(H91/(B91+2)+J97),0))</f>
        <v>0</v>
      </c>
    </row>
    <row r="99" spans="1:10" ht="15" customHeight="1" x14ac:dyDescent="0.35">
      <c r="A99" s="148" t="s">
        <v>132</v>
      </c>
      <c r="B99" s="149" t="s">
        <v>129</v>
      </c>
      <c r="C99" s="80">
        <v>0</v>
      </c>
      <c r="D99" s="81">
        <f ca="1">((100/(H91))*C99)/100</f>
        <v>0</v>
      </c>
      <c r="E99" s="153"/>
      <c r="F99" s="154"/>
      <c r="G99" s="153"/>
      <c r="H99" s="158"/>
      <c r="I99" s="13" t="s">
        <v>140</v>
      </c>
      <c r="J99" s="30">
        <f>(IF(B91&gt;2,(H91/(B91+2)+J98),0))</f>
        <v>0</v>
      </c>
    </row>
    <row r="100" spans="1:10" ht="15.75" customHeight="1" x14ac:dyDescent="0.35">
      <c r="A100" s="148" t="s">
        <v>128</v>
      </c>
      <c r="B100" s="149" t="s">
        <v>128</v>
      </c>
      <c r="C100" s="80">
        <v>0</v>
      </c>
      <c r="D100" s="81">
        <f ca="1">((100/H91)*C100)/100</f>
        <v>0</v>
      </c>
      <c r="E100" s="153"/>
      <c r="F100" s="154"/>
      <c r="G100" s="153"/>
      <c r="H100" s="158"/>
      <c r="I100" s="13" t="s">
        <v>141</v>
      </c>
      <c r="J100" s="31">
        <f>(IF(B91&gt;3,(H91/(B91+2)+J99),0))</f>
        <v>0</v>
      </c>
    </row>
    <row r="101" spans="1:10" ht="15.75" customHeight="1" x14ac:dyDescent="0.35">
      <c r="A101" s="148" t="s">
        <v>135</v>
      </c>
      <c r="B101" s="149"/>
      <c r="C101" s="80">
        <v>0</v>
      </c>
      <c r="D101" s="81">
        <f ca="1">((100/H91)*C101)/100</f>
        <v>0</v>
      </c>
      <c r="E101" s="153"/>
      <c r="F101" s="154"/>
      <c r="G101" s="153"/>
      <c r="H101" s="158"/>
      <c r="I101" s="13" t="s">
        <v>142</v>
      </c>
      <c r="J101" s="30">
        <f>(IF(B91&gt;4,(H91/(B91+2)+J100),0))</f>
        <v>0</v>
      </c>
    </row>
    <row r="102" spans="1:10" ht="15.75" customHeight="1" x14ac:dyDescent="0.35">
      <c r="A102" s="148" t="s">
        <v>130</v>
      </c>
      <c r="B102" s="149" t="s">
        <v>130</v>
      </c>
      <c r="C102" s="80">
        <v>0</v>
      </c>
      <c r="D102" s="81">
        <f ca="1">((100/(H91))*C102)/100</f>
        <v>0</v>
      </c>
      <c r="E102" s="153"/>
      <c r="F102" s="154"/>
      <c r="G102" s="153"/>
      <c r="H102" s="158"/>
      <c r="I102" s="13" t="s">
        <v>145</v>
      </c>
      <c r="J102" s="30">
        <f ca="1">(IF(B91=1,(H91/(B91+3)+J97),IF(B91=0,(H91/4+J97),IF(B91&gt;1,0))))</f>
        <v>5.25</v>
      </c>
    </row>
    <row r="103" spans="1:10" ht="16" thickBot="1" x14ac:dyDescent="0.4">
      <c r="A103" s="176" t="s">
        <v>131</v>
      </c>
      <c r="B103" s="177"/>
      <c r="C103" s="95">
        <v>0</v>
      </c>
      <c r="D103" s="96">
        <f ca="1">((100/(H91))*C103)/100</f>
        <v>0</v>
      </c>
      <c r="E103" s="153"/>
      <c r="F103" s="154"/>
      <c r="G103" s="153"/>
      <c r="H103" s="158"/>
      <c r="I103" s="15" t="s">
        <v>102</v>
      </c>
      <c r="J103" s="32">
        <f ca="1">(IF(B91&gt;1.5,(H91/(B91+2)+J97+MAX(0,J98-J97)+MAX(0,J99-J98)+MAX(0,J100-J99)+MAX(0,J101-J100)+MAX(0,J102-J101)),IF(B91=1,(H91/(B91+3)+J102),IF(B91=0,H91/4+J102))))</f>
        <v>7</v>
      </c>
    </row>
    <row r="104" spans="1:10" ht="15.75" customHeight="1" x14ac:dyDescent="0.35">
      <c r="A104" s="115" t="s">
        <v>137</v>
      </c>
      <c r="B104" s="115"/>
      <c r="C104" s="115" t="str">
        <f>D67</f>
        <v>Building No 01 C Wing = G/Stilt + 1st to 7th Floor</v>
      </c>
      <c r="D104" s="115"/>
      <c r="E104" s="115"/>
      <c r="F104" s="115"/>
      <c r="G104" s="115"/>
      <c r="H104" s="115"/>
      <c r="I104" s="93" t="str">
        <f ca="1">IF(D117=100%,"All work Completed. Possession granted to the Building.",IF(D116=100%,"All work Completed, Waiting for OC",I105&amp;""&amp;I106&amp;""&amp;J105&amp;""&amp;J104&amp;" "&amp;J106))</f>
        <v>Excavation, Plinth, RCC Slab Completed, Brickwork upto 2 Floor Completed</v>
      </c>
      <c r="J104" s="46"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Brickwork upto 2 Floor</v>
      </c>
    </row>
    <row r="105" spans="1:10" x14ac:dyDescent="0.35">
      <c r="A105" s="49" t="s">
        <v>139</v>
      </c>
      <c r="B105" s="49">
        <f>IF(AND(ISNUMBER(SEARCH("1B",C104))),1,IF(AND(ISNUMBER(SEARCH("2B",C104))),2,IF(AND(ISNUMBER(SEARCH("3B",C104))),3,IF(AND(ISNUMBER(SEARCH("4B",C104))),4,IF(ISNUMBER(SEARCH("5B",C104)),5,0)))))</f>
        <v>0</v>
      </c>
      <c r="C105" s="49" t="s">
        <v>69</v>
      </c>
      <c r="D105" s="49">
        <v>1</v>
      </c>
      <c r="E105" s="49" t="s">
        <v>68</v>
      </c>
      <c r="F105" s="49">
        <v>0</v>
      </c>
      <c r="G105" s="49" t="s">
        <v>77</v>
      </c>
      <c r="H105" s="49">
        <f ca="1">--TRIM(RIGHT(SUBSTITUTE(LEFT(C104,_xlfn.AGGREGATE(16,6,FIND({0,1,2,3,4,5,6,7,8,9},C104,ROW(INDIRECT("1:"&amp;LEN(C104)))),1))," ",REPT(" ",LEN(C104))),LEN(C104)))</f>
        <v>7</v>
      </c>
      <c r="I105" s="94" t="str">
        <f ca="1">IF(D108=100%,"Excavation","")&amp;IF(D109=100%,", Plinth","")&amp;IF(D110=100%,", RCC Slab","")&amp;IF(D111=100%,", Brickwork","")&amp;IF(D112=100%,", Internal Plaster","")&amp;IF(D113=100%,", External Plaster","")&amp;IF(D114=100%,", Flooring","")&amp;IF(D115=100%,", Painting","")&amp;IF(D116=100%,", Building common Amenities","")</f>
        <v>Excavation, Plinth, RCC Slab</v>
      </c>
      <c r="J105" s="48"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ht="31" customHeight="1" x14ac:dyDescent="0.35">
      <c r="A106" s="147" t="s">
        <v>87</v>
      </c>
      <c r="B106" s="147"/>
      <c r="C106" s="115" t="str">
        <f ca="1">(IF($G$60="NA",I104,"All work Completed. OC Received."))</f>
        <v>Excavation, Plinth, RCC Slab Completed, Brickwork upto 2 Floor Completed</v>
      </c>
      <c r="D106" s="115"/>
      <c r="E106" s="115"/>
      <c r="F106" s="115"/>
      <c r="G106" s="115"/>
      <c r="H106" s="115"/>
      <c r="I106" s="94" t="str">
        <f ca="1">IF(I105&lt;&gt;""," Completed","")</f>
        <v xml:space="preserve"> Completed</v>
      </c>
      <c r="J106" s="48" t="str">
        <f ca="1">IF(J104&lt;&gt;"","Completed","")</f>
        <v>Completed</v>
      </c>
    </row>
    <row r="107" spans="1:10" ht="15.75" customHeight="1" x14ac:dyDescent="0.35">
      <c r="A107" s="149" t="s">
        <v>47</v>
      </c>
      <c r="B107" s="149"/>
      <c r="C107" s="80" t="s">
        <v>136</v>
      </c>
      <c r="D107" s="80" t="s">
        <v>80</v>
      </c>
      <c r="E107" s="149" t="s">
        <v>82</v>
      </c>
      <c r="F107" s="149"/>
      <c r="G107" s="149" t="s">
        <v>81</v>
      </c>
      <c r="H107" s="149"/>
      <c r="I107" s="13" t="s">
        <v>138</v>
      </c>
      <c r="J107" s="28">
        <f ca="1">H105*25%</f>
        <v>1.75</v>
      </c>
    </row>
    <row r="108" spans="1:10" x14ac:dyDescent="0.35">
      <c r="A108" s="149" t="s">
        <v>125</v>
      </c>
      <c r="B108" s="149"/>
      <c r="C108" s="80">
        <f ca="1">J109</f>
        <v>7</v>
      </c>
      <c r="D108" s="81">
        <f ca="1">((100/H105)*C108)/100</f>
        <v>1</v>
      </c>
      <c r="E108" s="207">
        <f ca="1">(((C109/H105*10)+(40/(D105+F105+H105)*C110)+(7.5/(H105)*C111)+(7.5/(H105)*C112)+(10/H105*C113)+(10/H105*C114)+(5/H105*C115)+(5/H105*C116)+(5/H105*C117))/100)</f>
        <v>0.52142857142857146</v>
      </c>
      <c r="F108" s="207"/>
      <c r="G108" s="207">
        <f ca="1">((((C108/H105)*20)+((C109/H105)*25)+(30/(H105+F105+D105)*C110)+(5/H105*C111)+(5/H105*C112)+(5/H105*C113)+(5/H105*C114)+(0/H105*C115)+(0/H105*C116)+(5/H105*C117))/100)</f>
        <v>0.76428571428571435</v>
      </c>
      <c r="H108" s="207"/>
      <c r="I108" s="13" t="s">
        <v>98</v>
      </c>
      <c r="J108" s="29">
        <f ca="1">H105*50%</f>
        <v>3.5</v>
      </c>
    </row>
    <row r="109" spans="1:10" x14ac:dyDescent="0.35">
      <c r="A109" s="149" t="s">
        <v>48</v>
      </c>
      <c r="B109" s="149"/>
      <c r="C109" s="82">
        <f ca="1">J117</f>
        <v>7</v>
      </c>
      <c r="D109" s="81">
        <f ca="1">((100/H105)*C109)/100</f>
        <v>1</v>
      </c>
      <c r="E109" s="207"/>
      <c r="F109" s="207"/>
      <c r="G109" s="207"/>
      <c r="H109" s="207"/>
      <c r="I109" s="13" t="s">
        <v>99</v>
      </c>
      <c r="J109" s="29">
        <f ca="1">H105</f>
        <v>7</v>
      </c>
    </row>
    <row r="110" spans="1:10" ht="15.75" customHeight="1" x14ac:dyDescent="0.35">
      <c r="A110" s="149" t="s">
        <v>126</v>
      </c>
      <c r="B110" s="149"/>
      <c r="C110" s="80">
        <v>8</v>
      </c>
      <c r="D110" s="81">
        <f ca="1">((100/(D105+F105+H105))*C110)/100</f>
        <v>1</v>
      </c>
      <c r="E110" s="207"/>
      <c r="F110" s="207"/>
      <c r="G110" s="207"/>
      <c r="H110" s="207"/>
      <c r="I110" s="13" t="s">
        <v>100</v>
      </c>
      <c r="J110" s="30">
        <f ca="1">(IF(B105&gt;1,(H105/(B105+2)),H105/4))</f>
        <v>1.75</v>
      </c>
    </row>
    <row r="111" spans="1:10" ht="15.75" customHeight="1" x14ac:dyDescent="0.35">
      <c r="A111" s="149" t="s">
        <v>133</v>
      </c>
      <c r="B111" s="149" t="s">
        <v>127</v>
      </c>
      <c r="C111" s="80">
        <v>2</v>
      </c>
      <c r="D111" s="81">
        <f ca="1">((100/H105)*C111)/100</f>
        <v>0.28571428571428575</v>
      </c>
      <c r="E111" s="207"/>
      <c r="F111" s="207"/>
      <c r="G111" s="207"/>
      <c r="H111" s="207"/>
      <c r="I111" s="13" t="s">
        <v>101</v>
      </c>
      <c r="J111" s="30">
        <f ca="1">(IF(B105&gt;1,(H105/(B105+2)+J110),H105/4+J110))</f>
        <v>3.5</v>
      </c>
    </row>
    <row r="112" spans="1:10" ht="15.75" customHeight="1" x14ac:dyDescent="0.35">
      <c r="A112" s="149" t="s">
        <v>134</v>
      </c>
      <c r="B112" s="149" t="s">
        <v>127</v>
      </c>
      <c r="C112" s="80">
        <v>0</v>
      </c>
      <c r="D112" s="81">
        <f ca="1">((100/H105)*C112)/100</f>
        <v>0</v>
      </c>
      <c r="E112" s="207"/>
      <c r="F112" s="207"/>
      <c r="G112" s="207"/>
      <c r="H112" s="207"/>
      <c r="I112" s="13" t="s">
        <v>144</v>
      </c>
      <c r="J112" s="30">
        <f>(IF(B105&gt;1,(H105/(B105+2)+J111),0))</f>
        <v>0</v>
      </c>
    </row>
    <row r="113" spans="1:19" ht="15" customHeight="1" x14ac:dyDescent="0.35">
      <c r="A113" s="149" t="s">
        <v>132</v>
      </c>
      <c r="B113" s="149" t="s">
        <v>129</v>
      </c>
      <c r="C113" s="80">
        <v>0</v>
      </c>
      <c r="D113" s="81">
        <f ca="1">((100/(H105))*C113)/100</f>
        <v>0</v>
      </c>
      <c r="E113" s="207"/>
      <c r="F113" s="207"/>
      <c r="G113" s="207"/>
      <c r="H113" s="207"/>
      <c r="I113" s="13" t="s">
        <v>140</v>
      </c>
      <c r="J113" s="30">
        <f>(IF(B105&gt;2,(H105/(B105+2)+J112),0))</f>
        <v>0</v>
      </c>
    </row>
    <row r="114" spans="1:19" ht="15.75" customHeight="1" x14ac:dyDescent="0.35">
      <c r="A114" s="149" t="s">
        <v>128</v>
      </c>
      <c r="B114" s="149" t="s">
        <v>128</v>
      </c>
      <c r="C114" s="80">
        <v>0</v>
      </c>
      <c r="D114" s="81">
        <f ca="1">((100/H105)*C114)/100</f>
        <v>0</v>
      </c>
      <c r="E114" s="207"/>
      <c r="F114" s="207"/>
      <c r="G114" s="207"/>
      <c r="H114" s="207"/>
      <c r="I114" s="13" t="s">
        <v>141</v>
      </c>
      <c r="J114" s="31">
        <f>(IF(B105&gt;3,(H105/(B105+2)+J113),0))</f>
        <v>0</v>
      </c>
    </row>
    <row r="115" spans="1:19" ht="15.75" customHeight="1" x14ac:dyDescent="0.35">
      <c r="A115" s="149" t="s">
        <v>135</v>
      </c>
      <c r="B115" s="149"/>
      <c r="C115" s="80">
        <v>0</v>
      </c>
      <c r="D115" s="81">
        <f ca="1">((100/H105)*C115)/100</f>
        <v>0</v>
      </c>
      <c r="E115" s="207"/>
      <c r="F115" s="207"/>
      <c r="G115" s="207"/>
      <c r="H115" s="207"/>
      <c r="I115" s="13" t="s">
        <v>142</v>
      </c>
      <c r="J115" s="30">
        <f>(IF(B105&gt;4,(H105/(B105+2)+J114),0))</f>
        <v>0</v>
      </c>
    </row>
    <row r="116" spans="1:19" ht="15.75" customHeight="1" x14ac:dyDescent="0.35">
      <c r="A116" s="149" t="s">
        <v>130</v>
      </c>
      <c r="B116" s="149" t="s">
        <v>130</v>
      </c>
      <c r="C116" s="80">
        <v>0</v>
      </c>
      <c r="D116" s="81">
        <f ca="1">((100/(H105))*C116)/100</f>
        <v>0</v>
      </c>
      <c r="E116" s="207"/>
      <c r="F116" s="207"/>
      <c r="G116" s="207"/>
      <c r="H116" s="207"/>
      <c r="I116" s="13" t="s">
        <v>145</v>
      </c>
      <c r="J116" s="30">
        <f ca="1">(IF(B105=1,(H105/(B105+3)+J111),IF(B105=0,(H105/4+J111),IF(B105&gt;1,0))))</f>
        <v>5.25</v>
      </c>
    </row>
    <row r="117" spans="1:19" ht="16" thickBot="1" x14ac:dyDescent="0.4">
      <c r="A117" s="149" t="s">
        <v>131</v>
      </c>
      <c r="B117" s="149"/>
      <c r="C117" s="80">
        <v>0</v>
      </c>
      <c r="D117" s="81">
        <f ca="1">((100/(H105))*C117)/100</f>
        <v>0</v>
      </c>
      <c r="E117" s="207"/>
      <c r="F117" s="207"/>
      <c r="G117" s="207"/>
      <c r="H117" s="207"/>
      <c r="I117" s="15" t="s">
        <v>102</v>
      </c>
      <c r="J117" s="32">
        <f ca="1">(IF(B105&gt;1.5,(H105/(B105+2)+J111+MAX(0,J112-J111)+MAX(0,J113-J112)+MAX(0,J114-J113)+MAX(0,J115-J114)+MAX(0,J116-J115)),IF(B105=1,(H105/(B105+3)+J116),IF(B105=0,H105/4+J116))))</f>
        <v>7</v>
      </c>
    </row>
    <row r="118" spans="1:19" ht="15.75" customHeight="1" x14ac:dyDescent="0.35">
      <c r="A118" s="141" t="s">
        <v>137</v>
      </c>
      <c r="B118" s="142"/>
      <c r="C118" s="143" t="str">
        <f>D68</f>
        <v>Building No 02 (A &amp; B Wing) = Gr/Stilt + 1st to 7th Floor</v>
      </c>
      <c r="D118" s="144"/>
      <c r="E118" s="144"/>
      <c r="F118" s="144"/>
      <c r="G118" s="144"/>
      <c r="H118" s="145"/>
      <c r="I118" s="45" t="str">
        <f ca="1">IF(D131=100%,"All work Completed. Possession granted to the Building.",IF(D130=100%,"All work Completed, Waiting for OC",I119&amp;""&amp;I120&amp;""&amp;J119&amp;""&amp;J118&amp;" "&amp;J120))</f>
        <v xml:space="preserve">Work not yet Started. </v>
      </c>
      <c r="J118" s="46"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c>
      <c r="S118"/>
    </row>
    <row r="119" spans="1:19" x14ac:dyDescent="0.35">
      <c r="A119" s="16" t="s">
        <v>139</v>
      </c>
      <c r="B119" s="49">
        <f>IF(AND(ISNUMBER(SEARCH("1B",C118))),1,IF(AND(ISNUMBER(SEARCH("2B",C118))),2,IF(AND(ISNUMBER(SEARCH("3B",C118))),3,IF(AND(ISNUMBER(SEARCH("4B",C118))),4,IF(ISNUMBER(SEARCH("5B",C118)),5,0)))))</f>
        <v>0</v>
      </c>
      <c r="C119" s="49" t="s">
        <v>69</v>
      </c>
      <c r="D119" s="49">
        <v>1</v>
      </c>
      <c r="E119" s="49" t="s">
        <v>68</v>
      </c>
      <c r="F119" s="49">
        <v>0</v>
      </c>
      <c r="G119" s="49" t="s">
        <v>77</v>
      </c>
      <c r="H119" s="17">
        <f ca="1">--TRIM(RIGHT(SUBSTITUTE(LEFT(C118,_xlfn.AGGREGATE(16,6,FIND({0,1,2,3,4,5,6,7,8,9},C118,ROW(INDIRECT("1:"&amp;LEN(C118)))),1))," ",REPT(" ",LEN(C118))),LEN(C118)))</f>
        <v>7</v>
      </c>
      <c r="I119" s="47" t="str">
        <f ca="1">IF(D122=100%,"Excavation","")&amp;IF(D123=100%,", Plinth","")&amp;IF(D124=100%,", RCC Slab","")&amp;IF(D125=100%,", Brickwork","")&amp;IF(D126=100%,", Internal Plaster","")&amp;IF(D127=100%,", External Plaster","")&amp;IF(D128=100%,", Flooring","")&amp;IF(D129=100%,", Painting","")&amp;IF(D130=100%,", Building common Amenities","")</f>
        <v/>
      </c>
      <c r="J119" s="48" t="str">
        <f>(IF(C122=0,"Work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Work not yet Started.</v>
      </c>
      <c r="S119"/>
    </row>
    <row r="120" spans="1:19" x14ac:dyDescent="0.35">
      <c r="A120" s="146" t="s">
        <v>87</v>
      </c>
      <c r="B120" s="147"/>
      <c r="C120" s="115" t="str">
        <f ca="1">I118</f>
        <v xml:space="preserve">Work not yet Started. </v>
      </c>
      <c r="D120" s="115"/>
      <c r="E120" s="115"/>
      <c r="F120" s="115"/>
      <c r="G120" s="115"/>
      <c r="H120" s="116"/>
      <c r="I120" s="47" t="str">
        <f ca="1">IF(I119&lt;&gt;""," Completed","")</f>
        <v/>
      </c>
      <c r="J120" s="48" t="str">
        <f ca="1">IF(J118&lt;&gt;"","Completed","")</f>
        <v/>
      </c>
      <c r="S120"/>
    </row>
    <row r="121" spans="1:19" ht="15.75" customHeight="1" x14ac:dyDescent="0.35">
      <c r="A121" s="148" t="s">
        <v>47</v>
      </c>
      <c r="B121" s="149"/>
      <c r="C121" s="80" t="s">
        <v>136</v>
      </c>
      <c r="D121" s="80" t="s">
        <v>80</v>
      </c>
      <c r="E121" s="149" t="s">
        <v>82</v>
      </c>
      <c r="F121" s="149"/>
      <c r="G121" s="149" t="s">
        <v>81</v>
      </c>
      <c r="H121" s="150"/>
      <c r="I121" s="13" t="s">
        <v>138</v>
      </c>
      <c r="J121" s="28">
        <f ca="1">H119*25%</f>
        <v>1.75</v>
      </c>
      <c r="S121"/>
    </row>
    <row r="122" spans="1:19" x14ac:dyDescent="0.35">
      <c r="A122" s="148" t="s">
        <v>125</v>
      </c>
      <c r="B122" s="149"/>
      <c r="C122" s="80">
        <v>0</v>
      </c>
      <c r="D122" s="81">
        <f ca="1">((100/H119)*C122)/100</f>
        <v>0</v>
      </c>
      <c r="E122" s="151">
        <f ca="1">(((C123/H119*10)+(40/(D119+F119+H119)*C124)+(7.5/(H119)*C125)+(7.5/(H119)*C126)+(10/H119*C127)+(10/H119*C128)+(5/H119*C129)+(5/H119*C130)+(5/H119*C131))/100)</f>
        <v>0</v>
      </c>
      <c r="F122" s="152"/>
      <c r="G122" s="151">
        <f ca="1">((((C122/H119)*20)+((C123/H119)*25)+(30/(H119+F119+D119)*C124)+(5/H119*C125)+(5/H119*C126)+(5/H119*C127)+(5/H119*C128)+(0/H119*C129)+(0/H119*C130)+(5/H119*C131))/100)</f>
        <v>0</v>
      </c>
      <c r="H122" s="157"/>
      <c r="I122" s="13" t="s">
        <v>98</v>
      </c>
      <c r="J122" s="29">
        <f ca="1">H119*50%</f>
        <v>3.5</v>
      </c>
    </row>
    <row r="123" spans="1:19" x14ac:dyDescent="0.35">
      <c r="A123" s="148" t="s">
        <v>48</v>
      </c>
      <c r="B123" s="149"/>
      <c r="C123" s="80">
        <v>0</v>
      </c>
      <c r="D123" s="81">
        <f ca="1">((100/H119)*C123)/100</f>
        <v>0</v>
      </c>
      <c r="E123" s="153"/>
      <c r="F123" s="154"/>
      <c r="G123" s="153"/>
      <c r="H123" s="158"/>
      <c r="I123" s="13" t="s">
        <v>99</v>
      </c>
      <c r="J123" s="29">
        <f ca="1">H119</f>
        <v>7</v>
      </c>
      <c r="S123"/>
    </row>
    <row r="124" spans="1:19" ht="15.75" customHeight="1" x14ac:dyDescent="0.35">
      <c r="A124" s="148" t="s">
        <v>126</v>
      </c>
      <c r="B124" s="149"/>
      <c r="C124" s="80">
        <v>0</v>
      </c>
      <c r="D124" s="81">
        <f ca="1">((100/(D119+F119+H119))*C124)/100</f>
        <v>0</v>
      </c>
      <c r="E124" s="153"/>
      <c r="F124" s="154"/>
      <c r="G124" s="153"/>
      <c r="H124" s="158"/>
      <c r="I124" s="13" t="s">
        <v>100</v>
      </c>
      <c r="J124" s="30">
        <f ca="1">(IF(B119&gt;1,(H119/(B119+2)),H119/4))</f>
        <v>1.75</v>
      </c>
      <c r="S124"/>
    </row>
    <row r="125" spans="1:19" ht="15.75" customHeight="1" x14ac:dyDescent="0.35">
      <c r="A125" s="148" t="s">
        <v>133</v>
      </c>
      <c r="B125" s="149" t="s">
        <v>127</v>
      </c>
      <c r="C125" s="80">
        <v>0</v>
      </c>
      <c r="D125" s="81">
        <f ca="1">((100/H119)*C125)/100</f>
        <v>0</v>
      </c>
      <c r="E125" s="153"/>
      <c r="F125" s="154"/>
      <c r="G125" s="153"/>
      <c r="H125" s="158"/>
      <c r="I125" s="13" t="s">
        <v>101</v>
      </c>
      <c r="J125" s="30">
        <f ca="1">(IF(B119&gt;1,(H119/(B119+2)+J124),H119/4+J124))</f>
        <v>3.5</v>
      </c>
    </row>
    <row r="126" spans="1:19" ht="15.75" customHeight="1" x14ac:dyDescent="0.35">
      <c r="A126" s="148" t="s">
        <v>134</v>
      </c>
      <c r="B126" s="149" t="s">
        <v>127</v>
      </c>
      <c r="C126" s="80">
        <v>0</v>
      </c>
      <c r="D126" s="81">
        <f ca="1">((100/H119)*C126)/100</f>
        <v>0</v>
      </c>
      <c r="E126" s="153"/>
      <c r="F126" s="154"/>
      <c r="G126" s="153"/>
      <c r="H126" s="158"/>
      <c r="I126" s="13" t="s">
        <v>144</v>
      </c>
      <c r="J126" s="30">
        <f>(IF(B119&gt;1,(H119/(B119+2)+J125),0))</f>
        <v>0</v>
      </c>
    </row>
    <row r="127" spans="1:19" ht="15" customHeight="1" x14ac:dyDescent="0.35">
      <c r="A127" s="148" t="s">
        <v>132</v>
      </c>
      <c r="B127" s="149" t="s">
        <v>129</v>
      </c>
      <c r="C127" s="80">
        <v>0</v>
      </c>
      <c r="D127" s="81">
        <f ca="1">((100/(H119))*C127)/100</f>
        <v>0</v>
      </c>
      <c r="E127" s="153"/>
      <c r="F127" s="154"/>
      <c r="G127" s="153"/>
      <c r="H127" s="158"/>
      <c r="I127" s="13" t="s">
        <v>140</v>
      </c>
      <c r="J127" s="30">
        <f>(IF(B119&gt;2,(H119/(B119+2)+J126),0))</f>
        <v>0</v>
      </c>
    </row>
    <row r="128" spans="1:19" ht="15.75" customHeight="1" x14ac:dyDescent="0.35">
      <c r="A128" s="148" t="s">
        <v>128</v>
      </c>
      <c r="B128" s="149" t="s">
        <v>128</v>
      </c>
      <c r="C128" s="80">
        <v>0</v>
      </c>
      <c r="D128" s="81">
        <f ca="1">((100/H119)*C128)/100</f>
        <v>0</v>
      </c>
      <c r="E128" s="153"/>
      <c r="F128" s="154"/>
      <c r="G128" s="153"/>
      <c r="H128" s="158"/>
      <c r="I128" s="13" t="s">
        <v>141</v>
      </c>
      <c r="J128" s="31">
        <f>(IF(B119&gt;3,(H119/(B119+2)+J127),0))</f>
        <v>0</v>
      </c>
    </row>
    <row r="129" spans="1:19" ht="15.75" customHeight="1" x14ac:dyDescent="0.35">
      <c r="A129" s="148" t="s">
        <v>135</v>
      </c>
      <c r="B129" s="149"/>
      <c r="C129" s="80">
        <v>0</v>
      </c>
      <c r="D129" s="81">
        <f ca="1">((100/H119)*C129)/100</f>
        <v>0</v>
      </c>
      <c r="E129" s="153"/>
      <c r="F129" s="154"/>
      <c r="G129" s="153"/>
      <c r="H129" s="158"/>
      <c r="I129" s="13" t="s">
        <v>142</v>
      </c>
      <c r="J129" s="30">
        <f>(IF(B119&gt;4,(H119/(B119+2)+J128),0))</f>
        <v>0</v>
      </c>
    </row>
    <row r="130" spans="1:19" ht="15.75" customHeight="1" x14ac:dyDescent="0.35">
      <c r="A130" s="148" t="s">
        <v>130</v>
      </c>
      <c r="B130" s="149" t="s">
        <v>130</v>
      </c>
      <c r="C130" s="80">
        <v>0</v>
      </c>
      <c r="D130" s="81">
        <f ca="1">((100/(H119))*C130)/100</f>
        <v>0</v>
      </c>
      <c r="E130" s="153"/>
      <c r="F130" s="154"/>
      <c r="G130" s="153"/>
      <c r="H130" s="158"/>
      <c r="I130" s="13" t="s">
        <v>145</v>
      </c>
      <c r="J130" s="30">
        <f ca="1">(IF(B119=1,(H119/(B119+3)+J125),IF(B119=0,(H119/4+J125),IF(B119&gt;1,0))))</f>
        <v>5.25</v>
      </c>
    </row>
    <row r="131" spans="1:19" ht="16" thickBot="1" x14ac:dyDescent="0.4">
      <c r="A131" s="178" t="s">
        <v>131</v>
      </c>
      <c r="B131" s="179"/>
      <c r="C131" s="83">
        <v>0</v>
      </c>
      <c r="D131" s="84">
        <f ca="1">((100/(H119))*C131)/100</f>
        <v>0</v>
      </c>
      <c r="E131" s="155"/>
      <c r="F131" s="156"/>
      <c r="G131" s="155"/>
      <c r="H131" s="159"/>
      <c r="I131" s="15" t="s">
        <v>102</v>
      </c>
      <c r="J131" s="32">
        <f ca="1">(IF(B119&gt;1.5,(H119/(B119+2)+J125+MAX(0,J126-J125)+MAX(0,J127-J126)+MAX(0,J128-J127)+MAX(0,J129-J128)+MAX(0,J130-J129)),IF(B119=1,(H119/(B119+3)+J130),IF(B119=0,H119/4+J130))))</f>
        <v>7</v>
      </c>
    </row>
    <row r="132" spans="1:19" ht="15.75" hidden="1" customHeight="1" x14ac:dyDescent="0.35">
      <c r="A132" s="180" t="s">
        <v>137</v>
      </c>
      <c r="B132" s="181"/>
      <c r="C132" s="182" t="s">
        <v>342</v>
      </c>
      <c r="D132" s="183"/>
      <c r="E132" s="183"/>
      <c r="F132" s="183"/>
      <c r="G132" s="183"/>
      <c r="H132" s="184"/>
      <c r="I132" s="45" t="str">
        <f ca="1">IF(D145=100%,"All work Completed. Possession granted to the Building.",IF(D144=100%,"All work Completed, Waiting for OC",I133&amp;""&amp;I134&amp;""&amp;J133&amp;""&amp;J132&amp;" "&amp;J134))</f>
        <v xml:space="preserve">Work not yet Started. </v>
      </c>
      <c r="J132" s="46" t="str">
        <f ca="1">(IF(C138=(D133+F133+H133),"",IF(C138&gt;0,", RCC upto "&amp;C138&amp;" Slab","")))&amp;(IF(C139=H133,"",IF(C139&gt;0,", Brickwork upto "&amp;C139&amp;" Floor","")))&amp;(IF(C140=H133,"",IF(C140&gt;0,", Internal Plaster upto "&amp;C140&amp;" Floor","")))&amp;(IF(C141=H133,"",IF(C141&gt;0,", External Plaster upto "&amp;C141&amp;" Floor","")))&amp;(IF(C142=H133,"",IF(C142&gt;0,", Flooring upto "&amp;C142&amp;" Floor","")))&amp;(IF(C143=H133,"",IF(C143&gt;0,", Painting upto "&amp;C143&amp;" Floor","")))&amp;(IF(C144=H133,"",IF(C144&gt;0,", Finishing upto "&amp;C144&amp;" Floor","")))&amp;(IF(C145=H133,"",IF(C145&gt;0,", Possession upto "&amp;C145&amp;" Floor","")))</f>
        <v/>
      </c>
      <c r="S132"/>
    </row>
    <row r="133" spans="1:19" hidden="1" x14ac:dyDescent="0.35">
      <c r="A133" s="16" t="s">
        <v>139</v>
      </c>
      <c r="B133" s="49">
        <f>IF(AND(ISNUMBER(SEARCH("1B",C132))),1,IF(AND(ISNUMBER(SEARCH("2B",C132))),2,IF(AND(ISNUMBER(SEARCH("3B",C132))),3,IF(AND(ISNUMBER(SEARCH("4B",C132))),4,IF(ISNUMBER(SEARCH("5B",C132)),5,0)))))</f>
        <v>0</v>
      </c>
      <c r="C133" s="49" t="s">
        <v>69</v>
      </c>
      <c r="D133" s="49">
        <v>1</v>
      </c>
      <c r="E133" s="49" t="s">
        <v>68</v>
      </c>
      <c r="F133" s="14">
        <v>0</v>
      </c>
      <c r="G133" s="44" t="s">
        <v>77</v>
      </c>
      <c r="H133" s="17">
        <f ca="1">--TRIM(RIGHT(SUBSTITUTE(LEFT(C132,_xlfn.AGGREGATE(16,6,FIND({0,1,2,3,4,5,6,7,8,9},C132,ROW(INDIRECT("1:"&amp;LEN(C132)))),1))," ",REPT(" ",LEN(C132))),LEN(C132)))</f>
        <v>1</v>
      </c>
      <c r="I133" s="47" t="str">
        <f ca="1">IF(D136=100%,"Excavation","")&amp;IF(D137=100%,", Plinth","")&amp;IF(D138=100%,", RCC Slab","")&amp;IF(D139=100%,", Brickwork","")&amp;IF(D140=100%,", Internal Plaster","")&amp;IF(D141=100%,", External Plaster","")&amp;IF(D142=100%,", Flooring","")&amp;IF(D143=100%,", Painting","")&amp;IF(D144=100%,", Building common Amenities","")</f>
        <v/>
      </c>
      <c r="J133" s="48" t="str">
        <f>(IF(C136=0,"Work not yet Started.",IF(D136=25%,"Piling work in process",IF(D136=50%,"Excavation work in process",IF(D136=100%,"","0")))))&amp;(IF(C137=0%,"",IF(C137=J138,", Footing work is process",IF(C137=J139,", Footing work Completed",IF(C137=J140,", 1st Basement Completed",IF(C137=J141,", 1st &amp; 2nd Basement Completed",IF(C137=J142,", 1st to 3rd Basement Completed",IF(C137=J143,", 1st to 4th Basement Completed",IF(C137=J144,", Plinth work is process",IF(C137=J145,"","0"))))))))))</f>
        <v>Work not yet Started.</v>
      </c>
      <c r="S133"/>
    </row>
    <row r="134" spans="1:19" ht="36.75" hidden="1" customHeight="1" x14ac:dyDescent="0.35">
      <c r="A134" s="146" t="s">
        <v>87</v>
      </c>
      <c r="B134" s="147"/>
      <c r="C134" s="115" t="str">
        <f ca="1">I132</f>
        <v xml:space="preserve">Work not yet Started. </v>
      </c>
      <c r="D134" s="115"/>
      <c r="E134" s="115"/>
      <c r="F134" s="115"/>
      <c r="G134" s="115"/>
      <c r="H134" s="116"/>
      <c r="I134" s="47" t="str">
        <f ca="1">IF(I133&lt;&gt;""," Completed","")</f>
        <v/>
      </c>
      <c r="J134" s="48" t="str">
        <f ca="1">IF(J132&lt;&gt;"","Completed","")</f>
        <v/>
      </c>
      <c r="S134"/>
    </row>
    <row r="135" spans="1:19" ht="15.75" hidden="1" customHeight="1" x14ac:dyDescent="0.35">
      <c r="A135" s="117" t="s">
        <v>47</v>
      </c>
      <c r="B135" s="118"/>
      <c r="C135" s="76" t="s">
        <v>136</v>
      </c>
      <c r="D135" s="76" t="s">
        <v>80</v>
      </c>
      <c r="E135" s="118" t="s">
        <v>82</v>
      </c>
      <c r="F135" s="118"/>
      <c r="G135" s="118" t="s">
        <v>81</v>
      </c>
      <c r="H135" s="119"/>
      <c r="I135" s="13" t="s">
        <v>138</v>
      </c>
      <c r="J135" s="28">
        <f ca="1">H133*25%</f>
        <v>0.25</v>
      </c>
      <c r="S135"/>
    </row>
    <row r="136" spans="1:19" hidden="1" x14ac:dyDescent="0.35">
      <c r="A136" s="117" t="s">
        <v>125</v>
      </c>
      <c r="B136" s="118"/>
      <c r="C136" s="60">
        <v>0</v>
      </c>
      <c r="D136" s="19">
        <f ca="1">((100/H133)*C136)/100</f>
        <v>0</v>
      </c>
      <c r="E136" s="120">
        <f ca="1">(((C137/H133*10)+(40/(D133+F133+H133)*C138)+(7.5/(H133)*C139)+(7.5/(H133)*C140)+(10/H133*C141)+(10/H133*C142)+(5/H133*C143)+(5/H133*C144)+(5/H133*C145))/100)</f>
        <v>0</v>
      </c>
      <c r="F136" s="121"/>
      <c r="G136" s="120">
        <f ca="1">((((C136/H133)*20)+((C137/H133)*25)+(30/(H133+F133+D133)*C138)+(5/H133*C139)+(5/H133*C140)+(5/H133*C141)+(5/H133*C142)+(0/H133*C143)+(0/H133*C144)+(5/H133*C145))/100)</f>
        <v>0</v>
      </c>
      <c r="H136" s="126"/>
      <c r="I136" s="13" t="s">
        <v>98</v>
      </c>
      <c r="J136" s="29">
        <f ca="1">H133*50%</f>
        <v>0.5</v>
      </c>
    </row>
    <row r="137" spans="1:19" hidden="1" x14ac:dyDescent="0.35">
      <c r="A137" s="117" t="s">
        <v>48</v>
      </c>
      <c r="B137" s="118"/>
      <c r="C137" s="76">
        <v>0</v>
      </c>
      <c r="D137" s="19">
        <f ca="1">((100/H133)*C137)/100</f>
        <v>0</v>
      </c>
      <c r="E137" s="122"/>
      <c r="F137" s="123"/>
      <c r="G137" s="122"/>
      <c r="H137" s="127"/>
      <c r="I137" s="13" t="s">
        <v>99</v>
      </c>
      <c r="J137" s="29">
        <f ca="1">H133</f>
        <v>1</v>
      </c>
      <c r="S137"/>
    </row>
    <row r="138" spans="1:19" ht="15.75" hidden="1" customHeight="1" x14ac:dyDescent="0.35">
      <c r="A138" s="117" t="s">
        <v>126</v>
      </c>
      <c r="B138" s="118"/>
      <c r="C138" s="76">
        <v>0</v>
      </c>
      <c r="D138" s="19">
        <f ca="1">((100/(D133+F133+H133))*C138)/100</f>
        <v>0</v>
      </c>
      <c r="E138" s="122"/>
      <c r="F138" s="123"/>
      <c r="G138" s="122"/>
      <c r="H138" s="127"/>
      <c r="I138" s="13" t="s">
        <v>100</v>
      </c>
      <c r="J138" s="30">
        <f ca="1">(IF(B133&gt;1,(H133/(B133+2)),H133/4))</f>
        <v>0.25</v>
      </c>
      <c r="S138"/>
    </row>
    <row r="139" spans="1:19" ht="15.75" hidden="1" customHeight="1" x14ac:dyDescent="0.35">
      <c r="A139" s="117" t="s">
        <v>133</v>
      </c>
      <c r="B139" s="118" t="s">
        <v>127</v>
      </c>
      <c r="C139" s="76">
        <v>0</v>
      </c>
      <c r="D139" s="19">
        <f ca="1">((100/H133)*C139)/100</f>
        <v>0</v>
      </c>
      <c r="E139" s="122"/>
      <c r="F139" s="123"/>
      <c r="G139" s="122"/>
      <c r="H139" s="127"/>
      <c r="I139" s="13" t="s">
        <v>101</v>
      </c>
      <c r="J139" s="30">
        <f ca="1">(IF(B133&gt;1,(H133/(B133+2)+J138),H133/4+J138))</f>
        <v>0.5</v>
      </c>
    </row>
    <row r="140" spans="1:19" ht="15.75" hidden="1" customHeight="1" x14ac:dyDescent="0.35">
      <c r="A140" s="117" t="s">
        <v>134</v>
      </c>
      <c r="B140" s="118" t="s">
        <v>127</v>
      </c>
      <c r="C140" s="76">
        <v>0</v>
      </c>
      <c r="D140" s="19">
        <f ca="1">((100/H133)*C140)/100</f>
        <v>0</v>
      </c>
      <c r="E140" s="122"/>
      <c r="F140" s="123"/>
      <c r="G140" s="122"/>
      <c r="H140" s="127"/>
      <c r="I140" s="13" t="s">
        <v>144</v>
      </c>
      <c r="J140" s="30">
        <f>(IF(B133&gt;1,(H133/(B133+2)+J139),0))</f>
        <v>0</v>
      </c>
    </row>
    <row r="141" spans="1:19" ht="15" hidden="1" customHeight="1" x14ac:dyDescent="0.35">
      <c r="A141" s="117" t="s">
        <v>132</v>
      </c>
      <c r="B141" s="118" t="s">
        <v>129</v>
      </c>
      <c r="C141" s="76">
        <v>0</v>
      </c>
      <c r="D141" s="19">
        <f ca="1">((100/(H133))*C141)/100</f>
        <v>0</v>
      </c>
      <c r="E141" s="122"/>
      <c r="F141" s="123"/>
      <c r="G141" s="122"/>
      <c r="H141" s="127"/>
      <c r="I141" s="13" t="s">
        <v>140</v>
      </c>
      <c r="J141" s="30">
        <f>(IF(B133&gt;2,(H133/(B133+2)+J140),0))</f>
        <v>0</v>
      </c>
    </row>
    <row r="142" spans="1:19" ht="15.75" hidden="1" customHeight="1" x14ac:dyDescent="0.35">
      <c r="A142" s="117" t="s">
        <v>128</v>
      </c>
      <c r="B142" s="118" t="s">
        <v>128</v>
      </c>
      <c r="C142" s="76">
        <v>0</v>
      </c>
      <c r="D142" s="19">
        <f ca="1">((100/H133)*C142)/100</f>
        <v>0</v>
      </c>
      <c r="E142" s="122"/>
      <c r="F142" s="123"/>
      <c r="G142" s="122"/>
      <c r="H142" s="127"/>
      <c r="I142" s="13" t="s">
        <v>141</v>
      </c>
      <c r="J142" s="31">
        <f>(IF(B133&gt;3,(H133/(B133+2)+J141),0))</f>
        <v>0</v>
      </c>
    </row>
    <row r="143" spans="1:19" ht="15.75" hidden="1" customHeight="1" x14ac:dyDescent="0.35">
      <c r="A143" s="117" t="s">
        <v>135</v>
      </c>
      <c r="B143" s="118"/>
      <c r="C143" s="76">
        <v>0</v>
      </c>
      <c r="D143" s="19">
        <f ca="1">((100/H133)*C143)/100</f>
        <v>0</v>
      </c>
      <c r="E143" s="122"/>
      <c r="F143" s="123"/>
      <c r="G143" s="122"/>
      <c r="H143" s="127"/>
      <c r="I143" s="13" t="s">
        <v>142</v>
      </c>
      <c r="J143" s="30">
        <f>(IF(B133&gt;4,(H133/(B133+2)+J142),0))</f>
        <v>0</v>
      </c>
    </row>
    <row r="144" spans="1:19" ht="15.75" hidden="1" customHeight="1" x14ac:dyDescent="0.35">
      <c r="A144" s="117" t="s">
        <v>130</v>
      </c>
      <c r="B144" s="118" t="s">
        <v>130</v>
      </c>
      <c r="C144" s="76">
        <v>0</v>
      </c>
      <c r="D144" s="19">
        <f ca="1">((100/(H133))*C144)/100</f>
        <v>0</v>
      </c>
      <c r="E144" s="122"/>
      <c r="F144" s="123"/>
      <c r="G144" s="122"/>
      <c r="H144" s="127"/>
      <c r="I144" s="13" t="s">
        <v>145</v>
      </c>
      <c r="J144" s="30">
        <f ca="1">(IF(B133=1,(H133/(B133+3)+J139),IF(B133=0,(H133/4+J139),IF(B133&gt;1,0))))</f>
        <v>0.75</v>
      </c>
    </row>
    <row r="145" spans="1:22" ht="16" hidden="1" thickBot="1" x14ac:dyDescent="0.4">
      <c r="A145" s="160" t="s">
        <v>131</v>
      </c>
      <c r="B145" s="161"/>
      <c r="C145" s="75">
        <v>0</v>
      </c>
      <c r="D145" s="20">
        <f ca="1">((100/(H133))*C145)/100</f>
        <v>0</v>
      </c>
      <c r="E145" s="124"/>
      <c r="F145" s="125"/>
      <c r="G145" s="124"/>
      <c r="H145" s="128"/>
      <c r="I145" s="15" t="s">
        <v>102</v>
      </c>
      <c r="J145" s="32">
        <f ca="1">(IF(B133&gt;1.5,(H133/(B133+2)+J139+MAX(0,J140-J139)+MAX(0,J141-J140)+MAX(0,J142-J141)+MAX(0,J143-J142)+MAX(0,J144-J143)),IF(B133=1,(H133/(B133+3)+J144),IF(B133=0,H133/4+J144))))</f>
        <v>1</v>
      </c>
    </row>
    <row r="146" spans="1:22" x14ac:dyDescent="0.35">
      <c r="A146" s="172" t="s">
        <v>154</v>
      </c>
      <c r="B146" s="172"/>
      <c r="C146" s="172"/>
      <c r="D146" s="172"/>
      <c r="E146" s="172"/>
      <c r="F146" s="235" t="s">
        <v>156</v>
      </c>
      <c r="G146" s="235"/>
      <c r="H146" s="235"/>
      <c r="R146" t="s">
        <v>250</v>
      </c>
      <c r="S146" t="s">
        <v>168</v>
      </c>
      <c r="T146" t="s">
        <v>175</v>
      </c>
      <c r="U146" t="s">
        <v>190</v>
      </c>
      <c r="V146" t="s">
        <v>185</v>
      </c>
    </row>
    <row r="147" spans="1:22" x14ac:dyDescent="0.35">
      <c r="A147" s="169" t="s">
        <v>155</v>
      </c>
      <c r="B147" s="169"/>
      <c r="C147" s="169"/>
      <c r="D147" s="169"/>
      <c r="E147" s="169"/>
      <c r="F147" s="168">
        <v>6000</v>
      </c>
      <c r="G147" s="168"/>
      <c r="H147" s="168"/>
      <c r="I147" s="21" t="s">
        <v>383</v>
      </c>
      <c r="R147"/>
      <c r="S147">
        <v>800000</v>
      </c>
      <c r="T147">
        <v>150000</v>
      </c>
      <c r="U147">
        <v>100000</v>
      </c>
      <c r="V147">
        <v>100000</v>
      </c>
    </row>
    <row r="148" spans="1:22" x14ac:dyDescent="0.35">
      <c r="A148" s="169" t="s">
        <v>380</v>
      </c>
      <c r="B148" s="169"/>
      <c r="C148" s="169"/>
      <c r="D148" s="169"/>
      <c r="E148" s="169"/>
      <c r="F148" s="168">
        <v>10000</v>
      </c>
      <c r="G148" s="168"/>
      <c r="H148" s="168"/>
      <c r="R148"/>
      <c r="S148">
        <v>900000</v>
      </c>
      <c r="T148">
        <v>200000</v>
      </c>
      <c r="U148">
        <v>150000</v>
      </c>
      <c r="V148">
        <v>150000</v>
      </c>
    </row>
    <row r="149" spans="1:22" x14ac:dyDescent="0.35">
      <c r="A149" s="169" t="s">
        <v>379</v>
      </c>
      <c r="B149" s="169"/>
      <c r="C149" s="169"/>
      <c r="D149" s="169"/>
      <c r="E149" s="169"/>
      <c r="F149" s="168">
        <v>7500</v>
      </c>
      <c r="G149" s="168"/>
      <c r="H149" s="168"/>
      <c r="R149"/>
      <c r="S149">
        <v>1000000</v>
      </c>
      <c r="T149">
        <v>250000</v>
      </c>
      <c r="U149">
        <v>200000</v>
      </c>
      <c r="V149">
        <v>200000</v>
      </c>
    </row>
    <row r="150" spans="1:22" s="33" customFormat="1" hidden="1" x14ac:dyDescent="0.35">
      <c r="A150" s="169" t="s">
        <v>171</v>
      </c>
      <c r="B150" s="169"/>
      <c r="C150" s="169"/>
      <c r="D150" s="169"/>
      <c r="E150" s="169"/>
      <c r="F150" s="168"/>
      <c r="G150" s="168"/>
      <c r="H150" s="168"/>
      <c r="R150"/>
      <c r="S150">
        <v>1100000</v>
      </c>
      <c r="T150">
        <v>300000</v>
      </c>
      <c r="U150">
        <v>250000</v>
      </c>
      <c r="V150" s="23">
        <v>250000</v>
      </c>
    </row>
    <row r="151" spans="1:22" s="33" customFormat="1" hidden="1" x14ac:dyDescent="0.35">
      <c r="A151" s="169" t="s">
        <v>92</v>
      </c>
      <c r="B151" s="169"/>
      <c r="C151" s="169"/>
      <c r="D151" s="169"/>
      <c r="E151" s="169"/>
      <c r="F151" s="168"/>
      <c r="G151" s="168"/>
      <c r="H151" s="168"/>
      <c r="R151"/>
      <c r="S151">
        <v>1200000</v>
      </c>
      <c r="T151">
        <v>350000</v>
      </c>
      <c r="U151">
        <v>300000</v>
      </c>
      <c r="V151">
        <v>300000</v>
      </c>
    </row>
    <row r="152" spans="1:22" s="33" customFormat="1" hidden="1" x14ac:dyDescent="0.35">
      <c r="A152" s="169" t="s">
        <v>93</v>
      </c>
      <c r="B152" s="169"/>
      <c r="C152" s="169"/>
      <c r="D152" s="169"/>
      <c r="E152" s="169"/>
      <c r="F152" s="168"/>
      <c r="G152" s="168"/>
      <c r="H152" s="168"/>
      <c r="R152"/>
      <c r="S152">
        <v>1300000</v>
      </c>
      <c r="T152">
        <v>400000</v>
      </c>
      <c r="U152">
        <v>350000</v>
      </c>
      <c r="V152" s="23">
        <v>400000</v>
      </c>
    </row>
    <row r="153" spans="1:22" s="33" customFormat="1" hidden="1" x14ac:dyDescent="0.35">
      <c r="A153" s="169" t="s">
        <v>94</v>
      </c>
      <c r="B153" s="169"/>
      <c r="C153" s="169"/>
      <c r="D153" s="169"/>
      <c r="E153" s="169"/>
      <c r="F153" s="168"/>
      <c r="G153" s="168"/>
      <c r="H153" s="168"/>
      <c r="R153"/>
      <c r="S153">
        <v>1400000</v>
      </c>
      <c r="T153">
        <v>500000</v>
      </c>
      <c r="U153">
        <v>400000</v>
      </c>
      <c r="V153"/>
    </row>
    <row r="154" spans="1:22" s="33" customFormat="1" hidden="1" x14ac:dyDescent="0.35">
      <c r="A154" s="169" t="s">
        <v>95</v>
      </c>
      <c r="B154" s="169"/>
      <c r="C154" s="169"/>
      <c r="D154" s="169"/>
      <c r="E154" s="169"/>
      <c r="F154" s="168"/>
      <c r="G154" s="168"/>
      <c r="H154" s="168"/>
      <c r="R154"/>
      <c r="S154">
        <v>1500000</v>
      </c>
      <c r="T154">
        <v>600000</v>
      </c>
      <c r="U154">
        <v>500000</v>
      </c>
      <c r="V154" s="23"/>
    </row>
    <row r="155" spans="1:22" s="33" customFormat="1" hidden="1" x14ac:dyDescent="0.35">
      <c r="A155" s="169" t="s">
        <v>96</v>
      </c>
      <c r="B155" s="169"/>
      <c r="C155" s="169"/>
      <c r="D155" s="169"/>
      <c r="E155" s="169"/>
      <c r="F155" s="168"/>
      <c r="G155" s="168"/>
      <c r="H155" s="168"/>
      <c r="R155"/>
      <c r="S155">
        <v>1600000</v>
      </c>
      <c r="T155">
        <v>700000</v>
      </c>
      <c r="U155">
        <v>600000</v>
      </c>
      <c r="V155"/>
    </row>
    <row r="156" spans="1:22" s="33" customFormat="1" hidden="1" x14ac:dyDescent="0.35">
      <c r="A156" s="169" t="s">
        <v>97</v>
      </c>
      <c r="B156" s="169"/>
      <c r="C156" s="169"/>
      <c r="D156" s="169"/>
      <c r="E156" s="169"/>
      <c r="F156" s="168"/>
      <c r="G156" s="168"/>
      <c r="H156" s="168"/>
      <c r="R156"/>
      <c r="S156">
        <v>1700000</v>
      </c>
      <c r="T156">
        <v>800000</v>
      </c>
      <c r="U156"/>
      <c r="V156" s="23"/>
    </row>
    <row r="157" spans="1:22" x14ac:dyDescent="0.35">
      <c r="A157" s="169" t="s">
        <v>49</v>
      </c>
      <c r="B157" s="169"/>
      <c r="C157" s="169"/>
      <c r="D157" s="169"/>
      <c r="E157" s="169"/>
      <c r="F157" s="168">
        <v>300000</v>
      </c>
      <c r="G157" s="168"/>
      <c r="H157" s="168"/>
      <c r="R157"/>
      <c r="S157">
        <v>1800000</v>
      </c>
      <c r="T157">
        <v>900000</v>
      </c>
      <c r="U157"/>
    </row>
    <row r="158" spans="1:22" s="34" customFormat="1" x14ac:dyDescent="0.35">
      <c r="A158" s="199" t="s">
        <v>50</v>
      </c>
      <c r="B158" s="199"/>
      <c r="C158" s="199"/>
      <c r="D158" s="199"/>
      <c r="E158" s="199"/>
      <c r="F158" s="168">
        <f>F147*0.8</f>
        <v>4800</v>
      </c>
      <c r="G158" s="168"/>
      <c r="H158" s="168"/>
      <c r="R158" s="21"/>
      <c r="S158" s="21"/>
      <c r="T158">
        <v>1000000</v>
      </c>
      <c r="U158"/>
      <c r="V158" s="21"/>
    </row>
    <row r="159" spans="1:22" s="35" customFormat="1" ht="15.75" customHeight="1" x14ac:dyDescent="0.35">
      <c r="A159" s="229" t="s">
        <v>72</v>
      </c>
      <c r="B159" s="229"/>
      <c r="C159" s="229"/>
      <c r="D159" s="229"/>
      <c r="E159" s="229"/>
      <c r="F159" s="229"/>
      <c r="G159" s="229"/>
      <c r="H159" s="229"/>
      <c r="R159"/>
      <c r="S159" s="21"/>
      <c r="T159"/>
      <c r="U159"/>
      <c r="V159" s="21"/>
    </row>
    <row r="160" spans="1:22" s="35" customFormat="1" ht="15.75" customHeight="1" x14ac:dyDescent="0.35">
      <c r="A160" s="240" t="s">
        <v>51</v>
      </c>
      <c r="B160" s="240"/>
      <c r="C160" s="139" t="s">
        <v>75</v>
      </c>
      <c r="D160" s="139"/>
      <c r="E160" s="250" t="s">
        <v>52</v>
      </c>
      <c r="F160" s="250"/>
      <c r="G160" s="240" t="s">
        <v>53</v>
      </c>
      <c r="H160" s="240"/>
      <c r="R160"/>
      <c r="S160" s="21"/>
      <c r="T160"/>
      <c r="U160" s="21"/>
      <c r="V160" s="21"/>
    </row>
    <row r="161" spans="1:22" s="35" customFormat="1" x14ac:dyDescent="0.35">
      <c r="A161" s="132" t="s">
        <v>352</v>
      </c>
      <c r="B161" s="132"/>
      <c r="C161" s="133">
        <f>COUNT(D181:D189)*1</f>
        <v>9</v>
      </c>
      <c r="D161" s="133"/>
      <c r="E161" s="134">
        <f>SUM(F181:F189)</f>
        <v>1589.1700499999999</v>
      </c>
      <c r="F161" s="134"/>
      <c r="G161" s="134">
        <f>SUM(H181:H189)</f>
        <v>2383.755075</v>
      </c>
      <c r="H161" s="134"/>
      <c r="R161"/>
      <c r="S161" s="21"/>
      <c r="T161"/>
      <c r="U161" s="21"/>
      <c r="V161" s="21"/>
    </row>
    <row r="162" spans="1:22" s="35" customFormat="1" x14ac:dyDescent="0.35">
      <c r="A162" s="132" t="s">
        <v>343</v>
      </c>
      <c r="B162" s="132"/>
      <c r="C162" s="133">
        <f>COUNT(D192:D201,D203:D208)</f>
        <v>16</v>
      </c>
      <c r="D162" s="133"/>
      <c r="E162" s="134">
        <f>SUM(F192:F201,F203:F208)</f>
        <v>2505.96684</v>
      </c>
      <c r="F162" s="134"/>
      <c r="G162" s="134">
        <f>SUM(H192:H201,H203:H208)</f>
        <v>3758.9502599999992</v>
      </c>
      <c r="H162" s="134"/>
      <c r="R162"/>
      <c r="S162" s="21"/>
      <c r="T162"/>
      <c r="U162" s="21"/>
      <c r="V162" s="21"/>
    </row>
    <row r="163" spans="1:22" s="35" customFormat="1" x14ac:dyDescent="0.35">
      <c r="A163" s="132" t="s">
        <v>344</v>
      </c>
      <c r="B163" s="132"/>
      <c r="C163" s="133">
        <f>COUNT(D211:D218,D220:D227)</f>
        <v>16</v>
      </c>
      <c r="D163" s="133"/>
      <c r="E163" s="134">
        <f>SUM(F211:F218,F220:F227)</f>
        <v>3717.0782999999997</v>
      </c>
      <c r="F163" s="134"/>
      <c r="G163" s="134">
        <f>SUM(H211:H218,H220:H227)</f>
        <v>5575.6174499999988</v>
      </c>
      <c r="H163" s="134"/>
      <c r="R163"/>
      <c r="S163" s="21"/>
      <c r="T163"/>
      <c r="U163" s="21"/>
      <c r="V163" s="21"/>
    </row>
    <row r="164" spans="1:22" s="35" customFormat="1" x14ac:dyDescent="0.35">
      <c r="A164" s="229" t="s">
        <v>148</v>
      </c>
      <c r="B164" s="229"/>
      <c r="C164" s="139">
        <f>SUM(C161:D163)</f>
        <v>41</v>
      </c>
      <c r="D164" s="139"/>
      <c r="E164" s="140">
        <f t="shared" ref="E164" si="0">SUM(E161:F163)</f>
        <v>7812.215189999999</v>
      </c>
      <c r="F164" s="140"/>
      <c r="G164" s="140">
        <f t="shared" ref="G164" si="1">SUM(G161:H163)</f>
        <v>11718.322784999997</v>
      </c>
      <c r="H164" s="140"/>
      <c r="R164"/>
      <c r="S164" s="21"/>
      <c r="T164"/>
      <c r="U164" s="21"/>
      <c r="V164" s="21"/>
    </row>
    <row r="165" spans="1:22" s="35" customFormat="1" x14ac:dyDescent="0.35">
      <c r="A165" s="229" t="s">
        <v>67</v>
      </c>
      <c r="B165" s="229"/>
      <c r="C165" s="229"/>
      <c r="D165" s="229"/>
      <c r="E165" s="229"/>
      <c r="F165" s="229"/>
      <c r="G165" s="229"/>
      <c r="H165" s="229"/>
      <c r="T165"/>
    </row>
    <row r="166" spans="1:22" s="35" customFormat="1" ht="15.75" customHeight="1" x14ac:dyDescent="0.35">
      <c r="A166" s="240" t="s">
        <v>51</v>
      </c>
      <c r="B166" s="240"/>
      <c r="C166" s="139" t="s">
        <v>75</v>
      </c>
      <c r="D166" s="139"/>
      <c r="E166" s="250" t="s">
        <v>52</v>
      </c>
      <c r="F166" s="250"/>
      <c r="G166" s="240" t="s">
        <v>53</v>
      </c>
      <c r="H166" s="240"/>
      <c r="T166"/>
    </row>
    <row r="167" spans="1:22" s="35" customFormat="1" ht="15.75" customHeight="1" x14ac:dyDescent="0.35">
      <c r="A167" s="132" t="s">
        <v>352</v>
      </c>
      <c r="B167" s="132"/>
      <c r="C167" s="133">
        <f>COUNT(D235:D242)*1+COUNT(D244:D251)*6</f>
        <v>56</v>
      </c>
      <c r="D167" s="133"/>
      <c r="E167" s="135">
        <f>SUM(F235:F242)+SUM(F244:F251)*6</f>
        <v>19248.776819999999</v>
      </c>
      <c r="F167" s="136"/>
      <c r="G167" s="135">
        <f>SUM(H235:H242)+SUM(H244:H251)*6</f>
        <v>28200.170348999993</v>
      </c>
      <c r="H167" s="136"/>
      <c r="T167"/>
    </row>
    <row r="168" spans="1:22" s="35" customFormat="1" x14ac:dyDescent="0.35">
      <c r="A168" s="132" t="s">
        <v>343</v>
      </c>
      <c r="B168" s="132"/>
      <c r="C168" s="133">
        <f>COUNT(D255:D256,D259:D262)*1+COUNT(D264:D271)*1+COUNT(D273:D280)*5</f>
        <v>54</v>
      </c>
      <c r="D168" s="133"/>
      <c r="E168" s="135">
        <f>SUM(F255:F256,F259:F262)+SUM(F264:F271)+SUM(F273:F280)*5</f>
        <v>18409.292459999997</v>
      </c>
      <c r="F168" s="136"/>
      <c r="G168" s="135">
        <f>SUM(H255:H256,H259:H262)+SUM(H264:H271)+SUM(H273:H280)*5</f>
        <v>26968.117526999991</v>
      </c>
      <c r="H168" s="136"/>
      <c r="T168"/>
    </row>
    <row r="169" spans="1:22" s="35" customFormat="1" x14ac:dyDescent="0.35">
      <c r="A169" s="132" t="s">
        <v>344</v>
      </c>
      <c r="B169" s="132"/>
      <c r="C169" s="133">
        <f>COUNT(D290:D293)*1+COUNT(D299:D306)*1+COUNT(D308:D315)*5</f>
        <v>52</v>
      </c>
      <c r="D169" s="133"/>
      <c r="E169" s="135">
        <f>SUM(F290:F293)+SUM(F299:F306)+SUM(F308:F315)*5</f>
        <v>17766.466379999998</v>
      </c>
      <c r="F169" s="136"/>
      <c r="G169" s="135">
        <f>SUM(H290:H293)+SUM(H299:H306)+SUM(H308:H315)*5</f>
        <v>26123.800130999989</v>
      </c>
      <c r="H169" s="136"/>
      <c r="T169"/>
    </row>
    <row r="170" spans="1:22" s="35" customFormat="1" x14ac:dyDescent="0.35">
      <c r="A170" s="132" t="s">
        <v>351</v>
      </c>
      <c r="B170" s="132"/>
      <c r="C170" s="133">
        <f>COUNT(D320:D326)*1+COUNT(D328,D330:D334)*1</f>
        <v>13</v>
      </c>
      <c r="D170" s="133"/>
      <c r="E170" s="134">
        <f>SUM(F320:F326)+SUM(F328,F330:F334)</f>
        <v>4651.04367</v>
      </c>
      <c r="F170" s="133"/>
      <c r="G170" s="134">
        <f>SUM(H320:H326)+SUM(H328,H330:H334)</f>
        <v>6744.0133214999987</v>
      </c>
      <c r="H170" s="133"/>
      <c r="T170"/>
    </row>
    <row r="171" spans="1:22" s="35" customFormat="1" x14ac:dyDescent="0.35">
      <c r="A171" s="132" t="s">
        <v>353</v>
      </c>
      <c r="B171" s="132"/>
      <c r="C171" s="133">
        <f>COUNT(D338:D345)*1</f>
        <v>8</v>
      </c>
      <c r="D171" s="133"/>
      <c r="E171" s="135">
        <f>SUM(F338:F345)</f>
        <v>2651.6575800000001</v>
      </c>
      <c r="F171" s="137"/>
      <c r="G171" s="135">
        <f>SUM(H338:H345)</f>
        <v>3844.9034909999991</v>
      </c>
      <c r="H171" s="137"/>
      <c r="T171"/>
    </row>
    <row r="172" spans="1:22" s="35" customFormat="1" ht="16" thickBot="1" x14ac:dyDescent="0.4">
      <c r="A172" s="234" t="s">
        <v>148</v>
      </c>
      <c r="B172" s="234"/>
      <c r="C172" s="242">
        <f>SUM(C167:D171)</f>
        <v>183</v>
      </c>
      <c r="D172" s="242"/>
      <c r="E172" s="237">
        <f t="shared" ref="E172:G172" si="2">SUM(E167:F171)</f>
        <v>62727.236909999992</v>
      </c>
      <c r="F172" s="238"/>
      <c r="G172" s="237">
        <f t="shared" si="2"/>
        <v>91881.004819499984</v>
      </c>
      <c r="H172" s="238"/>
      <c r="T172"/>
    </row>
    <row r="173" spans="1:22" s="35" customFormat="1" ht="16" thickBot="1" x14ac:dyDescent="0.4">
      <c r="A173" s="251" t="s">
        <v>162</v>
      </c>
      <c r="B173" s="252"/>
      <c r="C173" s="253">
        <f>C164+C172</f>
        <v>224</v>
      </c>
      <c r="D173" s="253"/>
      <c r="E173" s="254">
        <f>E164+E172</f>
        <v>70539.452099999995</v>
      </c>
      <c r="F173" s="254"/>
      <c r="G173" s="192">
        <f>G164+G172</f>
        <v>103599.32760449998</v>
      </c>
      <c r="H173" s="193"/>
      <c r="T173"/>
    </row>
    <row r="174" spans="1:22" s="34" customFormat="1" x14ac:dyDescent="0.35">
      <c r="A174" s="235" t="s">
        <v>54</v>
      </c>
      <c r="B174" s="235"/>
      <c r="C174" s="235"/>
      <c r="D174" s="235"/>
      <c r="E174" s="235"/>
      <c r="F174" s="235"/>
      <c r="G174" s="235"/>
      <c r="H174" s="235"/>
      <c r="T174" s="35"/>
    </row>
    <row r="175" spans="1:22" s="23" customFormat="1" x14ac:dyDescent="0.35">
      <c r="A175" s="221" t="s">
        <v>170</v>
      </c>
      <c r="B175" s="221"/>
      <c r="C175" s="221"/>
      <c r="D175" s="221"/>
      <c r="E175" s="221"/>
      <c r="F175" s="221"/>
      <c r="G175" s="221"/>
      <c r="H175" s="221"/>
      <c r="T175" s="91"/>
    </row>
    <row r="176" spans="1:22" s="23" customFormat="1" ht="47.25" customHeight="1" x14ac:dyDescent="0.35">
      <c r="A176" s="188" t="s">
        <v>118</v>
      </c>
      <c r="B176" s="188" t="s">
        <v>172</v>
      </c>
      <c r="C176" s="188" t="s">
        <v>55</v>
      </c>
      <c r="D176" s="170" t="s">
        <v>228</v>
      </c>
      <c r="E176" s="200" t="s">
        <v>153</v>
      </c>
      <c r="F176" s="188" t="s">
        <v>56</v>
      </c>
      <c r="G176" s="200" t="s">
        <v>57</v>
      </c>
      <c r="H176" s="87" t="s">
        <v>147</v>
      </c>
      <c r="T176" s="91"/>
    </row>
    <row r="177" spans="1:20" s="89" customFormat="1" x14ac:dyDescent="0.35">
      <c r="A177" s="189"/>
      <c r="B177" s="189"/>
      <c r="C177" s="189"/>
      <c r="D177" s="171"/>
      <c r="E177" s="201"/>
      <c r="F177" s="189"/>
      <c r="G177" s="201"/>
      <c r="H177" s="90">
        <v>0.5</v>
      </c>
      <c r="T177" s="91"/>
    </row>
    <row r="178" spans="1:20" s="77" customFormat="1" x14ac:dyDescent="0.35">
      <c r="A178" s="103" t="s">
        <v>367</v>
      </c>
      <c r="B178" s="104"/>
      <c r="C178" s="104"/>
      <c r="D178" s="104"/>
      <c r="E178" s="104"/>
      <c r="F178" s="104"/>
      <c r="G178" s="104"/>
      <c r="H178" s="105"/>
      <c r="J178" s="36"/>
      <c r="T178" s="35"/>
    </row>
    <row r="179" spans="1:20" s="73" customFormat="1" x14ac:dyDescent="0.35">
      <c r="A179" s="103" t="s">
        <v>348</v>
      </c>
      <c r="B179" s="104"/>
      <c r="C179" s="104"/>
      <c r="D179" s="104"/>
      <c r="E179" s="104"/>
      <c r="F179" s="104"/>
      <c r="G179" s="104"/>
      <c r="H179" s="105"/>
      <c r="J179" s="36"/>
      <c r="T179" s="35"/>
    </row>
    <row r="180" spans="1:20" s="77" customFormat="1" x14ac:dyDescent="0.35">
      <c r="A180" s="103" t="s">
        <v>356</v>
      </c>
      <c r="B180" s="104"/>
      <c r="C180" s="104"/>
      <c r="D180" s="104"/>
      <c r="E180" s="104"/>
      <c r="F180" s="104"/>
      <c r="G180" s="104"/>
      <c r="H180" s="105"/>
      <c r="J180" s="36"/>
      <c r="T180" s="35"/>
    </row>
    <row r="181" spans="1:20" s="37" customFormat="1" ht="15.75" customHeight="1" x14ac:dyDescent="0.35">
      <c r="A181" s="129">
        <v>1</v>
      </c>
      <c r="B181" s="130"/>
      <c r="C181" s="42" t="s">
        <v>314</v>
      </c>
      <c r="D181" s="68">
        <f>(2.1*3.95)*10.764</f>
        <v>89.287379999999999</v>
      </c>
      <c r="E181" s="42">
        <v>0</v>
      </c>
      <c r="F181" s="61">
        <f>D181+(IF(E181&lt;201,E181,IF(E181&lt;301,E181/2,E181/3)))</f>
        <v>89.287379999999999</v>
      </c>
      <c r="G181" s="62">
        <v>0</v>
      </c>
      <c r="H181" s="61">
        <f>(F181+(IF(G181&lt;101,G181,IF(G181&lt;201,G181/2,IF(G181&lt;=301,G181/3,G181/4)))))*(($H$177)+1)</f>
        <v>133.93107000000001</v>
      </c>
      <c r="I181" s="36"/>
      <c r="L181" s="138"/>
      <c r="M181" s="138"/>
      <c r="N181" s="36"/>
      <c r="T181" s="35"/>
    </row>
    <row r="182" spans="1:20" s="37" customFormat="1" ht="15.75" customHeight="1" x14ac:dyDescent="0.35">
      <c r="A182" s="129">
        <f t="shared" ref="A182:A218" si="3">A181+1</f>
        <v>2</v>
      </c>
      <c r="B182" s="130"/>
      <c r="C182" s="68" t="s">
        <v>314</v>
      </c>
      <c r="D182" s="68">
        <f>(3.35*6.85)*10.764</f>
        <v>247.00688999999997</v>
      </c>
      <c r="E182" s="42">
        <v>0</v>
      </c>
      <c r="F182" s="61">
        <f t="shared" ref="F182:F184" si="4">D182+(IF(E182&lt;201,E182,IF(E182&lt;301,E182/2,E182/3)))</f>
        <v>247.00688999999997</v>
      </c>
      <c r="G182" s="53">
        <v>0</v>
      </c>
      <c r="H182" s="61">
        <f t="shared" ref="H182:H184" si="5">(F182+(IF(G182&lt;101,G182,IF(G182&lt;201,G182/2,IF(G182&lt;=301,G182/3,G182/4)))))*(($H$177)+1)</f>
        <v>370.51033499999994</v>
      </c>
      <c r="I182" s="36"/>
      <c r="L182" s="138"/>
      <c r="M182" s="138"/>
      <c r="N182" s="36"/>
      <c r="T182" s="34"/>
    </row>
    <row r="183" spans="1:20" s="37" customFormat="1" ht="15.75" customHeight="1" x14ac:dyDescent="0.35">
      <c r="A183" s="129">
        <f t="shared" si="3"/>
        <v>3</v>
      </c>
      <c r="B183" s="130"/>
      <c r="C183" s="68" t="s">
        <v>314</v>
      </c>
      <c r="D183" s="68">
        <f>(4.15*5.2)*10.764</f>
        <v>232.28712000000002</v>
      </c>
      <c r="E183" s="42">
        <v>0</v>
      </c>
      <c r="F183" s="61">
        <f t="shared" si="4"/>
        <v>232.28712000000002</v>
      </c>
      <c r="G183" s="53">
        <v>0</v>
      </c>
      <c r="H183" s="61">
        <f t="shared" si="5"/>
        <v>348.43068000000005</v>
      </c>
      <c r="I183" s="36"/>
      <c r="L183" s="138"/>
      <c r="M183" s="138"/>
      <c r="N183" s="36"/>
      <c r="T183" s="21"/>
    </row>
    <row r="184" spans="1:20" s="37" customFormat="1" ht="15.75" customHeight="1" x14ac:dyDescent="0.35">
      <c r="A184" s="129">
        <f t="shared" si="3"/>
        <v>4</v>
      </c>
      <c r="B184" s="130"/>
      <c r="C184" s="68" t="s">
        <v>314</v>
      </c>
      <c r="D184" s="68">
        <f>(2.15*4.3+1.2*0.9)*10.764</f>
        <v>111.13829999999999</v>
      </c>
      <c r="E184" s="42">
        <v>0</v>
      </c>
      <c r="F184" s="61">
        <f t="shared" si="4"/>
        <v>111.13829999999999</v>
      </c>
      <c r="G184" s="53">
        <v>0</v>
      </c>
      <c r="H184" s="61">
        <f t="shared" si="5"/>
        <v>166.70744999999999</v>
      </c>
      <c r="I184" s="36"/>
      <c r="L184" s="138"/>
      <c r="M184" s="138"/>
      <c r="N184" s="36"/>
      <c r="T184" s="21"/>
    </row>
    <row r="185" spans="1:20" s="69" customFormat="1" ht="15.75" customHeight="1" x14ac:dyDescent="0.35">
      <c r="A185" s="129">
        <f t="shared" si="3"/>
        <v>5</v>
      </c>
      <c r="B185" s="130"/>
      <c r="C185" s="68" t="s">
        <v>314</v>
      </c>
      <c r="D185" s="68">
        <f>(2.75*4.3)*10.764</f>
        <v>127.28429999999999</v>
      </c>
      <c r="E185" s="68">
        <v>0</v>
      </c>
      <c r="F185" s="68">
        <f t="shared" ref="F185:F187" si="6">D185+(IF(E185&lt;201,E185,IF(E185&lt;301,E185/2,E185/3)))</f>
        <v>127.28429999999999</v>
      </c>
      <c r="G185" s="68">
        <v>0</v>
      </c>
      <c r="H185" s="68">
        <f t="shared" ref="H185:H187" si="7">(F185+(IF(G185&lt;101,G185,IF(G185&lt;201,G185/2,IF(G185&lt;=301,G185/3,G185/4)))))*(($H$177)+1)</f>
        <v>190.92644999999999</v>
      </c>
      <c r="I185" s="36"/>
      <c r="L185" s="138"/>
      <c r="M185" s="138"/>
      <c r="N185" s="36"/>
      <c r="T185" s="21"/>
    </row>
    <row r="186" spans="1:20" s="69" customFormat="1" ht="15.75" customHeight="1" x14ac:dyDescent="0.35">
      <c r="A186" s="129">
        <f t="shared" si="3"/>
        <v>6</v>
      </c>
      <c r="B186" s="130"/>
      <c r="C186" s="68" t="s">
        <v>314</v>
      </c>
      <c r="D186" s="68">
        <f>(3.95*4.3+1.2*0.9)*10.764</f>
        <v>194.45165999999998</v>
      </c>
      <c r="E186" s="68">
        <v>0</v>
      </c>
      <c r="F186" s="68">
        <f t="shared" si="6"/>
        <v>194.45165999999998</v>
      </c>
      <c r="G186" s="68">
        <v>0</v>
      </c>
      <c r="H186" s="68">
        <f t="shared" si="7"/>
        <v>291.67748999999998</v>
      </c>
      <c r="I186" s="36"/>
      <c r="L186" s="138"/>
      <c r="M186" s="138"/>
      <c r="N186" s="36"/>
      <c r="T186" s="21"/>
    </row>
    <row r="187" spans="1:20" s="69" customFormat="1" ht="15.75" customHeight="1" x14ac:dyDescent="0.35">
      <c r="A187" s="129">
        <f t="shared" si="3"/>
        <v>7</v>
      </c>
      <c r="B187" s="130"/>
      <c r="C187" s="68" t="s">
        <v>314</v>
      </c>
      <c r="D187" s="68">
        <f>(4.25*5.2)*10.764</f>
        <v>237.8844</v>
      </c>
      <c r="E187" s="68">
        <v>0</v>
      </c>
      <c r="F187" s="68">
        <f t="shared" si="6"/>
        <v>237.8844</v>
      </c>
      <c r="G187" s="68">
        <v>0</v>
      </c>
      <c r="H187" s="68">
        <f t="shared" si="7"/>
        <v>356.82659999999998</v>
      </c>
      <c r="I187" s="36"/>
      <c r="L187" s="138"/>
      <c r="M187" s="138"/>
      <c r="N187" s="36"/>
      <c r="T187" s="21"/>
    </row>
    <row r="188" spans="1:20" s="69" customFormat="1" ht="15.75" customHeight="1" x14ac:dyDescent="0.35">
      <c r="A188" s="129">
        <f t="shared" si="3"/>
        <v>8</v>
      </c>
      <c r="B188" s="130"/>
      <c r="C188" s="68" t="s">
        <v>314</v>
      </c>
      <c r="D188" s="68">
        <f>(4.1*5.2)*10.764</f>
        <v>229.48847999999998</v>
      </c>
      <c r="E188" s="68">
        <v>0</v>
      </c>
      <c r="F188" s="68">
        <f t="shared" ref="F188:F194" si="8">D188+(IF(E188&lt;201,E188,IF(E188&lt;301,E188/2,E188/3)))</f>
        <v>229.48847999999998</v>
      </c>
      <c r="G188" s="68">
        <v>0</v>
      </c>
      <c r="H188" s="68">
        <f t="shared" ref="H188:H194" si="9">(F188+(IF(G188&lt;101,G188,IF(G188&lt;201,G188/2,IF(G188&lt;=301,G188/3,G188/4)))))*(($H$177)+1)</f>
        <v>344.23271999999997</v>
      </c>
      <c r="I188" s="36"/>
      <c r="L188" s="138"/>
      <c r="M188" s="138"/>
      <c r="N188" s="36"/>
      <c r="T188" s="21"/>
    </row>
    <row r="189" spans="1:20" s="69" customFormat="1" ht="15.75" customHeight="1" x14ac:dyDescent="0.35">
      <c r="A189" s="129">
        <f t="shared" si="3"/>
        <v>9</v>
      </c>
      <c r="B189" s="130"/>
      <c r="C189" s="68" t="s">
        <v>314</v>
      </c>
      <c r="D189" s="68">
        <f>(2.6*2.6+1.7*2.6)*10.764</f>
        <v>120.34151999999999</v>
      </c>
      <c r="E189" s="68">
        <v>0</v>
      </c>
      <c r="F189" s="68">
        <f t="shared" si="8"/>
        <v>120.34151999999999</v>
      </c>
      <c r="G189" s="68">
        <v>0</v>
      </c>
      <c r="H189" s="68">
        <f t="shared" si="9"/>
        <v>180.51227999999998</v>
      </c>
      <c r="I189" s="36"/>
      <c r="L189" s="138"/>
      <c r="M189" s="138"/>
      <c r="N189" s="36"/>
      <c r="T189" s="21"/>
    </row>
    <row r="190" spans="1:20" s="73" customFormat="1" x14ac:dyDescent="0.35">
      <c r="A190" s="103" t="s">
        <v>349</v>
      </c>
      <c r="B190" s="104"/>
      <c r="C190" s="104"/>
      <c r="D190" s="104"/>
      <c r="E190" s="104"/>
      <c r="F190" s="104"/>
      <c r="G190" s="104"/>
      <c r="H190" s="105"/>
      <c r="J190" s="36"/>
      <c r="T190" s="35"/>
    </row>
    <row r="191" spans="1:20" s="77" customFormat="1" x14ac:dyDescent="0.35">
      <c r="A191" s="103" t="s">
        <v>356</v>
      </c>
      <c r="B191" s="104"/>
      <c r="C191" s="104"/>
      <c r="D191" s="104"/>
      <c r="E191" s="104"/>
      <c r="F191" s="104"/>
      <c r="G191" s="104"/>
      <c r="H191" s="105"/>
      <c r="J191" s="36"/>
      <c r="T191" s="35"/>
    </row>
    <row r="192" spans="1:20" s="73" customFormat="1" ht="15.75" customHeight="1" x14ac:dyDescent="0.35">
      <c r="A192" s="129">
        <f>A189+1</f>
        <v>10</v>
      </c>
      <c r="B192" s="130"/>
      <c r="C192" s="74" t="s">
        <v>314</v>
      </c>
      <c r="D192" s="74">
        <f>(2.6*2.6+1.7*2.6)*10.764</f>
        <v>120.34151999999999</v>
      </c>
      <c r="E192" s="74">
        <v>0</v>
      </c>
      <c r="F192" s="74">
        <f t="shared" si="8"/>
        <v>120.34151999999999</v>
      </c>
      <c r="G192" s="74">
        <v>0</v>
      </c>
      <c r="H192" s="74">
        <f t="shared" si="9"/>
        <v>180.51227999999998</v>
      </c>
      <c r="I192" s="36"/>
      <c r="L192" s="138"/>
      <c r="M192" s="138"/>
      <c r="N192" s="36"/>
      <c r="T192" s="21"/>
    </row>
    <row r="193" spans="1:20" s="69" customFormat="1" ht="15.75" customHeight="1" x14ac:dyDescent="0.35">
      <c r="A193" s="129">
        <f t="shared" si="3"/>
        <v>11</v>
      </c>
      <c r="B193" s="130"/>
      <c r="C193" s="68" t="s">
        <v>314</v>
      </c>
      <c r="D193" s="68">
        <f>(4.1*5.2)*10.764</f>
        <v>229.48847999999998</v>
      </c>
      <c r="E193" s="68">
        <v>0</v>
      </c>
      <c r="F193" s="68">
        <f t="shared" si="8"/>
        <v>229.48847999999998</v>
      </c>
      <c r="G193" s="68">
        <v>0</v>
      </c>
      <c r="H193" s="68">
        <f t="shared" si="9"/>
        <v>344.23271999999997</v>
      </c>
      <c r="I193" s="36"/>
      <c r="L193" s="138"/>
      <c r="M193" s="138"/>
      <c r="N193" s="36"/>
      <c r="T193" s="21"/>
    </row>
    <row r="194" spans="1:20" s="69" customFormat="1" ht="15.75" customHeight="1" x14ac:dyDescent="0.35">
      <c r="A194" s="129">
        <f t="shared" si="3"/>
        <v>12</v>
      </c>
      <c r="B194" s="130"/>
      <c r="C194" s="68" t="s">
        <v>314</v>
      </c>
      <c r="D194" s="68">
        <f>(4.25*5.2)*10.764</f>
        <v>237.8844</v>
      </c>
      <c r="E194" s="68">
        <v>0</v>
      </c>
      <c r="F194" s="68">
        <f t="shared" si="8"/>
        <v>237.8844</v>
      </c>
      <c r="G194" s="68">
        <v>0</v>
      </c>
      <c r="H194" s="68">
        <f t="shared" si="9"/>
        <v>356.82659999999998</v>
      </c>
      <c r="I194" s="36"/>
      <c r="L194" s="138"/>
      <c r="M194" s="138"/>
      <c r="N194" s="36"/>
      <c r="T194" s="21"/>
    </row>
    <row r="195" spans="1:20" s="69" customFormat="1" ht="15.75" customHeight="1" x14ac:dyDescent="0.35">
      <c r="A195" s="129">
        <f t="shared" si="3"/>
        <v>13</v>
      </c>
      <c r="B195" s="130"/>
      <c r="C195" s="68" t="s">
        <v>314</v>
      </c>
      <c r="D195" s="68">
        <f>(3.95*4.3+1.2*0.9)*10.764</f>
        <v>194.45165999999998</v>
      </c>
      <c r="E195" s="68">
        <v>0</v>
      </c>
      <c r="F195" s="68">
        <f t="shared" ref="F195:F199" si="10">D195+(IF(E195&lt;201,E195,IF(E195&lt;301,E195/2,E195/3)))</f>
        <v>194.45165999999998</v>
      </c>
      <c r="G195" s="68">
        <v>0</v>
      </c>
      <c r="H195" s="68">
        <f t="shared" ref="H195:H199" si="11">(F195+(IF(G195&lt;101,G195,IF(G195&lt;201,G195/2,IF(G195&lt;=301,G195/3,G195/4)))))*(($H$177)+1)</f>
        <v>291.67748999999998</v>
      </c>
      <c r="I195" s="36"/>
      <c r="L195" s="138"/>
      <c r="M195" s="138"/>
      <c r="N195" s="36"/>
      <c r="T195" s="21"/>
    </row>
    <row r="196" spans="1:20" s="69" customFormat="1" ht="15.75" customHeight="1" x14ac:dyDescent="0.35">
      <c r="A196" s="129">
        <f t="shared" si="3"/>
        <v>14</v>
      </c>
      <c r="B196" s="130"/>
      <c r="C196" s="68" t="s">
        <v>314</v>
      </c>
      <c r="D196" s="68">
        <f>(2.75*4.3)*10.764</f>
        <v>127.28429999999999</v>
      </c>
      <c r="E196" s="68">
        <v>0</v>
      </c>
      <c r="F196" s="68">
        <f t="shared" si="10"/>
        <v>127.28429999999999</v>
      </c>
      <c r="G196" s="68">
        <v>0</v>
      </c>
      <c r="H196" s="68">
        <f t="shared" si="11"/>
        <v>190.92644999999999</v>
      </c>
      <c r="I196" s="36"/>
      <c r="L196" s="138"/>
      <c r="M196" s="138"/>
      <c r="N196" s="36"/>
      <c r="T196" s="21"/>
    </row>
    <row r="197" spans="1:20" s="69" customFormat="1" ht="15.75" customHeight="1" x14ac:dyDescent="0.35">
      <c r="A197" s="129">
        <f t="shared" si="3"/>
        <v>15</v>
      </c>
      <c r="B197" s="130"/>
      <c r="C197" s="68" t="s">
        <v>314</v>
      </c>
      <c r="D197" s="68">
        <f>(2.15*4.3+1.2*0.9)*10.764</f>
        <v>111.13829999999999</v>
      </c>
      <c r="E197" s="68">
        <v>0</v>
      </c>
      <c r="F197" s="68">
        <f t="shared" si="10"/>
        <v>111.13829999999999</v>
      </c>
      <c r="G197" s="68">
        <v>0</v>
      </c>
      <c r="H197" s="68">
        <f t="shared" si="11"/>
        <v>166.70744999999999</v>
      </c>
      <c r="I197" s="36"/>
      <c r="L197" s="138"/>
      <c r="M197" s="138"/>
      <c r="N197" s="36"/>
      <c r="T197" s="21"/>
    </row>
    <row r="198" spans="1:20" s="69" customFormat="1" ht="15.75" customHeight="1" x14ac:dyDescent="0.35">
      <c r="A198" s="129">
        <f t="shared" si="3"/>
        <v>16</v>
      </c>
      <c r="B198" s="130"/>
      <c r="C198" s="68" t="s">
        <v>314</v>
      </c>
      <c r="D198" s="68">
        <f>(4.15*5.2)*10.764</f>
        <v>232.28712000000002</v>
      </c>
      <c r="E198" s="68">
        <v>0</v>
      </c>
      <c r="F198" s="68">
        <f t="shared" si="10"/>
        <v>232.28712000000002</v>
      </c>
      <c r="G198" s="68">
        <v>0</v>
      </c>
      <c r="H198" s="68">
        <f t="shared" si="11"/>
        <v>348.43068000000005</v>
      </c>
      <c r="I198" s="36"/>
      <c r="L198" s="138"/>
      <c r="M198" s="138"/>
      <c r="N198" s="36"/>
      <c r="T198" s="21"/>
    </row>
    <row r="199" spans="1:20" s="69" customFormat="1" ht="15.75" customHeight="1" x14ac:dyDescent="0.35">
      <c r="A199" s="129">
        <f t="shared" si="3"/>
        <v>17</v>
      </c>
      <c r="B199" s="130"/>
      <c r="C199" s="68" t="s">
        <v>314</v>
      </c>
      <c r="D199" s="68">
        <f>(2.75*5.2)*10.764</f>
        <v>153.92519999999999</v>
      </c>
      <c r="E199" s="68">
        <v>0</v>
      </c>
      <c r="F199" s="68">
        <f t="shared" si="10"/>
        <v>153.92519999999999</v>
      </c>
      <c r="G199" s="68">
        <v>0</v>
      </c>
      <c r="H199" s="68">
        <f t="shared" si="11"/>
        <v>230.88779999999997</v>
      </c>
      <c r="I199" s="36"/>
      <c r="L199" s="138"/>
      <c r="M199" s="138"/>
      <c r="N199" s="36"/>
      <c r="T199" s="21"/>
    </row>
    <row r="200" spans="1:20" s="69" customFormat="1" ht="15.75" customHeight="1" x14ac:dyDescent="0.35">
      <c r="A200" s="129">
        <f t="shared" si="3"/>
        <v>18</v>
      </c>
      <c r="B200" s="130"/>
      <c r="C200" s="68" t="s">
        <v>314</v>
      </c>
      <c r="D200" s="68">
        <f>(2.15*4.3+1.2*0.9)*10.764</f>
        <v>111.13829999999999</v>
      </c>
      <c r="E200" s="68">
        <v>0</v>
      </c>
      <c r="F200" s="68">
        <f t="shared" ref="F200:F213" si="12">D200+(IF(E200&lt;201,E200,IF(E200&lt;301,E200/2,E200/3)))</f>
        <v>111.13829999999999</v>
      </c>
      <c r="G200" s="68">
        <v>0</v>
      </c>
      <c r="H200" s="68">
        <f t="shared" ref="H200:H213" si="13">(F200+(IF(G200&lt;101,G200,IF(G200&lt;201,G200/2,IF(G200&lt;=301,G200/3,G200/4)))))*(($H$177)+1)</f>
        <v>166.70744999999999</v>
      </c>
      <c r="I200" s="36"/>
      <c r="L200" s="138"/>
      <c r="M200" s="138"/>
      <c r="N200" s="36"/>
      <c r="T200" s="21"/>
    </row>
    <row r="201" spans="1:20" s="69" customFormat="1" ht="15.75" customHeight="1" x14ac:dyDescent="0.35">
      <c r="A201" s="129">
        <f t="shared" si="3"/>
        <v>19</v>
      </c>
      <c r="B201" s="130"/>
      <c r="C201" s="68" t="s">
        <v>314</v>
      </c>
      <c r="D201" s="68">
        <f>(2.75*4.3)*10.764</f>
        <v>127.28429999999999</v>
      </c>
      <c r="E201" s="68">
        <v>0</v>
      </c>
      <c r="F201" s="68">
        <f t="shared" si="12"/>
        <v>127.28429999999999</v>
      </c>
      <c r="G201" s="68">
        <v>0</v>
      </c>
      <c r="H201" s="68">
        <f t="shared" si="13"/>
        <v>190.92644999999999</v>
      </c>
      <c r="I201" s="36"/>
      <c r="L201" s="138"/>
      <c r="M201" s="138"/>
      <c r="N201" s="36"/>
      <c r="T201" s="21"/>
    </row>
    <row r="202" spans="1:20" s="69" customFormat="1" x14ac:dyDescent="0.35">
      <c r="A202" s="103" t="s">
        <v>355</v>
      </c>
      <c r="B202" s="104"/>
      <c r="C202" s="104"/>
      <c r="D202" s="104"/>
      <c r="E202" s="104"/>
      <c r="F202" s="104"/>
      <c r="G202" s="104"/>
      <c r="H202" s="105"/>
      <c r="J202" s="36"/>
      <c r="T202" s="35"/>
    </row>
    <row r="203" spans="1:20" s="71" customFormat="1" ht="15.75" customHeight="1" x14ac:dyDescent="0.35">
      <c r="A203" s="129">
        <v>101</v>
      </c>
      <c r="B203" s="130"/>
      <c r="C203" s="70" t="s">
        <v>314</v>
      </c>
      <c r="D203" s="70">
        <f>(2.75*4.3)*10.764</f>
        <v>127.28429999999999</v>
      </c>
      <c r="E203" s="70">
        <v>0</v>
      </c>
      <c r="F203" s="70">
        <f>D203+(IF(E203&lt;201,E203,IF(E203&lt;301,E203/2,E203/3)))</f>
        <v>127.28429999999999</v>
      </c>
      <c r="G203" s="62">
        <v>0</v>
      </c>
      <c r="H203" s="70">
        <f>(F203+(IF(G203&lt;101,G203,IF(G203&lt;201,G203/2,IF(G203&lt;=301,G203/3,G203/4)))))*(($H$177)+1)</f>
        <v>190.92644999999999</v>
      </c>
      <c r="I203" s="36"/>
      <c r="L203" s="138"/>
      <c r="M203" s="138"/>
      <c r="N203" s="36"/>
      <c r="T203" s="35"/>
    </row>
    <row r="204" spans="1:20" s="71" customFormat="1" ht="15.75" customHeight="1" x14ac:dyDescent="0.35">
      <c r="A204" s="129">
        <f t="shared" ref="A204:A208" si="14">A203+1</f>
        <v>102</v>
      </c>
      <c r="B204" s="130"/>
      <c r="C204" s="70" t="s">
        <v>314</v>
      </c>
      <c r="D204" s="70">
        <f>(2.1*4.3+1.2*0.9)*10.764</f>
        <v>108.82403999999998</v>
      </c>
      <c r="E204" s="70">
        <v>0</v>
      </c>
      <c r="F204" s="70">
        <f t="shared" ref="F204:F208" si="15">D204+(IF(E204&lt;201,E204,IF(E204&lt;301,E204/2,E204/3)))</f>
        <v>108.82403999999998</v>
      </c>
      <c r="G204" s="70">
        <v>0</v>
      </c>
      <c r="H204" s="70">
        <f t="shared" ref="H204:H208" si="16">(F204+(IF(G204&lt;101,G204,IF(G204&lt;201,G204/2,IF(G204&lt;=301,G204/3,G204/4)))))*(($H$177)+1)</f>
        <v>163.23605999999998</v>
      </c>
      <c r="I204" s="36"/>
      <c r="L204" s="138"/>
      <c r="M204" s="138"/>
      <c r="N204" s="36"/>
      <c r="T204" s="34"/>
    </row>
    <row r="205" spans="1:20" s="71" customFormat="1" ht="15.75" customHeight="1" x14ac:dyDescent="0.35">
      <c r="A205" s="129">
        <f t="shared" si="14"/>
        <v>103</v>
      </c>
      <c r="B205" s="130"/>
      <c r="C205" s="70" t="s">
        <v>314</v>
      </c>
      <c r="D205" s="70">
        <f>(4.15*5.2)*10.764</f>
        <v>232.28712000000002</v>
      </c>
      <c r="E205" s="70">
        <v>0</v>
      </c>
      <c r="F205" s="70">
        <f t="shared" si="15"/>
        <v>232.28712000000002</v>
      </c>
      <c r="G205" s="70">
        <v>0</v>
      </c>
      <c r="H205" s="70">
        <f t="shared" si="16"/>
        <v>348.43068000000005</v>
      </c>
      <c r="I205" s="36"/>
      <c r="L205" s="138"/>
      <c r="M205" s="138"/>
      <c r="N205" s="36"/>
      <c r="T205" s="21"/>
    </row>
    <row r="206" spans="1:20" s="71" customFormat="1" ht="15.75" customHeight="1" x14ac:dyDescent="0.35">
      <c r="A206" s="129">
        <f t="shared" si="14"/>
        <v>104</v>
      </c>
      <c r="B206" s="130"/>
      <c r="C206" s="70" t="s">
        <v>314</v>
      </c>
      <c r="D206" s="70">
        <f>(2.75*5.2)*10.764</f>
        <v>153.92519999999999</v>
      </c>
      <c r="E206" s="70">
        <v>0</v>
      </c>
      <c r="F206" s="70">
        <f t="shared" si="15"/>
        <v>153.92519999999999</v>
      </c>
      <c r="G206" s="70">
        <v>0</v>
      </c>
      <c r="H206" s="70">
        <f t="shared" si="16"/>
        <v>230.88779999999997</v>
      </c>
      <c r="I206" s="36"/>
      <c r="L206" s="138"/>
      <c r="M206" s="138"/>
      <c r="N206" s="36"/>
      <c r="T206" s="21"/>
    </row>
    <row r="207" spans="1:20" s="71" customFormat="1" ht="15.75" customHeight="1" x14ac:dyDescent="0.35">
      <c r="A207" s="129">
        <f t="shared" si="14"/>
        <v>105</v>
      </c>
      <c r="B207" s="130"/>
      <c r="C207" s="70" t="s">
        <v>314</v>
      </c>
      <c r="D207" s="70">
        <f>(2.15*4.3+1.2*0.9)*10.764</f>
        <v>111.13829999999999</v>
      </c>
      <c r="E207" s="70">
        <v>0</v>
      </c>
      <c r="F207" s="70">
        <f t="shared" si="15"/>
        <v>111.13829999999999</v>
      </c>
      <c r="G207" s="70">
        <v>0</v>
      </c>
      <c r="H207" s="70">
        <f t="shared" si="16"/>
        <v>166.70744999999999</v>
      </c>
      <c r="I207" s="36"/>
      <c r="L207" s="138"/>
      <c r="M207" s="138"/>
      <c r="N207" s="36"/>
      <c r="T207" s="21"/>
    </row>
    <row r="208" spans="1:20" s="71" customFormat="1" ht="15.75" customHeight="1" x14ac:dyDescent="0.35">
      <c r="A208" s="129">
        <f t="shared" si="14"/>
        <v>106</v>
      </c>
      <c r="B208" s="130"/>
      <c r="C208" s="70" t="s">
        <v>314</v>
      </c>
      <c r="D208" s="70">
        <f>(2.75*4.3)*10.764</f>
        <v>127.28429999999999</v>
      </c>
      <c r="E208" s="70">
        <v>0</v>
      </c>
      <c r="F208" s="70">
        <f t="shared" si="15"/>
        <v>127.28429999999999</v>
      </c>
      <c r="G208" s="70">
        <v>0</v>
      </c>
      <c r="H208" s="70">
        <f t="shared" si="16"/>
        <v>190.92644999999999</v>
      </c>
      <c r="I208" s="36"/>
      <c r="L208" s="138"/>
      <c r="M208" s="138"/>
      <c r="N208" s="36"/>
      <c r="T208" s="21"/>
    </row>
    <row r="209" spans="1:20" s="73" customFormat="1" x14ac:dyDescent="0.35">
      <c r="A209" s="103" t="s">
        <v>354</v>
      </c>
      <c r="B209" s="104"/>
      <c r="C209" s="104"/>
      <c r="D209" s="104"/>
      <c r="E209" s="104"/>
      <c r="F209" s="104"/>
      <c r="G209" s="104"/>
      <c r="H209" s="105"/>
      <c r="J209" s="36"/>
      <c r="T209" s="35"/>
    </row>
    <row r="210" spans="1:20" s="77" customFormat="1" x14ac:dyDescent="0.35">
      <c r="A210" s="103" t="s">
        <v>356</v>
      </c>
      <c r="B210" s="104"/>
      <c r="C210" s="104"/>
      <c r="D210" s="104"/>
      <c r="E210" s="104"/>
      <c r="F210" s="104"/>
      <c r="G210" s="104"/>
      <c r="H210" s="105"/>
      <c r="J210" s="36"/>
      <c r="T210" s="35"/>
    </row>
    <row r="211" spans="1:20" s="69" customFormat="1" ht="15.75" customHeight="1" x14ac:dyDescent="0.35">
      <c r="A211" s="129">
        <f>A201+1</f>
        <v>20</v>
      </c>
      <c r="B211" s="130"/>
      <c r="C211" s="68" t="s">
        <v>314</v>
      </c>
      <c r="D211" s="68">
        <f>(2.75*5.95)*10.764</f>
        <v>176.12594999999999</v>
      </c>
      <c r="E211" s="68">
        <v>0</v>
      </c>
      <c r="F211" s="68">
        <f t="shared" si="12"/>
        <v>176.12594999999999</v>
      </c>
      <c r="G211" s="68">
        <v>0</v>
      </c>
      <c r="H211" s="68">
        <f t="shared" si="13"/>
        <v>264.18892499999998</v>
      </c>
      <c r="I211" s="36"/>
      <c r="L211" s="138"/>
      <c r="M211" s="138"/>
      <c r="N211" s="36"/>
      <c r="T211" s="21"/>
    </row>
    <row r="212" spans="1:20" s="69" customFormat="1" ht="15.75" customHeight="1" x14ac:dyDescent="0.35">
      <c r="A212" s="129">
        <f t="shared" si="3"/>
        <v>21</v>
      </c>
      <c r="B212" s="130"/>
      <c r="C212" s="68" t="s">
        <v>314</v>
      </c>
      <c r="D212" s="68">
        <f>(4.15*5.95)*10.764</f>
        <v>265.79007000000001</v>
      </c>
      <c r="E212" s="68">
        <v>0</v>
      </c>
      <c r="F212" s="68">
        <f t="shared" si="12"/>
        <v>265.79007000000001</v>
      </c>
      <c r="G212" s="68">
        <v>0</v>
      </c>
      <c r="H212" s="68">
        <f t="shared" si="13"/>
        <v>398.68510500000002</v>
      </c>
      <c r="I212" s="36"/>
      <c r="L212" s="138"/>
      <c r="M212" s="138"/>
      <c r="N212" s="36"/>
      <c r="T212" s="21"/>
    </row>
    <row r="213" spans="1:20" s="69" customFormat="1" ht="15.75" customHeight="1" x14ac:dyDescent="0.35">
      <c r="A213" s="129">
        <f t="shared" si="3"/>
        <v>22</v>
      </c>
      <c r="B213" s="130"/>
      <c r="C213" s="68" t="s">
        <v>314</v>
      </c>
      <c r="D213" s="68">
        <f>(2.15*5.05+1.2*0.9)*10.764</f>
        <v>128.49525</v>
      </c>
      <c r="E213" s="68">
        <v>0</v>
      </c>
      <c r="F213" s="68">
        <f t="shared" si="12"/>
        <v>128.49525</v>
      </c>
      <c r="G213" s="68">
        <v>0</v>
      </c>
      <c r="H213" s="68">
        <f t="shared" si="13"/>
        <v>192.742875</v>
      </c>
      <c r="I213" s="36"/>
      <c r="L213" s="138"/>
      <c r="M213" s="138"/>
      <c r="N213" s="36"/>
      <c r="T213" s="21"/>
    </row>
    <row r="214" spans="1:20" s="69" customFormat="1" ht="15.75" customHeight="1" x14ac:dyDescent="0.35">
      <c r="A214" s="129">
        <f t="shared" si="3"/>
        <v>23</v>
      </c>
      <c r="B214" s="130"/>
      <c r="C214" s="68" t="s">
        <v>314</v>
      </c>
      <c r="D214" s="68">
        <f>(2.75*5.05)*10.764</f>
        <v>149.48504999999997</v>
      </c>
      <c r="E214" s="68">
        <v>0</v>
      </c>
      <c r="F214" s="68">
        <f t="shared" ref="F214:F216" si="17">D214+(IF(E214&lt;201,E214,IF(E214&lt;301,E214/2,E214/3)))</f>
        <v>149.48504999999997</v>
      </c>
      <c r="G214" s="68">
        <v>0</v>
      </c>
      <c r="H214" s="68">
        <f t="shared" ref="H214:H216" si="18">(F214+(IF(G214&lt;101,G214,IF(G214&lt;201,G214/2,IF(G214&lt;=301,G214/3,G214/4)))))*(($H$177)+1)</f>
        <v>224.22757499999994</v>
      </c>
      <c r="I214" s="36"/>
      <c r="L214" s="138"/>
      <c r="M214" s="138"/>
      <c r="N214" s="36"/>
      <c r="T214" s="21"/>
    </row>
    <row r="215" spans="1:20" s="69" customFormat="1" ht="15.75" customHeight="1" x14ac:dyDescent="0.35">
      <c r="A215" s="129">
        <f t="shared" si="3"/>
        <v>24</v>
      </c>
      <c r="B215" s="130"/>
      <c r="C215" s="68" t="s">
        <v>314</v>
      </c>
      <c r="D215" s="68">
        <f>(3.95*6.6+1.2*0.9)*10.764</f>
        <v>292.24259999999998</v>
      </c>
      <c r="E215" s="68">
        <v>0</v>
      </c>
      <c r="F215" s="68">
        <f t="shared" si="17"/>
        <v>292.24259999999998</v>
      </c>
      <c r="G215" s="68">
        <v>0</v>
      </c>
      <c r="H215" s="68">
        <f t="shared" si="18"/>
        <v>438.36389999999994</v>
      </c>
      <c r="I215" s="36"/>
      <c r="L215" s="138"/>
      <c r="M215" s="138"/>
      <c r="N215" s="36"/>
      <c r="T215" s="21"/>
    </row>
    <row r="216" spans="1:20" s="69" customFormat="1" ht="15.75" customHeight="1" x14ac:dyDescent="0.35">
      <c r="A216" s="129">
        <f t="shared" si="3"/>
        <v>25</v>
      </c>
      <c r="B216" s="130"/>
      <c r="C216" s="68" t="s">
        <v>314</v>
      </c>
      <c r="D216" s="68">
        <f>(4.25*7.5)*10.764</f>
        <v>343.10249999999996</v>
      </c>
      <c r="E216" s="68">
        <v>0</v>
      </c>
      <c r="F216" s="68">
        <f t="shared" si="17"/>
        <v>343.10249999999996</v>
      </c>
      <c r="G216" s="68">
        <v>0</v>
      </c>
      <c r="H216" s="68">
        <f t="shared" si="18"/>
        <v>514.65374999999995</v>
      </c>
      <c r="I216" s="36"/>
      <c r="L216" s="138"/>
      <c r="M216" s="138"/>
      <c r="N216" s="36"/>
      <c r="T216" s="21"/>
    </row>
    <row r="217" spans="1:20" s="69" customFormat="1" ht="15.75" customHeight="1" x14ac:dyDescent="0.35">
      <c r="A217" s="129">
        <f t="shared" si="3"/>
        <v>26</v>
      </c>
      <c r="B217" s="130"/>
      <c r="C217" s="68" t="s">
        <v>314</v>
      </c>
      <c r="D217" s="68">
        <f>(4.1*7.5)*10.764</f>
        <v>330.99299999999994</v>
      </c>
      <c r="E217" s="68">
        <v>0</v>
      </c>
      <c r="F217" s="68">
        <f t="shared" ref="F217:F218" si="19">D217+(IF(E217&lt;201,E217,IF(E217&lt;301,E217/2,E217/3)))</f>
        <v>330.99299999999994</v>
      </c>
      <c r="G217" s="68">
        <v>0</v>
      </c>
      <c r="H217" s="68">
        <f t="shared" ref="H217:H218" si="20">(F217+(IF(G217&lt;101,G217,IF(G217&lt;201,G217/2,IF(G217&lt;=301,G217/3,G217/4)))))*(($H$177)+1)</f>
        <v>496.48949999999991</v>
      </c>
      <c r="I217" s="36"/>
      <c r="L217" s="138"/>
      <c r="M217" s="138"/>
      <c r="N217" s="36"/>
      <c r="T217" s="21"/>
    </row>
    <row r="218" spans="1:20" s="69" customFormat="1" ht="15.75" customHeight="1" x14ac:dyDescent="0.35">
      <c r="A218" s="129">
        <f t="shared" si="3"/>
        <v>27</v>
      </c>
      <c r="B218" s="130"/>
      <c r="C218" s="68" t="s">
        <v>314</v>
      </c>
      <c r="D218" s="68">
        <f>(2.6*5.35+1.7*1.25)*10.764</f>
        <v>172.60074</v>
      </c>
      <c r="E218" s="68">
        <v>0</v>
      </c>
      <c r="F218" s="68">
        <f t="shared" si="19"/>
        <v>172.60074</v>
      </c>
      <c r="G218" s="68">
        <v>0</v>
      </c>
      <c r="H218" s="68">
        <f t="shared" si="20"/>
        <v>258.90111000000002</v>
      </c>
      <c r="I218" s="36"/>
      <c r="L218" s="138"/>
      <c r="M218" s="138"/>
      <c r="N218" s="36"/>
      <c r="T218" s="21"/>
    </row>
    <row r="219" spans="1:20" s="77" customFormat="1" x14ac:dyDescent="0.35">
      <c r="A219" s="103" t="s">
        <v>355</v>
      </c>
      <c r="B219" s="104"/>
      <c r="C219" s="104"/>
      <c r="D219" s="104"/>
      <c r="E219" s="104"/>
      <c r="F219" s="104"/>
      <c r="G219" s="104"/>
      <c r="H219" s="105"/>
      <c r="J219" s="36"/>
      <c r="T219" s="35"/>
    </row>
    <row r="220" spans="1:20" s="71" customFormat="1" ht="15.75" customHeight="1" x14ac:dyDescent="0.35">
      <c r="A220" s="129">
        <f>A208+1</f>
        <v>107</v>
      </c>
      <c r="B220" s="130"/>
      <c r="C220" s="70" t="s">
        <v>314</v>
      </c>
      <c r="D220" s="70">
        <f>(2.75*5.93)*10.764</f>
        <v>175.53392999999997</v>
      </c>
      <c r="E220" s="70">
        <v>0</v>
      </c>
      <c r="F220" s="70">
        <f>D220+(IF(E220&lt;201,E220,IF(E220&lt;301,E220/2,E220/3)))</f>
        <v>175.53392999999997</v>
      </c>
      <c r="G220" s="62">
        <v>0</v>
      </c>
      <c r="H220" s="70">
        <f>(F220+(IF(G220&lt;101,G220,IF(G220&lt;201,G220/2,IF(G220&lt;=301,G220/3,G220/4)))))*(($H$177)+1)</f>
        <v>263.30089499999997</v>
      </c>
      <c r="I220" s="36"/>
      <c r="L220" s="138"/>
      <c r="M220" s="138"/>
      <c r="N220" s="36"/>
      <c r="T220" s="35"/>
    </row>
    <row r="221" spans="1:20" s="71" customFormat="1" ht="15.75" customHeight="1" x14ac:dyDescent="0.35">
      <c r="A221" s="129">
        <f t="shared" ref="A221:A227" si="21">A220+1</f>
        <v>108</v>
      </c>
      <c r="B221" s="130"/>
      <c r="C221" s="70" t="s">
        <v>314</v>
      </c>
      <c r="D221" s="70">
        <f>(4.15*5.95)*10.764</f>
        <v>265.79007000000001</v>
      </c>
      <c r="E221" s="70">
        <v>0</v>
      </c>
      <c r="F221" s="70">
        <f t="shared" ref="F221:F227" si="22">D221+(IF(E221&lt;201,E221,IF(E221&lt;301,E221/2,E221/3)))</f>
        <v>265.79007000000001</v>
      </c>
      <c r="G221" s="70">
        <v>0</v>
      </c>
      <c r="H221" s="70">
        <f t="shared" ref="H221:H227" si="23">(F221+(IF(G221&lt;101,G221,IF(G221&lt;201,G221/2,IF(G221&lt;=301,G221/3,G221/4)))))*(($H$177)+1)</f>
        <v>398.68510500000002</v>
      </c>
      <c r="I221" s="36"/>
      <c r="L221" s="138"/>
      <c r="M221" s="138"/>
      <c r="N221" s="36"/>
      <c r="T221" s="34"/>
    </row>
    <row r="222" spans="1:20" s="71" customFormat="1" ht="15.75" customHeight="1" x14ac:dyDescent="0.35">
      <c r="A222" s="129">
        <f t="shared" si="21"/>
        <v>109</v>
      </c>
      <c r="B222" s="130"/>
      <c r="C222" s="70" t="s">
        <v>314</v>
      </c>
      <c r="D222" s="70">
        <f>(2.15*5.05+1.2*0.9)*10.764</f>
        <v>128.49525</v>
      </c>
      <c r="E222" s="70">
        <v>0</v>
      </c>
      <c r="F222" s="70">
        <f t="shared" si="22"/>
        <v>128.49525</v>
      </c>
      <c r="G222" s="70">
        <v>0</v>
      </c>
      <c r="H222" s="70">
        <f t="shared" si="23"/>
        <v>192.742875</v>
      </c>
      <c r="I222" s="36"/>
      <c r="L222" s="138"/>
      <c r="M222" s="138"/>
      <c r="N222" s="36"/>
      <c r="T222" s="21"/>
    </row>
    <row r="223" spans="1:20" s="71" customFormat="1" ht="15.75" customHeight="1" x14ac:dyDescent="0.35">
      <c r="A223" s="129">
        <f t="shared" si="21"/>
        <v>110</v>
      </c>
      <c r="B223" s="130"/>
      <c r="C223" s="70" t="s">
        <v>314</v>
      </c>
      <c r="D223" s="70">
        <f>(2.75*5.05)*10.764</f>
        <v>149.48504999999997</v>
      </c>
      <c r="E223" s="70">
        <v>0</v>
      </c>
      <c r="F223" s="70">
        <f t="shared" si="22"/>
        <v>149.48504999999997</v>
      </c>
      <c r="G223" s="70">
        <v>0</v>
      </c>
      <c r="H223" s="70">
        <f t="shared" si="23"/>
        <v>224.22757499999994</v>
      </c>
      <c r="I223" s="36"/>
      <c r="L223" s="138"/>
      <c r="M223" s="138"/>
      <c r="N223" s="36"/>
      <c r="T223" s="21"/>
    </row>
    <row r="224" spans="1:20" s="71" customFormat="1" ht="15.75" customHeight="1" x14ac:dyDescent="0.35">
      <c r="A224" s="129">
        <f t="shared" si="21"/>
        <v>111</v>
      </c>
      <c r="B224" s="130"/>
      <c r="C224" s="70" t="s">
        <v>314</v>
      </c>
      <c r="D224" s="70">
        <f>(3.95*6.6+1.2*0.9)*10.764</f>
        <v>292.24259999999998</v>
      </c>
      <c r="E224" s="70">
        <v>0</v>
      </c>
      <c r="F224" s="70">
        <f t="shared" si="22"/>
        <v>292.24259999999998</v>
      </c>
      <c r="G224" s="70">
        <v>0</v>
      </c>
      <c r="H224" s="70">
        <f t="shared" si="23"/>
        <v>438.36389999999994</v>
      </c>
      <c r="I224" s="36"/>
      <c r="L224" s="138"/>
      <c r="M224" s="138"/>
      <c r="N224" s="36"/>
      <c r="T224" s="21"/>
    </row>
    <row r="225" spans="1:20" s="71" customFormat="1" ht="15.75" customHeight="1" x14ac:dyDescent="0.35">
      <c r="A225" s="129">
        <f t="shared" si="21"/>
        <v>112</v>
      </c>
      <c r="B225" s="130"/>
      <c r="C225" s="70" t="s">
        <v>314</v>
      </c>
      <c r="D225" s="70">
        <f>(4.25*7.5)*10.764</f>
        <v>343.10249999999996</v>
      </c>
      <c r="E225" s="70">
        <v>0</v>
      </c>
      <c r="F225" s="70">
        <f t="shared" si="22"/>
        <v>343.10249999999996</v>
      </c>
      <c r="G225" s="70">
        <v>0</v>
      </c>
      <c r="H225" s="70">
        <f t="shared" si="23"/>
        <v>514.65374999999995</v>
      </c>
      <c r="I225" s="36"/>
      <c r="L225" s="138"/>
      <c r="M225" s="138"/>
      <c r="N225" s="36"/>
      <c r="T225" s="21"/>
    </row>
    <row r="226" spans="1:20" s="71" customFormat="1" ht="15.75" customHeight="1" x14ac:dyDescent="0.35">
      <c r="A226" s="129">
        <f t="shared" si="21"/>
        <v>113</v>
      </c>
      <c r="B226" s="130"/>
      <c r="C226" s="70" t="s">
        <v>314</v>
      </c>
      <c r="D226" s="70">
        <f>(4.1*7.5)*10.764</f>
        <v>330.99299999999994</v>
      </c>
      <c r="E226" s="70">
        <v>0</v>
      </c>
      <c r="F226" s="70">
        <f t="shared" si="22"/>
        <v>330.99299999999994</v>
      </c>
      <c r="G226" s="70">
        <v>0</v>
      </c>
      <c r="H226" s="70">
        <f t="shared" si="23"/>
        <v>496.48949999999991</v>
      </c>
      <c r="I226" s="36"/>
      <c r="L226" s="138"/>
      <c r="M226" s="138"/>
      <c r="N226" s="36"/>
      <c r="T226" s="21"/>
    </row>
    <row r="227" spans="1:20" s="71" customFormat="1" ht="15.75" customHeight="1" x14ac:dyDescent="0.35">
      <c r="A227" s="129">
        <f t="shared" si="21"/>
        <v>114</v>
      </c>
      <c r="B227" s="130"/>
      <c r="C227" s="70" t="s">
        <v>314</v>
      </c>
      <c r="D227" s="70">
        <f>(2.6*5.35+1.7*1.25)*10.764</f>
        <v>172.60074</v>
      </c>
      <c r="E227" s="70">
        <v>0</v>
      </c>
      <c r="F227" s="70">
        <f t="shared" si="22"/>
        <v>172.60074</v>
      </c>
      <c r="G227" s="70">
        <v>0</v>
      </c>
      <c r="H227" s="70">
        <f t="shared" si="23"/>
        <v>258.90111000000002</v>
      </c>
      <c r="I227" s="36"/>
      <c r="L227" s="138"/>
      <c r="M227" s="138"/>
      <c r="N227" s="36"/>
      <c r="T227" s="21"/>
    </row>
    <row r="228" spans="1:20" s="37" customFormat="1" x14ac:dyDescent="0.35">
      <c r="A228" s="129"/>
      <c r="B228" s="131"/>
      <c r="C228" s="131"/>
      <c r="D228" s="131"/>
      <c r="E228" s="131"/>
      <c r="F228" s="131"/>
      <c r="G228" s="131"/>
      <c r="H228" s="130"/>
      <c r="I228" s="36"/>
      <c r="N228" s="36"/>
    </row>
    <row r="229" spans="1:20" s="23" customFormat="1" ht="47.25" customHeight="1" x14ac:dyDescent="0.35">
      <c r="A229" s="269" t="s">
        <v>373</v>
      </c>
      <c r="B229" s="170" t="s">
        <v>173</v>
      </c>
      <c r="C229" s="170" t="s">
        <v>55</v>
      </c>
      <c r="D229" s="170" t="s">
        <v>228</v>
      </c>
      <c r="E229" s="170" t="s">
        <v>372</v>
      </c>
      <c r="F229" s="170" t="s">
        <v>56</v>
      </c>
      <c r="G229" s="190" t="s">
        <v>57</v>
      </c>
      <c r="H229" s="87" t="s">
        <v>147</v>
      </c>
      <c r="I229" s="88"/>
      <c r="T229" s="89"/>
    </row>
    <row r="230" spans="1:20" s="89" customFormat="1" x14ac:dyDescent="0.35">
      <c r="A230" s="270"/>
      <c r="B230" s="171"/>
      <c r="C230" s="171"/>
      <c r="D230" s="171"/>
      <c r="E230" s="171"/>
      <c r="F230" s="171"/>
      <c r="G230" s="191"/>
      <c r="H230" s="90">
        <v>0.45</v>
      </c>
      <c r="I230" s="88"/>
    </row>
    <row r="231" spans="1:20" s="71" customFormat="1" x14ac:dyDescent="0.35">
      <c r="A231" s="103" t="s">
        <v>335</v>
      </c>
      <c r="B231" s="104"/>
      <c r="C231" s="104"/>
      <c r="D231" s="104"/>
      <c r="E231" s="104"/>
      <c r="F231" s="104"/>
      <c r="G231" s="104"/>
      <c r="H231" s="105"/>
      <c r="J231" s="36"/>
    </row>
    <row r="232" spans="1:20" s="69" customFormat="1" x14ac:dyDescent="0.35">
      <c r="A232" s="103" t="s">
        <v>348</v>
      </c>
      <c r="B232" s="104"/>
      <c r="C232" s="104"/>
      <c r="D232" s="104"/>
      <c r="E232" s="104"/>
      <c r="F232" s="104"/>
      <c r="G232" s="104"/>
      <c r="H232" s="105"/>
      <c r="J232" s="36"/>
    </row>
    <row r="233" spans="1:20" s="69" customFormat="1" x14ac:dyDescent="0.35">
      <c r="A233" s="103" t="s">
        <v>315</v>
      </c>
      <c r="B233" s="104"/>
      <c r="C233" s="104"/>
      <c r="D233" s="104"/>
      <c r="E233" s="104"/>
      <c r="F233" s="104"/>
      <c r="G233" s="104"/>
      <c r="H233" s="105"/>
      <c r="J233" s="36"/>
    </row>
    <row r="234" spans="1:20" s="37" customFormat="1" x14ac:dyDescent="0.35">
      <c r="A234" s="103" t="s">
        <v>346</v>
      </c>
      <c r="B234" s="104"/>
      <c r="C234" s="104"/>
      <c r="D234" s="104"/>
      <c r="E234" s="104"/>
      <c r="F234" s="104"/>
      <c r="G234" s="104"/>
      <c r="H234" s="105"/>
      <c r="J234" s="36"/>
    </row>
    <row r="235" spans="1:20" s="37" customFormat="1" ht="15.75" customHeight="1" x14ac:dyDescent="0.35">
      <c r="A235" s="129">
        <v>101</v>
      </c>
      <c r="B235" s="130"/>
      <c r="C235" s="42" t="s">
        <v>316</v>
      </c>
      <c r="D235" s="68">
        <f>(29.86)*10.764</f>
        <v>321.41303999999997</v>
      </c>
      <c r="E235" s="68">
        <v>0</v>
      </c>
      <c r="F235" s="42">
        <f t="shared" ref="F235:F242" si="24">D235+E235</f>
        <v>321.41303999999997</v>
      </c>
      <c r="G235" s="68">
        <v>0</v>
      </c>
      <c r="H235" s="53">
        <f t="shared" ref="H235:H242" si="25">F235*(($H$230)+1)+(IF(G235&lt;101,G235,IF(G235&lt;201,G235/2,IF(G235&lt;=301,G235/3,G235/4))))</f>
        <v>466.04890799999993</v>
      </c>
      <c r="I235" s="36">
        <f>2.75*4.4+1.35*2.25+2.6*3.05+1.2*2+1.7*1.1+1.35*0.9</f>
        <v>28.552500000000002</v>
      </c>
      <c r="J235" s="70">
        <v>10.763999999999999</v>
      </c>
      <c r="K235" s="71"/>
      <c r="L235" s="138"/>
      <c r="M235" s="138"/>
      <c r="N235" s="36"/>
      <c r="O235" s="71"/>
      <c r="P235" s="71"/>
      <c r="Q235" s="71"/>
    </row>
    <row r="236" spans="1:20" s="37" customFormat="1" ht="15.75" customHeight="1" x14ac:dyDescent="0.35">
      <c r="A236" s="129">
        <f t="shared" ref="A236:A242" si="26">A235+1</f>
        <v>102</v>
      </c>
      <c r="B236" s="130"/>
      <c r="C236" s="68" t="s">
        <v>316</v>
      </c>
      <c r="D236" s="68">
        <f>(29.86)*10.764</f>
        <v>321.41303999999997</v>
      </c>
      <c r="E236" s="68">
        <v>0</v>
      </c>
      <c r="F236" s="53">
        <f t="shared" si="24"/>
        <v>321.41303999999997</v>
      </c>
      <c r="G236" s="68">
        <v>0</v>
      </c>
      <c r="H236" s="53">
        <f t="shared" si="25"/>
        <v>466.04890799999993</v>
      </c>
      <c r="I236" s="36"/>
      <c r="L236" s="138"/>
      <c r="M236" s="138"/>
      <c r="N236" s="36"/>
    </row>
    <row r="237" spans="1:20" s="37" customFormat="1" ht="15.75" customHeight="1" x14ac:dyDescent="0.35">
      <c r="A237" s="129">
        <f t="shared" si="26"/>
        <v>103</v>
      </c>
      <c r="B237" s="130"/>
      <c r="C237" s="68" t="s">
        <v>316</v>
      </c>
      <c r="D237" s="68">
        <f>(29.91)*10.764</f>
        <v>321.95123999999998</v>
      </c>
      <c r="E237" s="68">
        <f>(2.75*1.35)*10.764</f>
        <v>39.961350000000003</v>
      </c>
      <c r="F237" s="53">
        <f t="shared" si="24"/>
        <v>361.91258999999997</v>
      </c>
      <c r="G237" s="68">
        <v>0</v>
      </c>
      <c r="H237" s="53">
        <f>F237*(($H$230)+1)+(IF(G237&lt;101,G237,IF(G237&lt;201,G237/2,IF(G237&lt;=301,G237/3,G237/4))))</f>
        <v>524.77325549999989</v>
      </c>
      <c r="I237" s="36"/>
      <c r="L237" s="138"/>
      <c r="M237" s="138"/>
      <c r="N237" s="36"/>
    </row>
    <row r="238" spans="1:20" s="37" customFormat="1" ht="15.75" customHeight="1" x14ac:dyDescent="0.35">
      <c r="A238" s="129">
        <f t="shared" si="26"/>
        <v>104</v>
      </c>
      <c r="B238" s="130"/>
      <c r="C238" s="68" t="s">
        <v>316</v>
      </c>
      <c r="D238" s="68">
        <f>(31.74)*10.764</f>
        <v>341.64935999999994</v>
      </c>
      <c r="E238" s="68">
        <f>(2.75*1.2)*10.764</f>
        <v>35.521199999999993</v>
      </c>
      <c r="F238" s="53">
        <f t="shared" si="24"/>
        <v>377.17055999999991</v>
      </c>
      <c r="G238" s="68">
        <v>0</v>
      </c>
      <c r="H238" s="53">
        <f t="shared" si="25"/>
        <v>546.89731199999983</v>
      </c>
      <c r="I238" s="36"/>
      <c r="L238" s="138"/>
      <c r="M238" s="138"/>
      <c r="N238" s="36"/>
      <c r="T238" s="21"/>
    </row>
    <row r="239" spans="1:20" s="69" customFormat="1" ht="15.75" customHeight="1" x14ac:dyDescent="0.35">
      <c r="A239" s="129">
        <f t="shared" si="26"/>
        <v>105</v>
      </c>
      <c r="B239" s="130"/>
      <c r="C239" s="68" t="s">
        <v>316</v>
      </c>
      <c r="D239" s="68">
        <f>(33.74)*10.764</f>
        <v>363.17736000000002</v>
      </c>
      <c r="E239" s="68">
        <v>0</v>
      </c>
      <c r="F239" s="68">
        <f t="shared" si="24"/>
        <v>363.17736000000002</v>
      </c>
      <c r="G239" s="68">
        <f>(17.35)*10.764</f>
        <v>186.75540000000001</v>
      </c>
      <c r="H239" s="68">
        <f t="shared" si="25"/>
        <v>619.984872</v>
      </c>
      <c r="I239" s="36"/>
      <c r="J239" s="68">
        <f>17.35*10.764</f>
        <v>186.75540000000001</v>
      </c>
      <c r="L239" s="138"/>
      <c r="M239" s="138"/>
      <c r="N239" s="36"/>
    </row>
    <row r="240" spans="1:20" s="69" customFormat="1" ht="15.75" customHeight="1" x14ac:dyDescent="0.35">
      <c r="A240" s="129">
        <f t="shared" si="26"/>
        <v>106</v>
      </c>
      <c r="B240" s="130"/>
      <c r="C240" s="68" t="s">
        <v>316</v>
      </c>
      <c r="D240" s="68">
        <f>(29.91)*10.764</f>
        <v>321.95123999999998</v>
      </c>
      <c r="E240" s="68">
        <f>(2.75*1.35)*10.764</f>
        <v>39.961350000000003</v>
      </c>
      <c r="F240" s="68">
        <f t="shared" si="24"/>
        <v>361.91258999999997</v>
      </c>
      <c r="G240" s="68">
        <f>(10.55)*10.764</f>
        <v>113.56019999999999</v>
      </c>
      <c r="H240" s="68">
        <f t="shared" si="25"/>
        <v>581.55335549999984</v>
      </c>
      <c r="I240" s="36"/>
      <c r="J240" s="68"/>
      <c r="L240" s="138"/>
      <c r="M240" s="138"/>
      <c r="N240" s="36"/>
    </row>
    <row r="241" spans="1:20" s="69" customFormat="1" ht="15.75" customHeight="1" x14ac:dyDescent="0.35">
      <c r="A241" s="129">
        <f t="shared" si="26"/>
        <v>107</v>
      </c>
      <c r="B241" s="130"/>
      <c r="C241" s="68" t="s">
        <v>316</v>
      </c>
      <c r="D241" s="68">
        <f>(29.86)*10.764</f>
        <v>321.41303999999997</v>
      </c>
      <c r="E241" s="68">
        <v>0</v>
      </c>
      <c r="F241" s="68">
        <f t="shared" si="24"/>
        <v>321.41303999999997</v>
      </c>
      <c r="G241" s="68">
        <f>(9.39)*10.764</f>
        <v>101.07396</v>
      </c>
      <c r="H241" s="68">
        <f t="shared" si="25"/>
        <v>516.58588799999995</v>
      </c>
      <c r="I241" s="36">
        <f>2.75*4.4+1.35*2.25+2.6*3.05+1.7*1.1+1.2*2+1.35*0.9</f>
        <v>28.552500000000002</v>
      </c>
      <c r="J241" s="68"/>
      <c r="L241" s="138"/>
      <c r="M241" s="138"/>
      <c r="N241" s="36"/>
      <c r="T241" s="21"/>
    </row>
    <row r="242" spans="1:20" s="69" customFormat="1" ht="15.75" customHeight="1" x14ac:dyDescent="0.35">
      <c r="A242" s="129">
        <f t="shared" si="26"/>
        <v>108</v>
      </c>
      <c r="B242" s="130"/>
      <c r="C242" s="68" t="s">
        <v>316</v>
      </c>
      <c r="D242" s="68">
        <f>(29.86)*10.764</f>
        <v>321.41303999999997</v>
      </c>
      <c r="E242" s="68">
        <v>0</v>
      </c>
      <c r="F242" s="68">
        <f t="shared" si="24"/>
        <v>321.41303999999997</v>
      </c>
      <c r="G242" s="68">
        <f>(16.49)*10.764</f>
        <v>177.49835999999996</v>
      </c>
      <c r="H242" s="68">
        <f t="shared" si="25"/>
        <v>554.79808799999989</v>
      </c>
      <c r="I242" s="36"/>
      <c r="J242" s="68"/>
      <c r="L242" s="138"/>
      <c r="M242" s="138"/>
      <c r="N242" s="36"/>
      <c r="T242" s="21"/>
    </row>
    <row r="243" spans="1:20" s="37" customFormat="1" x14ac:dyDescent="0.35">
      <c r="A243" s="230" t="s">
        <v>317</v>
      </c>
      <c r="B243" s="230"/>
      <c r="C243" s="230"/>
      <c r="D243" s="230"/>
      <c r="E243" s="230"/>
      <c r="F243" s="230"/>
      <c r="G243" s="230"/>
      <c r="H243" s="230"/>
      <c r="I243" s="36"/>
      <c r="L243" s="138"/>
      <c r="M243" s="138"/>
    </row>
    <row r="244" spans="1:20" s="37" customFormat="1" x14ac:dyDescent="0.35">
      <c r="A244" s="185" t="s">
        <v>318</v>
      </c>
      <c r="B244" s="185"/>
      <c r="C244" s="42" t="s">
        <v>316</v>
      </c>
      <c r="D244" s="68">
        <f>(29.86)*10.764</f>
        <v>321.41303999999997</v>
      </c>
      <c r="E244" s="78">
        <v>0</v>
      </c>
      <c r="F244" s="53">
        <f t="shared" ref="F244:F251" si="27">D244+E244</f>
        <v>321.41303999999997</v>
      </c>
      <c r="G244" s="53">
        <v>0</v>
      </c>
      <c r="H244" s="53">
        <f t="shared" ref="H244:H251" si="28">F244*(($H$230)+1)+(IF(G244&lt;101,G244,IF(G244&lt;201,G244/2,IF(G244&lt;=301,G244/3,G244/4))))</f>
        <v>466.04890799999993</v>
      </c>
      <c r="I244" s="36"/>
      <c r="N244" s="36"/>
    </row>
    <row r="245" spans="1:20" s="37" customFormat="1" x14ac:dyDescent="0.35">
      <c r="A245" s="185" t="s">
        <v>319</v>
      </c>
      <c r="B245" s="185"/>
      <c r="C245" s="68" t="s">
        <v>316</v>
      </c>
      <c r="D245" s="68">
        <f>(29.86)*10.764</f>
        <v>321.41303999999997</v>
      </c>
      <c r="E245" s="78">
        <v>0</v>
      </c>
      <c r="F245" s="53">
        <f t="shared" si="27"/>
        <v>321.41303999999997</v>
      </c>
      <c r="G245" s="53">
        <v>0</v>
      </c>
      <c r="H245" s="53">
        <f t="shared" si="28"/>
        <v>466.04890799999993</v>
      </c>
      <c r="I245" s="36"/>
      <c r="N245" s="36"/>
    </row>
    <row r="246" spans="1:20" s="37" customFormat="1" x14ac:dyDescent="0.35">
      <c r="A246" s="185" t="s">
        <v>320</v>
      </c>
      <c r="B246" s="185"/>
      <c r="C246" s="68" t="s">
        <v>316</v>
      </c>
      <c r="D246" s="68">
        <f>(29.91)*10.764</f>
        <v>321.95123999999998</v>
      </c>
      <c r="E246" s="78">
        <f>(2.75*1.35)*10.764</f>
        <v>39.961350000000003</v>
      </c>
      <c r="F246" s="53">
        <f t="shared" si="27"/>
        <v>361.91258999999997</v>
      </c>
      <c r="G246" s="53">
        <v>0</v>
      </c>
      <c r="H246" s="53">
        <f t="shared" si="28"/>
        <v>524.77325549999989</v>
      </c>
      <c r="I246" s="36"/>
      <c r="N246" s="36"/>
    </row>
    <row r="247" spans="1:20" s="37" customFormat="1" x14ac:dyDescent="0.35">
      <c r="A247" s="185" t="s">
        <v>321</v>
      </c>
      <c r="B247" s="185"/>
      <c r="C247" s="68" t="s">
        <v>316</v>
      </c>
      <c r="D247" s="68">
        <f>(31.74)*10.764</f>
        <v>341.64935999999994</v>
      </c>
      <c r="E247" s="78">
        <f>(2.75*1.2)*10.764</f>
        <v>35.521199999999993</v>
      </c>
      <c r="F247" s="53">
        <f t="shared" si="27"/>
        <v>377.17055999999991</v>
      </c>
      <c r="G247" s="53">
        <v>0</v>
      </c>
      <c r="H247" s="53">
        <f t="shared" si="28"/>
        <v>546.89731199999983</v>
      </c>
      <c r="I247" s="72">
        <f>2.75*3.2+2.7*2.15+3.05*2.9+1.7*1.1+1.35*1.85+1.55*0.9</f>
        <v>29.212500000000002</v>
      </c>
      <c r="N247" s="36"/>
    </row>
    <row r="248" spans="1:20" s="37" customFormat="1" x14ac:dyDescent="0.35">
      <c r="A248" s="185" t="s">
        <v>322</v>
      </c>
      <c r="B248" s="185"/>
      <c r="C248" s="68" t="s">
        <v>316</v>
      </c>
      <c r="D248" s="68">
        <f>(33.74)*10.764</f>
        <v>363.17736000000002</v>
      </c>
      <c r="E248" s="78">
        <v>0</v>
      </c>
      <c r="F248" s="53">
        <f t="shared" si="27"/>
        <v>363.17736000000002</v>
      </c>
      <c r="G248" s="53">
        <v>0</v>
      </c>
      <c r="H248" s="53">
        <f t="shared" si="28"/>
        <v>526.60717199999999</v>
      </c>
      <c r="I248" s="36"/>
      <c r="N248" s="36"/>
    </row>
    <row r="249" spans="1:20" s="69" customFormat="1" x14ac:dyDescent="0.35">
      <c r="A249" s="185" t="s">
        <v>323</v>
      </c>
      <c r="B249" s="185"/>
      <c r="C249" s="68" t="s">
        <v>316</v>
      </c>
      <c r="D249" s="68">
        <f>(29.91)*10.764</f>
        <v>321.95123999999998</v>
      </c>
      <c r="E249" s="78">
        <f>(2.75*1.35)*10.764</f>
        <v>39.961350000000003</v>
      </c>
      <c r="F249" s="68">
        <f t="shared" si="27"/>
        <v>361.91258999999997</v>
      </c>
      <c r="G249" s="68">
        <v>0</v>
      </c>
      <c r="H249" s="68">
        <f t="shared" si="28"/>
        <v>524.77325549999989</v>
      </c>
      <c r="I249" s="36"/>
      <c r="N249" s="36"/>
    </row>
    <row r="250" spans="1:20" s="69" customFormat="1" x14ac:dyDescent="0.35">
      <c r="A250" s="185" t="s">
        <v>324</v>
      </c>
      <c r="B250" s="185"/>
      <c r="C250" s="68" t="s">
        <v>316</v>
      </c>
      <c r="D250" s="68">
        <f>(29.86)*10.764</f>
        <v>321.41303999999997</v>
      </c>
      <c r="E250" s="78">
        <v>0</v>
      </c>
      <c r="F250" s="68">
        <f t="shared" si="27"/>
        <v>321.41303999999997</v>
      </c>
      <c r="G250" s="68">
        <v>0</v>
      </c>
      <c r="H250" s="68">
        <f t="shared" si="28"/>
        <v>466.04890799999993</v>
      </c>
      <c r="I250" s="36"/>
      <c r="N250" s="36"/>
    </row>
    <row r="251" spans="1:20" s="69" customFormat="1" x14ac:dyDescent="0.35">
      <c r="A251" s="185" t="s">
        <v>325</v>
      </c>
      <c r="B251" s="185"/>
      <c r="C251" s="68" t="s">
        <v>316</v>
      </c>
      <c r="D251" s="68">
        <f>(29.86)*10.764</f>
        <v>321.41303999999997</v>
      </c>
      <c r="E251" s="78">
        <v>0</v>
      </c>
      <c r="F251" s="68">
        <f t="shared" si="27"/>
        <v>321.41303999999997</v>
      </c>
      <c r="G251" s="68">
        <v>0</v>
      </c>
      <c r="H251" s="68">
        <f t="shared" si="28"/>
        <v>466.04890799999993</v>
      </c>
      <c r="I251" s="36"/>
      <c r="N251" s="36"/>
    </row>
    <row r="252" spans="1:20" s="69" customFormat="1" x14ac:dyDescent="0.35">
      <c r="A252" s="103" t="s">
        <v>349</v>
      </c>
      <c r="B252" s="104"/>
      <c r="C252" s="104"/>
      <c r="D252" s="104"/>
      <c r="E252" s="104"/>
      <c r="F252" s="104"/>
      <c r="G252" s="104"/>
      <c r="H252" s="105"/>
      <c r="J252" s="36"/>
    </row>
    <row r="253" spans="1:20" s="69" customFormat="1" x14ac:dyDescent="0.35">
      <c r="A253" s="103" t="s">
        <v>315</v>
      </c>
      <c r="B253" s="104"/>
      <c r="C253" s="104"/>
      <c r="D253" s="104"/>
      <c r="E253" s="104"/>
      <c r="F253" s="104"/>
      <c r="G253" s="104"/>
      <c r="H253" s="105"/>
      <c r="J253" s="36"/>
    </row>
    <row r="254" spans="1:20" s="69" customFormat="1" x14ac:dyDescent="0.35">
      <c r="A254" s="103" t="s">
        <v>347</v>
      </c>
      <c r="B254" s="104"/>
      <c r="C254" s="104"/>
      <c r="D254" s="104"/>
      <c r="E254" s="104"/>
      <c r="F254" s="104"/>
      <c r="G254" s="104"/>
      <c r="H254" s="105"/>
      <c r="J254" s="36"/>
    </row>
    <row r="255" spans="1:20" s="69" customFormat="1" ht="15.75" customHeight="1" x14ac:dyDescent="0.35">
      <c r="A255" s="129">
        <v>101</v>
      </c>
      <c r="B255" s="130"/>
      <c r="C255" s="68" t="s">
        <v>316</v>
      </c>
      <c r="D255" s="68">
        <f>(29.86)*10.764</f>
        <v>321.41303999999997</v>
      </c>
      <c r="E255" s="68">
        <v>0</v>
      </c>
      <c r="F255" s="68">
        <f>D255+E255</f>
        <v>321.41303999999997</v>
      </c>
      <c r="G255" s="68">
        <f>18.98*10.764</f>
        <v>204.30071999999998</v>
      </c>
      <c r="H255" s="68">
        <f>F255*(($H$230)+1)+(IF(G255&lt;101,G255,IF(G255&lt;201,G255/2,IF(G255&lt;=301,G255/3,G255/4))))</f>
        <v>534.14914799999997</v>
      </c>
      <c r="I255" s="36">
        <f>2.75*4.4+1.35*2.25+2.6*3.05+1.7*1.1+1.2*2+1.35*0.9</f>
        <v>28.552500000000002</v>
      </c>
      <c r="J255" s="74">
        <v>10.763999999999999</v>
      </c>
      <c r="L255" s="138"/>
      <c r="M255" s="138"/>
      <c r="N255" s="36"/>
    </row>
    <row r="256" spans="1:20" s="69" customFormat="1" ht="15.75" customHeight="1" x14ac:dyDescent="0.35">
      <c r="A256" s="129">
        <f t="shared" ref="A256:A262" si="29">A255+1</f>
        <v>102</v>
      </c>
      <c r="B256" s="130"/>
      <c r="C256" s="68" t="s">
        <v>316</v>
      </c>
      <c r="D256" s="68">
        <f>(29.86)*10.764</f>
        <v>321.41303999999997</v>
      </c>
      <c r="E256" s="68">
        <v>0</v>
      </c>
      <c r="F256" s="68">
        <f>D256+E256</f>
        <v>321.41303999999997</v>
      </c>
      <c r="G256" s="68">
        <f>(11.44)*10.764</f>
        <v>123.14015999999998</v>
      </c>
      <c r="H256" s="68">
        <f>F256*(($H$230)+1)+(IF(G256&lt;101,G256,IF(G256&lt;201,G256/2,IF(G256&lt;=301,G256/3,G256/4))))</f>
        <v>527.61898799999994</v>
      </c>
      <c r="I256" s="36"/>
      <c r="L256" s="138"/>
      <c r="M256" s="138"/>
      <c r="N256" s="36"/>
    </row>
    <row r="257" spans="1:20" s="69" customFormat="1" ht="15.75" customHeight="1" x14ac:dyDescent="0.35">
      <c r="A257" s="129">
        <f t="shared" si="29"/>
        <v>103</v>
      </c>
      <c r="B257" s="130"/>
      <c r="C257" s="106" t="s">
        <v>338</v>
      </c>
      <c r="D257" s="107"/>
      <c r="E257" s="107"/>
      <c r="F257" s="107"/>
      <c r="G257" s="107"/>
      <c r="H257" s="108"/>
      <c r="I257" s="36"/>
      <c r="L257" s="138"/>
      <c r="M257" s="138"/>
      <c r="N257" s="36"/>
    </row>
    <row r="258" spans="1:20" s="69" customFormat="1" ht="15.75" customHeight="1" x14ac:dyDescent="0.35">
      <c r="A258" s="129">
        <f t="shared" si="29"/>
        <v>104</v>
      </c>
      <c r="B258" s="130"/>
      <c r="C258" s="112"/>
      <c r="D258" s="113"/>
      <c r="E258" s="113"/>
      <c r="F258" s="113"/>
      <c r="G258" s="113"/>
      <c r="H258" s="114"/>
      <c r="I258" s="36"/>
      <c r="L258" s="138"/>
      <c r="M258" s="138"/>
      <c r="N258" s="36"/>
      <c r="T258" s="21"/>
    </row>
    <row r="259" spans="1:20" s="69" customFormat="1" ht="15.75" customHeight="1" x14ac:dyDescent="0.35">
      <c r="A259" s="129">
        <f t="shared" si="29"/>
        <v>105</v>
      </c>
      <c r="B259" s="130"/>
      <c r="C259" s="68" t="s">
        <v>316</v>
      </c>
      <c r="D259" s="68">
        <f>(29.91)*10.764</f>
        <v>321.95123999999998</v>
      </c>
      <c r="E259" s="68">
        <f>(2.75*1.35)*10.764</f>
        <v>39.961350000000003</v>
      </c>
      <c r="F259" s="68">
        <f>D259+E259</f>
        <v>361.91258999999997</v>
      </c>
      <c r="G259" s="68">
        <v>0</v>
      </c>
      <c r="H259" s="68">
        <f>F259*(($H$230)+1)+(IF(G259&lt;101,G259,IF(G259&lt;201,G259/2,IF(G259&lt;=301,G259/3,G259/4))))</f>
        <v>524.77325549999989</v>
      </c>
      <c r="I259" s="36"/>
      <c r="J259" s="68">
        <f>5.9*1.2+1.25*4.1+2.6*2.45</f>
        <v>18.575000000000003</v>
      </c>
      <c r="L259" s="138"/>
      <c r="M259" s="138"/>
      <c r="N259" s="36"/>
    </row>
    <row r="260" spans="1:20" s="69" customFormat="1" ht="15.75" customHeight="1" x14ac:dyDescent="0.35">
      <c r="A260" s="129">
        <f t="shared" si="29"/>
        <v>106</v>
      </c>
      <c r="B260" s="130"/>
      <c r="C260" s="68" t="s">
        <v>316</v>
      </c>
      <c r="D260" s="68">
        <f>(29.91)*10.764</f>
        <v>321.95123999999998</v>
      </c>
      <c r="E260" s="68">
        <f>(2.75*1.35)*10.764</f>
        <v>39.961350000000003</v>
      </c>
      <c r="F260" s="68">
        <f>D260+E260</f>
        <v>361.91258999999997</v>
      </c>
      <c r="G260" s="68">
        <v>0</v>
      </c>
      <c r="H260" s="68">
        <f>F260*(($H$230)+1)+(IF(G260&lt;101,G260,IF(G260&lt;201,G260/2,IF(G260&lt;=301,G260/3,G260/4))))</f>
        <v>524.77325549999989</v>
      </c>
      <c r="I260" s="36"/>
      <c r="J260" s="68"/>
      <c r="L260" s="138"/>
      <c r="M260" s="138"/>
      <c r="N260" s="36"/>
    </row>
    <row r="261" spans="1:20" s="69" customFormat="1" ht="15.75" customHeight="1" x14ac:dyDescent="0.35">
      <c r="A261" s="129">
        <f t="shared" si="29"/>
        <v>107</v>
      </c>
      <c r="B261" s="130"/>
      <c r="C261" s="68" t="s">
        <v>316</v>
      </c>
      <c r="D261" s="68">
        <f>(29.86)*10.764</f>
        <v>321.41303999999997</v>
      </c>
      <c r="E261" s="68">
        <v>0</v>
      </c>
      <c r="F261" s="68">
        <f>D261+E261</f>
        <v>321.41303999999997</v>
      </c>
      <c r="G261" s="68">
        <v>0</v>
      </c>
      <c r="H261" s="68">
        <f>F261*(($H$230)+1)+(IF(G261&lt;101,G261,IF(G261&lt;201,G261/2,IF(G261&lt;=301,G261/3,G261/4))))</f>
        <v>466.04890799999993</v>
      </c>
      <c r="I261" s="36">
        <f>2.75*4.4+1.35*2.25+2.6*3.05+1.7*1.1+1.2*2+1.35*0.9</f>
        <v>28.552500000000002</v>
      </c>
      <c r="J261" s="68"/>
      <c r="L261" s="138"/>
      <c r="M261" s="138"/>
      <c r="N261" s="36"/>
      <c r="T261" s="21"/>
    </row>
    <row r="262" spans="1:20" s="69" customFormat="1" ht="15.75" customHeight="1" x14ac:dyDescent="0.35">
      <c r="A262" s="129">
        <f t="shared" si="29"/>
        <v>108</v>
      </c>
      <c r="B262" s="130"/>
      <c r="C262" s="68" t="s">
        <v>316</v>
      </c>
      <c r="D262" s="68">
        <f>(29.86)*10.764</f>
        <v>321.41303999999997</v>
      </c>
      <c r="E262" s="68">
        <v>0</v>
      </c>
      <c r="F262" s="68">
        <f>D262+E262</f>
        <v>321.41303999999997</v>
      </c>
      <c r="G262" s="68">
        <v>0</v>
      </c>
      <c r="H262" s="68">
        <f>F262*(($H$230)+1)+(IF(G262&lt;101,G262,IF(G262&lt;201,G262/2,IF(G262&lt;=301,G262/3,G262/4))))</f>
        <v>466.04890799999993</v>
      </c>
      <c r="I262" s="36"/>
      <c r="J262" s="68"/>
      <c r="L262" s="138"/>
      <c r="M262" s="138"/>
      <c r="N262" s="36"/>
      <c r="T262" s="21"/>
    </row>
    <row r="263" spans="1:20" s="69" customFormat="1" x14ac:dyDescent="0.35">
      <c r="A263" s="103" t="s">
        <v>117</v>
      </c>
      <c r="B263" s="104"/>
      <c r="C263" s="104"/>
      <c r="D263" s="104"/>
      <c r="E263" s="104"/>
      <c r="F263" s="104"/>
      <c r="G263" s="104"/>
      <c r="H263" s="105"/>
      <c r="I263" s="36"/>
    </row>
    <row r="264" spans="1:20" s="69" customFormat="1" ht="15.75" customHeight="1" x14ac:dyDescent="0.35">
      <c r="A264" s="129">
        <v>201</v>
      </c>
      <c r="B264" s="130"/>
      <c r="C264" s="68" t="s">
        <v>316</v>
      </c>
      <c r="D264" s="68">
        <f>(29.86)*10.764</f>
        <v>321.41303999999997</v>
      </c>
      <c r="E264" s="68">
        <v>0</v>
      </c>
      <c r="F264" s="68">
        <f t="shared" ref="F264:F271" si="30">D264+E264</f>
        <v>321.41303999999997</v>
      </c>
      <c r="G264" s="68">
        <v>0</v>
      </c>
      <c r="H264" s="68">
        <f t="shared" ref="H264:H271" si="31">F264*(($H$230)+1)+(IF(G264&lt;101,G264,IF(G264&lt;201,G264/2,IF(G264&lt;=301,G264/3,G264/4))))</f>
        <v>466.04890799999993</v>
      </c>
      <c r="I264" s="36"/>
    </row>
    <row r="265" spans="1:20" s="69" customFormat="1" ht="15.75" customHeight="1" x14ac:dyDescent="0.35">
      <c r="A265" s="129">
        <v>202</v>
      </c>
      <c r="B265" s="130"/>
      <c r="C265" s="68" t="s">
        <v>316</v>
      </c>
      <c r="D265" s="68">
        <f>(29.86)*10.764</f>
        <v>321.41303999999997</v>
      </c>
      <c r="E265" s="68">
        <v>0</v>
      </c>
      <c r="F265" s="68">
        <f t="shared" si="30"/>
        <v>321.41303999999997</v>
      </c>
      <c r="G265" s="68">
        <v>0</v>
      </c>
      <c r="H265" s="68">
        <f t="shared" si="31"/>
        <v>466.04890799999993</v>
      </c>
      <c r="I265" s="36"/>
    </row>
    <row r="266" spans="1:20" s="69" customFormat="1" ht="15.75" customHeight="1" x14ac:dyDescent="0.35">
      <c r="A266" s="129">
        <v>203</v>
      </c>
      <c r="B266" s="130"/>
      <c r="C266" s="68" t="s">
        <v>316</v>
      </c>
      <c r="D266" s="68">
        <f>(29.91)*10.764</f>
        <v>321.95123999999998</v>
      </c>
      <c r="E266" s="68">
        <f>(2.75*1.35)*10.764</f>
        <v>39.961350000000003</v>
      </c>
      <c r="F266" s="68">
        <f t="shared" si="30"/>
        <v>361.91258999999997</v>
      </c>
      <c r="G266" s="68">
        <f>(20.41)*10.764</f>
        <v>219.69323999999997</v>
      </c>
      <c r="H266" s="68">
        <f t="shared" si="31"/>
        <v>598.00433549999991</v>
      </c>
      <c r="I266" s="36"/>
    </row>
    <row r="267" spans="1:20" s="69" customFormat="1" ht="15.75" customHeight="1" x14ac:dyDescent="0.35">
      <c r="A267" s="129">
        <v>204</v>
      </c>
      <c r="B267" s="130"/>
      <c r="C267" s="68" t="s">
        <v>316</v>
      </c>
      <c r="D267" s="68">
        <f>(29.91)*10.764</f>
        <v>321.95123999999998</v>
      </c>
      <c r="E267" s="68">
        <f>(2.75*1.35)*10.764</f>
        <v>39.961350000000003</v>
      </c>
      <c r="F267" s="68">
        <f t="shared" si="30"/>
        <v>361.91258999999997</v>
      </c>
      <c r="G267" s="68">
        <f>(13.33)*10.764</f>
        <v>143.48411999999999</v>
      </c>
      <c r="H267" s="68">
        <f t="shared" si="31"/>
        <v>596.51531549999993</v>
      </c>
      <c r="I267" s="36"/>
    </row>
    <row r="268" spans="1:20" s="69" customFormat="1" ht="15.75" customHeight="1" x14ac:dyDescent="0.35">
      <c r="A268" s="129">
        <v>205</v>
      </c>
      <c r="B268" s="130"/>
      <c r="C268" s="68" t="s">
        <v>316</v>
      </c>
      <c r="D268" s="68">
        <f>(29.91)*10.764</f>
        <v>321.95123999999998</v>
      </c>
      <c r="E268" s="68">
        <f>(2.75*1.35)*10.764</f>
        <v>39.961350000000003</v>
      </c>
      <c r="F268" s="68">
        <f t="shared" si="30"/>
        <v>361.91258999999997</v>
      </c>
      <c r="G268" s="68">
        <v>0</v>
      </c>
      <c r="H268" s="68">
        <f t="shared" si="31"/>
        <v>524.77325549999989</v>
      </c>
      <c r="I268" s="36"/>
    </row>
    <row r="269" spans="1:20" s="69" customFormat="1" ht="15.75" customHeight="1" x14ac:dyDescent="0.35">
      <c r="A269" s="129">
        <v>206</v>
      </c>
      <c r="B269" s="130"/>
      <c r="C269" s="68" t="s">
        <v>316</v>
      </c>
      <c r="D269" s="68">
        <f>(29.91)*10.764</f>
        <v>321.95123999999998</v>
      </c>
      <c r="E269" s="78">
        <f>(2.75*1.35)*10.764</f>
        <v>39.961350000000003</v>
      </c>
      <c r="F269" s="68">
        <f t="shared" si="30"/>
        <v>361.91258999999997</v>
      </c>
      <c r="G269" s="68">
        <v>0</v>
      </c>
      <c r="H269" s="68">
        <f t="shared" si="31"/>
        <v>524.77325549999989</v>
      </c>
      <c r="I269" s="36"/>
    </row>
    <row r="270" spans="1:20" s="69" customFormat="1" ht="15.75" customHeight="1" x14ac:dyDescent="0.35">
      <c r="A270" s="129">
        <v>207</v>
      </c>
      <c r="B270" s="130"/>
      <c r="C270" s="68" t="s">
        <v>316</v>
      </c>
      <c r="D270" s="68">
        <f>(29.86)*10.764</f>
        <v>321.41303999999997</v>
      </c>
      <c r="E270" s="68">
        <v>0</v>
      </c>
      <c r="F270" s="68">
        <f t="shared" si="30"/>
        <v>321.41303999999997</v>
      </c>
      <c r="G270" s="68">
        <v>0</v>
      </c>
      <c r="H270" s="68">
        <f t="shared" si="31"/>
        <v>466.04890799999993</v>
      </c>
      <c r="I270" s="36"/>
    </row>
    <row r="271" spans="1:20" s="69" customFormat="1" ht="15.75" customHeight="1" x14ac:dyDescent="0.35">
      <c r="A271" s="129">
        <v>208</v>
      </c>
      <c r="B271" s="130"/>
      <c r="C271" s="68" t="s">
        <v>316</v>
      </c>
      <c r="D271" s="68">
        <f>(29.86)*10.764</f>
        <v>321.41303999999997</v>
      </c>
      <c r="E271" s="68">
        <v>0</v>
      </c>
      <c r="F271" s="68">
        <f t="shared" si="30"/>
        <v>321.41303999999997</v>
      </c>
      <c r="G271" s="68">
        <v>0</v>
      </c>
      <c r="H271" s="68">
        <f t="shared" si="31"/>
        <v>466.04890799999993</v>
      </c>
      <c r="I271" s="36"/>
    </row>
    <row r="272" spans="1:20" s="69" customFormat="1" ht="15.75" customHeight="1" x14ac:dyDescent="0.35">
      <c r="A272" s="103" t="s">
        <v>326</v>
      </c>
      <c r="B272" s="104"/>
      <c r="C272" s="104"/>
      <c r="D272" s="104"/>
      <c r="E272" s="104"/>
      <c r="F272" s="104"/>
      <c r="G272" s="104"/>
      <c r="H272" s="105"/>
      <c r="I272" s="36"/>
    </row>
    <row r="273" spans="1:10" s="37" customFormat="1" ht="15.75" customHeight="1" x14ac:dyDescent="0.35">
      <c r="A273" s="129" t="s">
        <v>327</v>
      </c>
      <c r="B273" s="130"/>
      <c r="C273" s="42" t="s">
        <v>316</v>
      </c>
      <c r="D273" s="68">
        <f>(29.86)*10.764</f>
        <v>321.41303999999997</v>
      </c>
      <c r="E273" s="78">
        <v>0</v>
      </c>
      <c r="F273" s="53">
        <f t="shared" ref="F273:F280" si="32">D273+E273</f>
        <v>321.41303999999997</v>
      </c>
      <c r="G273" s="53">
        <v>0</v>
      </c>
      <c r="H273" s="53">
        <f t="shared" ref="H273:H280" si="33">F273*(($H$230)+1)+(IF(G273&lt;101,G273,IF(G273&lt;201,G273/2,IF(G273&lt;=301,G273/3,G273/4))))</f>
        <v>466.04890799999993</v>
      </c>
      <c r="I273" s="36"/>
    </row>
    <row r="274" spans="1:10" s="37" customFormat="1" ht="15.75" customHeight="1" x14ac:dyDescent="0.35">
      <c r="A274" s="129" t="s">
        <v>328</v>
      </c>
      <c r="B274" s="130"/>
      <c r="C274" s="68" t="s">
        <v>316</v>
      </c>
      <c r="D274" s="68">
        <f>(29.86)*10.764</f>
        <v>321.41303999999997</v>
      </c>
      <c r="E274" s="78">
        <v>0</v>
      </c>
      <c r="F274" s="53">
        <f t="shared" si="32"/>
        <v>321.41303999999997</v>
      </c>
      <c r="G274" s="53">
        <v>0</v>
      </c>
      <c r="H274" s="53">
        <f t="shared" si="33"/>
        <v>466.04890799999993</v>
      </c>
      <c r="I274" s="36"/>
    </row>
    <row r="275" spans="1:10" s="37" customFormat="1" ht="15.75" customHeight="1" x14ac:dyDescent="0.35">
      <c r="A275" s="129" t="s">
        <v>329</v>
      </c>
      <c r="B275" s="130"/>
      <c r="C275" s="68" t="s">
        <v>316</v>
      </c>
      <c r="D275" s="68">
        <f>(29.91)*10.764</f>
        <v>321.95123999999998</v>
      </c>
      <c r="E275" s="78">
        <f>(2.75*1.35)*10.764</f>
        <v>39.961350000000003</v>
      </c>
      <c r="F275" s="53">
        <f t="shared" si="32"/>
        <v>361.91258999999997</v>
      </c>
      <c r="G275" s="53">
        <v>0</v>
      </c>
      <c r="H275" s="53">
        <f t="shared" si="33"/>
        <v>524.77325549999989</v>
      </c>
      <c r="I275" s="36"/>
    </row>
    <row r="276" spans="1:10" s="37" customFormat="1" ht="15.75" customHeight="1" x14ac:dyDescent="0.35">
      <c r="A276" s="129" t="s">
        <v>330</v>
      </c>
      <c r="B276" s="130"/>
      <c r="C276" s="68" t="s">
        <v>316</v>
      </c>
      <c r="D276" s="68">
        <f>(29.91)*10.764</f>
        <v>321.95123999999998</v>
      </c>
      <c r="E276" s="78">
        <f>(2.75*1.35)*10.764</f>
        <v>39.961350000000003</v>
      </c>
      <c r="F276" s="53">
        <f t="shared" si="32"/>
        <v>361.91258999999997</v>
      </c>
      <c r="G276" s="53">
        <v>0</v>
      </c>
      <c r="H276" s="53">
        <f t="shared" si="33"/>
        <v>524.77325549999989</v>
      </c>
      <c r="I276" s="36"/>
    </row>
    <row r="277" spans="1:10" s="37" customFormat="1" ht="15.75" customHeight="1" x14ac:dyDescent="0.35">
      <c r="A277" s="129" t="s">
        <v>331</v>
      </c>
      <c r="B277" s="130"/>
      <c r="C277" s="68" t="s">
        <v>316</v>
      </c>
      <c r="D277" s="68">
        <f>(29.91)*10.764</f>
        <v>321.95123999999998</v>
      </c>
      <c r="E277" s="78">
        <f>(2.75*1.35)*10.764</f>
        <v>39.961350000000003</v>
      </c>
      <c r="F277" s="53">
        <f t="shared" si="32"/>
        <v>361.91258999999997</v>
      </c>
      <c r="G277" s="53">
        <v>0</v>
      </c>
      <c r="H277" s="53">
        <f t="shared" si="33"/>
        <v>524.77325549999989</v>
      </c>
      <c r="I277" s="72">
        <f>2.75*3.05+2.15*3.05+2.75*3.05+1.7*1.1+1.2*2+2.15*0.9</f>
        <v>29.537499999999994</v>
      </c>
    </row>
    <row r="278" spans="1:10" s="69" customFormat="1" ht="15.75" customHeight="1" x14ac:dyDescent="0.35">
      <c r="A278" s="129" t="s">
        <v>332</v>
      </c>
      <c r="B278" s="130"/>
      <c r="C278" s="68" t="s">
        <v>316</v>
      </c>
      <c r="D278" s="68">
        <f>(29.91)*10.764</f>
        <v>321.95123999999998</v>
      </c>
      <c r="E278" s="78">
        <f>(2.75*1.35)*10.764</f>
        <v>39.961350000000003</v>
      </c>
      <c r="F278" s="68">
        <f t="shared" si="32"/>
        <v>361.91258999999997</v>
      </c>
      <c r="G278" s="68">
        <v>0</v>
      </c>
      <c r="H278" s="68">
        <f t="shared" si="33"/>
        <v>524.77325549999989</v>
      </c>
      <c r="I278" s="36"/>
    </row>
    <row r="279" spans="1:10" s="69" customFormat="1" ht="15.75" customHeight="1" x14ac:dyDescent="0.35">
      <c r="A279" s="129" t="s">
        <v>333</v>
      </c>
      <c r="B279" s="130"/>
      <c r="C279" s="68" t="s">
        <v>316</v>
      </c>
      <c r="D279" s="68">
        <f>(29.86)*10.764</f>
        <v>321.41303999999997</v>
      </c>
      <c r="E279" s="78">
        <v>0</v>
      </c>
      <c r="F279" s="68">
        <f t="shared" si="32"/>
        <v>321.41303999999997</v>
      </c>
      <c r="G279" s="68">
        <v>0</v>
      </c>
      <c r="H279" s="68">
        <f t="shared" si="33"/>
        <v>466.04890799999993</v>
      </c>
      <c r="I279" s="36"/>
    </row>
    <row r="280" spans="1:10" s="69" customFormat="1" ht="15.75" customHeight="1" x14ac:dyDescent="0.35">
      <c r="A280" s="129" t="s">
        <v>334</v>
      </c>
      <c r="B280" s="130"/>
      <c r="C280" s="68" t="s">
        <v>316</v>
      </c>
      <c r="D280" s="68">
        <f>(29.86)*10.764</f>
        <v>321.41303999999997</v>
      </c>
      <c r="E280" s="78">
        <v>0</v>
      </c>
      <c r="F280" s="68">
        <f t="shared" si="32"/>
        <v>321.41303999999997</v>
      </c>
      <c r="G280" s="68">
        <v>0</v>
      </c>
      <c r="H280" s="68">
        <f t="shared" si="33"/>
        <v>466.04890799999993</v>
      </c>
      <c r="I280" s="36"/>
    </row>
    <row r="281" spans="1:10" s="37" customFormat="1" hidden="1" x14ac:dyDescent="0.35">
      <c r="A281" s="103" t="s">
        <v>143</v>
      </c>
      <c r="B281" s="104"/>
      <c r="C281" s="104"/>
      <c r="D281" s="104"/>
      <c r="E281" s="104"/>
      <c r="F281" s="104"/>
      <c r="G281" s="104"/>
      <c r="H281" s="105"/>
      <c r="I281" s="36"/>
    </row>
    <row r="282" spans="1:10" s="37" customFormat="1" ht="15.75" hidden="1" customHeight="1" x14ac:dyDescent="0.35">
      <c r="A282" s="129"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10^ROW(INDIRECT("1:"&amp;LEN((LEFT(A281,SUM(LEN(A281)-LEN(SUBSTITUTE(A281,{"0","1","2"},""))))))))/10))*100+1&amp;""&amp;" to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",LEN(A281))),LEN(A281)))))))/10))*100+1</f>
        <v>201 to 501</v>
      </c>
      <c r="B282" s="130"/>
      <c r="C282" s="42"/>
      <c r="D282" s="42"/>
      <c r="E282" s="53">
        <v>0</v>
      </c>
      <c r="F282" s="53">
        <f>D282+E282</f>
        <v>0</v>
      </c>
      <c r="G282" s="53">
        <v>0</v>
      </c>
      <c r="H282" s="53">
        <f>F282*(($H$230)+1)+(IF(G282&lt;101,G282,IF(G282&lt;201,G282/2,IF(G282&lt;=301,G282/3,G282/4))))</f>
        <v>0</v>
      </c>
      <c r="I282" s="36"/>
    </row>
    <row r="283" spans="1:10" s="37" customFormat="1" ht="15.75" hidden="1" customHeight="1" x14ac:dyDescent="0.35">
      <c r="A283" s="129" t="str">
        <f ca="1">(SUMPRODUCT(MID(0&amp;(LEFT(A282,SUM(LEN(A282)-LEN(SUBSTITUTE(A282,{"0","1","2"},""))))), LARGE(INDEX(ISNUMBER(--MID((LEFT(A282,SUM(LEN(A282)-LEN(SUBSTITUTE(A282,{"0","1","2"},""))))), ROW(INDIRECT("1:"&amp;LEN((LEFT(A282,SUM(LEN(A282)-LEN(SUBSTITUTE(A282,{"0","1","2"},"")))))))), 1)) * ROW(INDIRECT("1:"&amp;LEN((LEFT(A282,SUM(LEN(A282)-LEN(SUBSTITUTE(A282,{"0","1","2"},"")))))))), 0), ROW(INDIRECT("1:"&amp;LEN((LEFT(A282,SUM(LEN(A282)-LEN(SUBSTITUTE(A282,{"0","1","2"},"")))))))))+1, 1) * 10^ROW(INDIRECT("1:"&amp;LEN((LEFT(A282,SUM(LEN(A282)-LEN(SUBSTITUTE(A282,{"0","1","2"},""))))))))/10))*1+1&amp;""&amp;" to "&amp;""&amp;(SUMPRODUCT(MID(0&amp;(--TRIM(RIGHT(SUBSTITUTE(LEFT(A282,_xlfn.AGGREGATE(16,6,FIND({0,1,2,3,4,5,6,7,8,9},A282,ROW(INDIRECT("1:"&amp;LEN(A282)))),1))," ",REPT(" ",LEN(A282))),LEN(A282)))), LARGE(INDEX(ISNUMBER(--MID((--TRIM(RIGHT(SUBSTITUTE(LEFT(A282,_xlfn.AGGREGATE(16,6,FIND({0,1,2,3,4,5,6,7,8,9},A282,ROW(INDIRECT("1:"&amp;LEN(A282)))),1))," ",REPT(" ",LEN(A282))),LEN(A282)))), ROW(INDIRECT("1:"&amp;LEN((--TRIM(RIGHT(SUBSTITUTE(LEFT(A282,_xlfn.AGGREGATE(16,6,FIND({0,1,2,3,4,5,6,7,8,9},A282,ROW(INDIRECT("1:"&amp;LEN(A282)))),1))," ",REPT(" ",LEN(A282))),LEN(A282))))))), 1)) * ROW(INDIRECT("1:"&amp;LEN((--TRIM(RIGHT(SUBSTITUTE(LEFT(A282,_xlfn.AGGREGATE(16,6,FIND({0,1,2,3,4,5,6,7,8,9},A282,ROW(INDIRECT("1:"&amp;LEN(A282)))),1))," ",REPT(" ",LEN(A282))),LEN(A282))))))), 0), ROW(INDIRECT("1:"&amp;LEN((--TRIM(RIGHT(SUBSTITUTE(LEFT(A282,_xlfn.AGGREGATE(16,6,FIND({0,1,2,3,4,5,6,7,8,9},A282,ROW(INDIRECT("1:"&amp;LEN(A282)))),1))," ",REPT(" ",LEN(A282))),LEN(A282))))))))+1, 1) * 10^ROW(INDIRECT("1:"&amp;LEN((--TRIM(RIGHT(SUBSTITUTE(LEFT(A282,_xlfn.AGGREGATE(16,6,FIND({0,1,2,3,4,5,6,7,8,9},A282,ROW(INDIRECT("1:"&amp;LEN(A282)))),1))," ",REPT(" ",LEN(A282))),LEN(A282)))))))/10))*1+1</f>
        <v>202 to 502</v>
      </c>
      <c r="B283" s="130"/>
      <c r="C283" s="42"/>
      <c r="D283" s="42"/>
      <c r="E283" s="53">
        <v>0</v>
      </c>
      <c r="F283" s="53">
        <f>D283+E283</f>
        <v>0</v>
      </c>
      <c r="G283" s="53">
        <v>0</v>
      </c>
      <c r="H283" s="53">
        <f>F283*(($H$230)+1)+(IF(G283&lt;101,G283,IF(G283&lt;201,G283/2,IF(G283&lt;=301,G283/3,G283/4))))</f>
        <v>0</v>
      </c>
      <c r="I283" s="36"/>
    </row>
    <row r="284" spans="1:10" s="37" customFormat="1" ht="15.75" hidden="1" customHeight="1" x14ac:dyDescent="0.35">
      <c r="A284" s="129" t="str">
        <f ca="1">(SUMPRODUCT(MID(0&amp;(LEFT(A283,SUM(LEN(A283)-LEN(SUBSTITUTE(A283,{"0","1","2"},""))))), LARGE(INDEX(ISNUMBER(--MID((LEFT(A283,SUM(LEN(A283)-LEN(SUBSTITUTE(A283,{"0","1","2"},""))))), ROW(INDIRECT("1:"&amp;LEN((LEFT(A283,SUM(LEN(A283)-LEN(SUBSTITUTE(A283,{"0","1","2"},"")))))))), 1)) * ROW(INDIRECT("1:"&amp;LEN((LEFT(A283,SUM(LEN(A283)-LEN(SUBSTITUTE(A283,{"0","1","2"},"")))))))), 0), ROW(INDIRECT("1:"&amp;LEN((LEFT(A283,SUM(LEN(A283)-LEN(SUBSTITUTE(A283,{"0","1","2"},"")))))))))+1, 1) * 10^ROW(INDIRECT("1:"&amp;LEN((LEFT(A283,SUM(LEN(A283)-LEN(SUBSTITUTE(A283,{"0","1","2"},""))))))))/10))*1+1&amp;""&amp;" to "&amp;""&amp;(SUMPRODUCT(MID(0&amp;(--TRIM(RIGHT(SUBSTITUTE(LEFT(A283,_xlfn.AGGREGATE(16,6,FIND({0,1,2,3,4,5,6,7,8,9},A283,ROW(INDIRECT("1:"&amp;LEN(A283)))),1))," ",REPT(" ",LEN(A283))),LEN(A283)))), LARGE(INDEX(ISNUMBER(--MID((--TRIM(RIGHT(SUBSTITUTE(LEFT(A283,_xlfn.AGGREGATE(16,6,FIND({0,1,2,3,4,5,6,7,8,9},A283,ROW(INDIRECT("1:"&amp;LEN(A283)))),1))," ",REPT(" ",LEN(A283))),LEN(A283)))), ROW(INDIRECT("1:"&amp;LEN((--TRIM(RIGHT(SUBSTITUTE(LEFT(A283,_xlfn.AGGREGATE(16,6,FIND({0,1,2,3,4,5,6,7,8,9},A283,ROW(INDIRECT("1:"&amp;LEN(A283)))),1))," ",REPT(" ",LEN(A283))),LEN(A283))))))), 1)) * ROW(INDIRECT("1:"&amp;LEN((--TRIM(RIGHT(SUBSTITUTE(LEFT(A283,_xlfn.AGGREGATE(16,6,FIND({0,1,2,3,4,5,6,7,8,9},A283,ROW(INDIRECT("1:"&amp;LEN(A283)))),1))," ",REPT(" ",LEN(A283))),LEN(A283))))))), 0), ROW(INDIRECT("1:"&amp;LEN((--TRIM(RIGHT(SUBSTITUTE(LEFT(A283,_xlfn.AGGREGATE(16,6,FIND({0,1,2,3,4,5,6,7,8,9},A283,ROW(INDIRECT("1:"&amp;LEN(A283)))),1))," ",REPT(" ",LEN(A283))),LEN(A283))))))))+1, 1) * 10^ROW(INDIRECT("1:"&amp;LEN((--TRIM(RIGHT(SUBSTITUTE(LEFT(A283,_xlfn.AGGREGATE(16,6,FIND({0,1,2,3,4,5,6,7,8,9},A283,ROW(INDIRECT("1:"&amp;LEN(A283)))),1))," ",REPT(" ",LEN(A283))),LEN(A283)))))))/10))*1+1</f>
        <v>203 to 503</v>
      </c>
      <c r="B284" s="130"/>
      <c r="C284" s="42"/>
      <c r="D284" s="42"/>
      <c r="E284" s="53">
        <v>0</v>
      </c>
      <c r="F284" s="53">
        <f>D284+E284</f>
        <v>0</v>
      </c>
      <c r="G284" s="53">
        <v>0</v>
      </c>
      <c r="H284" s="53">
        <f>F284*(($H$230)+1)+(IF(G284&lt;101,G284,IF(G284&lt;201,G284/2,IF(G284&lt;=301,G284/3,G284/4))))</f>
        <v>0</v>
      </c>
      <c r="I284" s="36"/>
    </row>
    <row r="285" spans="1:10" s="37" customFormat="1" ht="15.75" hidden="1" customHeight="1" x14ac:dyDescent="0.35">
      <c r="A285" s="129"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10^ROW(INDIRECT("1:"&amp;LEN((LEFT(A284,SUM(LEN(A284)-LEN(SUBSTITUTE(A284,{"0","1","2"},""))))))))/10))*1+1&amp;""&amp;" to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",LEN(A284))),LEN(A284)))))))/10))*1+1</f>
        <v>204 to 504</v>
      </c>
      <c r="B285" s="130"/>
      <c r="C285" s="42"/>
      <c r="D285" s="42"/>
      <c r="E285" s="53">
        <v>0</v>
      </c>
      <c r="F285" s="53">
        <f>D285+E285</f>
        <v>0</v>
      </c>
      <c r="G285" s="53">
        <v>0</v>
      </c>
      <c r="H285" s="53">
        <f>F285*(($H$230)+1)+(IF(G285&lt;101,G285,IF(G285&lt;201,G285/2,IF(G285&lt;=301,G285/3,G285/4))))</f>
        <v>0</v>
      </c>
      <c r="I285" s="36"/>
    </row>
    <row r="286" spans="1:10" s="37" customFormat="1" ht="15.75" hidden="1" customHeight="1" x14ac:dyDescent="0.35">
      <c r="A286" s="129" t="str">
        <f ca="1">(SUMPRODUCT(MID(0&amp;(LEFT(A285,SUM(LEN(A285)-LEN(SUBSTITUTE(A285,{"0","1","2"},""))))), LARGE(INDEX(ISNUMBER(--MID((LEFT(A285,SUM(LEN(A285)-LEN(SUBSTITUTE(A285,{"0","1","2"},""))))), ROW(INDIRECT("1:"&amp;LEN((LEFT(A285,SUM(LEN(A285)-LEN(SUBSTITUTE(A285,{"0","1","2"},"")))))))), 1)) * ROW(INDIRECT("1:"&amp;LEN((LEFT(A285,SUM(LEN(A285)-LEN(SUBSTITUTE(A285,{"0","1","2"},"")))))))), 0), ROW(INDIRECT("1:"&amp;LEN((LEFT(A285,SUM(LEN(A285)-LEN(SUBSTITUTE(A285,{"0","1","2"},"")))))))))+1, 1) * 10^ROW(INDIRECT("1:"&amp;LEN((LEFT(A285,SUM(LEN(A285)-LEN(SUBSTITUTE(A285,{"0","1","2"},""))))))))/10))*1+1&amp;""&amp;" to "&amp;""&amp;(SUMPRODUCT(MID(0&amp;(--TRIM(RIGHT(SUBSTITUTE(LEFT(A285,_xlfn.AGGREGATE(16,6,FIND({0,1,2,3,4,5,6,7,8,9},A285,ROW(INDIRECT("1:"&amp;LEN(A285)))),1))," ",REPT(" ",LEN(A285))),LEN(A285)))), LARGE(INDEX(ISNUMBER(--MID((--TRIM(RIGHT(SUBSTITUTE(LEFT(A285,_xlfn.AGGREGATE(16,6,FIND({0,1,2,3,4,5,6,7,8,9},A285,ROW(INDIRECT("1:"&amp;LEN(A285)))),1))," ",REPT(" ",LEN(A285))),LEN(A285)))), ROW(INDIRECT("1:"&amp;LEN((--TRIM(RIGHT(SUBSTITUTE(LEFT(A285,_xlfn.AGGREGATE(16,6,FIND({0,1,2,3,4,5,6,7,8,9},A285,ROW(INDIRECT("1:"&amp;LEN(A285)))),1))," ",REPT(" ",LEN(A285))),LEN(A285))))))), 1)) * ROW(INDIRECT("1:"&amp;LEN((--TRIM(RIGHT(SUBSTITUTE(LEFT(A285,_xlfn.AGGREGATE(16,6,FIND({0,1,2,3,4,5,6,7,8,9},A285,ROW(INDIRECT("1:"&amp;LEN(A285)))),1))," ",REPT(" ",LEN(A285))),LEN(A285))))))), 0), ROW(INDIRECT("1:"&amp;LEN((--TRIM(RIGHT(SUBSTITUTE(LEFT(A285,_xlfn.AGGREGATE(16,6,FIND({0,1,2,3,4,5,6,7,8,9},A285,ROW(INDIRECT("1:"&amp;LEN(A285)))),1))," ",REPT(" ",LEN(A285))),LEN(A285))))))))+1, 1) * 10^ROW(INDIRECT("1:"&amp;LEN((--TRIM(RIGHT(SUBSTITUTE(LEFT(A285,_xlfn.AGGREGATE(16,6,FIND({0,1,2,3,4,5,6,7,8,9},A285,ROW(INDIRECT("1:"&amp;LEN(A285)))),1))," ",REPT(" ",LEN(A285))),LEN(A285)))))))/10))*1+1</f>
        <v>205 to 505</v>
      </c>
      <c r="B286" s="130"/>
      <c r="C286" s="42"/>
      <c r="D286" s="42"/>
      <c r="E286" s="53">
        <v>0</v>
      </c>
      <c r="F286" s="53">
        <f>D286+E286</f>
        <v>0</v>
      </c>
      <c r="G286" s="53">
        <v>0</v>
      </c>
      <c r="H286" s="53">
        <f>F286*(($H$230)+1)+(IF(G286&lt;101,G286,IF(G286&lt;201,G286/2,IF(G286&lt;=301,G286/3,G286/4))))</f>
        <v>0</v>
      </c>
      <c r="I286" s="36"/>
    </row>
    <row r="287" spans="1:10" s="69" customFormat="1" x14ac:dyDescent="0.35">
      <c r="A287" s="103" t="s">
        <v>350</v>
      </c>
      <c r="B287" s="104"/>
      <c r="C287" s="104"/>
      <c r="D287" s="104"/>
      <c r="E287" s="104"/>
      <c r="F287" s="104"/>
      <c r="G287" s="104"/>
      <c r="H287" s="105"/>
      <c r="I287" s="36"/>
    </row>
    <row r="288" spans="1:10" s="69" customFormat="1" x14ac:dyDescent="0.35">
      <c r="A288" s="103" t="s">
        <v>315</v>
      </c>
      <c r="B288" s="104"/>
      <c r="C288" s="104"/>
      <c r="D288" s="104"/>
      <c r="E288" s="104"/>
      <c r="F288" s="104"/>
      <c r="G288" s="104"/>
      <c r="H288" s="105"/>
      <c r="J288" s="36"/>
    </row>
    <row r="289" spans="1:9" s="69" customFormat="1" x14ac:dyDescent="0.35">
      <c r="A289" s="103" t="s">
        <v>347</v>
      </c>
      <c r="B289" s="104"/>
      <c r="C289" s="104"/>
      <c r="D289" s="104"/>
      <c r="E289" s="104"/>
      <c r="F289" s="104"/>
      <c r="G289" s="104"/>
      <c r="H289" s="105"/>
      <c r="I289" s="36"/>
    </row>
    <row r="290" spans="1:9" s="69" customFormat="1" ht="15.75" customHeight="1" x14ac:dyDescent="0.35">
      <c r="A290" s="129">
        <v>101</v>
      </c>
      <c r="B290" s="130"/>
      <c r="C290" s="68" t="s">
        <v>316</v>
      </c>
      <c r="D290" s="68">
        <f>(29.86)*10.764</f>
        <v>321.41303999999997</v>
      </c>
      <c r="E290" s="68">
        <v>0</v>
      </c>
      <c r="F290" s="68">
        <f>D290+E290</f>
        <v>321.41303999999997</v>
      </c>
      <c r="G290" s="68">
        <v>0</v>
      </c>
      <c r="H290" s="68">
        <f>F290*(($H$230)+1)+(IF(G290&lt;101,G290,IF(G290&lt;201,G290/2,IF(G290&lt;=301,G290/3,G290/4))))</f>
        <v>466.04890799999993</v>
      </c>
      <c r="I290" s="36"/>
    </row>
    <row r="291" spans="1:9" s="69" customFormat="1" ht="15.75" customHeight="1" x14ac:dyDescent="0.35">
      <c r="A291" s="129">
        <v>102</v>
      </c>
      <c r="B291" s="130"/>
      <c r="C291" s="68" t="s">
        <v>316</v>
      </c>
      <c r="D291" s="68">
        <f>(29.86)*10.764</f>
        <v>321.41303999999997</v>
      </c>
      <c r="E291" s="68">
        <v>0</v>
      </c>
      <c r="F291" s="68">
        <f>D291+E291</f>
        <v>321.41303999999997</v>
      </c>
      <c r="G291" s="68">
        <v>0</v>
      </c>
      <c r="H291" s="68">
        <f>F291*(($H$230)+1)+(IF(G291&lt;101,G291,IF(G291&lt;201,G291/2,IF(G291&lt;=301,G291/3,G291/4))))</f>
        <v>466.04890799999993</v>
      </c>
      <c r="I291" s="36">
        <f>2.6*3.05+1.35*2.25+1.35*0.9+2.75*4.4+1.2*2+1.7*1.1</f>
        <v>28.552499999999998</v>
      </c>
    </row>
    <row r="292" spans="1:9" s="69" customFormat="1" ht="15.75" customHeight="1" x14ac:dyDescent="0.35">
      <c r="A292" s="129">
        <v>103</v>
      </c>
      <c r="B292" s="130"/>
      <c r="C292" s="68" t="s">
        <v>316</v>
      </c>
      <c r="D292" s="68">
        <f>(29.91)*10.764</f>
        <v>321.95123999999998</v>
      </c>
      <c r="E292" s="68">
        <f>(2.75*1.35)*10.764</f>
        <v>39.961350000000003</v>
      </c>
      <c r="F292" s="68">
        <f>D292+E292</f>
        <v>361.91258999999997</v>
      </c>
      <c r="G292" s="68">
        <v>0</v>
      </c>
      <c r="H292" s="68">
        <f>F292*(($H$230)+1)+(IF(G292&lt;101,G292,IF(G292&lt;201,G292/2,IF(G292&lt;=301,G292/3,G292/4))))</f>
        <v>524.77325549999989</v>
      </c>
      <c r="I292" s="36"/>
    </row>
    <row r="293" spans="1:9" s="69" customFormat="1" ht="15.75" customHeight="1" x14ac:dyDescent="0.35">
      <c r="A293" s="129">
        <v>104</v>
      </c>
      <c r="B293" s="130"/>
      <c r="C293" s="68" t="s">
        <v>316</v>
      </c>
      <c r="D293" s="68">
        <f>(29.91)*10.764</f>
        <v>321.95123999999998</v>
      </c>
      <c r="E293" s="78">
        <f>(2.75*1.35)*10.764</f>
        <v>39.961350000000003</v>
      </c>
      <c r="F293" s="68">
        <f>D293+E293</f>
        <v>361.91258999999997</v>
      </c>
      <c r="G293" s="68">
        <v>0</v>
      </c>
      <c r="H293" s="68">
        <f>F293*(($H$230)+1)+(IF(G293&lt;101,G293,IF(G293&lt;201,G293/2,IF(G293&lt;=301,G293/3,G293/4))))</f>
        <v>524.77325549999989</v>
      </c>
      <c r="I293" s="36"/>
    </row>
    <row r="294" spans="1:9" s="69" customFormat="1" ht="15.75" customHeight="1" x14ac:dyDescent="0.35">
      <c r="A294" s="129">
        <v>105</v>
      </c>
      <c r="B294" s="130"/>
      <c r="C294" s="106" t="s">
        <v>338</v>
      </c>
      <c r="D294" s="107"/>
      <c r="E294" s="107"/>
      <c r="F294" s="107"/>
      <c r="G294" s="107"/>
      <c r="H294" s="108"/>
      <c r="I294" s="36"/>
    </row>
    <row r="295" spans="1:9" s="69" customFormat="1" ht="15.75" customHeight="1" x14ac:dyDescent="0.35">
      <c r="A295" s="129">
        <v>106</v>
      </c>
      <c r="B295" s="130"/>
      <c r="C295" s="109"/>
      <c r="D295" s="110"/>
      <c r="E295" s="110"/>
      <c r="F295" s="110"/>
      <c r="G295" s="110"/>
      <c r="H295" s="111"/>
      <c r="I295" s="36"/>
    </row>
    <row r="296" spans="1:9" s="69" customFormat="1" ht="15.75" customHeight="1" x14ac:dyDescent="0.35">
      <c r="A296" s="129">
        <v>107</v>
      </c>
      <c r="B296" s="130"/>
      <c r="C296" s="109"/>
      <c r="D296" s="110"/>
      <c r="E296" s="110"/>
      <c r="F296" s="110"/>
      <c r="G296" s="110"/>
      <c r="H296" s="111"/>
      <c r="I296" s="36"/>
    </row>
    <row r="297" spans="1:9" s="69" customFormat="1" ht="15.75" customHeight="1" x14ac:dyDescent="0.35">
      <c r="A297" s="129">
        <v>108</v>
      </c>
      <c r="B297" s="130"/>
      <c r="C297" s="112"/>
      <c r="D297" s="113"/>
      <c r="E297" s="113"/>
      <c r="F297" s="113"/>
      <c r="G297" s="113"/>
      <c r="H297" s="114"/>
      <c r="I297" s="36"/>
    </row>
    <row r="298" spans="1:9" s="69" customFormat="1" x14ac:dyDescent="0.35">
      <c r="A298" s="103" t="s">
        <v>117</v>
      </c>
      <c r="B298" s="104"/>
      <c r="C298" s="104"/>
      <c r="D298" s="104"/>
      <c r="E298" s="104"/>
      <c r="F298" s="104"/>
      <c r="G298" s="104"/>
      <c r="H298" s="105"/>
      <c r="I298" s="36"/>
    </row>
    <row r="299" spans="1:9" s="69" customFormat="1" ht="15.75" customHeight="1" x14ac:dyDescent="0.35">
      <c r="A299" s="129">
        <v>201</v>
      </c>
      <c r="B299" s="130"/>
      <c r="C299" s="68" t="s">
        <v>316</v>
      </c>
      <c r="D299" s="68">
        <f>(29.86)*10.764</f>
        <v>321.41303999999997</v>
      </c>
      <c r="E299" s="78">
        <v>0</v>
      </c>
      <c r="F299" s="68">
        <f t="shared" ref="F299:F306" si="34">D299+E299</f>
        <v>321.41303999999997</v>
      </c>
      <c r="G299" s="68">
        <v>0</v>
      </c>
      <c r="H299" s="68">
        <f t="shared" ref="H299:H306" si="35">F299*(($H$230)+1)+(IF(G299&lt;101,G299,IF(G299&lt;201,G299/2,IF(G299&lt;=301,G299/3,G299/4))))</f>
        <v>466.04890799999993</v>
      </c>
      <c r="I299" s="36"/>
    </row>
    <row r="300" spans="1:9" s="69" customFormat="1" ht="15.75" customHeight="1" x14ac:dyDescent="0.35">
      <c r="A300" s="129">
        <v>202</v>
      </c>
      <c r="B300" s="130"/>
      <c r="C300" s="68" t="s">
        <v>316</v>
      </c>
      <c r="D300" s="68">
        <f>(29.86)*10.764</f>
        <v>321.41303999999997</v>
      </c>
      <c r="E300" s="78">
        <v>0</v>
      </c>
      <c r="F300" s="68">
        <f t="shared" si="34"/>
        <v>321.41303999999997</v>
      </c>
      <c r="G300" s="68">
        <v>0</v>
      </c>
      <c r="H300" s="68">
        <f t="shared" si="35"/>
        <v>466.04890799999993</v>
      </c>
      <c r="I300" s="36"/>
    </row>
    <row r="301" spans="1:9" s="69" customFormat="1" ht="15.75" customHeight="1" x14ac:dyDescent="0.35">
      <c r="A301" s="129">
        <v>203</v>
      </c>
      <c r="B301" s="130"/>
      <c r="C301" s="68" t="s">
        <v>316</v>
      </c>
      <c r="D301" s="68">
        <f>(29.91)*10.764</f>
        <v>321.95123999999998</v>
      </c>
      <c r="E301" s="78">
        <f>(2.75*1.35)*10.764</f>
        <v>39.961350000000003</v>
      </c>
      <c r="F301" s="68">
        <f t="shared" si="34"/>
        <v>361.91258999999997</v>
      </c>
      <c r="G301" s="68">
        <v>0</v>
      </c>
      <c r="H301" s="68">
        <f t="shared" si="35"/>
        <v>524.77325549999989</v>
      </c>
      <c r="I301" s="36"/>
    </row>
    <row r="302" spans="1:9" s="69" customFormat="1" ht="15.75" customHeight="1" x14ac:dyDescent="0.35">
      <c r="A302" s="129">
        <v>204</v>
      </c>
      <c r="B302" s="130"/>
      <c r="C302" s="68" t="s">
        <v>316</v>
      </c>
      <c r="D302" s="68">
        <f>(29.91)*10.764</f>
        <v>321.95123999999998</v>
      </c>
      <c r="E302" s="78">
        <f>(2.75*1.35)*10.764</f>
        <v>39.961350000000003</v>
      </c>
      <c r="F302" s="68">
        <f t="shared" si="34"/>
        <v>361.91258999999997</v>
      </c>
      <c r="G302" s="68">
        <v>0</v>
      </c>
      <c r="H302" s="68">
        <f t="shared" si="35"/>
        <v>524.77325549999989</v>
      </c>
      <c r="I302" s="36"/>
    </row>
    <row r="303" spans="1:9" s="69" customFormat="1" ht="15.75" customHeight="1" x14ac:dyDescent="0.35">
      <c r="A303" s="129">
        <v>205</v>
      </c>
      <c r="B303" s="130"/>
      <c r="C303" s="68" t="s">
        <v>316</v>
      </c>
      <c r="D303" s="68">
        <f>(29.91)*10.764</f>
        <v>321.95123999999998</v>
      </c>
      <c r="E303" s="68">
        <f>(2.75*1.35)*10.764</f>
        <v>39.961350000000003</v>
      </c>
      <c r="F303" s="68">
        <f t="shared" si="34"/>
        <v>361.91258999999997</v>
      </c>
      <c r="G303" s="70">
        <f>(24.18)*10.764</f>
        <v>260.27351999999996</v>
      </c>
      <c r="H303" s="68">
        <f t="shared" si="35"/>
        <v>611.53109549999988</v>
      </c>
      <c r="I303" s="36"/>
    </row>
    <row r="304" spans="1:9" s="69" customFormat="1" ht="15.75" customHeight="1" x14ac:dyDescent="0.35">
      <c r="A304" s="129">
        <v>206</v>
      </c>
      <c r="B304" s="130"/>
      <c r="C304" s="68" t="s">
        <v>316</v>
      </c>
      <c r="D304" s="68">
        <f>(29.91)*10.764</f>
        <v>321.95123999999998</v>
      </c>
      <c r="E304" s="68">
        <f>(2.75*1.35)*10.764</f>
        <v>39.961350000000003</v>
      </c>
      <c r="F304" s="68">
        <f t="shared" si="34"/>
        <v>361.91258999999997</v>
      </c>
      <c r="G304" s="70">
        <f>(20.98)*10.764</f>
        <v>225.82872</v>
      </c>
      <c r="H304" s="68">
        <f t="shared" si="35"/>
        <v>600.04949549999992</v>
      </c>
      <c r="I304" s="36"/>
    </row>
    <row r="305" spans="1:10" s="69" customFormat="1" ht="15.75" customHeight="1" x14ac:dyDescent="0.35">
      <c r="A305" s="129">
        <v>207</v>
      </c>
      <c r="B305" s="130"/>
      <c r="C305" s="68" t="s">
        <v>316</v>
      </c>
      <c r="D305" s="68">
        <f>(29.86)*10.764</f>
        <v>321.41303999999997</v>
      </c>
      <c r="E305" s="68">
        <v>0</v>
      </c>
      <c r="F305" s="68">
        <f t="shared" si="34"/>
        <v>321.41303999999997</v>
      </c>
      <c r="G305" s="70">
        <f>(27.2)*10.764</f>
        <v>292.7808</v>
      </c>
      <c r="H305" s="68">
        <f t="shared" si="35"/>
        <v>563.64250799999991</v>
      </c>
      <c r="I305" s="36"/>
    </row>
    <row r="306" spans="1:10" s="69" customFormat="1" ht="15.75" customHeight="1" x14ac:dyDescent="0.35">
      <c r="A306" s="129">
        <v>208</v>
      </c>
      <c r="B306" s="130"/>
      <c r="C306" s="68" t="s">
        <v>316</v>
      </c>
      <c r="D306" s="68">
        <f>(29.86)*10.764</f>
        <v>321.41303999999997</v>
      </c>
      <c r="E306" s="68">
        <v>0</v>
      </c>
      <c r="F306" s="68">
        <f t="shared" si="34"/>
        <v>321.41303999999997</v>
      </c>
      <c r="G306" s="70">
        <f>(38.2)*10.764</f>
        <v>411.1848</v>
      </c>
      <c r="H306" s="68">
        <f t="shared" si="35"/>
        <v>568.84510799999998</v>
      </c>
      <c r="I306" s="36"/>
    </row>
    <row r="307" spans="1:10" s="69" customFormat="1" x14ac:dyDescent="0.35">
      <c r="A307" s="103" t="s">
        <v>326</v>
      </c>
      <c r="B307" s="104"/>
      <c r="C307" s="104"/>
      <c r="D307" s="104"/>
      <c r="E307" s="104"/>
      <c r="F307" s="104"/>
      <c r="G307" s="104"/>
      <c r="H307" s="105"/>
      <c r="I307" s="36"/>
    </row>
    <row r="308" spans="1:10" s="69" customFormat="1" ht="15.75" customHeight="1" x14ac:dyDescent="0.35">
      <c r="A308" s="129" t="s">
        <v>327</v>
      </c>
      <c r="B308" s="130"/>
      <c r="C308" s="68" t="s">
        <v>316</v>
      </c>
      <c r="D308" s="68">
        <f>(29.86)*10.764</f>
        <v>321.41303999999997</v>
      </c>
      <c r="E308" s="78">
        <v>0</v>
      </c>
      <c r="F308" s="68">
        <f t="shared" ref="F308:F315" si="36">D308+E308</f>
        <v>321.41303999999997</v>
      </c>
      <c r="G308" s="68">
        <v>0</v>
      </c>
      <c r="H308" s="68">
        <f t="shared" ref="H308:H315" si="37">F308*(($H$230)+1)+(IF(G308&lt;101,G308,IF(G308&lt;201,G308/2,IF(G308&lt;=301,G308/3,G308/4))))</f>
        <v>466.04890799999993</v>
      </c>
      <c r="I308" s="36"/>
    </row>
    <row r="309" spans="1:10" s="69" customFormat="1" ht="15.75" customHeight="1" x14ac:dyDescent="0.35">
      <c r="A309" s="129" t="s">
        <v>328</v>
      </c>
      <c r="B309" s="130"/>
      <c r="C309" s="68" t="s">
        <v>316</v>
      </c>
      <c r="D309" s="68">
        <f>(29.86)*10.764</f>
        <v>321.41303999999997</v>
      </c>
      <c r="E309" s="78">
        <v>0</v>
      </c>
      <c r="F309" s="68">
        <f t="shared" si="36"/>
        <v>321.41303999999997</v>
      </c>
      <c r="G309" s="68">
        <v>0</v>
      </c>
      <c r="H309" s="68">
        <f t="shared" si="37"/>
        <v>466.04890799999993</v>
      </c>
      <c r="I309" s="36"/>
    </row>
    <row r="310" spans="1:10" s="69" customFormat="1" ht="15.75" customHeight="1" x14ac:dyDescent="0.35">
      <c r="A310" s="129" t="s">
        <v>329</v>
      </c>
      <c r="B310" s="130"/>
      <c r="C310" s="68" t="s">
        <v>316</v>
      </c>
      <c r="D310" s="68">
        <f>(29.91)*10.764</f>
        <v>321.95123999999998</v>
      </c>
      <c r="E310" s="78">
        <f>(2.75*1.35)*10.764</f>
        <v>39.961350000000003</v>
      </c>
      <c r="F310" s="68">
        <f t="shared" si="36"/>
        <v>361.91258999999997</v>
      </c>
      <c r="G310" s="68">
        <v>0</v>
      </c>
      <c r="H310" s="68">
        <f t="shared" si="37"/>
        <v>524.77325549999989</v>
      </c>
      <c r="I310" s="36"/>
    </row>
    <row r="311" spans="1:10" s="69" customFormat="1" ht="15.75" customHeight="1" x14ac:dyDescent="0.35">
      <c r="A311" s="129" t="s">
        <v>330</v>
      </c>
      <c r="B311" s="130"/>
      <c r="C311" s="68" t="s">
        <v>316</v>
      </c>
      <c r="D311" s="68">
        <f>(29.91)*10.764</f>
        <v>321.95123999999998</v>
      </c>
      <c r="E311" s="78">
        <f>(2.75*1.35)*10.764</f>
        <v>39.961350000000003</v>
      </c>
      <c r="F311" s="68">
        <f t="shared" si="36"/>
        <v>361.91258999999997</v>
      </c>
      <c r="G311" s="68">
        <v>0</v>
      </c>
      <c r="H311" s="68">
        <f t="shared" si="37"/>
        <v>524.77325549999989</v>
      </c>
      <c r="I311" s="36"/>
    </row>
    <row r="312" spans="1:10" s="69" customFormat="1" ht="15.75" customHeight="1" x14ac:dyDescent="0.35">
      <c r="A312" s="129" t="s">
        <v>331</v>
      </c>
      <c r="B312" s="130"/>
      <c r="C312" s="68" t="s">
        <v>316</v>
      </c>
      <c r="D312" s="68">
        <f>(29.91)*10.764</f>
        <v>321.95123999999998</v>
      </c>
      <c r="E312" s="78">
        <f>(2.75*1.35)*10.764</f>
        <v>39.961350000000003</v>
      </c>
      <c r="F312" s="68">
        <f t="shared" si="36"/>
        <v>361.91258999999997</v>
      </c>
      <c r="G312" s="68">
        <v>0</v>
      </c>
      <c r="H312" s="68">
        <f t="shared" si="37"/>
        <v>524.77325549999989</v>
      </c>
      <c r="I312" s="36"/>
    </row>
    <row r="313" spans="1:10" s="69" customFormat="1" ht="15.75" customHeight="1" x14ac:dyDescent="0.35">
      <c r="A313" s="129" t="s">
        <v>332</v>
      </c>
      <c r="B313" s="130"/>
      <c r="C313" s="68" t="s">
        <v>316</v>
      </c>
      <c r="D313" s="68">
        <f>(29.91)*10.764</f>
        <v>321.95123999999998</v>
      </c>
      <c r="E313" s="78">
        <f>(2.75*1.35)*10.764</f>
        <v>39.961350000000003</v>
      </c>
      <c r="F313" s="68">
        <f t="shared" si="36"/>
        <v>361.91258999999997</v>
      </c>
      <c r="G313" s="68">
        <v>0</v>
      </c>
      <c r="H313" s="68">
        <f t="shared" si="37"/>
        <v>524.77325549999989</v>
      </c>
      <c r="I313" s="36"/>
    </row>
    <row r="314" spans="1:10" s="69" customFormat="1" ht="15.75" customHeight="1" x14ac:dyDescent="0.35">
      <c r="A314" s="129" t="s">
        <v>333</v>
      </c>
      <c r="B314" s="130"/>
      <c r="C314" s="68" t="s">
        <v>316</v>
      </c>
      <c r="D314" s="68">
        <f>(29.86)*10.764</f>
        <v>321.41303999999997</v>
      </c>
      <c r="E314" s="78">
        <v>0</v>
      </c>
      <c r="F314" s="68">
        <f t="shared" si="36"/>
        <v>321.41303999999997</v>
      </c>
      <c r="G314" s="68">
        <v>0</v>
      </c>
      <c r="H314" s="68">
        <f t="shared" si="37"/>
        <v>466.04890799999993</v>
      </c>
      <c r="I314" s="36"/>
    </row>
    <row r="315" spans="1:10" s="69" customFormat="1" ht="15.75" customHeight="1" x14ac:dyDescent="0.35">
      <c r="A315" s="129" t="s">
        <v>334</v>
      </c>
      <c r="B315" s="130"/>
      <c r="C315" s="68" t="s">
        <v>316</v>
      </c>
      <c r="D315" s="68">
        <f>(29.86)*10.764</f>
        <v>321.41303999999997</v>
      </c>
      <c r="E315" s="78">
        <v>0</v>
      </c>
      <c r="F315" s="68">
        <f t="shared" si="36"/>
        <v>321.41303999999997</v>
      </c>
      <c r="G315" s="68">
        <v>0</v>
      </c>
      <c r="H315" s="68">
        <f t="shared" si="37"/>
        <v>466.04890799999993</v>
      </c>
      <c r="I315" s="36"/>
    </row>
    <row r="316" spans="1:10" s="71" customFormat="1" x14ac:dyDescent="0.35">
      <c r="A316" s="103" t="s">
        <v>374</v>
      </c>
      <c r="B316" s="104"/>
      <c r="C316" s="104"/>
      <c r="D316" s="104"/>
      <c r="E316" s="104"/>
      <c r="F316" s="104"/>
      <c r="G316" s="104"/>
      <c r="H316" s="105"/>
      <c r="J316" s="36"/>
    </row>
    <row r="317" spans="1:10" s="71" customFormat="1" x14ac:dyDescent="0.35">
      <c r="A317" s="103" t="s">
        <v>348</v>
      </c>
      <c r="B317" s="104"/>
      <c r="C317" s="104"/>
      <c r="D317" s="104"/>
      <c r="E317" s="104"/>
      <c r="F317" s="104"/>
      <c r="G317" s="104"/>
      <c r="H317" s="105"/>
      <c r="I317" s="36"/>
    </row>
    <row r="318" spans="1:10" s="71" customFormat="1" x14ac:dyDescent="0.35">
      <c r="A318" s="103" t="s">
        <v>375</v>
      </c>
      <c r="B318" s="104"/>
      <c r="C318" s="104"/>
      <c r="D318" s="104"/>
      <c r="E318" s="104"/>
      <c r="F318" s="104"/>
      <c r="G318" s="104"/>
      <c r="H318" s="105"/>
      <c r="I318" s="36"/>
    </row>
    <row r="319" spans="1:10" s="69" customFormat="1" x14ac:dyDescent="0.35">
      <c r="A319" s="103" t="s">
        <v>346</v>
      </c>
      <c r="B319" s="104"/>
      <c r="C319" s="104"/>
      <c r="D319" s="104"/>
      <c r="E319" s="104"/>
      <c r="F319" s="104"/>
      <c r="G319" s="104"/>
      <c r="H319" s="105"/>
      <c r="I319" s="36"/>
    </row>
    <row r="320" spans="1:10" s="69" customFormat="1" ht="15.75" customHeight="1" x14ac:dyDescent="0.35">
      <c r="A320" s="129">
        <v>101</v>
      </c>
      <c r="B320" s="130"/>
      <c r="C320" s="68" t="s">
        <v>336</v>
      </c>
      <c r="D320" s="74">
        <f>(41.73)*10.764</f>
        <v>449.18171999999993</v>
      </c>
      <c r="E320" s="74">
        <f>(1.35*2.75)*10.764</f>
        <v>39.961350000000003</v>
      </c>
      <c r="F320" s="68">
        <f t="shared" ref="F320:F326" si="38">D320+E320</f>
        <v>489.14306999999991</v>
      </c>
      <c r="G320" s="68">
        <v>0</v>
      </c>
      <c r="H320" s="68">
        <f t="shared" ref="H320:H326" si="39">F320*(($H$230)+1)+(IF(G320&lt;101,G320,IF(G320&lt;201,G320/2,IF(G320&lt;=301,G320/3,G320/4))))</f>
        <v>709.25745149999989</v>
      </c>
      <c r="I320" s="36">
        <f>3.55*2.75+3.15*2.75+3.05*2.15+3.05*2.75+1.1*1.7+2*1.2+1.1*2+0.9*2.15</f>
        <v>41.774999999999991</v>
      </c>
    </row>
    <row r="321" spans="1:9" s="69" customFormat="1" ht="15.75" customHeight="1" x14ac:dyDescent="0.35">
      <c r="A321" s="129">
        <v>102</v>
      </c>
      <c r="B321" s="130"/>
      <c r="C321" s="70" t="s">
        <v>316</v>
      </c>
      <c r="D321" s="74">
        <f>(29.91)*10.764</f>
        <v>321.95123999999998</v>
      </c>
      <c r="E321" s="78">
        <f>(1.35*2.75)*10.764</f>
        <v>39.961350000000003</v>
      </c>
      <c r="F321" s="68">
        <f t="shared" si="38"/>
        <v>361.91258999999997</v>
      </c>
      <c r="G321" s="68">
        <v>0</v>
      </c>
      <c r="H321" s="68">
        <f t="shared" si="39"/>
        <v>524.77325549999989</v>
      </c>
      <c r="I321" s="36"/>
    </row>
    <row r="322" spans="1:9" s="69" customFormat="1" ht="15.75" customHeight="1" x14ac:dyDescent="0.35">
      <c r="A322" s="129">
        <v>103</v>
      </c>
      <c r="B322" s="130"/>
      <c r="C322" s="70" t="s">
        <v>316</v>
      </c>
      <c r="D322" s="74">
        <f>(29.86)*10.764</f>
        <v>321.41303999999997</v>
      </c>
      <c r="E322" s="74">
        <v>0</v>
      </c>
      <c r="F322" s="68">
        <f t="shared" si="38"/>
        <v>321.41303999999997</v>
      </c>
      <c r="G322" s="68">
        <v>0</v>
      </c>
      <c r="H322" s="68">
        <f t="shared" si="39"/>
        <v>466.04890799999993</v>
      </c>
      <c r="I322" s="36"/>
    </row>
    <row r="323" spans="1:9" s="69" customFormat="1" ht="15.75" customHeight="1" x14ac:dyDescent="0.35">
      <c r="A323" s="129">
        <v>104</v>
      </c>
      <c r="B323" s="130"/>
      <c r="C323" s="70" t="s">
        <v>316</v>
      </c>
      <c r="D323" s="74">
        <f>(30.62)*10.764</f>
        <v>329.59368000000001</v>
      </c>
      <c r="E323" s="78">
        <f>(1.35*2.75)*10.764</f>
        <v>39.961350000000003</v>
      </c>
      <c r="F323" s="68">
        <f t="shared" si="38"/>
        <v>369.55502999999999</v>
      </c>
      <c r="G323" s="68">
        <v>0</v>
      </c>
      <c r="H323" s="68">
        <f t="shared" si="39"/>
        <v>535.85479349999991</v>
      </c>
      <c r="I323" s="36"/>
    </row>
    <row r="324" spans="1:9" s="69" customFormat="1" ht="15.75" customHeight="1" x14ac:dyDescent="0.35">
      <c r="A324" s="129">
        <v>105</v>
      </c>
      <c r="B324" s="130"/>
      <c r="C324" s="70" t="s">
        <v>316</v>
      </c>
      <c r="D324" s="74">
        <f>(29.9)*10.764</f>
        <v>321.84359999999998</v>
      </c>
      <c r="E324" s="74">
        <v>0</v>
      </c>
      <c r="F324" s="68">
        <f t="shared" si="38"/>
        <v>321.84359999999998</v>
      </c>
      <c r="G324" s="68">
        <v>0</v>
      </c>
      <c r="H324" s="68">
        <f t="shared" si="39"/>
        <v>466.67321999999996</v>
      </c>
      <c r="I324" s="36"/>
    </row>
    <row r="325" spans="1:9" s="71" customFormat="1" ht="15.75" customHeight="1" x14ac:dyDescent="0.35">
      <c r="A325" s="129">
        <v>106</v>
      </c>
      <c r="B325" s="130"/>
      <c r="C325" s="70" t="s">
        <v>316</v>
      </c>
      <c r="D325" s="74">
        <f>(29.85)*10.764</f>
        <v>321.30540000000002</v>
      </c>
      <c r="E325" s="74">
        <v>0</v>
      </c>
      <c r="F325" s="70">
        <f t="shared" si="38"/>
        <v>321.30540000000002</v>
      </c>
      <c r="G325" s="70">
        <v>0</v>
      </c>
      <c r="H325" s="70">
        <f t="shared" si="39"/>
        <v>465.89283</v>
      </c>
      <c r="I325" s="36"/>
    </row>
    <row r="326" spans="1:9" s="71" customFormat="1" ht="15.75" customHeight="1" x14ac:dyDescent="0.35">
      <c r="A326" s="129">
        <v>107</v>
      </c>
      <c r="B326" s="130"/>
      <c r="C326" s="70" t="s">
        <v>316</v>
      </c>
      <c r="D326" s="74">
        <f>(29.85)*10.764</f>
        <v>321.30540000000002</v>
      </c>
      <c r="E326" s="74">
        <v>0</v>
      </c>
      <c r="F326" s="70">
        <f t="shared" si="38"/>
        <v>321.30540000000002</v>
      </c>
      <c r="G326" s="70">
        <v>0</v>
      </c>
      <c r="H326" s="70">
        <f t="shared" si="39"/>
        <v>465.89283</v>
      </c>
      <c r="I326" s="36">
        <f>2.75*4.4+1.35*2.25+2.6*3.05+1.7*1.1+1.2*2+1.35*0.9</f>
        <v>28.552500000000002</v>
      </c>
    </row>
    <row r="327" spans="1:9" s="37" customFormat="1" x14ac:dyDescent="0.35">
      <c r="A327" s="103" t="s">
        <v>117</v>
      </c>
      <c r="B327" s="104"/>
      <c r="C327" s="104"/>
      <c r="D327" s="104"/>
      <c r="E327" s="104"/>
      <c r="F327" s="104"/>
      <c r="G327" s="104"/>
      <c r="H327" s="105"/>
      <c r="I327" s="36"/>
    </row>
    <row r="328" spans="1:9" s="37" customFormat="1" ht="15.75" customHeight="1" x14ac:dyDescent="0.35">
      <c r="A328" s="129">
        <v>201</v>
      </c>
      <c r="B328" s="130"/>
      <c r="C328" s="42" t="s">
        <v>336</v>
      </c>
      <c r="D328" s="74">
        <f>(41.73)*10.764</f>
        <v>449.18171999999993</v>
      </c>
      <c r="E328" s="78">
        <f>(1.35*2.75)*10.764</f>
        <v>39.961350000000003</v>
      </c>
      <c r="F328" s="53">
        <f>D328+E328</f>
        <v>489.14306999999991</v>
      </c>
      <c r="G328" s="53">
        <v>0</v>
      </c>
      <c r="H328" s="53">
        <f>F328*(($H$230)+1)+(IF(G328&lt;101,G328,IF(G328&lt;201,G328/2,IF(G328&lt;=301,G328/3,G328/4))))</f>
        <v>709.25745149999989</v>
      </c>
      <c r="I328" s="36"/>
    </row>
    <row r="329" spans="1:9" s="37" customFormat="1" ht="15.75" customHeight="1" x14ac:dyDescent="0.35">
      <c r="A329" s="129">
        <v>202</v>
      </c>
      <c r="B329" s="130"/>
      <c r="C329" s="129" t="s">
        <v>339</v>
      </c>
      <c r="D329" s="131"/>
      <c r="E329" s="131"/>
      <c r="F329" s="131"/>
      <c r="G329" s="131"/>
      <c r="H329" s="130"/>
      <c r="I329" s="36"/>
    </row>
    <row r="330" spans="1:9" s="37" customFormat="1" ht="15.75" customHeight="1" x14ac:dyDescent="0.35">
      <c r="A330" s="129">
        <v>203</v>
      </c>
      <c r="B330" s="130"/>
      <c r="C330" s="42" t="s">
        <v>316</v>
      </c>
      <c r="D330" s="74">
        <f>(29.86)*10.764</f>
        <v>321.41303999999997</v>
      </c>
      <c r="E330" s="78">
        <v>0</v>
      </c>
      <c r="F330" s="53">
        <f>D330+E330</f>
        <v>321.41303999999997</v>
      </c>
      <c r="G330" s="53">
        <v>0</v>
      </c>
      <c r="H330" s="53">
        <f>F330*(($H$230)+1)+(IF(G330&lt;101,G330,IF(G330&lt;201,G330/2,IF(G330&lt;=301,G330/3,G330/4))))</f>
        <v>466.04890799999993</v>
      </c>
      <c r="I330" s="36"/>
    </row>
    <row r="331" spans="1:9" s="37" customFormat="1" ht="15.75" customHeight="1" x14ac:dyDescent="0.35">
      <c r="A331" s="129">
        <v>204</v>
      </c>
      <c r="B331" s="130"/>
      <c r="C331" s="74" t="s">
        <v>316</v>
      </c>
      <c r="D331" s="74">
        <f>(30.62)*10.764</f>
        <v>329.59368000000001</v>
      </c>
      <c r="E331" s="78">
        <f>(1.35*2.75)*10.764</f>
        <v>39.961350000000003</v>
      </c>
      <c r="F331" s="53">
        <f>D331+E331</f>
        <v>369.55502999999999</v>
      </c>
      <c r="G331" s="53">
        <v>0</v>
      </c>
      <c r="H331" s="53">
        <f>F331*(($H$230)+1)+(IF(G331&lt;101,G331,IF(G331&lt;201,G331/2,IF(G331&lt;=301,G331/3,G331/4))))</f>
        <v>535.85479349999991</v>
      </c>
      <c r="I331" s="36"/>
    </row>
    <row r="332" spans="1:9" s="37" customFormat="1" ht="15.75" customHeight="1" x14ac:dyDescent="0.35">
      <c r="A332" s="129">
        <v>205</v>
      </c>
      <c r="B332" s="130"/>
      <c r="C332" s="74" t="s">
        <v>316</v>
      </c>
      <c r="D332" s="74">
        <f>(29.9)*10.764</f>
        <v>321.84359999999998</v>
      </c>
      <c r="E332" s="78">
        <v>0</v>
      </c>
      <c r="F332" s="53">
        <f>D332+E332</f>
        <v>321.84359999999998</v>
      </c>
      <c r="G332" s="53">
        <v>0</v>
      </c>
      <c r="H332" s="53">
        <f>F332*(($H$230)+1)+(IF(G332&lt;101,G332,IF(G332&lt;201,G332/2,IF(G332&lt;=301,G332/3,G332/4))))</f>
        <v>466.67321999999996</v>
      </c>
      <c r="I332" s="36"/>
    </row>
    <row r="333" spans="1:9" s="73" customFormat="1" ht="15.75" customHeight="1" x14ac:dyDescent="0.35">
      <c r="A333" s="129">
        <v>206</v>
      </c>
      <c r="B333" s="130"/>
      <c r="C333" s="74" t="s">
        <v>316</v>
      </c>
      <c r="D333" s="74">
        <f>(29.85)*10.764</f>
        <v>321.30540000000002</v>
      </c>
      <c r="E333" s="78">
        <v>0</v>
      </c>
      <c r="F333" s="74">
        <f>D333+E333</f>
        <v>321.30540000000002</v>
      </c>
      <c r="G333" s="74">
        <v>0</v>
      </c>
      <c r="H333" s="74">
        <f>F333*(($H$230)+1)+(IF(G333&lt;101,G333,IF(G333&lt;201,G333/2,IF(G333&lt;=301,G333/3,G333/4))))</f>
        <v>465.89283</v>
      </c>
      <c r="I333" s="36"/>
    </row>
    <row r="334" spans="1:9" s="73" customFormat="1" ht="15.75" customHeight="1" x14ac:dyDescent="0.35">
      <c r="A334" s="129">
        <v>207</v>
      </c>
      <c r="B334" s="130"/>
      <c r="C334" s="74" t="s">
        <v>316</v>
      </c>
      <c r="D334" s="74">
        <f>(29.85)*10.764</f>
        <v>321.30540000000002</v>
      </c>
      <c r="E334" s="78">
        <v>0</v>
      </c>
      <c r="F334" s="74">
        <f>D334+E334</f>
        <v>321.30540000000002</v>
      </c>
      <c r="G334" s="74">
        <v>0</v>
      </c>
      <c r="H334" s="74">
        <f>F334*(($H$230)+1)+(IF(G334&lt;101,G334,IF(G334&lt;201,G334/2,IF(G334&lt;=301,G334/3,G334/4))))</f>
        <v>465.89283</v>
      </c>
      <c r="I334" s="36"/>
    </row>
    <row r="335" spans="1:9" s="73" customFormat="1" x14ac:dyDescent="0.35">
      <c r="A335" s="103" t="s">
        <v>349</v>
      </c>
      <c r="B335" s="104"/>
      <c r="C335" s="104"/>
      <c r="D335" s="104"/>
      <c r="E335" s="104"/>
      <c r="F335" s="104"/>
      <c r="G335" s="104"/>
      <c r="H335" s="105"/>
      <c r="I335" s="36"/>
    </row>
    <row r="336" spans="1:9" s="73" customFormat="1" x14ac:dyDescent="0.35">
      <c r="A336" s="103" t="s">
        <v>337</v>
      </c>
      <c r="B336" s="104"/>
      <c r="C336" s="104"/>
      <c r="D336" s="104"/>
      <c r="E336" s="104"/>
      <c r="F336" s="104"/>
      <c r="G336" s="104"/>
      <c r="H336" s="105"/>
      <c r="I336" s="36"/>
    </row>
    <row r="337" spans="1:20" s="73" customFormat="1" x14ac:dyDescent="0.35">
      <c r="A337" s="103" t="s">
        <v>346</v>
      </c>
      <c r="B337" s="104"/>
      <c r="C337" s="104"/>
      <c r="D337" s="104"/>
      <c r="E337" s="104"/>
      <c r="F337" s="104"/>
      <c r="G337" s="104"/>
      <c r="H337" s="105"/>
      <c r="I337" s="36"/>
    </row>
    <row r="338" spans="1:20" s="73" customFormat="1" ht="15.75" customHeight="1" x14ac:dyDescent="0.35">
      <c r="A338" s="129">
        <v>101</v>
      </c>
      <c r="B338" s="130"/>
      <c r="C338" s="74" t="s">
        <v>316</v>
      </c>
      <c r="D338" s="74">
        <f>(29.85)*10.764</f>
        <v>321.30540000000002</v>
      </c>
      <c r="E338" s="74">
        <v>0</v>
      </c>
      <c r="F338" s="74">
        <f t="shared" ref="F338:F344" si="40">D338+E338</f>
        <v>321.30540000000002</v>
      </c>
      <c r="G338" s="74">
        <v>0</v>
      </c>
      <c r="H338" s="74">
        <f t="shared" ref="H338:H344" si="41">F338*(($H$230)+1)+(IF(G338&lt;101,G338,IF(G338&lt;201,G338/2,IF(G338&lt;=301,G338/3,G338/4))))</f>
        <v>465.89283</v>
      </c>
      <c r="I338" s="36"/>
    </row>
    <row r="339" spans="1:20" s="73" customFormat="1" ht="15.75" customHeight="1" x14ac:dyDescent="0.35">
      <c r="A339" s="129">
        <v>102</v>
      </c>
      <c r="B339" s="130"/>
      <c r="C339" s="74" t="s">
        <v>316</v>
      </c>
      <c r="D339" s="74">
        <f>(29.85)*10.764</f>
        <v>321.30540000000002</v>
      </c>
      <c r="E339" s="74">
        <v>0</v>
      </c>
      <c r="F339" s="74">
        <f t="shared" si="40"/>
        <v>321.30540000000002</v>
      </c>
      <c r="G339" s="74">
        <v>0</v>
      </c>
      <c r="H339" s="74">
        <f t="shared" si="41"/>
        <v>465.89283</v>
      </c>
      <c r="I339" s="36"/>
    </row>
    <row r="340" spans="1:20" s="73" customFormat="1" ht="15.75" customHeight="1" x14ac:dyDescent="0.35">
      <c r="A340" s="129">
        <v>103</v>
      </c>
      <c r="B340" s="130"/>
      <c r="C340" s="74" t="s">
        <v>316</v>
      </c>
      <c r="D340" s="74">
        <f>(29.91)*10.764</f>
        <v>321.95123999999998</v>
      </c>
      <c r="E340" s="78">
        <f>(1.35*2.75)*10.764</f>
        <v>39.961350000000003</v>
      </c>
      <c r="F340" s="74">
        <f t="shared" si="40"/>
        <v>361.91258999999997</v>
      </c>
      <c r="G340" s="74">
        <v>0</v>
      </c>
      <c r="H340" s="74">
        <f t="shared" si="41"/>
        <v>524.77325549999989</v>
      </c>
      <c r="I340" s="36"/>
    </row>
    <row r="341" spans="1:20" s="73" customFormat="1" ht="15.75" customHeight="1" x14ac:dyDescent="0.35">
      <c r="A341" s="129">
        <v>104</v>
      </c>
      <c r="B341" s="130"/>
      <c r="C341" s="74" t="s">
        <v>316</v>
      </c>
      <c r="D341" s="74">
        <f>(29.85)*10.764</f>
        <v>321.30540000000002</v>
      </c>
      <c r="E341" s="74">
        <v>0</v>
      </c>
      <c r="F341" s="74">
        <f t="shared" si="40"/>
        <v>321.30540000000002</v>
      </c>
      <c r="G341" s="74">
        <v>0</v>
      </c>
      <c r="H341" s="74">
        <f t="shared" si="41"/>
        <v>465.89283</v>
      </c>
      <c r="I341" s="36"/>
    </row>
    <row r="342" spans="1:20" s="73" customFormat="1" ht="15.75" customHeight="1" x14ac:dyDescent="0.35">
      <c r="A342" s="129">
        <v>105</v>
      </c>
      <c r="B342" s="130"/>
      <c r="C342" s="74" t="s">
        <v>316</v>
      </c>
      <c r="D342" s="74">
        <f>(29.85)*10.764</f>
        <v>321.30540000000002</v>
      </c>
      <c r="E342" s="74">
        <v>0</v>
      </c>
      <c r="F342" s="74">
        <f t="shared" si="40"/>
        <v>321.30540000000002</v>
      </c>
      <c r="G342" s="74">
        <v>0</v>
      </c>
      <c r="H342" s="74">
        <f t="shared" si="41"/>
        <v>465.89283</v>
      </c>
      <c r="I342" s="36"/>
    </row>
    <row r="343" spans="1:20" s="73" customFormat="1" ht="15.75" customHeight="1" x14ac:dyDescent="0.35">
      <c r="A343" s="129">
        <v>106</v>
      </c>
      <c r="B343" s="130"/>
      <c r="C343" s="74" t="s">
        <v>316</v>
      </c>
      <c r="D343" s="74">
        <f>(29.91)*10.764</f>
        <v>321.95123999999998</v>
      </c>
      <c r="E343" s="78">
        <f>(1.35*2.75)*10.764</f>
        <v>39.961350000000003</v>
      </c>
      <c r="F343" s="74">
        <f t="shared" si="40"/>
        <v>361.91258999999997</v>
      </c>
      <c r="G343" s="74">
        <v>0</v>
      </c>
      <c r="H343" s="74">
        <f t="shared" si="41"/>
        <v>524.77325549999989</v>
      </c>
      <c r="I343" s="36"/>
    </row>
    <row r="344" spans="1:20" s="73" customFormat="1" ht="15.75" customHeight="1" x14ac:dyDescent="0.35">
      <c r="A344" s="129">
        <v>107</v>
      </c>
      <c r="B344" s="130"/>
      <c r="C344" s="74" t="s">
        <v>316</v>
      </c>
      <c r="D344" s="74">
        <f>(29.85)*10.764</f>
        <v>321.30540000000002</v>
      </c>
      <c r="E344" s="74">
        <v>0</v>
      </c>
      <c r="F344" s="74">
        <f t="shared" si="40"/>
        <v>321.30540000000002</v>
      </c>
      <c r="G344" s="74">
        <v>0</v>
      </c>
      <c r="H344" s="74">
        <f t="shared" si="41"/>
        <v>465.89283</v>
      </c>
      <c r="I344" s="36"/>
    </row>
    <row r="345" spans="1:20" s="73" customFormat="1" ht="15.75" customHeight="1" x14ac:dyDescent="0.35">
      <c r="A345" s="129">
        <v>108</v>
      </c>
      <c r="B345" s="130"/>
      <c r="C345" s="74" t="s">
        <v>316</v>
      </c>
      <c r="D345" s="74">
        <f>(29.85)*10.764</f>
        <v>321.30540000000002</v>
      </c>
      <c r="E345" s="74">
        <v>0</v>
      </c>
      <c r="F345" s="74">
        <f t="shared" ref="F345" si="42">D345+E345</f>
        <v>321.30540000000002</v>
      </c>
      <c r="G345" s="74">
        <v>0</v>
      </c>
      <c r="H345" s="74">
        <f t="shared" ref="H345" si="43">F345*(($H$230)+1)+(IF(G345&lt;101,G345,IF(G345&lt;201,G345/2,IF(G345&lt;=301,G345/3,G345/4))))</f>
        <v>465.89283</v>
      </c>
      <c r="I345" s="36"/>
    </row>
    <row r="346" spans="1:20" s="73" customFormat="1" x14ac:dyDescent="0.35">
      <c r="A346" s="103" t="s">
        <v>360</v>
      </c>
      <c r="B346" s="104"/>
      <c r="C346" s="104"/>
      <c r="D346" s="104"/>
      <c r="E346" s="104"/>
      <c r="F346" s="104"/>
      <c r="G346" s="104"/>
      <c r="H346" s="105"/>
      <c r="I346" s="36"/>
    </row>
    <row r="347" spans="1:20" s="35" customFormat="1" x14ac:dyDescent="0.35">
      <c r="A347" s="243" t="s">
        <v>65</v>
      </c>
      <c r="B347" s="243"/>
      <c r="C347" s="243"/>
      <c r="D347" s="243"/>
      <c r="E347" s="243"/>
      <c r="F347" s="243"/>
      <c r="G347" s="243"/>
      <c r="H347" s="243"/>
      <c r="T347" s="37"/>
    </row>
    <row r="348" spans="1:20" s="35" customFormat="1" ht="31.5" customHeight="1" x14ac:dyDescent="0.35">
      <c r="A348" s="79" t="s">
        <v>151</v>
      </c>
      <c r="B348" s="236" t="s">
        <v>341</v>
      </c>
      <c r="C348" s="236"/>
      <c r="D348" s="236"/>
      <c r="E348" s="236"/>
      <c r="F348" s="236"/>
      <c r="G348" s="236"/>
      <c r="H348" s="236"/>
      <c r="T348" s="37"/>
    </row>
    <row r="349" spans="1:20" s="35" customFormat="1" x14ac:dyDescent="0.35">
      <c r="A349" s="79" t="s">
        <v>151</v>
      </c>
      <c r="B349" s="236" t="str">
        <f>(IF(H229="Saleable area Loading :","We have considered Saleable area of Flats as per our Calculation.","We considered Saleable area of Flat as per Builder area Sheet."))</f>
        <v>We have considered Saleable area of Flats as per our Calculation.</v>
      </c>
      <c r="C349" s="236"/>
      <c r="D349" s="236"/>
      <c r="E349" s="236"/>
      <c r="F349" s="236"/>
      <c r="G349" s="236"/>
      <c r="H349" s="236"/>
      <c r="T349" s="37"/>
    </row>
    <row r="350" spans="1:20" s="35" customFormat="1" x14ac:dyDescent="0.35">
      <c r="A350" s="79" t="s">
        <v>151</v>
      </c>
      <c r="B350" s="236" t="str">
        <f>(IF(H176="Saleable area Loading :","We have considered Saleable area of Commercial as per our Calculation.","We considered Saleable area of Commercial as per Builder area Sheet."))</f>
        <v>We have considered Saleable area of Commercial as per our Calculation.</v>
      </c>
      <c r="C350" s="236"/>
      <c r="D350" s="236"/>
      <c r="E350" s="236"/>
      <c r="F350" s="236"/>
      <c r="G350" s="236"/>
      <c r="H350" s="236"/>
      <c r="T350" s="37"/>
    </row>
    <row r="351" spans="1:20" s="35" customFormat="1" x14ac:dyDescent="0.35">
      <c r="A351" s="79" t="s">
        <v>151</v>
      </c>
      <c r="B351" s="167" t="s">
        <v>120</v>
      </c>
      <c r="C351" s="167"/>
      <c r="D351" s="167"/>
      <c r="E351" s="167"/>
      <c r="F351" s="167"/>
      <c r="G351" s="167"/>
      <c r="H351" s="167"/>
      <c r="T351" s="37"/>
    </row>
    <row r="352" spans="1:20" s="35" customFormat="1" ht="18.75" customHeight="1" x14ac:dyDescent="0.35">
      <c r="A352" s="79" t="s">
        <v>151</v>
      </c>
      <c r="B352" s="167" t="s">
        <v>376</v>
      </c>
      <c r="C352" s="167"/>
      <c r="D352" s="167"/>
      <c r="E352" s="167"/>
      <c r="F352" s="167"/>
      <c r="G352" s="167"/>
      <c r="H352" s="167"/>
      <c r="T352" s="37"/>
    </row>
    <row r="353" spans="1:20" s="35" customFormat="1" x14ac:dyDescent="0.35">
      <c r="A353" s="79" t="s">
        <v>151</v>
      </c>
      <c r="B353" s="167" t="s">
        <v>150</v>
      </c>
      <c r="C353" s="167"/>
      <c r="D353" s="167"/>
      <c r="E353" s="167"/>
      <c r="F353" s="167"/>
      <c r="G353" s="167"/>
      <c r="H353" s="167"/>
    </row>
    <row r="354" spans="1:20" s="35" customFormat="1" x14ac:dyDescent="0.35">
      <c r="A354" s="79" t="s">
        <v>151</v>
      </c>
      <c r="B354" s="167" t="s">
        <v>121</v>
      </c>
      <c r="C354" s="167"/>
      <c r="D354" s="167"/>
      <c r="E354" s="167"/>
      <c r="F354" s="167"/>
      <c r="G354" s="167"/>
      <c r="H354" s="167"/>
    </row>
    <row r="355" spans="1:20" s="35" customFormat="1" ht="34.5" customHeight="1" x14ac:dyDescent="0.35">
      <c r="A355" s="79" t="s">
        <v>151</v>
      </c>
      <c r="B355" s="167" t="s">
        <v>152</v>
      </c>
      <c r="C355" s="167"/>
      <c r="D355" s="167"/>
      <c r="E355" s="167"/>
      <c r="F355" s="167"/>
      <c r="G355" s="167"/>
      <c r="H355" s="167"/>
    </row>
    <row r="356" spans="1:20" s="35" customFormat="1" x14ac:dyDescent="0.35">
      <c r="A356" s="79" t="s">
        <v>151</v>
      </c>
      <c r="B356" s="167" t="s">
        <v>122</v>
      </c>
      <c r="C356" s="167"/>
      <c r="D356" s="167"/>
      <c r="E356" s="167"/>
      <c r="F356" s="167"/>
      <c r="G356" s="167"/>
      <c r="H356" s="167"/>
    </row>
    <row r="357" spans="1:20" s="35" customFormat="1" ht="32.25" hidden="1" customHeight="1" x14ac:dyDescent="0.35">
      <c r="A357" s="50" t="s">
        <v>151</v>
      </c>
      <c r="B357" s="231" t="s">
        <v>174</v>
      </c>
      <c r="C357" s="232"/>
      <c r="D357" s="232"/>
      <c r="E357" s="232"/>
      <c r="F357" s="232"/>
      <c r="G357" s="232"/>
      <c r="H357" s="233"/>
    </row>
    <row r="358" spans="1:20" s="35" customFormat="1" hidden="1" x14ac:dyDescent="0.35">
      <c r="A358" s="54" t="s">
        <v>151</v>
      </c>
      <c r="B358" s="231" t="s">
        <v>229</v>
      </c>
      <c r="C358" s="232"/>
      <c r="D358" s="232"/>
      <c r="E358" s="232"/>
      <c r="F358" s="232"/>
      <c r="G358" s="232"/>
      <c r="H358" s="233"/>
    </row>
    <row r="359" spans="1:20" s="35" customFormat="1" x14ac:dyDescent="0.35">
      <c r="A359" s="92" t="s">
        <v>151</v>
      </c>
      <c r="B359" s="167" t="s">
        <v>384</v>
      </c>
      <c r="C359" s="167"/>
      <c r="D359" s="167"/>
      <c r="E359" s="167"/>
      <c r="F359" s="167"/>
      <c r="G359" s="167"/>
      <c r="H359" s="167"/>
    </row>
    <row r="360" spans="1:20" x14ac:dyDescent="0.35">
      <c r="A360" s="239" t="s">
        <v>58</v>
      </c>
      <c r="B360" s="239"/>
      <c r="C360" s="239"/>
      <c r="D360" s="239"/>
      <c r="E360" s="239"/>
      <c r="F360" s="239"/>
      <c r="G360" s="239"/>
      <c r="H360" s="239"/>
      <c r="T360" s="35"/>
    </row>
    <row r="361" spans="1:20" x14ac:dyDescent="0.35">
      <c r="A361" s="169" t="s">
        <v>59</v>
      </c>
      <c r="B361" s="169"/>
      <c r="C361" s="169"/>
      <c r="D361" s="169"/>
      <c r="E361" s="169"/>
      <c r="F361" s="169"/>
      <c r="G361" s="169"/>
      <c r="H361" s="169"/>
      <c r="T361" s="35"/>
    </row>
    <row r="362" spans="1:20" ht="15.75" customHeight="1" x14ac:dyDescent="0.35">
      <c r="A362" s="241" t="s">
        <v>60</v>
      </c>
      <c r="B362" s="241"/>
      <c r="C362" s="241"/>
      <c r="D362" s="241"/>
      <c r="E362" s="241"/>
      <c r="F362" s="241"/>
      <c r="G362" s="241"/>
      <c r="H362" s="241"/>
      <c r="T362" s="35"/>
    </row>
    <row r="363" spans="1:20" x14ac:dyDescent="0.35">
      <c r="A363" s="169" t="s">
        <v>61</v>
      </c>
      <c r="B363" s="169"/>
      <c r="C363" s="169"/>
      <c r="D363" s="169"/>
      <c r="E363" s="169"/>
      <c r="F363" s="169"/>
      <c r="G363" s="169"/>
      <c r="H363" s="169"/>
      <c r="T363" s="35"/>
    </row>
    <row r="364" spans="1:20" x14ac:dyDescent="0.35">
      <c r="A364" s="169" t="s">
        <v>62</v>
      </c>
      <c r="B364" s="169"/>
      <c r="C364" s="169"/>
      <c r="D364" s="169"/>
      <c r="E364" s="169"/>
      <c r="F364" s="169"/>
      <c r="G364" s="169"/>
      <c r="H364" s="169"/>
      <c r="T364" s="35"/>
    </row>
    <row r="365" spans="1:20" x14ac:dyDescent="0.35">
      <c r="A365" s="169" t="s">
        <v>123</v>
      </c>
      <c r="B365" s="169"/>
      <c r="C365" s="169"/>
      <c r="D365" s="169"/>
      <c r="E365" s="169"/>
      <c r="F365" s="169"/>
      <c r="G365" s="169"/>
      <c r="H365" s="169"/>
      <c r="T365" s="35"/>
    </row>
    <row r="366" spans="1:20" ht="34" customHeight="1" x14ac:dyDescent="0.35">
      <c r="A366" s="197" t="s">
        <v>124</v>
      </c>
      <c r="B366" s="197"/>
      <c r="C366" s="197"/>
      <c r="D366" s="197"/>
      <c r="E366" s="197"/>
      <c r="F366" s="197"/>
      <c r="G366" s="197"/>
      <c r="H366" s="197"/>
    </row>
    <row r="367" spans="1:20" x14ac:dyDescent="0.35">
      <c r="A367" s="228" t="s">
        <v>74</v>
      </c>
      <c r="B367" s="228"/>
      <c r="C367" s="228" t="s">
        <v>357</v>
      </c>
      <c r="D367" s="228"/>
      <c r="E367" s="228" t="s">
        <v>104</v>
      </c>
      <c r="F367" s="228"/>
      <c r="G367" s="228" t="s">
        <v>382</v>
      </c>
      <c r="H367" s="228"/>
    </row>
    <row r="368" spans="1:20" x14ac:dyDescent="0.35">
      <c r="A368" s="227" t="s">
        <v>76</v>
      </c>
      <c r="B368" s="227"/>
      <c r="C368" s="227"/>
      <c r="D368" s="227"/>
      <c r="E368" s="227"/>
      <c r="F368" s="227"/>
      <c r="G368" s="227"/>
      <c r="H368" s="227"/>
    </row>
    <row r="369" spans="1:8" x14ac:dyDescent="0.35">
      <c r="A369" s="227"/>
      <c r="B369" s="227"/>
      <c r="C369" s="227"/>
      <c r="D369" s="227"/>
      <c r="E369" s="227"/>
      <c r="F369" s="227"/>
      <c r="G369" s="227"/>
      <c r="H369" s="227"/>
    </row>
    <row r="370" spans="1:8" x14ac:dyDescent="0.35">
      <c r="A370" s="227"/>
      <c r="B370" s="227"/>
      <c r="C370" s="227"/>
      <c r="D370" s="227"/>
      <c r="E370" s="227"/>
      <c r="F370" s="227"/>
      <c r="G370" s="227"/>
      <c r="H370" s="227"/>
    </row>
    <row r="371" spans="1:8" x14ac:dyDescent="0.35">
      <c r="A371" s="227"/>
      <c r="B371" s="227"/>
      <c r="C371" s="227"/>
      <c r="D371" s="227"/>
      <c r="E371" s="227"/>
      <c r="F371" s="227"/>
      <c r="G371" s="227"/>
      <c r="H371" s="227"/>
    </row>
    <row r="372" spans="1:8" x14ac:dyDescent="0.35">
      <c r="A372" s="38" t="s">
        <v>63</v>
      </c>
      <c r="B372" s="39"/>
      <c r="C372" s="39"/>
      <c r="D372" s="38" t="str">
        <f>E9</f>
        <v>Tirumala Heights</v>
      </c>
      <c r="F372" s="39"/>
      <c r="G372" s="39"/>
      <c r="H372" s="39"/>
    </row>
    <row r="373" spans="1:8" x14ac:dyDescent="0.35">
      <c r="A373" s="39"/>
      <c r="B373" s="39"/>
      <c r="C373" s="39"/>
      <c r="D373" s="39"/>
      <c r="E373" s="39"/>
      <c r="F373" s="39"/>
      <c r="G373" s="39"/>
      <c r="H373" s="39"/>
    </row>
    <row r="374" spans="1:8" x14ac:dyDescent="0.35">
      <c r="A374" s="39"/>
      <c r="B374" s="39"/>
      <c r="C374" s="39"/>
      <c r="D374" s="39"/>
      <c r="E374" s="39"/>
      <c r="F374" s="39"/>
      <c r="G374" s="39"/>
      <c r="H374" s="39"/>
    </row>
    <row r="375" spans="1:8" ht="15" customHeight="1" x14ac:dyDescent="0.35"/>
    <row r="415" spans="1:1" x14ac:dyDescent="0.35">
      <c r="A415" s="41" t="s">
        <v>159</v>
      </c>
    </row>
    <row r="458" spans="1:1" x14ac:dyDescent="0.35">
      <c r="A458" s="41" t="s">
        <v>64</v>
      </c>
    </row>
  </sheetData>
  <mergeCells count="600">
    <mergeCell ref="B359:H359"/>
    <mergeCell ref="A316:H316"/>
    <mergeCell ref="A317:H317"/>
    <mergeCell ref="A318:H318"/>
    <mergeCell ref="A231:H231"/>
    <mergeCell ref="A203:B203"/>
    <mergeCell ref="A281:H281"/>
    <mergeCell ref="A272:H272"/>
    <mergeCell ref="A285:B285"/>
    <mergeCell ref="A286:B286"/>
    <mergeCell ref="A228:H228"/>
    <mergeCell ref="A229:A230"/>
    <mergeCell ref="F229:F230"/>
    <mergeCell ref="A273:B273"/>
    <mergeCell ref="A204:B204"/>
    <mergeCell ref="A205:B205"/>
    <mergeCell ref="A206:B206"/>
    <mergeCell ref="A207:B207"/>
    <mergeCell ref="A208:B208"/>
    <mergeCell ref="I15:P15"/>
    <mergeCell ref="F156:H156"/>
    <mergeCell ref="F154:H154"/>
    <mergeCell ref="A274:B274"/>
    <mergeCell ref="A175:H175"/>
    <mergeCell ref="G160:H160"/>
    <mergeCell ref="A155:E155"/>
    <mergeCell ref="A182:B182"/>
    <mergeCell ref="A60:B60"/>
    <mergeCell ref="C60:E60"/>
    <mergeCell ref="D62:H62"/>
    <mergeCell ref="F155:H155"/>
    <mergeCell ref="E160:F160"/>
    <mergeCell ref="A160:B160"/>
    <mergeCell ref="A162:B162"/>
    <mergeCell ref="C166:D166"/>
    <mergeCell ref="D73:H73"/>
    <mergeCell ref="A74:C74"/>
    <mergeCell ref="E43:H43"/>
    <mergeCell ref="A43:D43"/>
    <mergeCell ref="A90:B90"/>
    <mergeCell ref="C90:H90"/>
    <mergeCell ref="A178:H178"/>
    <mergeCell ref="A180:H180"/>
    <mergeCell ref="A85:B85"/>
    <mergeCell ref="A50:B50"/>
    <mergeCell ref="A276:B276"/>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D65:H65"/>
    <mergeCell ref="D66:H66"/>
    <mergeCell ref="C51:E51"/>
    <mergeCell ref="A225:B225"/>
    <mergeCell ref="A226:B226"/>
    <mergeCell ref="A75:C75"/>
    <mergeCell ref="D75:H75"/>
    <mergeCell ref="A73:C73"/>
    <mergeCell ref="D74:H74"/>
    <mergeCell ref="A80:B80"/>
    <mergeCell ref="G79:H79"/>
    <mergeCell ref="G107:H107"/>
    <mergeCell ref="A106:B106"/>
    <mergeCell ref="A82:B82"/>
    <mergeCell ref="E107:F107"/>
    <mergeCell ref="E108:F117"/>
    <mergeCell ref="E166:F166"/>
    <mergeCell ref="A174:H174"/>
    <mergeCell ref="A181:B181"/>
    <mergeCell ref="A173:B173"/>
    <mergeCell ref="C173:D173"/>
    <mergeCell ref="E173:F173"/>
    <mergeCell ref="A365:H365"/>
    <mergeCell ref="A362:H362"/>
    <mergeCell ref="A244:B244"/>
    <mergeCell ref="A166:B166"/>
    <mergeCell ref="D229:D230"/>
    <mergeCell ref="E229:E230"/>
    <mergeCell ref="A98:B98"/>
    <mergeCell ref="A99:B99"/>
    <mergeCell ref="A100:B100"/>
    <mergeCell ref="A114:B114"/>
    <mergeCell ref="F147:H147"/>
    <mergeCell ref="G161:H161"/>
    <mergeCell ref="A117:B117"/>
    <mergeCell ref="F153:H153"/>
    <mergeCell ref="C160:D160"/>
    <mergeCell ref="C172:D172"/>
    <mergeCell ref="A234:H234"/>
    <mergeCell ref="A332:B332"/>
    <mergeCell ref="A331:B331"/>
    <mergeCell ref="B348:H348"/>
    <mergeCell ref="B349:H349"/>
    <mergeCell ref="B351:H351"/>
    <mergeCell ref="B352:H352"/>
    <mergeCell ref="A347:H347"/>
    <mergeCell ref="A360:H360"/>
    <mergeCell ref="G166:H166"/>
    <mergeCell ref="A277:B277"/>
    <mergeCell ref="C176:C177"/>
    <mergeCell ref="B229:B230"/>
    <mergeCell ref="A192:B192"/>
    <mergeCell ref="A197:B197"/>
    <mergeCell ref="A211:B211"/>
    <mergeCell ref="A216:B216"/>
    <mergeCell ref="A295:B295"/>
    <mergeCell ref="A296:B296"/>
    <mergeCell ref="A297:B297"/>
    <mergeCell ref="A287:H287"/>
    <mergeCell ref="A288:H288"/>
    <mergeCell ref="A202:H202"/>
    <mergeCell ref="A269:B269"/>
    <mergeCell ref="A270:B270"/>
    <mergeCell ref="A271:B271"/>
    <mergeCell ref="A289:H289"/>
    <mergeCell ref="A325:B325"/>
    <mergeCell ref="A326:B326"/>
    <mergeCell ref="A191:H191"/>
    <mergeCell ref="A210:H210"/>
    <mergeCell ref="A219:H219"/>
    <mergeCell ref="A361:H361"/>
    <mergeCell ref="F146:H146"/>
    <mergeCell ref="F151:H151"/>
    <mergeCell ref="A235:B235"/>
    <mergeCell ref="A184:B184"/>
    <mergeCell ref="A183:B183"/>
    <mergeCell ref="A152:E152"/>
    <mergeCell ref="F152:H152"/>
    <mergeCell ref="A154:E154"/>
    <mergeCell ref="F149:H149"/>
    <mergeCell ref="A153:E153"/>
    <mergeCell ref="B357:H357"/>
    <mergeCell ref="B356:H356"/>
    <mergeCell ref="B354:H354"/>
    <mergeCell ref="B350:H350"/>
    <mergeCell ref="A330:B330"/>
    <mergeCell ref="A327:H327"/>
    <mergeCell ref="A328:B328"/>
    <mergeCell ref="A329:B329"/>
    <mergeCell ref="E172:F172"/>
    <mergeCell ref="G172:H172"/>
    <mergeCell ref="E162:F162"/>
    <mergeCell ref="G162:H162"/>
    <mergeCell ref="A164:B164"/>
    <mergeCell ref="A368:H371"/>
    <mergeCell ref="A367:B367"/>
    <mergeCell ref="E367:F367"/>
    <mergeCell ref="C367:D367"/>
    <mergeCell ref="G367:H367"/>
    <mergeCell ref="A159:H159"/>
    <mergeCell ref="A157:E157"/>
    <mergeCell ref="F157:H157"/>
    <mergeCell ref="A158:E158"/>
    <mergeCell ref="F158:H158"/>
    <mergeCell ref="A243:H243"/>
    <mergeCell ref="A167:B167"/>
    <mergeCell ref="A275:B275"/>
    <mergeCell ref="A161:B161"/>
    <mergeCell ref="A363:H363"/>
    <mergeCell ref="A165:H165"/>
    <mergeCell ref="A366:H366"/>
    <mergeCell ref="A364:H364"/>
    <mergeCell ref="G176:G177"/>
    <mergeCell ref="A283:B283"/>
    <mergeCell ref="B355:H355"/>
    <mergeCell ref="A284:B284"/>
    <mergeCell ref="B358:H358"/>
    <mergeCell ref="A172:B17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8:H117"/>
    <mergeCell ref="A42:D42"/>
    <mergeCell ref="E42:H42"/>
    <mergeCell ref="A41:H41"/>
    <mergeCell ref="A69:C69"/>
    <mergeCell ref="A70:C70"/>
    <mergeCell ref="D69:H69"/>
    <mergeCell ref="E80:F89"/>
    <mergeCell ref="G80:H89"/>
    <mergeCell ref="A88:B88"/>
    <mergeCell ref="A89:B89"/>
    <mergeCell ref="D70:H70"/>
    <mergeCell ref="A44:D44"/>
    <mergeCell ref="E44:H44"/>
    <mergeCell ref="E45:H45"/>
    <mergeCell ref="E46:H46"/>
    <mergeCell ref="A93:B93"/>
    <mergeCell ref="E47:H47"/>
    <mergeCell ref="C57:H57"/>
    <mergeCell ref="C59:H59"/>
    <mergeCell ref="A92:B92"/>
    <mergeCell ref="A39:B39"/>
    <mergeCell ref="C39:H39"/>
    <mergeCell ref="A46:D46"/>
    <mergeCell ref="L184:M184"/>
    <mergeCell ref="L183:M183"/>
    <mergeCell ref="L182:M182"/>
    <mergeCell ref="L181:M181"/>
    <mergeCell ref="A87:B87"/>
    <mergeCell ref="C167:D167"/>
    <mergeCell ref="E167:F167"/>
    <mergeCell ref="G167:H167"/>
    <mergeCell ref="A147:E147"/>
    <mergeCell ref="A104:B104"/>
    <mergeCell ref="C104:H104"/>
    <mergeCell ref="E176:E177"/>
    <mergeCell ref="A94:B94"/>
    <mergeCell ref="A47:D47"/>
    <mergeCell ref="A48:H48"/>
    <mergeCell ref="D64:H64"/>
    <mergeCell ref="A64:C64"/>
    <mergeCell ref="A86:B86"/>
    <mergeCell ref="C92:H92"/>
    <mergeCell ref="A45:D45"/>
    <mergeCell ref="A40:B40"/>
    <mergeCell ref="C40:H40"/>
    <mergeCell ref="F176:F177"/>
    <mergeCell ref="C161:D161"/>
    <mergeCell ref="E161:F161"/>
    <mergeCell ref="B176:B177"/>
    <mergeCell ref="A176:A177"/>
    <mergeCell ref="C229:C230"/>
    <mergeCell ref="G229:G230"/>
    <mergeCell ref="G173:H173"/>
    <mergeCell ref="C55:H55"/>
    <mergeCell ref="A79:B79"/>
    <mergeCell ref="A78:B78"/>
    <mergeCell ref="A76:B76"/>
    <mergeCell ref="C76:H76"/>
    <mergeCell ref="A84:B84"/>
    <mergeCell ref="A71:C71"/>
    <mergeCell ref="D71:H71"/>
    <mergeCell ref="C78:H78"/>
    <mergeCell ref="A81:B81"/>
    <mergeCell ref="A83:B83"/>
    <mergeCell ref="E79:F79"/>
    <mergeCell ref="A72:C72"/>
    <mergeCell ref="D72:H72"/>
    <mergeCell ref="A112:B112"/>
    <mergeCell ref="L243:M243"/>
    <mergeCell ref="A248:B248"/>
    <mergeCell ref="A245:B245"/>
    <mergeCell ref="A246:B246"/>
    <mergeCell ref="A282:B282"/>
    <mergeCell ref="L238:M238"/>
    <mergeCell ref="L235:M235"/>
    <mergeCell ref="A236:B236"/>
    <mergeCell ref="L236:M236"/>
    <mergeCell ref="A237:B237"/>
    <mergeCell ref="L237:M237"/>
    <mergeCell ref="A238:B238"/>
    <mergeCell ref="A247:B247"/>
    <mergeCell ref="A240:B240"/>
    <mergeCell ref="L240:M240"/>
    <mergeCell ref="A241:B241"/>
    <mergeCell ref="L241:M241"/>
    <mergeCell ref="A242:B242"/>
    <mergeCell ref="L242:M242"/>
    <mergeCell ref="A249:B249"/>
    <mergeCell ref="A250:B250"/>
    <mergeCell ref="A251:B251"/>
    <mergeCell ref="A253:H253"/>
    <mergeCell ref="A259:B259"/>
    <mergeCell ref="E94:F103"/>
    <mergeCell ref="A101:B101"/>
    <mergeCell ref="A102:B102"/>
    <mergeCell ref="E168:F168"/>
    <mergeCell ref="G168:H168"/>
    <mergeCell ref="A151:E151"/>
    <mergeCell ref="A103:B103"/>
    <mergeCell ref="A108:B108"/>
    <mergeCell ref="A123:B123"/>
    <mergeCell ref="A124:B124"/>
    <mergeCell ref="A125:B125"/>
    <mergeCell ref="A126:B126"/>
    <mergeCell ref="A127:B127"/>
    <mergeCell ref="A128:B128"/>
    <mergeCell ref="A129:B129"/>
    <mergeCell ref="A130:B130"/>
    <mergeCell ref="A131:B131"/>
    <mergeCell ref="A132:B132"/>
    <mergeCell ref="C132:H132"/>
    <mergeCell ref="A134:B134"/>
    <mergeCell ref="C106:H106"/>
    <mergeCell ref="A107:B107"/>
    <mergeCell ref="A156:E156"/>
    <mergeCell ref="C162:D162"/>
    <mergeCell ref="A49:B49"/>
    <mergeCell ref="C49:H49"/>
    <mergeCell ref="B353:H353"/>
    <mergeCell ref="A109:B109"/>
    <mergeCell ref="A110:B110"/>
    <mergeCell ref="G94:H103"/>
    <mergeCell ref="A95:B95"/>
    <mergeCell ref="A96:B96"/>
    <mergeCell ref="A97:B97"/>
    <mergeCell ref="F148:H148"/>
    <mergeCell ref="A148:E148"/>
    <mergeCell ref="D176:D177"/>
    <mergeCell ref="A150:E150"/>
    <mergeCell ref="A113:B113"/>
    <mergeCell ref="A115:B115"/>
    <mergeCell ref="A116:B116"/>
    <mergeCell ref="A149:E149"/>
    <mergeCell ref="A146:E146"/>
    <mergeCell ref="F150:H150"/>
    <mergeCell ref="D68:H68"/>
    <mergeCell ref="A185:B185"/>
    <mergeCell ref="E93:F93"/>
    <mergeCell ref="G93:H93"/>
    <mergeCell ref="A111:B111"/>
    <mergeCell ref="C164:D164"/>
    <mergeCell ref="E164:F164"/>
    <mergeCell ref="G164:H164"/>
    <mergeCell ref="A168:B168"/>
    <mergeCell ref="C168:D168"/>
    <mergeCell ref="A118:B118"/>
    <mergeCell ref="C118:H118"/>
    <mergeCell ref="A120:B120"/>
    <mergeCell ref="C120:H120"/>
    <mergeCell ref="A121:B121"/>
    <mergeCell ref="E121:F121"/>
    <mergeCell ref="G121:H121"/>
    <mergeCell ref="A122:B122"/>
    <mergeCell ref="E122:F131"/>
    <mergeCell ref="G122:H131"/>
    <mergeCell ref="A145:B145"/>
    <mergeCell ref="L185:M185"/>
    <mergeCell ref="A186:B186"/>
    <mergeCell ref="L186:M186"/>
    <mergeCell ref="A187:B187"/>
    <mergeCell ref="L187:M187"/>
    <mergeCell ref="A188:B188"/>
    <mergeCell ref="L188:M188"/>
    <mergeCell ref="A189:B189"/>
    <mergeCell ref="L189:M189"/>
    <mergeCell ref="L192:M192"/>
    <mergeCell ref="A193:B193"/>
    <mergeCell ref="L193:M193"/>
    <mergeCell ref="A194:B194"/>
    <mergeCell ref="L194:M194"/>
    <mergeCell ref="A195:B195"/>
    <mergeCell ref="L195:M195"/>
    <mergeCell ref="A196:B196"/>
    <mergeCell ref="L196:M196"/>
    <mergeCell ref="A212:B212"/>
    <mergeCell ref="L212:M212"/>
    <mergeCell ref="A213:B213"/>
    <mergeCell ref="L213:M213"/>
    <mergeCell ref="A214:B214"/>
    <mergeCell ref="L214:M214"/>
    <mergeCell ref="A215:B215"/>
    <mergeCell ref="L215:M215"/>
    <mergeCell ref="L197:M197"/>
    <mergeCell ref="A198:B198"/>
    <mergeCell ref="L198:M198"/>
    <mergeCell ref="A199:B199"/>
    <mergeCell ref="L199:M199"/>
    <mergeCell ref="A200:B200"/>
    <mergeCell ref="L200:M200"/>
    <mergeCell ref="A201:B201"/>
    <mergeCell ref="L201:M201"/>
    <mergeCell ref="A217:B217"/>
    <mergeCell ref="L217:M217"/>
    <mergeCell ref="A218:B218"/>
    <mergeCell ref="L218:M218"/>
    <mergeCell ref="A232:H232"/>
    <mergeCell ref="A233:H233"/>
    <mergeCell ref="A239:B239"/>
    <mergeCell ref="L239:M239"/>
    <mergeCell ref="L223:M223"/>
    <mergeCell ref="L224:M224"/>
    <mergeCell ref="L225:M225"/>
    <mergeCell ref="L226:M226"/>
    <mergeCell ref="A227:B227"/>
    <mergeCell ref="A220:B220"/>
    <mergeCell ref="A221:B221"/>
    <mergeCell ref="A222:B222"/>
    <mergeCell ref="A223:B223"/>
    <mergeCell ref="A224:B224"/>
    <mergeCell ref="L227:M227"/>
    <mergeCell ref="L203:M203"/>
    <mergeCell ref="L204:M204"/>
    <mergeCell ref="L205:M205"/>
    <mergeCell ref="L206:M206"/>
    <mergeCell ref="L207:M207"/>
    <mergeCell ref="L208:M208"/>
    <mergeCell ref="L220:M220"/>
    <mergeCell ref="L221:M221"/>
    <mergeCell ref="L222:M222"/>
    <mergeCell ref="L216:M216"/>
    <mergeCell ref="L211:M211"/>
    <mergeCell ref="L259:M259"/>
    <mergeCell ref="A260:B260"/>
    <mergeCell ref="L260:M260"/>
    <mergeCell ref="A261:B261"/>
    <mergeCell ref="L261:M261"/>
    <mergeCell ref="A262:B262"/>
    <mergeCell ref="L262:M262"/>
    <mergeCell ref="A252:H252"/>
    <mergeCell ref="A254:H254"/>
    <mergeCell ref="A255:B255"/>
    <mergeCell ref="L255:M255"/>
    <mergeCell ref="A256:B256"/>
    <mergeCell ref="L256:M256"/>
    <mergeCell ref="A257:B257"/>
    <mergeCell ref="L257:M257"/>
    <mergeCell ref="A258:B258"/>
    <mergeCell ref="L258:M258"/>
    <mergeCell ref="A290:B290"/>
    <mergeCell ref="A291:B291"/>
    <mergeCell ref="A292:B292"/>
    <mergeCell ref="A293:B293"/>
    <mergeCell ref="A294:B294"/>
    <mergeCell ref="A278:B278"/>
    <mergeCell ref="A279:B279"/>
    <mergeCell ref="A280:B280"/>
    <mergeCell ref="A263:H263"/>
    <mergeCell ref="A264:B264"/>
    <mergeCell ref="A265:B265"/>
    <mergeCell ref="A266:B266"/>
    <mergeCell ref="A267:B267"/>
    <mergeCell ref="A268:B268"/>
    <mergeCell ref="A307:H307"/>
    <mergeCell ref="A308:B308"/>
    <mergeCell ref="A309:B309"/>
    <mergeCell ref="A310:B310"/>
    <mergeCell ref="A311:B311"/>
    <mergeCell ref="A312:B312"/>
    <mergeCell ref="A313:B313"/>
    <mergeCell ref="A314:B314"/>
    <mergeCell ref="A315:B315"/>
    <mergeCell ref="A298:H298"/>
    <mergeCell ref="A299:B299"/>
    <mergeCell ref="A300:B300"/>
    <mergeCell ref="A301:B301"/>
    <mergeCell ref="A302:B302"/>
    <mergeCell ref="A303:B303"/>
    <mergeCell ref="A304:B304"/>
    <mergeCell ref="A305:B305"/>
    <mergeCell ref="A306:B306"/>
    <mergeCell ref="A340:B340"/>
    <mergeCell ref="A341:B341"/>
    <mergeCell ref="A342:B342"/>
    <mergeCell ref="A343:B343"/>
    <mergeCell ref="A319:H319"/>
    <mergeCell ref="A320:B320"/>
    <mergeCell ref="A321:B321"/>
    <mergeCell ref="A322:B322"/>
    <mergeCell ref="A323:B323"/>
    <mergeCell ref="A324:B324"/>
    <mergeCell ref="A334:B334"/>
    <mergeCell ref="C329:H329"/>
    <mergeCell ref="A345:B345"/>
    <mergeCell ref="A163:B163"/>
    <mergeCell ref="C163:D163"/>
    <mergeCell ref="E163:F163"/>
    <mergeCell ref="G163:H163"/>
    <mergeCell ref="A169:B169"/>
    <mergeCell ref="C169:D169"/>
    <mergeCell ref="E169:F169"/>
    <mergeCell ref="G169:H169"/>
    <mergeCell ref="A170:B170"/>
    <mergeCell ref="C170:D170"/>
    <mergeCell ref="E170:F170"/>
    <mergeCell ref="G170:H170"/>
    <mergeCell ref="A171:B171"/>
    <mergeCell ref="C171:D171"/>
    <mergeCell ref="E171:F171"/>
    <mergeCell ref="G171:H171"/>
    <mergeCell ref="A335:H335"/>
    <mergeCell ref="A336:H336"/>
    <mergeCell ref="A337:H337"/>
    <mergeCell ref="A338:B338"/>
    <mergeCell ref="A339:B339"/>
    <mergeCell ref="A65:C68"/>
    <mergeCell ref="A346:H346"/>
    <mergeCell ref="C294:H297"/>
    <mergeCell ref="C257:H258"/>
    <mergeCell ref="A179:H179"/>
    <mergeCell ref="A190:H190"/>
    <mergeCell ref="A209:H209"/>
    <mergeCell ref="C134:H134"/>
    <mergeCell ref="A135:B135"/>
    <mergeCell ref="E135:F135"/>
    <mergeCell ref="G135:H135"/>
    <mergeCell ref="A136:B136"/>
    <mergeCell ref="E136:F145"/>
    <mergeCell ref="G136:H145"/>
    <mergeCell ref="A137:B137"/>
    <mergeCell ref="A138:B138"/>
    <mergeCell ref="A139:B139"/>
    <mergeCell ref="A140:B140"/>
    <mergeCell ref="A141:B141"/>
    <mergeCell ref="A142:B142"/>
    <mergeCell ref="A143:B143"/>
    <mergeCell ref="A144:B144"/>
    <mergeCell ref="A344:B344"/>
    <mergeCell ref="A333:B33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76:E177">
      <formula1>"Attached Loft area,Attached Otla area,Attached Mezzanine area"</formula1>
    </dataValidation>
    <dataValidation type="list" allowBlank="1" showInputMessage="1" showErrorMessage="1" sqref="G367:H367">
      <formula1>"Kunal Kadam,Pranita Mhatre,Shruti Fule,Pooja Kawale,Gaurav Panchal,Shruti Tathare, Hitakshi Mhatre, Sachin Sawant"</formula1>
    </dataValidation>
    <dataValidation type="list" allowBlank="1" showInputMessage="1" showErrorMessage="1" sqref="F146:H146">
      <formula1>"On Saleable Area,On Builtup Area,On Carpet Area,On Plot Area"</formula1>
    </dataValidation>
    <dataValidation type="list" allowBlank="1" showInputMessage="1" showErrorMessage="1" sqref="F157:H157">
      <formula1>OFFSET($S$146,1,MATCH($G20,$S$146:$W$146,0)-1,15,1)</formula1>
    </dataValidation>
    <dataValidation type="list" allowBlank="1" showInputMessage="1" showErrorMessage="1" sqref="B176:B177">
      <formula1>"Shop No. (Sale Plan),Sale / Rehab,Sale / Mhada"</formula1>
    </dataValidation>
    <dataValidation type="list" allowBlank="1" showInputMessage="1" showErrorMessage="1" sqref="B229:B23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29:E230">
      <formula1>"Fungible area,Balcony Area,Chajja Area,Cornice Area,AP Area,WS Area"</formula1>
    </dataValidation>
    <dataValidation type="list" allowBlank="1" showInputMessage="1" showErrorMessage="1" sqref="H230 H17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C127 C141">
      <formula1>0</formula1>
      <formula2>H77</formula2>
    </dataValidation>
    <dataValidation type="list" allowBlank="1" showInputMessage="1" showErrorMessage="1" sqref="H176 H229">
      <formula1>"Saleable area Loading :,Builder Saleable Area"</formula1>
    </dataValidation>
    <dataValidation type="list" allowBlank="1" showInputMessage="1" showErrorMessage="1" sqref="D229:D230 D176:D17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5" max="16383" man="1"/>
    <brk id="371" max="16383" man="1"/>
    <brk id="414" max="16383" man="1"/>
    <brk id="45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71" t="s">
        <v>105</v>
      </c>
      <c r="C3" s="271"/>
      <c r="D3" s="271"/>
      <c r="E3" s="271"/>
      <c r="F3" s="271"/>
      <c r="G3" s="271"/>
      <c r="H3" s="271"/>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175</v>
      </c>
      <c r="E4" s="52" t="s">
        <v>185</v>
      </c>
      <c r="F4" s="52" t="s">
        <v>168</v>
      </c>
      <c r="G4" s="52" t="s">
        <v>190</v>
      </c>
      <c r="H4" s="52" t="s">
        <v>208</v>
      </c>
      <c r="J4" t="s">
        <v>190</v>
      </c>
      <c r="K4" t="s">
        <v>206</v>
      </c>
    </row>
    <row r="5" spans="2:11" x14ac:dyDescent="0.35">
      <c r="B5" s="51"/>
      <c r="C5" s="51"/>
      <c r="D5" s="52" t="s">
        <v>176</v>
      </c>
      <c r="E5" s="52" t="s">
        <v>183</v>
      </c>
      <c r="F5" s="52" t="s">
        <v>205</v>
      </c>
      <c r="G5" s="52" t="s">
        <v>191</v>
      </c>
      <c r="H5" s="52" t="s">
        <v>209</v>
      </c>
    </row>
    <row r="6" spans="2:11" x14ac:dyDescent="0.35">
      <c r="B6" s="51"/>
      <c r="C6" s="51"/>
      <c r="D6" s="52" t="s">
        <v>177</v>
      </c>
      <c r="E6" s="52" t="s">
        <v>184</v>
      </c>
      <c r="F6" s="52" t="s">
        <v>206</v>
      </c>
      <c r="G6" s="52" t="s">
        <v>192</v>
      </c>
      <c r="H6" s="52" t="s">
        <v>222</v>
      </c>
    </row>
    <row r="7" spans="2:11" x14ac:dyDescent="0.35">
      <c r="B7" s="51"/>
      <c r="C7" s="51"/>
      <c r="D7" s="52" t="s">
        <v>178</v>
      </c>
      <c r="E7" s="52" t="s">
        <v>186</v>
      </c>
      <c r="F7" s="52" t="s">
        <v>207</v>
      </c>
      <c r="G7" s="52" t="s">
        <v>193</v>
      </c>
      <c r="H7" s="52" t="s">
        <v>210</v>
      </c>
    </row>
    <row r="8" spans="2:11" x14ac:dyDescent="0.35">
      <c r="B8" s="51"/>
      <c r="C8" s="51"/>
      <c r="D8" s="52" t="s">
        <v>179</v>
      </c>
      <c r="E8" s="52" t="s">
        <v>187</v>
      </c>
      <c r="F8" s="52"/>
      <c r="G8" s="52" t="s">
        <v>194</v>
      </c>
      <c r="H8" s="52" t="s">
        <v>211</v>
      </c>
    </row>
    <row r="9" spans="2:11" x14ac:dyDescent="0.35">
      <c r="B9" s="51"/>
      <c r="C9" s="51"/>
      <c r="D9" s="52" t="s">
        <v>180</v>
      </c>
      <c r="E9" s="52" t="s">
        <v>185</v>
      </c>
      <c r="F9" s="52"/>
      <c r="G9" s="52" t="s">
        <v>195</v>
      </c>
      <c r="H9" s="52" t="s">
        <v>212</v>
      </c>
    </row>
    <row r="10" spans="2:11" x14ac:dyDescent="0.35">
      <c r="B10" s="51"/>
      <c r="C10" s="51"/>
      <c r="D10" s="52" t="s">
        <v>181</v>
      </c>
      <c r="E10" s="52" t="s">
        <v>188</v>
      </c>
      <c r="F10" s="52"/>
      <c r="G10" s="52" t="s">
        <v>196</v>
      </c>
      <c r="H10" s="52" t="s">
        <v>213</v>
      </c>
    </row>
    <row r="11" spans="2:11" x14ac:dyDescent="0.35">
      <c r="B11" s="51"/>
      <c r="C11" s="51"/>
      <c r="D11" s="52" t="s">
        <v>182</v>
      </c>
      <c r="E11" s="52" t="s">
        <v>189</v>
      </c>
      <c r="F11" s="52"/>
      <c r="G11" s="52" t="s">
        <v>197</v>
      </c>
      <c r="H11" s="52" t="s">
        <v>214</v>
      </c>
    </row>
    <row r="12" spans="2:11" x14ac:dyDescent="0.35">
      <c r="B12" s="51"/>
      <c r="C12" s="51"/>
      <c r="D12" s="52"/>
      <c r="E12" s="52"/>
      <c r="F12" s="52"/>
      <c r="G12" s="52" t="s">
        <v>198</v>
      </c>
      <c r="H12" s="52" t="s">
        <v>215</v>
      </c>
    </row>
    <row r="13" spans="2:11" x14ac:dyDescent="0.35">
      <c r="B13" s="51"/>
      <c r="C13" s="51"/>
      <c r="D13" s="52"/>
      <c r="E13" s="52"/>
      <c r="F13" s="52"/>
      <c r="G13" s="52" t="s">
        <v>199</v>
      </c>
      <c r="H13" s="52" t="s">
        <v>216</v>
      </c>
    </row>
    <row r="14" spans="2:11" x14ac:dyDescent="0.35">
      <c r="B14" s="51"/>
      <c r="C14" s="51"/>
      <c r="D14" s="52"/>
      <c r="E14" s="52"/>
      <c r="F14" s="52"/>
      <c r="G14" s="52" t="s">
        <v>200</v>
      </c>
      <c r="H14" s="52" t="s">
        <v>217</v>
      </c>
    </row>
    <row r="15" spans="2:11" x14ac:dyDescent="0.35">
      <c r="B15" s="51"/>
      <c r="C15" s="51"/>
      <c r="D15" s="52"/>
      <c r="E15" s="52"/>
      <c r="F15" s="52"/>
      <c r="G15" s="52" t="s">
        <v>201</v>
      </c>
      <c r="H15" s="52" t="s">
        <v>218</v>
      </c>
    </row>
    <row r="16" spans="2:11" x14ac:dyDescent="0.35">
      <c r="B16" s="51"/>
      <c r="C16" s="51"/>
      <c r="D16" s="52"/>
      <c r="E16" s="52"/>
      <c r="F16" s="52"/>
      <c r="G16" s="52" t="s">
        <v>202</v>
      </c>
      <c r="H16" s="52" t="s">
        <v>219</v>
      </c>
    </row>
    <row r="17" spans="2:8" x14ac:dyDescent="0.35">
      <c r="B17" s="51"/>
      <c r="C17" s="51"/>
      <c r="D17" s="52"/>
      <c r="E17" s="52"/>
      <c r="F17" s="52"/>
      <c r="G17" s="52" t="s">
        <v>203</v>
      </c>
      <c r="H17" s="52" t="s">
        <v>220</v>
      </c>
    </row>
    <row r="18" spans="2:8" x14ac:dyDescent="0.35">
      <c r="B18" s="51"/>
      <c r="C18" s="51"/>
      <c r="D18" s="52"/>
      <c r="E18" s="52"/>
      <c r="F18" s="52"/>
      <c r="G18" s="52" t="s">
        <v>204</v>
      </c>
      <c r="H18" s="52" t="s">
        <v>221</v>
      </c>
    </row>
    <row r="24" spans="2:8" x14ac:dyDescent="0.35">
      <c r="C24" t="s">
        <v>165</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165</v>
      </c>
    </row>
    <row r="33" spans="3:11" x14ac:dyDescent="0.35">
      <c r="J33">
        <v>1</v>
      </c>
      <c r="K33">
        <v>2</v>
      </c>
    </row>
    <row r="34" spans="3:11" x14ac:dyDescent="0.35">
      <c r="C34" s="55" t="s">
        <v>233</v>
      </c>
      <c r="D34" s="52" t="s">
        <v>231</v>
      </c>
      <c r="E34" s="52" t="s">
        <v>236</v>
      </c>
      <c r="F34" s="52" t="s">
        <v>234</v>
      </c>
      <c r="G34" s="52" t="s">
        <v>235</v>
      </c>
      <c r="H34" s="52" t="s">
        <v>237</v>
      </c>
      <c r="J34" t="s">
        <v>190</v>
      </c>
      <c r="K34" t="s">
        <v>206</v>
      </c>
    </row>
    <row r="35" spans="3:11" x14ac:dyDescent="0.35">
      <c r="C35" s="51" t="s">
        <v>232</v>
      </c>
      <c r="D35" s="52" t="s">
        <v>166</v>
      </c>
      <c r="E35" s="52" t="s">
        <v>241</v>
      </c>
      <c r="F35" s="52" t="s">
        <v>243</v>
      </c>
      <c r="G35" s="52" t="s">
        <v>245</v>
      </c>
      <c r="H35" s="52"/>
    </row>
    <row r="36" spans="3:11" x14ac:dyDescent="0.35">
      <c r="C36" s="51"/>
      <c r="D36" s="52" t="s">
        <v>238</v>
      </c>
      <c r="E36" s="52" t="s">
        <v>242</v>
      </c>
      <c r="F36" s="52" t="s">
        <v>244</v>
      </c>
      <c r="G36" s="52" t="s">
        <v>246</v>
      </c>
      <c r="H36" s="52"/>
    </row>
    <row r="37" spans="3:11" x14ac:dyDescent="0.35">
      <c r="C37" s="51"/>
      <c r="D37" s="52" t="s">
        <v>239</v>
      </c>
      <c r="E37" s="52"/>
      <c r="F37" s="52"/>
      <c r="G37" s="52" t="s">
        <v>247</v>
      </c>
      <c r="H37" s="52"/>
    </row>
    <row r="38" spans="3:11" x14ac:dyDescent="0.35">
      <c r="C38" s="51"/>
      <c r="D38" s="52" t="s">
        <v>240</v>
      </c>
      <c r="E38" s="52"/>
      <c r="F38" s="52"/>
      <c r="G38" s="52" t="s">
        <v>247</v>
      </c>
      <c r="H38" s="52"/>
    </row>
    <row r="39" spans="3:11" x14ac:dyDescent="0.35">
      <c r="C39" s="51"/>
      <c r="D39" s="52"/>
      <c r="E39" s="52"/>
      <c r="F39" s="52"/>
      <c r="G39" s="52" t="s">
        <v>248</v>
      </c>
      <c r="H39" s="52"/>
    </row>
    <row r="40" spans="3:11" x14ac:dyDescent="0.35">
      <c r="C40" s="51"/>
      <c r="D40" s="52"/>
      <c r="E40" s="52"/>
      <c r="F40" s="52"/>
      <c r="G40" s="52" t="s">
        <v>249</v>
      </c>
      <c r="H40" s="52"/>
    </row>
    <row r="41" spans="3:11" x14ac:dyDescent="0.35">
      <c r="C41" s="51"/>
      <c r="D41" s="52"/>
      <c r="E41" s="52"/>
      <c r="F41" s="52"/>
      <c r="G41" s="52"/>
      <c r="H41" s="52"/>
    </row>
    <row r="43" spans="3:11" x14ac:dyDescent="0.35">
      <c r="C43" t="s">
        <v>250</v>
      </c>
    </row>
    <row r="44" spans="3:11" x14ac:dyDescent="0.35">
      <c r="C44" t="s">
        <v>168</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175</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190</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185</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4.5" x14ac:dyDescent="0.35"/>
  <cols>
    <col min="2" max="2" width="3" bestFit="1" customWidth="1"/>
    <col min="3" max="3" width="130" customWidth="1"/>
  </cols>
  <sheetData>
    <row r="2" spans="2:3" ht="15" customHeight="1" x14ac:dyDescent="0.35">
      <c r="B2" s="56">
        <v>1</v>
      </c>
      <c r="C2" s="59" t="s">
        <v>281</v>
      </c>
    </row>
    <row r="3" spans="2:3" x14ac:dyDescent="0.35">
      <c r="B3" s="56">
        <v>2</v>
      </c>
      <c r="C3" s="57" t="s">
        <v>282</v>
      </c>
    </row>
    <row r="4" spans="2:3" x14ac:dyDescent="0.35">
      <c r="B4" s="56">
        <v>3</v>
      </c>
      <c r="C4" s="58" t="s">
        <v>283</v>
      </c>
    </row>
    <row r="5" spans="2:3" x14ac:dyDescent="0.35">
      <c r="B5" s="56">
        <v>4</v>
      </c>
      <c r="C5" s="57" t="s">
        <v>284</v>
      </c>
    </row>
    <row r="6" spans="2:3" x14ac:dyDescent="0.35">
      <c r="B6" s="56">
        <v>5</v>
      </c>
      <c r="C6" s="58" t="s">
        <v>285</v>
      </c>
    </row>
    <row r="7" spans="2:3" ht="29" x14ac:dyDescent="0.35">
      <c r="B7" s="56">
        <v>6</v>
      </c>
      <c r="C7" s="57" t="s">
        <v>286</v>
      </c>
    </row>
    <row r="8" spans="2:3" ht="72.5" x14ac:dyDescent="0.35">
      <c r="B8" s="56">
        <v>7</v>
      </c>
      <c r="C8" s="57" t="s">
        <v>287</v>
      </c>
    </row>
    <row r="9" spans="2:3" x14ac:dyDescent="0.35">
      <c r="B9" s="56">
        <v>8</v>
      </c>
      <c r="C9" s="58" t="s">
        <v>288</v>
      </c>
    </row>
    <row r="10" spans="2:3" x14ac:dyDescent="0.35">
      <c r="B10" s="56">
        <v>9</v>
      </c>
      <c r="C10" s="58" t="s">
        <v>289</v>
      </c>
    </row>
    <row r="11" spans="2:3" x14ac:dyDescent="0.35">
      <c r="B11" s="56">
        <v>10</v>
      </c>
      <c r="C11" s="58" t="s">
        <v>290</v>
      </c>
    </row>
    <row r="12" spans="2:3" x14ac:dyDescent="0.35">
      <c r="B12" s="56">
        <v>11</v>
      </c>
      <c r="C12" s="58" t="s">
        <v>291</v>
      </c>
    </row>
    <row r="13" spans="2:3" x14ac:dyDescent="0.35">
      <c r="B13" s="56">
        <v>12</v>
      </c>
      <c r="C13" s="58" t="s">
        <v>292</v>
      </c>
    </row>
    <row r="14" spans="2:3" x14ac:dyDescent="0.35">
      <c r="B14" s="56">
        <v>13</v>
      </c>
      <c r="C14" s="58" t="s">
        <v>293</v>
      </c>
    </row>
    <row r="15" spans="2:3" x14ac:dyDescent="0.35">
      <c r="B15" s="56">
        <v>14</v>
      </c>
      <c r="C15" s="58" t="s">
        <v>283</v>
      </c>
    </row>
    <row r="16" spans="2:3" x14ac:dyDescent="0.35">
      <c r="B16" s="56">
        <v>15</v>
      </c>
      <c r="C16" s="58" t="s">
        <v>295</v>
      </c>
    </row>
    <row r="17" spans="2:3" ht="31.5" customHeight="1" x14ac:dyDescent="0.35">
      <c r="B17" s="63">
        <v>16</v>
      </c>
      <c r="C17" s="65" t="s">
        <v>296</v>
      </c>
    </row>
    <row r="18" spans="2:3" x14ac:dyDescent="0.35">
      <c r="B18" s="64">
        <v>17</v>
      </c>
      <c r="C18" s="65" t="s">
        <v>297</v>
      </c>
    </row>
    <row r="19" spans="2:3" x14ac:dyDescent="0.35">
      <c r="B19" s="63">
        <v>18</v>
      </c>
      <c r="C19" s="56" t="s">
        <v>298</v>
      </c>
    </row>
    <row r="20" spans="2:3" x14ac:dyDescent="0.35">
      <c r="B20" s="64">
        <v>19</v>
      </c>
      <c r="C20" s="56"/>
    </row>
    <row r="21" spans="2:3" x14ac:dyDescent="0.35">
      <c r="B21" s="66">
        <v>20</v>
      </c>
      <c r="C21" s="56"/>
    </row>
    <row r="22" spans="2:3" x14ac:dyDescent="0.35">
      <c r="B22" s="56"/>
      <c r="C22" s="56"/>
    </row>
    <row r="23" spans="2:3" x14ac:dyDescent="0.35">
      <c r="B23" s="56"/>
      <c r="C23" s="56"/>
    </row>
    <row r="24" spans="2:3" x14ac:dyDescent="0.35">
      <c r="B24" s="56"/>
      <c r="C24" s="56"/>
    </row>
    <row r="25" spans="2:3" x14ac:dyDescent="0.35">
      <c r="B25" s="56"/>
      <c r="C25" s="56"/>
    </row>
    <row r="26" spans="2:3" x14ac:dyDescent="0.35">
      <c r="B26" s="56"/>
      <c r="C26" s="5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2025-07-03T11:20:53Z</cp:lastPrinted>
  <dcterms:created xsi:type="dcterms:W3CDTF">2019-07-16T09:29:46Z</dcterms:created>
  <dcterms:modified xsi:type="dcterms:W3CDTF">2025-08-18T06:05:05Z</dcterms:modified>
</cp:coreProperties>
</file>