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04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59" i="1"/>
  <c r="J156" i="1"/>
  <c r="D297" i="1"/>
  <c r="D296" i="1"/>
  <c r="I296" i="1"/>
  <c r="D306" i="1"/>
  <c r="D305" i="1"/>
  <c r="D304" i="1"/>
  <c r="D303" i="1"/>
  <c r="D302" i="1"/>
  <c r="D301" i="1"/>
  <c r="D300" i="1"/>
  <c r="D299" i="1"/>
  <c r="D298" i="1"/>
  <c r="D295" i="1"/>
  <c r="D294" i="1"/>
  <c r="D293" i="1"/>
  <c r="D292" i="1"/>
  <c r="D291" i="1"/>
  <c r="I279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I277" i="1"/>
  <c r="D275" i="1"/>
  <c r="D276" i="1"/>
  <c r="D274" i="1"/>
  <c r="E145" i="1" s="1"/>
  <c r="I274" i="1"/>
  <c r="I266" i="1"/>
  <c r="D267" i="1"/>
  <c r="F267" i="1" s="1"/>
  <c r="D266" i="1"/>
  <c r="F266" i="1" s="1"/>
  <c r="D270" i="1"/>
  <c r="F270" i="1" s="1"/>
  <c r="D269" i="1"/>
  <c r="F269" i="1" s="1"/>
  <c r="D268" i="1"/>
  <c r="F268" i="1" s="1"/>
  <c r="D265" i="1"/>
  <c r="F265" i="1" s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G255" i="1"/>
  <c r="D255" i="1"/>
  <c r="F255" i="1" s="1"/>
  <c r="D253" i="1"/>
  <c r="F253" i="1" s="1"/>
  <c r="D252" i="1"/>
  <c r="D251" i="1"/>
  <c r="D250" i="1"/>
  <c r="D249" i="1"/>
  <c r="D248" i="1"/>
  <c r="F248" i="1" s="1"/>
  <c r="D247" i="1"/>
  <c r="D246" i="1"/>
  <c r="F246" i="1" s="1"/>
  <c r="D245" i="1"/>
  <c r="F245" i="1" s="1"/>
  <c r="D244" i="1"/>
  <c r="F244" i="1" s="1"/>
  <c r="D243" i="1"/>
  <c r="F243" i="1" s="1"/>
  <c r="D242" i="1"/>
  <c r="D241" i="1"/>
  <c r="F241" i="1" s="1"/>
  <c r="D240" i="1"/>
  <c r="F240" i="1" s="1"/>
  <c r="D239" i="1"/>
  <c r="F239" i="1" s="1"/>
  <c r="D238" i="1"/>
  <c r="F238" i="1" s="1"/>
  <c r="F252" i="1"/>
  <c r="F251" i="1"/>
  <c r="F250" i="1"/>
  <c r="F249" i="1"/>
  <c r="F247" i="1"/>
  <c r="F242" i="1"/>
  <c r="G238" i="1"/>
  <c r="E236" i="1"/>
  <c r="E235" i="1"/>
  <c r="E234" i="1"/>
  <c r="E233" i="1"/>
  <c r="E232" i="1"/>
  <c r="D236" i="1"/>
  <c r="D235" i="1"/>
  <c r="D234" i="1"/>
  <c r="D233" i="1"/>
  <c r="D232" i="1"/>
  <c r="E231" i="1"/>
  <c r="E230" i="1"/>
  <c r="D231" i="1"/>
  <c r="I230" i="1"/>
  <c r="D230" i="1"/>
  <c r="D223" i="1"/>
  <c r="D213" i="1"/>
  <c r="D212" i="1"/>
  <c r="D222" i="1"/>
  <c r="D229" i="1"/>
  <c r="D228" i="1"/>
  <c r="D227" i="1"/>
  <c r="D226" i="1"/>
  <c r="D225" i="1"/>
  <c r="D224" i="1"/>
  <c r="D221" i="1"/>
  <c r="D219" i="1"/>
  <c r="D218" i="1"/>
  <c r="D217" i="1"/>
  <c r="D215" i="1"/>
  <c r="D214" i="1"/>
  <c r="D211" i="1"/>
  <c r="C144" i="1" s="1"/>
  <c r="D216" i="1"/>
  <c r="I214" i="1"/>
  <c r="I211" i="1"/>
  <c r="C140" i="1" l="1"/>
  <c r="E140" i="1"/>
  <c r="E144" i="1"/>
  <c r="F213" i="1"/>
  <c r="I180" i="1"/>
  <c r="I186" i="1"/>
  <c r="I204" i="1"/>
  <c r="I205" i="1"/>
  <c r="F204" i="1"/>
  <c r="F205" i="1"/>
  <c r="F203" i="1"/>
  <c r="F201" i="1"/>
  <c r="F200" i="1"/>
  <c r="F198" i="1"/>
  <c r="F196" i="1"/>
  <c r="F195" i="1"/>
  <c r="F194" i="1"/>
  <c r="F193" i="1"/>
  <c r="F189" i="1"/>
  <c r="F188" i="1"/>
  <c r="F185" i="1"/>
  <c r="F186" i="1"/>
  <c r="F182" i="1"/>
  <c r="F181" i="1"/>
  <c r="F180" i="1"/>
  <c r="D178" i="1"/>
  <c r="F178" i="1" s="1"/>
  <c r="D177" i="1"/>
  <c r="F177" i="1" s="1"/>
  <c r="D176" i="1"/>
  <c r="F176" i="1" s="1"/>
  <c r="D175" i="1"/>
  <c r="D174" i="1"/>
  <c r="D173" i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D165" i="1"/>
  <c r="F165" i="1" s="1"/>
  <c r="D164" i="1"/>
  <c r="F164" i="1" s="1"/>
  <c r="D163" i="1"/>
  <c r="F163" i="1" s="1"/>
  <c r="D162" i="1"/>
  <c r="F162" i="1" s="1"/>
  <c r="D161" i="1"/>
  <c r="D160" i="1"/>
  <c r="F160" i="1" s="1"/>
  <c r="D158" i="1"/>
  <c r="D157" i="1"/>
  <c r="I175" i="1"/>
  <c r="F174" i="1"/>
  <c r="F161" i="1"/>
  <c r="F159" i="1"/>
  <c r="D156" i="1"/>
  <c r="F156" i="1" s="1"/>
  <c r="I155" i="1"/>
  <c r="D155" i="1"/>
  <c r="F155" i="1" s="1"/>
  <c r="D154" i="1"/>
  <c r="I154" i="1"/>
  <c r="G11" i="5"/>
  <c r="F11" i="5"/>
  <c r="G10" i="5"/>
  <c r="F10" i="5"/>
  <c r="F9" i="5"/>
  <c r="G9" i="5" s="1"/>
  <c r="G8" i="5"/>
  <c r="F8" i="5"/>
  <c r="G7" i="5"/>
  <c r="F7" i="5"/>
  <c r="G6" i="5"/>
  <c r="F6" i="5"/>
  <c r="F5" i="5"/>
  <c r="G5" i="5" s="1"/>
  <c r="G12" i="5" s="1"/>
  <c r="D332" i="1"/>
  <c r="B310" i="1"/>
  <c r="B309" i="1"/>
  <c r="F306" i="1"/>
  <c r="F305" i="1"/>
  <c r="F304" i="1"/>
  <c r="F303" i="1"/>
  <c r="F302" i="1"/>
  <c r="F301" i="1"/>
  <c r="F300" i="1"/>
  <c r="F299" i="1"/>
  <c r="F298" i="1"/>
  <c r="F297" i="1"/>
  <c r="J297" i="1" s="1"/>
  <c r="F296" i="1"/>
  <c r="F295" i="1"/>
  <c r="F294" i="1"/>
  <c r="F293" i="1"/>
  <c r="F292" i="1"/>
  <c r="G291" i="1"/>
  <c r="F291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J277" i="1" s="1"/>
  <c r="F276" i="1"/>
  <c r="F275" i="1"/>
  <c r="G274" i="1"/>
  <c r="F274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G221" i="1"/>
  <c r="F221" i="1"/>
  <c r="J221" i="1" s="1"/>
  <c r="F219" i="1"/>
  <c r="F218" i="1"/>
  <c r="F217" i="1"/>
  <c r="F216" i="1"/>
  <c r="F215" i="1"/>
  <c r="F214" i="1"/>
  <c r="F212" i="1"/>
  <c r="A212" i="1"/>
  <c r="A213" i="1" s="1"/>
  <c r="A214" i="1" s="1"/>
  <c r="A215" i="1" s="1"/>
  <c r="A216" i="1" s="1"/>
  <c r="A217" i="1" s="1"/>
  <c r="A218" i="1" s="1"/>
  <c r="A219" i="1" s="1"/>
  <c r="G211" i="1"/>
  <c r="F211" i="1"/>
  <c r="F202" i="1"/>
  <c r="F199" i="1"/>
  <c r="F197" i="1"/>
  <c r="F192" i="1"/>
  <c r="F191" i="1"/>
  <c r="F190" i="1"/>
  <c r="F187" i="1"/>
  <c r="F184" i="1"/>
  <c r="F183" i="1"/>
  <c r="A181" i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G180" i="1"/>
  <c r="F175" i="1"/>
  <c r="F173" i="1"/>
  <c r="F166" i="1"/>
  <c r="F158" i="1"/>
  <c r="F157" i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55" i="1"/>
  <c r="G154" i="1"/>
  <c r="C145" i="1"/>
  <c r="F136" i="1"/>
  <c r="J119" i="1"/>
  <c r="J118" i="1"/>
  <c r="J117" i="1"/>
  <c r="J116" i="1"/>
  <c r="J105" i="1"/>
  <c r="J104" i="1"/>
  <c r="J103" i="1"/>
  <c r="J102" i="1"/>
  <c r="J90" i="1"/>
  <c r="J89" i="1"/>
  <c r="J88" i="1"/>
  <c r="J87" i="1"/>
  <c r="J76" i="1"/>
  <c r="J75" i="1"/>
  <c r="J74" i="1"/>
  <c r="J73" i="1"/>
  <c r="D59" i="1"/>
  <c r="D54" i="1"/>
  <c r="C49" i="1"/>
  <c r="E42" i="1"/>
  <c r="E43" i="1" s="1"/>
  <c r="E29" i="1"/>
  <c r="E26" i="1"/>
  <c r="E24" i="1"/>
  <c r="C14" i="1"/>
  <c r="E7" i="1"/>
  <c r="E3" i="1"/>
  <c r="H80" i="1"/>
  <c r="H95" i="1"/>
  <c r="H109" i="1"/>
  <c r="H66" i="1"/>
  <c r="F154" i="1" l="1"/>
  <c r="G139" i="1" s="1"/>
  <c r="E139" i="1"/>
  <c r="E141" i="1" s="1"/>
  <c r="C139" i="1"/>
  <c r="C141" i="1" s="1"/>
  <c r="K211" i="1"/>
  <c r="G144" i="1"/>
  <c r="G140" i="1"/>
  <c r="G145" i="1"/>
  <c r="E146" i="1"/>
  <c r="C146" i="1"/>
  <c r="J114" i="1"/>
  <c r="J115" i="1" s="1"/>
  <c r="J120" i="1" s="1"/>
  <c r="J121" i="1" s="1"/>
  <c r="D112" i="1"/>
  <c r="J108" i="1"/>
  <c r="J110" i="1" s="1"/>
  <c r="D118" i="1"/>
  <c r="D114" i="1"/>
  <c r="J111" i="1"/>
  <c r="J113" i="1"/>
  <c r="D121" i="1"/>
  <c r="D117" i="1"/>
  <c r="D120" i="1"/>
  <c r="D116" i="1"/>
  <c r="J112" i="1"/>
  <c r="D119" i="1"/>
  <c r="D115" i="1"/>
  <c r="D72" i="1"/>
  <c r="J71" i="1"/>
  <c r="J72" i="1" s="1"/>
  <c r="J77" i="1" s="1"/>
  <c r="D77" i="1"/>
  <c r="D73" i="1"/>
  <c r="J69" i="1"/>
  <c r="D76" i="1"/>
  <c r="D78" i="1"/>
  <c r="D74" i="1"/>
  <c r="D75" i="1"/>
  <c r="D71" i="1"/>
  <c r="J65" i="1"/>
  <c r="J67" i="1" s="1"/>
  <c r="J70" i="1"/>
  <c r="C69" i="1" s="1"/>
  <c r="D69" i="1" s="1"/>
  <c r="J68" i="1"/>
  <c r="D91" i="1"/>
  <c r="D87" i="1"/>
  <c r="J83" i="1"/>
  <c r="J79" i="1"/>
  <c r="J81" i="1" s="1"/>
  <c r="D90" i="1"/>
  <c r="D86" i="1"/>
  <c r="J85" i="1"/>
  <c r="J86" i="1" s="1"/>
  <c r="D89" i="1"/>
  <c r="D85" i="1"/>
  <c r="J84" i="1"/>
  <c r="C83" i="1" s="1"/>
  <c r="D83" i="1" s="1"/>
  <c r="J82" i="1"/>
  <c r="D92" i="1"/>
  <c r="D88" i="1"/>
  <c r="J100" i="1"/>
  <c r="J101" i="1" s="1"/>
  <c r="J106" i="1" s="1"/>
  <c r="J107" i="1" s="1"/>
  <c r="C99" i="1" s="1"/>
  <c r="D98" i="1"/>
  <c r="J94" i="1"/>
  <c r="J96" i="1" s="1"/>
  <c r="D101" i="1"/>
  <c r="D104" i="1"/>
  <c r="D100" i="1"/>
  <c r="J97" i="1"/>
  <c r="D105" i="1"/>
  <c r="J99" i="1"/>
  <c r="D107" i="1"/>
  <c r="D103" i="1"/>
  <c r="D106" i="1"/>
  <c r="D102" i="1"/>
  <c r="J98" i="1"/>
  <c r="G141" i="1" l="1"/>
  <c r="C147" i="1"/>
  <c r="G146" i="1"/>
  <c r="G147" i="1" s="1"/>
  <c r="E147" i="1"/>
  <c r="J78" i="1"/>
  <c r="C70" i="1" s="1"/>
  <c r="E69" i="1" s="1"/>
  <c r="J91" i="1"/>
  <c r="J92" i="1" s="1"/>
  <c r="E98" i="1"/>
  <c r="J95" i="1"/>
  <c r="D99" i="1"/>
  <c r="I95" i="1" s="1"/>
  <c r="I96" i="1" s="1"/>
  <c r="G98" i="1"/>
  <c r="C113" i="1"/>
  <c r="J122" i="1"/>
  <c r="J93" i="1" l="1"/>
  <c r="C84" i="1"/>
  <c r="G83" i="1" s="1"/>
  <c r="D70" i="1"/>
  <c r="I66" i="1" s="1"/>
  <c r="I67" i="1" s="1"/>
  <c r="J66" i="1"/>
  <c r="G69" i="1"/>
  <c r="J109" i="1"/>
  <c r="E112" i="1"/>
  <c r="E122" i="1" s="1"/>
  <c r="G112" i="1"/>
  <c r="H122" i="1" s="1"/>
  <c r="D113" i="1"/>
  <c r="I109" i="1" s="1"/>
  <c r="I94" i="1"/>
  <c r="C96" i="1" s="1"/>
  <c r="D63" i="1"/>
  <c r="D84" i="1" l="1"/>
  <c r="I80" i="1" s="1"/>
  <c r="I81" i="1" s="1"/>
  <c r="E83" i="1"/>
  <c r="E93" i="1" s="1"/>
  <c r="H93" i="1"/>
  <c r="J80" i="1"/>
  <c r="I65" i="1"/>
  <c r="C67" i="1" s="1"/>
  <c r="I110" i="1"/>
  <c r="I108" i="1" s="1"/>
  <c r="C110" i="1" s="1"/>
  <c r="D64" i="1"/>
  <c r="F64" i="1"/>
  <c r="I79" i="1" l="1"/>
  <c r="C81" i="1" s="1"/>
</calcChain>
</file>

<file path=xl/sharedStrings.xml><?xml version="1.0" encoding="utf-8"?>
<sst xmlns="http://schemas.openxmlformats.org/spreadsheetml/2006/main" count="540" uniqueCount="242">
  <si>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</si>
  <si>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 xml:space="preserve">Valuation Report </t>
  </si>
  <si>
    <t>Date:</t>
  </si>
  <si>
    <t>CPC Name:</t>
  </si>
  <si>
    <t>Axis Badlapur</t>
  </si>
  <si>
    <t>Date Of Property Visit</t>
  </si>
  <si>
    <t>Name of the builder group</t>
  </si>
  <si>
    <t>M/s. Yogi Developers</t>
  </si>
  <si>
    <t>Name of the builder company</t>
  </si>
  <si>
    <t>Name of the Project</t>
  </si>
  <si>
    <t>Yogi Belleza</t>
  </si>
  <si>
    <t>Contact Details ( Name &amp; Contact No.)</t>
  </si>
  <si>
    <t>Amanisha Bhole-7666793999</t>
  </si>
  <si>
    <t>Site Meet Person Details ( Name &amp; Contact No.)</t>
  </si>
  <si>
    <t>Name / No of the Building</t>
  </si>
  <si>
    <t xml:space="preserve">Building No. A &amp; B
</t>
  </si>
  <si>
    <t>Docouments Provided</t>
  </si>
  <si>
    <t>Approved Plans, CC.</t>
  </si>
  <si>
    <t>RERA No.</t>
  </si>
  <si>
    <t>P51700034700</t>
  </si>
  <si>
    <t xml:space="preserve">Project location details       </t>
  </si>
  <si>
    <t>Survey No</t>
  </si>
  <si>
    <t>92/12, 13, 14 &amp; 15, 110/9(P), 11 &amp;13</t>
  </si>
  <si>
    <t>Locality</t>
  </si>
  <si>
    <t>Sonale Village</t>
  </si>
  <si>
    <t>Road</t>
  </si>
  <si>
    <t>Sonale-Bapgaon Rd</t>
  </si>
  <si>
    <t>Locality/Village</t>
  </si>
  <si>
    <t>Temghar</t>
  </si>
  <si>
    <t>City</t>
  </si>
  <si>
    <t>Bhiwandi</t>
  </si>
  <si>
    <t>District</t>
  </si>
  <si>
    <t>Thane</t>
  </si>
  <si>
    <t>Taluka</t>
  </si>
  <si>
    <t>Pin Code</t>
  </si>
  <si>
    <t>Nearby Landmark</t>
  </si>
  <si>
    <t>Amutvani Complex</t>
  </si>
  <si>
    <t xml:space="preserve">Distance from city centre: </t>
  </si>
  <si>
    <t>3.9KM from Bhiwandi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</si>
  <si>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</si>
  <si>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</si>
  <si>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</si>
  <si>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</si>
  <si>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</si>
  <si>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</si>
  <si>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</si>
  <si>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</si>
  <si>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</si>
  <si>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</si>
  <si>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</si>
  <si>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</si>
  <si>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</si>
  <si>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</si>
  <si>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</si>
  <si>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</si>
  <si>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</si>
  <si>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</si>
  <si>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</si>
  <si>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</si>
  <si>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Open Plot</t>
  </si>
  <si>
    <t>West</t>
  </si>
  <si>
    <t>House</t>
  </si>
  <si>
    <t>North</t>
  </si>
  <si>
    <t>South</t>
  </si>
  <si>
    <t>Does the boundaries at site match, as mentioned in the Docoumentation: NA</t>
  </si>
  <si>
    <t>Latitude,Longitude</t>
  </si>
  <si>
    <t>19.2828203,73.0767626</t>
  </si>
  <si>
    <t>Location Link</t>
  </si>
  <si>
    <t>https://goo.gl/maps/toaMnstYPpS4GDzs8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</si>
  <si>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</si>
  <si>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</si>
  <si>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</si>
  <si>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</si>
  <si>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</si>
  <si>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</si>
  <si>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</si>
  <si>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02 Buildings</t>
  </si>
  <si>
    <t xml:space="preserve">Approval Detail : Plan approval </t>
  </si>
  <si>
    <t>Name of Municipal Corporation/Authority</t>
  </si>
  <si>
    <t>Bhiwandi Nijampur Muncipal Council</t>
  </si>
  <si>
    <t xml:space="preserve">Layout Approval No     </t>
  </si>
  <si>
    <t>Dated</t>
  </si>
  <si>
    <t xml:space="preserve">Approved Floor plan No.  </t>
  </si>
  <si>
    <t xml:space="preserve">Commencement-CC No
Valid Up to: 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</si>
  <si>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</si>
  <si>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</si>
  <si>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</si>
  <si>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</si>
  <si>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</si>
  <si>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Approved no of Floors</t>
  </si>
  <si>
    <t>Proposed no of Floors</t>
  </si>
  <si>
    <t>Building No. A = Gr + 1st to 14th Floor
Building No. B = Gr + 1st to 14th Floor</t>
  </si>
  <si>
    <t>Expected Completion</t>
  </si>
  <si>
    <t>As per RERA - 31/12/2027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</si>
  <si>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</si>
  <si>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</si>
  <si>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</si>
  <si>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1. Vitrified tiles flooring 2. Granite Kitchen Platform 3. Decorative Enternace etc.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</si>
  <si>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</si>
  <si>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</si>
  <si>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</si>
  <si>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</si>
  <si>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</si>
  <si>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</si>
  <si>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</si>
  <si>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</si>
  <si>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</si>
  <si>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</si>
  <si>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</si>
  <si>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</si>
  <si>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</si>
  <si>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</si>
  <si>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</si>
  <si>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</si>
  <si>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</si>
  <si>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</si>
  <si>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</si>
  <si>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</si>
  <si>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</si>
  <si>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</si>
  <si>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</si>
  <si>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</si>
  <si>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</si>
  <si>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</si>
  <si>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</si>
  <si>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</si>
  <si>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</si>
  <si>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</si>
  <si>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</si>
  <si>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</si>
  <si>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</si>
  <si>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</si>
  <si>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</si>
  <si>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</si>
  <si>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</si>
  <si>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Part II = Building No. A = Gr + 1st to 14th Floor</t>
  </si>
  <si>
    <t>Building No. A  Average of Part I &amp; Part II</t>
  </si>
  <si>
    <t>Yogi Belleza - Building No. B (Part II) = Gr + 1st to 14th Floor</t>
  </si>
  <si>
    <t>Building No. B  Average of Part I &amp; Part II</t>
  </si>
  <si>
    <t xml:space="preserve">Recommended Rates of the Property : </t>
  </si>
  <si>
    <t>On Saleable Area</t>
  </si>
  <si>
    <t>Recommended rate of the Flat Per Sq. Ft.</t>
  </si>
  <si>
    <t>5000 to 5100 &amp; OC</t>
  </si>
  <si>
    <t>Sanket</t>
  </si>
  <si>
    <t>Cost sheet</t>
  </si>
  <si>
    <t>Recommended rate of the Ground Floor Shop Per Sq. Ft.</t>
  </si>
  <si>
    <t>Recommended rate of the 1st Floor Shop Per Sq. Ft.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</si>
  <si>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</si>
  <si>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</si>
  <si>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</si>
  <si>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</si>
  <si>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</si>
  <si>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</si>
  <si>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</si>
  <si>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</si>
  <si>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</si>
  <si>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</si>
  <si>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</si>
  <si>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</si>
  <si>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</si>
  <si>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</si>
  <si>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</si>
  <si>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Building No. A</t>
  </si>
  <si>
    <t>Total</t>
  </si>
  <si>
    <t>Residential Area Details :</t>
  </si>
  <si>
    <t>Building No. B</t>
  </si>
  <si>
    <t>Grand 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</si>
  <si>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</si>
  <si>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</si>
  <si>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</si>
  <si>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</si>
  <si>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</si>
  <si>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</si>
  <si>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</si>
  <si>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</si>
  <si>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</si>
  <si>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Yogi Belleza - Building No. A</t>
  </si>
  <si>
    <t>Shop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</si>
  <si>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</si>
  <si>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</si>
  <si>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</si>
  <si>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2BHK</t>
  </si>
  <si>
    <t>1BHK</t>
  </si>
  <si>
    <t>Yogi Belleza - Building No. B</t>
  </si>
  <si>
    <t xml:space="preserve">1st to 6th, 8th to 11th, 13th &amp; 14th Floor </t>
  </si>
  <si>
    <t>7th &amp; 12th Floor (Part Refuge Area)</t>
  </si>
  <si>
    <t xml:space="preserve">Remarks:  </t>
  </si>
  <si>
    <t>*</t>
  </si>
  <si>
    <t>We considered Carpet area as per Approved Plan.</t>
  </si>
  <si>
    <t>We considered Gross carpet area = Net carpet + Enclose balcony.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</si>
  <si>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</si>
  <si>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</si>
  <si>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</si>
  <si>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</si>
  <si>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On Site, we meet Ms. Ramya - 7620935385.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</si>
  <si>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</si>
  <si>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</si>
  <si>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</si>
  <si>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</si>
  <si>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</si>
  <si>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</si>
  <si>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</si>
  <si>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</si>
  <si>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Mangesh Bapardekar</t>
  </si>
  <si>
    <t>Report By :</t>
  </si>
  <si>
    <t>Authorized Signatory
Name &amp; Seal of the agency</t>
  </si>
  <si>
    <t xml:space="preserve">PHOTOGRAPHS OF PROPERTY : 
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</si>
  <si>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</si>
  <si>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</si>
  <si>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</si>
  <si>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</si>
  <si>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</si>
  <si>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</si>
  <si>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</si>
  <si>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</si>
  <si>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</si>
  <si>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</si>
  <si>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</si>
  <si>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</si>
  <si>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</si>
  <si>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18 M W Road</t>
  </si>
  <si>
    <t>Other Plot</t>
  </si>
  <si>
    <t>BPK/02/2023-2024/JKNRV/3262</t>
  </si>
  <si>
    <t>BPK/(02/2023-2024)/JKNRV/3262</t>
  </si>
  <si>
    <t xml:space="preserve">Building No. A &amp; B = Gr + 1st to 14th Floor
</t>
  </si>
  <si>
    <t>Ground Floor For Commercial, Meter Room &amp; Parking</t>
  </si>
  <si>
    <t>1st Floor For Commercial &amp; Residential</t>
  </si>
  <si>
    <t>Office</t>
  </si>
  <si>
    <t>1st Floor For Residential, Commercial, Club House &amp; Gym</t>
  </si>
  <si>
    <t>2nd Floor For Residential (Part Terrace Area)</t>
  </si>
  <si>
    <t xml:space="preserve">3rd to 6th, 8th to 11th, 13th &amp; 14th Floor </t>
  </si>
  <si>
    <t>Ground Floor For Meter Room &amp; Parking</t>
  </si>
  <si>
    <t>We have updated approved plans &amp; CC on 23/10/2024.</t>
  </si>
  <si>
    <t>Layout :</t>
  </si>
  <si>
    <t>Please Provide Environmental Clearance Certificate &amp; Fire Noc.</t>
  </si>
  <si>
    <t>Building No. A Shop</t>
  </si>
  <si>
    <t>Building No. A Office</t>
  </si>
  <si>
    <t>Flats - 441, Shops - 25, Office - 26</t>
  </si>
  <si>
    <t>Yogi Belleza - Building No. B = Gr + 1st to 14th Floor</t>
  </si>
  <si>
    <t>Pooja</t>
  </si>
  <si>
    <t>Building No. A = Gr + 1st to 14th Floor</t>
  </si>
  <si>
    <t>Building A &amp; B = 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</si>
</sst>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9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219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5" fillId="0" borderId="0" xfId="8" applyFont="1"/>
    <xf numFmtId="0" fontId="7" fillId="0" borderId="16" xfId="8" applyFont="1" applyBorder="1" applyAlignment="1" applyProtection="1">
      <alignment horizontal="center" vertical="top"/>
      <protection locked="0"/>
    </xf>
    <xf numFmtId="0" fontId="7" fillId="0" borderId="17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0" borderId="1" xfId="2" applyFont="1" applyFill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top" wrapText="1"/>
      <protection locked="0"/>
    </xf>
    <xf numFmtId="0" fontId="7" fillId="0" borderId="23" xfId="8" applyFont="1" applyBorder="1" applyAlignment="1" applyProtection="1">
      <alignment horizontal="center" vertical="top" wrapText="1"/>
      <protection locked="0"/>
    </xf>
    <xf numFmtId="9" fontId="7" fillId="0" borderId="23" xfId="2" applyFont="1" applyFill="1" applyBorder="1" applyAlignment="1" applyProtection="1">
      <alignment horizontal="center" vertical="top" wrapText="1"/>
      <protection locked="0"/>
    </xf>
    <xf numFmtId="9" fontId="13" fillId="2" borderId="1" xfId="2" applyFont="1" applyFill="1" applyBorder="1" applyAlignment="1" applyProtection="1">
      <alignment horizontal="center" vertical="center" wrapText="1"/>
      <protection locked="0"/>
    </xf>
    <xf numFmtId="0" fontId="7" fillId="0" borderId="10" xfId="8" applyFont="1" applyBorder="1" applyAlignment="1" applyProtection="1">
      <alignment horizontal="center" vertical="top" wrapText="1"/>
      <protection locked="0"/>
    </xf>
    <xf numFmtId="9" fontId="7" fillId="0" borderId="10" xfId="2" applyFont="1" applyFill="1" applyBorder="1" applyAlignment="1" applyProtection="1">
      <alignment horizontal="center" vertical="top" wrapText="1"/>
      <protection locked="0"/>
    </xf>
    <xf numFmtId="9" fontId="13" fillId="0" borderId="29" xfId="2" applyFont="1" applyFill="1" applyBorder="1" applyAlignment="1" applyProtection="1">
      <alignment horizontal="center" vertical="center" wrapText="1"/>
      <protection locked="0"/>
    </xf>
    <xf numFmtId="9" fontId="13" fillId="0" borderId="32" xfId="2" applyFont="1" applyFill="1" applyBorder="1" applyAlignment="1" applyProtection="1">
      <alignment horizontal="center" vertical="center" wrapText="1"/>
      <protection locked="0"/>
    </xf>
    <xf numFmtId="0" fontId="16" fillId="3" borderId="34" xfId="0" applyFont="1" applyFill="1" applyBorder="1"/>
    <xf numFmtId="0" fontId="17" fillId="0" borderId="35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0" xfId="0" applyFont="1" applyProtection="1">
      <protection hidden="1"/>
    </xf>
    <xf numFmtId="0" fontId="10" fillId="0" borderId="21" xfId="8" applyFont="1" applyBorder="1"/>
    <xf numFmtId="0" fontId="18" fillId="0" borderId="21" xfId="0" applyFont="1" applyBorder="1" applyProtection="1">
      <protection hidden="1"/>
    </xf>
    <xf numFmtId="1" fontId="0" fillId="0" borderId="21" xfId="0" applyNumberFormat="1" applyBorder="1"/>
    <xf numFmtId="1" fontId="0" fillId="0" borderId="21" xfId="0" applyNumberFormat="1" applyBorder="1" applyAlignment="1">
      <alignment horizontal="right"/>
    </xf>
    <xf numFmtId="0" fontId="18" fillId="0" borderId="36" xfId="0" applyFont="1" applyBorder="1" applyProtection="1">
      <protection hidden="1"/>
    </xf>
    <xf numFmtId="1" fontId="0" fillId="0" borderId="26" xfId="0" applyNumberFormat="1" applyBorder="1"/>
    <xf numFmtId="0" fontId="10" fillId="3" borderId="0" xfId="8" applyFont="1" applyFill="1"/>
    <xf numFmtId="14" fontId="10" fillId="3" borderId="0" xfId="8" applyNumberFormat="1" applyFont="1" applyFill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33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1" fontId="8" fillId="0" borderId="0" xfId="8" applyNumberFormat="1" applyFont="1"/>
    <xf numFmtId="1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9" fillId="0" borderId="0" xfId="8" applyFont="1" applyProtection="1">
      <protection locked="0"/>
    </xf>
    <xf numFmtId="1" fontId="9" fillId="0" borderId="0" xfId="8" applyNumberFormat="1" applyFont="1" applyBorder="1" applyAlignment="1" applyProtection="1">
      <alignment horizontal="center" vertical="center" wrapText="1"/>
      <protection locked="0"/>
    </xf>
    <xf numFmtId="1" fontId="25" fillId="0" borderId="1" xfId="8" applyNumberFormat="1" applyFont="1" applyBorder="1" applyAlignment="1" applyProtection="1">
      <alignment horizontal="center" vertical="center" wrapText="1"/>
      <protection locked="0"/>
    </xf>
    <xf numFmtId="1" fontId="25" fillId="0" borderId="0" xfId="8" applyNumberFormat="1" applyFont="1" applyBorder="1" applyAlignment="1" applyProtection="1">
      <alignment horizontal="center" vertical="center" wrapText="1"/>
      <protection locked="0"/>
    </xf>
    <xf numFmtId="1" fontId="27" fillId="0" borderId="1" xfId="8" applyNumberFormat="1" applyFont="1" applyBorder="1" applyAlignment="1" applyProtection="1">
      <alignment horizontal="center" vertical="center" wrapText="1"/>
      <protection locked="0"/>
    </xf>
    <xf numFmtId="0" fontId="28" fillId="0" borderId="0" xfId="8" applyFont="1" applyProtection="1"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6" fillId="3" borderId="12" xfId="0" applyFont="1" applyFill="1" applyBorder="1"/>
    <xf numFmtId="0" fontId="17" fillId="0" borderId="4" xfId="0" applyFont="1" applyBorder="1"/>
    <xf numFmtId="1" fontId="12" fillId="0" borderId="1" xfId="8" applyNumberFormat="1" applyFont="1" applyBorder="1" applyAlignment="1" applyProtection="1">
      <alignment horizontal="center" vertical="top" wrapText="1"/>
      <protection locked="0"/>
    </xf>
    <xf numFmtId="9" fontId="12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Fill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left"/>
      <protection locked="0"/>
    </xf>
    <xf numFmtId="0" fontId="14" fillId="0" borderId="1" xfId="3" applyFill="1" applyBorder="1" applyAlignment="1" applyProtection="1">
      <alignment horizontal="left" vertical="top" wrapText="1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7" fillId="0" borderId="1" xfId="8" applyFont="1" applyFill="1" applyBorder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13" fillId="0" borderId="1" xfId="8" applyFont="1" applyFill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7" fillId="0" borderId="16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7" xfId="8" applyFont="1" applyBorder="1" applyAlignment="1" applyProtection="1">
      <alignment horizontal="center" vertical="top" wrapText="1"/>
      <protection locked="0"/>
    </xf>
    <xf numFmtId="0" fontId="7" fillId="0" borderId="22" xfId="8" applyFont="1" applyBorder="1" applyAlignment="1" applyProtection="1">
      <alignment horizontal="center" vertical="top" wrapText="1"/>
      <protection locked="0"/>
    </xf>
    <xf numFmtId="0" fontId="7" fillId="0" borderId="23" xfId="8" applyFont="1" applyBorder="1" applyAlignment="1" applyProtection="1">
      <alignment horizontal="center" vertical="top" wrapText="1"/>
      <protection locked="0"/>
    </xf>
    <xf numFmtId="0" fontId="13" fillId="0" borderId="11" xfId="8" applyFont="1" applyBorder="1" applyAlignment="1" applyProtection="1">
      <alignment horizontal="left" vertical="top" wrapText="1"/>
      <protection locked="0"/>
    </xf>
    <xf numFmtId="0" fontId="13" fillId="0" borderId="12" xfId="8" applyFont="1" applyBorder="1" applyAlignment="1" applyProtection="1">
      <alignment horizontal="left" vertical="top" wrapText="1"/>
      <protection locked="0"/>
    </xf>
    <xf numFmtId="0" fontId="13" fillId="0" borderId="13" xfId="8" applyFont="1" applyBorder="1" applyAlignment="1" applyProtection="1">
      <alignment horizontal="left" vertical="top" wrapText="1"/>
      <protection locked="0"/>
    </xf>
    <xf numFmtId="0" fontId="13" fillId="0" borderId="14" xfId="8" applyFont="1" applyBorder="1" applyAlignment="1" applyProtection="1">
      <alignment horizontal="left" vertical="top" wrapText="1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13" fillId="0" borderId="16" xfId="8" applyFont="1" applyBorder="1" applyAlignment="1" applyProtection="1">
      <alignment horizontal="left" vertical="top"/>
      <protection locked="0"/>
    </xf>
    <xf numFmtId="0" fontId="13" fillId="0" borderId="17" xfId="8" applyFont="1" applyBorder="1" applyAlignment="1" applyProtection="1">
      <alignment horizontal="left" vertical="top" wrapText="1"/>
      <protection locked="0"/>
    </xf>
    <xf numFmtId="9" fontId="7" fillId="0" borderId="5" xfId="2" applyFont="1" applyFill="1" applyBorder="1" applyAlignment="1" applyProtection="1">
      <alignment horizontal="center" vertical="center" wrapText="1"/>
      <protection locked="0"/>
    </xf>
    <xf numFmtId="9" fontId="7" fillId="0" borderId="6" xfId="2" applyFont="1" applyFill="1" applyBorder="1" applyAlignment="1" applyProtection="1">
      <alignment horizontal="center" vertical="center" wrapText="1"/>
      <protection locked="0"/>
    </xf>
    <xf numFmtId="9" fontId="7" fillId="0" borderId="19" xfId="2" applyFont="1" applyFill="1" applyBorder="1" applyAlignment="1" applyProtection="1">
      <alignment horizontal="center" vertical="center" wrapText="1"/>
      <protection locked="0"/>
    </xf>
    <xf numFmtId="9" fontId="7" fillId="0" borderId="20" xfId="2" applyFont="1" applyFill="1" applyBorder="1" applyAlignment="1" applyProtection="1">
      <alignment horizontal="center" vertical="center" wrapText="1"/>
      <protection locked="0"/>
    </xf>
    <xf numFmtId="9" fontId="7" fillId="0" borderId="24" xfId="2" applyFont="1" applyFill="1" applyBorder="1" applyAlignment="1" applyProtection="1">
      <alignment horizontal="center" vertical="center" wrapText="1"/>
      <protection locked="0"/>
    </xf>
    <xf numFmtId="9" fontId="7" fillId="0" borderId="25" xfId="2" applyFont="1" applyFill="1" applyBorder="1" applyAlignment="1" applyProtection="1">
      <alignment horizontal="center" vertical="center" wrapText="1"/>
      <protection locked="0"/>
    </xf>
    <xf numFmtId="9" fontId="7" fillId="0" borderId="18" xfId="2" applyFont="1" applyFill="1" applyBorder="1" applyAlignment="1" applyProtection="1">
      <alignment horizontal="center" vertical="center" wrapText="1"/>
      <protection locked="0"/>
    </xf>
    <xf numFmtId="9" fontId="7" fillId="0" borderId="21" xfId="2" applyFont="1" applyFill="1" applyBorder="1" applyAlignment="1" applyProtection="1">
      <alignment horizontal="center" vertical="center" wrapText="1"/>
      <protection locked="0"/>
    </xf>
    <xf numFmtId="9" fontId="7" fillId="0" borderId="26" xfId="2" applyFont="1" applyFill="1" applyBorder="1" applyAlignment="1" applyProtection="1">
      <alignment horizontal="center" vertical="center" wrapText="1"/>
      <protection locked="0"/>
    </xf>
    <xf numFmtId="0" fontId="13" fillId="2" borderId="27" xfId="8" applyFont="1" applyFill="1" applyBorder="1" applyAlignment="1" applyProtection="1">
      <alignment horizontal="center" vertical="top" wrapText="1"/>
      <protection locked="0"/>
    </xf>
    <xf numFmtId="0" fontId="13" fillId="2" borderId="10" xfId="8" applyFont="1" applyFill="1" applyBorder="1" applyAlignment="1" applyProtection="1">
      <alignment horizontal="center" vertical="top" wrapText="1"/>
      <protection locked="0"/>
    </xf>
    <xf numFmtId="0" fontId="13" fillId="2" borderId="13" xfId="8" applyFont="1" applyFill="1" applyBorder="1" applyAlignment="1" applyProtection="1">
      <alignment horizontal="center" vertical="center" wrapText="1"/>
      <protection locked="0"/>
    </xf>
    <xf numFmtId="0" fontId="13" fillId="2" borderId="12" xfId="8" applyFont="1" applyFill="1" applyBorder="1" applyAlignment="1" applyProtection="1">
      <alignment horizontal="center" vertical="center" wrapText="1"/>
      <protection locked="0"/>
    </xf>
    <xf numFmtId="9" fontId="13" fillId="2" borderId="1" xfId="2" applyFont="1" applyFill="1" applyBorder="1" applyAlignment="1" applyProtection="1">
      <alignment horizontal="center" vertical="center" wrapText="1"/>
      <protection locked="0"/>
    </xf>
    <xf numFmtId="0" fontId="13" fillId="0" borderId="11" xfId="8" applyFont="1" applyFill="1" applyBorder="1" applyAlignment="1" applyProtection="1">
      <alignment horizontal="left" vertical="top" wrapText="1"/>
      <protection locked="0"/>
    </xf>
    <xf numFmtId="0" fontId="13" fillId="0" borderId="12" xfId="8" applyFont="1" applyFill="1" applyBorder="1" applyAlignment="1" applyProtection="1">
      <alignment horizontal="left" vertical="top" wrapText="1"/>
      <protection locked="0"/>
    </xf>
    <xf numFmtId="0" fontId="13" fillId="0" borderId="37" xfId="8" applyFont="1" applyBorder="1" applyAlignment="1" applyProtection="1">
      <alignment horizontal="left" vertical="top" wrapText="1"/>
      <protection locked="0"/>
    </xf>
    <xf numFmtId="0" fontId="13" fillId="0" borderId="8" xfId="8" applyFont="1" applyBorder="1" applyAlignment="1" applyProtection="1">
      <alignment horizontal="left" vertical="top" wrapText="1"/>
      <protection locked="0"/>
    </xf>
    <xf numFmtId="0" fontId="13" fillId="0" borderId="7" xfId="8" applyFont="1" applyBorder="1" applyAlignment="1" applyProtection="1">
      <alignment horizontal="left" vertical="top" wrapText="1"/>
      <protection locked="0"/>
    </xf>
    <xf numFmtId="0" fontId="13" fillId="0" borderId="38" xfId="8" applyFont="1" applyBorder="1" applyAlignment="1" applyProtection="1">
      <alignment horizontal="left" vertical="top" wrapText="1"/>
      <protection locked="0"/>
    </xf>
    <xf numFmtId="0" fontId="13" fillId="0" borderId="39" xfId="8" applyFont="1" applyBorder="1" applyAlignment="1" applyProtection="1">
      <alignment horizontal="left" vertical="top" wrapText="1"/>
      <protection locked="0"/>
    </xf>
    <xf numFmtId="9" fontId="7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27" xfId="8" applyFont="1" applyBorder="1" applyAlignment="1" applyProtection="1">
      <alignment horizontal="center" vertical="top" wrapText="1"/>
      <protection locked="0"/>
    </xf>
    <xf numFmtId="0" fontId="7" fillId="0" borderId="10" xfId="8" applyFont="1" applyBorder="1" applyAlignment="1" applyProtection="1">
      <alignment horizontal="center" vertical="top" wrapText="1"/>
      <protection locked="0"/>
    </xf>
    <xf numFmtId="0" fontId="13" fillId="0" borderId="28" xfId="8" applyFont="1" applyBorder="1" applyAlignment="1" applyProtection="1">
      <alignment horizontal="center" vertical="top" wrapText="1"/>
      <protection locked="0"/>
    </xf>
    <xf numFmtId="0" fontId="13" fillId="0" borderId="29" xfId="8" applyFont="1" applyBorder="1" applyAlignment="1" applyProtection="1">
      <alignment horizontal="center" vertical="top" wrapText="1"/>
      <protection locked="0"/>
    </xf>
    <xf numFmtId="0" fontId="13" fillId="0" borderId="30" xfId="8" applyFont="1" applyBorder="1" applyAlignment="1" applyProtection="1">
      <alignment horizontal="center" vertical="center" wrapText="1"/>
      <protection locked="0"/>
    </xf>
    <xf numFmtId="0" fontId="13" fillId="0" borderId="31" xfId="8" applyFont="1" applyBorder="1" applyAlignment="1" applyProtection="1">
      <alignment horizontal="center" vertical="center" wrapText="1"/>
      <protection locked="0"/>
    </xf>
    <xf numFmtId="9" fontId="13" fillId="0" borderId="29" xfId="2" applyFont="1" applyFill="1" applyBorder="1" applyAlignment="1" applyProtection="1">
      <alignment horizontal="center" vertical="center" wrapText="1"/>
      <protection locked="0"/>
    </xf>
    <xf numFmtId="0" fontId="12" fillId="0" borderId="33" xfId="8" applyFont="1" applyBorder="1" applyAlignment="1" applyProtection="1">
      <alignment horizontal="left" vertical="top"/>
      <protection locked="0"/>
    </xf>
    <xf numFmtId="0" fontId="12" fillId="0" borderId="33" xfId="8" applyFont="1" applyBorder="1" applyAlignment="1" applyProtection="1">
      <alignment horizontal="center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26" fillId="0" borderId="2" xfId="8" applyNumberFormat="1" applyFont="1" applyBorder="1" applyAlignment="1" applyProtection="1">
      <alignment horizontal="center" vertical="center" wrapText="1"/>
      <protection locked="0"/>
    </xf>
    <xf numFmtId="1" fontId="26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33" xfId="8" applyNumberFormat="1" applyFont="1" applyBorder="1" applyAlignment="1" applyProtection="1">
      <alignment horizontal="center" vertical="top" wrapText="1"/>
      <protection locked="0"/>
    </xf>
    <xf numFmtId="1" fontId="12" fillId="0" borderId="1" xfId="8" applyNumberFormat="1" applyFont="1" applyBorder="1" applyAlignment="1" applyProtection="1">
      <alignment horizontal="center" vertical="top" wrapText="1"/>
      <protection locked="0"/>
    </xf>
    <xf numFmtId="1" fontId="20" fillId="0" borderId="10" xfId="8" applyNumberFormat="1" applyFont="1" applyBorder="1" applyAlignment="1" applyProtection="1">
      <alignment horizontal="center" vertical="top" wrapText="1"/>
      <protection locked="0"/>
    </xf>
    <xf numFmtId="1" fontId="20" fillId="0" borderId="33" xfId="8" applyNumberFormat="1" applyFont="1" applyBorder="1" applyAlignment="1" applyProtection="1">
      <alignment horizontal="center" vertical="top" wrapText="1"/>
      <protection locked="0"/>
    </xf>
    <xf numFmtId="1" fontId="20" fillId="0" borderId="1" xfId="8" applyNumberFormat="1" applyFont="1" applyBorder="1" applyAlignment="1" applyProtection="1">
      <alignment horizontal="center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9" xfId="8" applyNumberFormat="1" applyFont="1" applyBorder="1" applyAlignment="1" applyProtection="1">
      <alignment horizontal="center" vertical="center" wrapText="1"/>
      <protection locked="0"/>
    </xf>
    <xf numFmtId="1" fontId="9" fillId="0" borderId="19" xfId="8" applyNumberFormat="1" applyFont="1" applyBorder="1" applyAlignment="1" applyProtection="1">
      <alignment horizontal="center" vertical="center" wrapText="1"/>
      <protection locked="0"/>
    </xf>
    <xf numFmtId="1" fontId="9" fillId="0" borderId="20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9" fillId="0" borderId="0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26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420</xdr:row>
      <xdr:rowOff>19050</xdr:rowOff>
    </xdr:from>
    <xdr:to>
      <xdr:col>7</xdr:col>
      <xdr:colOff>30865</xdr:colOff>
      <xdr:row>438</xdr:row>
      <xdr:rowOff>18600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773430" y="67884675"/>
          <a:ext cx="4959985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</xdr:colOff>
      <xdr:row>438</xdr:row>
      <xdr:rowOff>179943</xdr:rowOff>
    </xdr:from>
    <xdr:to>
      <xdr:col>7</xdr:col>
      <xdr:colOff>30865</xdr:colOff>
      <xdr:row>456</xdr:row>
      <xdr:rowOff>179492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773430" y="71645780"/>
          <a:ext cx="4959985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761165</xdr:colOff>
      <xdr:row>355</xdr:row>
      <xdr:rowOff>62102</xdr:rowOff>
    </xdr:from>
    <xdr:to>
      <xdr:col>11</xdr:col>
      <xdr:colOff>222774</xdr:colOff>
      <xdr:row>357</xdr:row>
      <xdr:rowOff>31384</xdr:rowOff>
    </xdr:to>
    <xdr:sp macro="" textlink="">
      <xdr:nvSpPr>
        <xdr:cNvPr id="28" name="Rectangle 27"/>
        <xdr:cNvSpPr/>
      </xdr:nvSpPr>
      <xdr:spPr>
        <a:xfrm>
          <a:off x="8458200" y="63526670"/>
          <a:ext cx="928370" cy="36957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9</xdr:col>
      <xdr:colOff>305481</xdr:colOff>
      <xdr:row>331</xdr:row>
      <xdr:rowOff>174625</xdr:rowOff>
    </xdr:from>
    <xdr:to>
      <xdr:col>10</xdr:col>
      <xdr:colOff>471940</xdr:colOff>
      <xdr:row>333</xdr:row>
      <xdr:rowOff>147082</xdr:rowOff>
    </xdr:to>
    <xdr:sp macro="" textlink="">
      <xdr:nvSpPr>
        <xdr:cNvPr id="29" name="Rectangle 28"/>
        <xdr:cNvSpPr/>
      </xdr:nvSpPr>
      <xdr:spPr>
        <a:xfrm>
          <a:off x="8369981" y="64836675"/>
          <a:ext cx="966559" cy="3661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9</xdr:col>
      <xdr:colOff>279720</xdr:colOff>
      <xdr:row>351</xdr:row>
      <xdr:rowOff>133350</xdr:rowOff>
    </xdr:from>
    <xdr:to>
      <xdr:col>9</xdr:col>
      <xdr:colOff>295435</xdr:colOff>
      <xdr:row>354</xdr:row>
      <xdr:rowOff>165100</xdr:rowOff>
    </xdr:to>
    <xdr:cxnSp macro="">
      <xdr:nvCxnSpPr>
        <xdr:cNvPr id="24" name="Straight Arrow Connector 23"/>
        <xdr:cNvCxnSpPr/>
      </xdr:nvCxnSpPr>
      <xdr:spPr>
        <a:xfrm flipH="1" flipV="1">
          <a:off x="7976870" y="62798325"/>
          <a:ext cx="15875" cy="631825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621170</xdr:colOff>
      <xdr:row>40</xdr:row>
      <xdr:rowOff>129989</xdr:rowOff>
    </xdr:from>
    <xdr:to>
      <xdr:col>13</xdr:col>
      <xdr:colOff>675910</xdr:colOff>
      <xdr:row>52</xdr:row>
      <xdr:rowOff>100839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54199" y="9206754"/>
          <a:ext cx="4189711" cy="2615438"/>
        </a:xfrm>
        <a:prstGeom prst="rect">
          <a:avLst/>
        </a:prstGeom>
      </xdr:spPr>
    </xdr:pic>
    <xdr:clientData/>
  </xdr:twoCellAnchor>
  <xdr:twoCellAnchor editAs="oneCell">
    <xdr:from>
      <xdr:col>8</xdr:col>
      <xdr:colOff>755640</xdr:colOff>
      <xdr:row>46</xdr:row>
      <xdr:rowOff>64994</xdr:rowOff>
    </xdr:from>
    <xdr:to>
      <xdr:col>15</xdr:col>
      <xdr:colOff>554938</xdr:colOff>
      <xdr:row>53</xdr:row>
      <xdr:rowOff>36219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8669" y="10351994"/>
          <a:ext cx="5435857" cy="1607284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375</xdr:row>
      <xdr:rowOff>25805</xdr:rowOff>
    </xdr:from>
    <xdr:to>
      <xdr:col>6</xdr:col>
      <xdr:colOff>177085</xdr:colOff>
      <xdr:row>394</xdr:row>
      <xdr:rowOff>69274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7077" y="76589487"/>
          <a:ext cx="3441053" cy="39920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521029</xdr:colOff>
      <xdr:row>394</xdr:row>
      <xdr:rowOff>192720</xdr:rowOff>
    </xdr:from>
    <xdr:to>
      <xdr:col>7</xdr:col>
      <xdr:colOff>381001</xdr:colOff>
      <xdr:row>416</xdr:row>
      <xdr:rowOff>1</xdr:rowOff>
    </xdr:to>
    <xdr:grpSp>
      <xdr:nvGrpSpPr>
        <xdr:cNvPr id="9" name="Group 8"/>
        <xdr:cNvGrpSpPr/>
      </xdr:nvGrpSpPr>
      <xdr:grpSpPr>
        <a:xfrm>
          <a:off x="521029" y="74227370"/>
          <a:ext cx="5835322" cy="4137981"/>
          <a:chOff x="521029" y="78790779"/>
          <a:chExt cx="5563766" cy="4244810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21029" y="78790779"/>
            <a:ext cx="5563766" cy="42448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" name="Freeform 5"/>
          <xdr:cNvSpPr/>
        </xdr:nvSpPr>
        <xdr:spPr>
          <a:xfrm>
            <a:off x="1400735" y="79808295"/>
            <a:ext cx="3529853" cy="1378324"/>
          </a:xfrm>
          <a:custGeom>
            <a:avLst/>
            <a:gdLst>
              <a:gd name="connsiteX0" fmla="*/ 638736 w 3529853"/>
              <a:gd name="connsiteY0" fmla="*/ 784412 h 1456765"/>
              <a:gd name="connsiteX1" fmla="*/ 661147 w 3529853"/>
              <a:gd name="connsiteY1" fmla="*/ 1445559 h 1456765"/>
              <a:gd name="connsiteX2" fmla="*/ 11206 w 3529853"/>
              <a:gd name="connsiteY2" fmla="*/ 1456765 h 1456765"/>
              <a:gd name="connsiteX3" fmla="*/ 0 w 3529853"/>
              <a:gd name="connsiteY3" fmla="*/ 33618 h 1456765"/>
              <a:gd name="connsiteX4" fmla="*/ 3518647 w 3529853"/>
              <a:gd name="connsiteY4" fmla="*/ 0 h 1456765"/>
              <a:gd name="connsiteX5" fmla="*/ 3529853 w 3529853"/>
              <a:gd name="connsiteY5" fmla="*/ 750794 h 1456765"/>
              <a:gd name="connsiteX6" fmla="*/ 638736 w 3529853"/>
              <a:gd name="connsiteY6" fmla="*/ 784412 h 14567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3529853" h="1456765">
                <a:moveTo>
                  <a:pt x="638736" y="784412"/>
                </a:moveTo>
                <a:lnTo>
                  <a:pt x="661147" y="1445559"/>
                </a:lnTo>
                <a:lnTo>
                  <a:pt x="11206" y="1456765"/>
                </a:lnTo>
                <a:cubicBezTo>
                  <a:pt x="7471" y="982383"/>
                  <a:pt x="3735" y="508000"/>
                  <a:pt x="0" y="33618"/>
                </a:cubicBezTo>
                <a:lnTo>
                  <a:pt x="3518647" y="0"/>
                </a:lnTo>
                <a:lnTo>
                  <a:pt x="3529853" y="750794"/>
                </a:lnTo>
                <a:lnTo>
                  <a:pt x="638736" y="784412"/>
                </a:lnTo>
                <a:close/>
              </a:path>
            </a:pathLst>
          </a:cu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7" name="Freeform 6"/>
          <xdr:cNvSpPr/>
        </xdr:nvSpPr>
        <xdr:spPr>
          <a:xfrm>
            <a:off x="2263588" y="80503059"/>
            <a:ext cx="2532530" cy="1322294"/>
          </a:xfrm>
          <a:custGeom>
            <a:avLst/>
            <a:gdLst>
              <a:gd name="connsiteX0" fmla="*/ 1882588 w 2532530"/>
              <a:gd name="connsiteY0" fmla="*/ 22412 h 1322294"/>
              <a:gd name="connsiteX1" fmla="*/ 2532530 w 2532530"/>
              <a:gd name="connsiteY1" fmla="*/ 0 h 1322294"/>
              <a:gd name="connsiteX2" fmla="*/ 2510118 w 2532530"/>
              <a:gd name="connsiteY2" fmla="*/ 1322294 h 1322294"/>
              <a:gd name="connsiteX3" fmla="*/ 0 w 2532530"/>
              <a:gd name="connsiteY3" fmla="*/ 1266265 h 1322294"/>
              <a:gd name="connsiteX4" fmla="*/ 0 w 2532530"/>
              <a:gd name="connsiteY4" fmla="*/ 605117 h 1322294"/>
              <a:gd name="connsiteX5" fmla="*/ 1860177 w 2532530"/>
              <a:gd name="connsiteY5" fmla="*/ 638735 h 1322294"/>
              <a:gd name="connsiteX6" fmla="*/ 1882588 w 2532530"/>
              <a:gd name="connsiteY6" fmla="*/ 22412 h 13222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532530" h="1322294">
                <a:moveTo>
                  <a:pt x="1882588" y="22412"/>
                </a:moveTo>
                <a:lnTo>
                  <a:pt x="2532530" y="0"/>
                </a:lnTo>
                <a:lnTo>
                  <a:pt x="2510118" y="1322294"/>
                </a:lnTo>
                <a:lnTo>
                  <a:pt x="0" y="1266265"/>
                </a:lnTo>
                <a:lnTo>
                  <a:pt x="0" y="605117"/>
                </a:lnTo>
                <a:lnTo>
                  <a:pt x="1860177" y="638735"/>
                </a:lnTo>
                <a:lnTo>
                  <a:pt x="1882588" y="22412"/>
                </a:lnTo>
                <a:close/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8" name="TextBox 7"/>
          <xdr:cNvSpPr txBox="1"/>
        </xdr:nvSpPr>
        <xdr:spPr>
          <a:xfrm>
            <a:off x="1815352" y="79920352"/>
            <a:ext cx="1636059" cy="425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/>
              <a:t>Building A</a:t>
            </a:r>
          </a:p>
        </xdr:txBody>
      </xdr:sp>
      <xdr:sp macro="" textlink="">
        <xdr:nvSpPr>
          <xdr:cNvPr id="42" name="TextBox 41"/>
          <xdr:cNvSpPr txBox="1"/>
        </xdr:nvSpPr>
        <xdr:spPr>
          <a:xfrm>
            <a:off x="2386852" y="81309882"/>
            <a:ext cx="1636059" cy="4258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/>
              <a:t>Building B</a:t>
            </a:r>
          </a:p>
        </xdr:txBody>
      </xdr:sp>
    </xdr:grpSp>
    <xdr:clientData/>
  </xdr:twoCellAnchor>
  <xdr:twoCellAnchor editAs="oneCell">
    <xdr:from>
      <xdr:col>9</xdr:col>
      <xdr:colOff>697112</xdr:colOff>
      <xdr:row>341</xdr:row>
      <xdr:rowOff>27763</xdr:rowOff>
    </xdr:from>
    <xdr:to>
      <xdr:col>11</xdr:col>
      <xdr:colOff>223489</xdr:colOff>
      <xdr:row>343</xdr:row>
      <xdr:rowOff>121531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1612" y="63419813"/>
          <a:ext cx="1063077" cy="487468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336</xdr:row>
      <xdr:rowOff>0</xdr:rowOff>
    </xdr:from>
    <xdr:to>
      <xdr:col>9</xdr:col>
      <xdr:colOff>660131</xdr:colOff>
      <xdr:row>337</xdr:row>
      <xdr:rowOff>83355</xdr:rowOff>
    </xdr:to>
    <xdr:sp macro="" textlink="">
      <xdr:nvSpPr>
        <xdr:cNvPr id="35" name="Rectangle 34"/>
        <xdr:cNvSpPr/>
      </xdr:nvSpPr>
      <xdr:spPr>
        <a:xfrm>
          <a:off x="8064500" y="62617350"/>
          <a:ext cx="660131" cy="280205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twoCellAnchor>
  <xdr:twoCellAnchor>
    <xdr:from>
      <xdr:col>0</xdr:col>
      <xdr:colOff>127000</xdr:colOff>
      <xdr:row>332</xdr:row>
      <xdr:rowOff>69850</xdr:rowOff>
    </xdr:from>
    <xdr:to>
      <xdr:col>7</xdr:col>
      <xdr:colOff>722221</xdr:colOff>
      <xdr:row>367</xdr:row>
      <xdr:rowOff>66394</xdr:rowOff>
    </xdr:to>
    <xdr:grpSp>
      <xdr:nvGrpSpPr>
        <xdr:cNvPr id="10" name="Group 9"/>
        <xdr:cNvGrpSpPr/>
      </xdr:nvGrpSpPr>
      <xdr:grpSpPr>
        <a:xfrm>
          <a:off x="127000" y="61906150"/>
          <a:ext cx="6570571" cy="6879944"/>
          <a:chOff x="127000" y="61906150"/>
          <a:chExt cx="6570571" cy="6879944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83836" y="67163990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4532" y="61906150"/>
            <a:ext cx="3836952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5418" y="67166094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730" y="64896122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000" y="67166094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94421" y="6489612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6209" y="67166094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4627" y="67163990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0201" y="619061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8276" y="6489612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2" name="Rectangle 61"/>
          <xdr:cNvSpPr/>
        </xdr:nvSpPr>
        <xdr:spPr>
          <a:xfrm>
            <a:off x="4846451" y="62445900"/>
            <a:ext cx="660131" cy="280205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63" name="Rectangle 62"/>
          <xdr:cNvSpPr/>
        </xdr:nvSpPr>
        <xdr:spPr>
          <a:xfrm>
            <a:off x="1648182" y="62026800"/>
            <a:ext cx="660131" cy="280205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4" name="Rectangle 63"/>
          <xdr:cNvSpPr/>
        </xdr:nvSpPr>
        <xdr:spPr>
          <a:xfrm>
            <a:off x="1829280" y="64991372"/>
            <a:ext cx="660131" cy="280205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oaMnstYPpS4GDzs8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1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/>
  <cols>
    <col min="1" max="1" width="11.453125" style="19" customWidth="1"/>
    <col min="2" max="2" width="12" style="19" customWidth="1"/>
    <col min="3" max="3" width="12.7265625" style="19" customWidth="1"/>
    <col min="4" max="4" width="14.1796875" style="19" customWidth="1"/>
    <col min="5" max="7" width="11.7265625" style="19" customWidth="1"/>
    <col min="8" max="8" width="12.453125" style="19" customWidth="1"/>
    <col min="9" max="9" width="17.453125" style="20" customWidth="1"/>
    <col min="10" max="10" width="11.453125" style="20" customWidth="1"/>
    <col min="11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16.5" customHeight="1">
      <c r="A2" s="77" t="s">
        <v>1</v>
      </c>
      <c r="B2" s="77"/>
      <c r="C2" s="77"/>
      <c r="D2" s="77"/>
      <c r="E2" s="77"/>
      <c r="F2" s="77"/>
      <c r="G2" s="77"/>
      <c r="H2" s="77"/>
    </row>
    <row r="3" spans="1:8">
      <c r="A3" s="78" t="s">
        <v>2</v>
      </c>
      <c r="B3" s="78"/>
      <c r="C3" s="78"/>
      <c r="D3" s="78"/>
      <c r="E3" s="78" t="str">
        <f ca="1">TEXT(TODAY(),"DD/MM/YYYY")</f>
        <v>04/07/2025</v>
      </c>
      <c r="F3" s="78"/>
      <c r="G3" s="78"/>
      <c r="H3" s="78"/>
    </row>
    <row r="4" spans="1:8" ht="15" customHeight="1">
      <c r="A4" s="78" t="s">
        <v>3</v>
      </c>
      <c r="B4" s="78"/>
      <c r="C4" s="78"/>
      <c r="D4" s="78"/>
      <c r="E4" s="78" t="s">
        <v>4</v>
      </c>
      <c r="F4" s="78"/>
      <c r="G4" s="78"/>
      <c r="H4" s="78"/>
    </row>
    <row r="5" spans="1:8">
      <c r="A5" s="79" t="s">
        <v>5</v>
      </c>
      <c r="B5" s="79"/>
      <c r="C5" s="79"/>
      <c r="D5" s="79"/>
      <c r="E5" s="80">
        <v>45842</v>
      </c>
      <c r="F5" s="78"/>
      <c r="G5" s="78"/>
      <c r="H5" s="78"/>
    </row>
    <row r="6" spans="1:8" ht="16.5" customHeight="1">
      <c r="A6" s="78" t="s">
        <v>6</v>
      </c>
      <c r="B6" s="78"/>
      <c r="C6" s="78"/>
      <c r="D6" s="78"/>
      <c r="E6" s="78" t="s">
        <v>7</v>
      </c>
      <c r="F6" s="78"/>
      <c r="G6" s="78"/>
      <c r="H6" s="78"/>
    </row>
    <row r="7" spans="1:8" ht="15" customHeight="1">
      <c r="A7" s="78" t="s">
        <v>8</v>
      </c>
      <c r="B7" s="78"/>
      <c r="C7" s="78"/>
      <c r="D7" s="78"/>
      <c r="E7" s="78" t="str">
        <f>E6</f>
        <v>M/s. Yogi Developers</v>
      </c>
      <c r="F7" s="78"/>
      <c r="G7" s="78"/>
      <c r="H7" s="78"/>
    </row>
    <row r="8" spans="1:8">
      <c r="A8" s="78" t="s">
        <v>9</v>
      </c>
      <c r="B8" s="78"/>
      <c r="C8" s="78"/>
      <c r="D8" s="78"/>
      <c r="E8" s="81" t="s">
        <v>10</v>
      </c>
      <c r="F8" s="81"/>
      <c r="G8" s="81"/>
      <c r="H8" s="81"/>
    </row>
    <row r="9" spans="1:8">
      <c r="A9" s="78" t="s">
        <v>11</v>
      </c>
      <c r="B9" s="78"/>
      <c r="C9" s="78"/>
      <c r="D9" s="78"/>
      <c r="E9" s="78" t="s">
        <v>12</v>
      </c>
      <c r="F9" s="78"/>
      <c r="G9" s="78"/>
      <c r="H9" s="78"/>
    </row>
    <row r="10" spans="1:8">
      <c r="A10" s="78" t="s">
        <v>13</v>
      </c>
      <c r="B10" s="78"/>
      <c r="C10" s="78"/>
      <c r="D10" s="78"/>
      <c r="E10" s="78">
        <v>7666793999</v>
      </c>
      <c r="F10" s="78"/>
      <c r="G10" s="78"/>
      <c r="H10" s="78"/>
    </row>
    <row r="11" spans="1:8">
      <c r="A11" s="78" t="s">
        <v>14</v>
      </c>
      <c r="B11" s="78"/>
      <c r="C11" s="78"/>
      <c r="D11" s="78"/>
      <c r="E11" s="82" t="s">
        <v>15</v>
      </c>
      <c r="F11" s="78"/>
      <c r="G11" s="78"/>
      <c r="H11" s="78"/>
    </row>
    <row r="12" spans="1:8">
      <c r="A12" s="83" t="s">
        <v>16</v>
      </c>
      <c r="B12" s="83"/>
      <c r="C12" s="83"/>
      <c r="D12" s="83"/>
      <c r="E12" s="82" t="s">
        <v>17</v>
      </c>
      <c r="F12" s="82"/>
      <c r="G12" s="82"/>
      <c r="H12" s="82"/>
    </row>
    <row r="13" spans="1:8">
      <c r="A13" s="83" t="s">
        <v>18</v>
      </c>
      <c r="B13" s="83"/>
      <c r="C13" s="83"/>
      <c r="D13" s="83"/>
      <c r="E13" s="82" t="s">
        <v>19</v>
      </c>
      <c r="F13" s="78"/>
      <c r="G13" s="78"/>
      <c r="H13" s="78"/>
    </row>
    <row r="14" spans="1:8" ht="48.75" customHeight="1">
      <c r="A14" s="82" t="s">
        <v>20</v>
      </c>
      <c r="B14" s="82"/>
      <c r="C14" s="8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Yogi Belleza, Survey No.92/12, 13, 14 &amp; 15, 110/9(P), 11 &amp;13, near Amutvani Complex, Sonale-Bapgaon Rd, Sonale Village, Temghar, Bhiwandi, Bhiwandi, Thane - 421302.</v>
      </c>
      <c r="D14" s="82"/>
      <c r="E14" s="82"/>
      <c r="F14" s="82"/>
      <c r="G14" s="82"/>
      <c r="H14" s="82"/>
    </row>
    <row r="15" spans="1:8">
      <c r="A15" s="82" t="s">
        <v>21</v>
      </c>
      <c r="B15" s="82"/>
      <c r="C15" s="82" t="s">
        <v>22</v>
      </c>
      <c r="D15" s="82"/>
      <c r="E15" s="82"/>
      <c r="F15" s="82"/>
      <c r="G15" s="82"/>
      <c r="H15" s="82"/>
    </row>
    <row r="16" spans="1:8" ht="15.75" customHeight="1">
      <c r="A16" s="82" t="s">
        <v>23</v>
      </c>
      <c r="B16" s="82"/>
      <c r="C16" s="82" t="s">
        <v>24</v>
      </c>
      <c r="D16" s="82"/>
      <c r="E16" s="82"/>
      <c r="F16" s="82"/>
      <c r="G16" s="82"/>
      <c r="H16" s="82"/>
    </row>
    <row r="17" spans="1:8" ht="15.75" customHeight="1">
      <c r="A17" s="82" t="s">
        <v>25</v>
      </c>
      <c r="B17" s="82"/>
      <c r="C17" s="78" t="s">
        <v>26</v>
      </c>
      <c r="D17" s="78"/>
      <c r="E17" s="82" t="s">
        <v>27</v>
      </c>
      <c r="F17" s="82"/>
      <c r="G17" s="82" t="s">
        <v>28</v>
      </c>
      <c r="H17" s="82"/>
    </row>
    <row r="18" spans="1:8">
      <c r="A18" s="78" t="s">
        <v>29</v>
      </c>
      <c r="B18" s="78"/>
      <c r="C18" s="82" t="s">
        <v>30</v>
      </c>
      <c r="D18" s="82"/>
      <c r="E18" s="82" t="s">
        <v>31</v>
      </c>
      <c r="F18" s="82"/>
      <c r="G18" s="84" t="s">
        <v>32</v>
      </c>
      <c r="H18" s="84"/>
    </row>
    <row r="19" spans="1:8">
      <c r="A19" s="78" t="s">
        <v>33</v>
      </c>
      <c r="B19" s="78"/>
      <c r="C19" s="82" t="s">
        <v>30</v>
      </c>
      <c r="D19" s="82"/>
      <c r="E19" s="82" t="s">
        <v>34</v>
      </c>
      <c r="F19" s="82"/>
      <c r="G19" s="82">
        <v>421302</v>
      </c>
      <c r="H19" s="82"/>
    </row>
    <row r="20" spans="1:8" ht="32.25" customHeight="1">
      <c r="A20" s="78" t="s">
        <v>35</v>
      </c>
      <c r="B20" s="78"/>
      <c r="C20" s="82" t="s">
        <v>36</v>
      </c>
      <c r="D20" s="82"/>
      <c r="E20" s="82" t="s">
        <v>37</v>
      </c>
      <c r="F20" s="82"/>
      <c r="G20" s="82" t="s">
        <v>38</v>
      </c>
      <c r="H20" s="82"/>
    </row>
    <row r="21" spans="1:8" ht="15" customHeight="1">
      <c r="A21" s="85" t="s">
        <v>39</v>
      </c>
      <c r="B21" s="85"/>
      <c r="C21" s="85"/>
      <c r="D21" s="85"/>
      <c r="E21" s="78" t="s">
        <v>40</v>
      </c>
      <c r="F21" s="78"/>
      <c r="G21" s="78"/>
      <c r="H21" s="78"/>
    </row>
    <row r="22" spans="1:8" ht="18.75" customHeight="1">
      <c r="A22" s="85"/>
      <c r="B22" s="85"/>
      <c r="C22" s="85"/>
      <c r="D22" s="85"/>
      <c r="E22" s="78"/>
      <c r="F22" s="78"/>
      <c r="G22" s="78"/>
      <c r="H22" s="78"/>
    </row>
    <row r="23" spans="1:8" ht="15" customHeight="1">
      <c r="A23" s="85" t="s">
        <v>41</v>
      </c>
      <c r="B23" s="85"/>
      <c r="C23" s="85"/>
      <c r="D23" s="85"/>
      <c r="E23" s="82" t="s">
        <v>42</v>
      </c>
      <c r="F23" s="82"/>
      <c r="G23" s="82"/>
      <c r="H23" s="82"/>
    </row>
    <row r="24" spans="1:8" ht="15" customHeight="1">
      <c r="A24" s="83" t="s">
        <v>43</v>
      </c>
      <c r="B24" s="83"/>
      <c r="C24" s="83"/>
      <c r="D24" s="83"/>
      <c r="E24" s="82" t="str">
        <f>IF(AND(G18="Mumbai"),"Upper Class","Middle Class")</f>
        <v>Middle Class</v>
      </c>
      <c r="F24" s="82"/>
      <c r="G24" s="82"/>
      <c r="H24" s="82"/>
    </row>
    <row r="25" spans="1:8">
      <c r="A25" s="83" t="s">
        <v>44</v>
      </c>
      <c r="B25" s="83"/>
      <c r="C25" s="83"/>
      <c r="D25" s="83"/>
      <c r="E25" s="82" t="s">
        <v>45</v>
      </c>
      <c r="F25" s="82"/>
      <c r="G25" s="82"/>
      <c r="H25" s="82"/>
    </row>
    <row r="26" spans="1:8" ht="15.75" customHeight="1">
      <c r="A26" s="83" t="s">
        <v>46</v>
      </c>
      <c r="B26" s="83"/>
      <c r="C26" s="83"/>
      <c r="D26" s="83"/>
      <c r="E26" s="82" t="str">
        <f>IF(AND(G18="Mumbai"),"Developed","Developing")</f>
        <v>Developing</v>
      </c>
      <c r="F26" s="82"/>
      <c r="G26" s="82"/>
      <c r="H26" s="82"/>
    </row>
    <row r="27" spans="1:8">
      <c r="A27" s="83" t="s">
        <v>47</v>
      </c>
      <c r="B27" s="83"/>
      <c r="C27" s="83"/>
      <c r="D27" s="83"/>
      <c r="E27" s="82" t="s">
        <v>48</v>
      </c>
      <c r="F27" s="82"/>
      <c r="G27" s="82"/>
      <c r="H27" s="82"/>
    </row>
    <row r="28" spans="1:8" ht="15.75" customHeight="1">
      <c r="A28" s="83" t="s">
        <v>49</v>
      </c>
      <c r="B28" s="83"/>
      <c r="C28" s="83"/>
      <c r="D28" s="83"/>
      <c r="E28" s="82" t="s">
        <v>50</v>
      </c>
      <c r="F28" s="82"/>
      <c r="G28" s="82"/>
      <c r="H28" s="82"/>
    </row>
    <row r="29" spans="1:8" ht="15" customHeight="1">
      <c r="A29" s="83" t="s">
        <v>51</v>
      </c>
      <c r="B29" s="83"/>
      <c r="C29" s="83"/>
      <c r="D29" s="83"/>
      <c r="E29" s="8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2"/>
      <c r="G29" s="82"/>
      <c r="H29" s="82"/>
    </row>
    <row r="30" spans="1:8" ht="15.75" customHeight="1">
      <c r="A30" s="83" t="s">
        <v>52</v>
      </c>
      <c r="B30" s="83"/>
      <c r="C30" s="83"/>
      <c r="D30" s="83"/>
      <c r="E30" s="82" t="s">
        <v>53</v>
      </c>
      <c r="F30" s="82"/>
      <c r="G30" s="82"/>
      <c r="H30" s="82"/>
    </row>
    <row r="31" spans="1:8" s="13" customFormat="1">
      <c r="A31" s="86" t="s">
        <v>54</v>
      </c>
      <c r="B31" s="86"/>
      <c r="C31" s="87" t="s">
        <v>55</v>
      </c>
      <c r="D31" s="87"/>
      <c r="E31" s="87"/>
      <c r="F31" s="87" t="s">
        <v>56</v>
      </c>
      <c r="G31" s="87"/>
      <c r="H31" s="87"/>
    </row>
    <row r="32" spans="1:8" s="13" customFormat="1">
      <c r="A32" s="88" t="s">
        <v>57</v>
      </c>
      <c r="B32" s="88" t="s">
        <v>58</v>
      </c>
      <c r="C32" s="89" t="s">
        <v>221</v>
      </c>
      <c r="D32" s="89"/>
      <c r="E32" s="89"/>
      <c r="F32" s="89" t="s">
        <v>221</v>
      </c>
      <c r="G32" s="89"/>
      <c r="H32" s="89"/>
    </row>
    <row r="33" spans="1:8">
      <c r="A33" s="88" t="s">
        <v>60</v>
      </c>
      <c r="B33" s="88" t="s">
        <v>58</v>
      </c>
      <c r="C33" s="89" t="s">
        <v>221</v>
      </c>
      <c r="D33" s="89"/>
      <c r="E33" s="89"/>
      <c r="F33" s="89" t="s">
        <v>61</v>
      </c>
      <c r="G33" s="89"/>
      <c r="H33" s="89"/>
    </row>
    <row r="34" spans="1:8" s="13" customFormat="1">
      <c r="A34" s="88" t="s">
        <v>62</v>
      </c>
      <c r="B34" s="88" t="s">
        <v>58</v>
      </c>
      <c r="C34" s="89" t="s">
        <v>220</v>
      </c>
      <c r="D34" s="89"/>
      <c r="E34" s="89"/>
      <c r="F34" s="89" t="s">
        <v>26</v>
      </c>
      <c r="G34" s="89"/>
      <c r="H34" s="89"/>
    </row>
    <row r="35" spans="1:8">
      <c r="A35" s="88" t="s">
        <v>63</v>
      </c>
      <c r="B35" s="88" t="s">
        <v>58</v>
      </c>
      <c r="C35" s="89" t="s">
        <v>221</v>
      </c>
      <c r="D35" s="89"/>
      <c r="E35" s="89"/>
      <c r="F35" s="89" t="s">
        <v>59</v>
      </c>
      <c r="G35" s="89"/>
      <c r="H35" s="89"/>
    </row>
    <row r="36" spans="1:8">
      <c r="A36" s="83" t="s">
        <v>64</v>
      </c>
      <c r="B36" s="83"/>
      <c r="C36" s="83"/>
      <c r="D36" s="83"/>
      <c r="E36" s="83"/>
      <c r="F36" s="83"/>
      <c r="G36" s="83"/>
      <c r="H36" s="83"/>
    </row>
    <row r="37" spans="1:8" ht="15.75" customHeight="1">
      <c r="A37" s="77" t="s">
        <v>65</v>
      </c>
      <c r="B37" s="77"/>
      <c r="C37" s="90" t="s">
        <v>66</v>
      </c>
      <c r="D37" s="90"/>
      <c r="E37" s="90"/>
      <c r="F37" s="90"/>
      <c r="G37" s="90"/>
      <c r="H37" s="90"/>
    </row>
    <row r="38" spans="1:8">
      <c r="A38" s="77" t="s">
        <v>67</v>
      </c>
      <c r="B38" s="77"/>
      <c r="C38" s="91" t="s">
        <v>68</v>
      </c>
      <c r="D38" s="82"/>
      <c r="E38" s="82"/>
      <c r="F38" s="82"/>
      <c r="G38" s="82"/>
      <c r="H38" s="82"/>
    </row>
    <row r="39" spans="1:8">
      <c r="A39" s="92" t="s">
        <v>69</v>
      </c>
      <c r="B39" s="92"/>
      <c r="C39" s="92"/>
      <c r="D39" s="92"/>
      <c r="E39" s="92"/>
      <c r="F39" s="92"/>
      <c r="G39" s="92"/>
      <c r="H39" s="92"/>
    </row>
    <row r="40" spans="1:8">
      <c r="A40" s="83" t="s">
        <v>70</v>
      </c>
      <c r="B40" s="83"/>
      <c r="C40" s="83"/>
      <c r="D40" s="83"/>
      <c r="E40" s="93">
        <v>8110.4</v>
      </c>
      <c r="F40" s="93"/>
      <c r="G40" s="93"/>
      <c r="H40" s="93"/>
    </row>
    <row r="41" spans="1:8">
      <c r="A41" s="83" t="s">
        <v>71</v>
      </c>
      <c r="B41" s="83"/>
      <c r="C41" s="83"/>
      <c r="D41" s="83"/>
      <c r="E41" s="94">
        <f>8821.44/E40</f>
        <v>1.0876701519037286</v>
      </c>
      <c r="F41" s="94"/>
      <c r="G41" s="94"/>
      <c r="H41" s="94"/>
    </row>
    <row r="42" spans="1:8">
      <c r="A42" s="83" t="s">
        <v>72</v>
      </c>
      <c r="B42" s="83"/>
      <c r="C42" s="83"/>
      <c r="D42" s="83"/>
      <c r="E42" s="94">
        <f>E44/E40-E41</f>
        <v>2.5246485993292564</v>
      </c>
      <c r="F42" s="94"/>
      <c r="G42" s="94"/>
      <c r="H42" s="94"/>
    </row>
    <row r="43" spans="1:8">
      <c r="A43" s="83" t="s">
        <v>73</v>
      </c>
      <c r="B43" s="83"/>
      <c r="C43" s="83"/>
      <c r="D43" s="83"/>
      <c r="E43" s="94">
        <f>E41+E42</f>
        <v>3.6123187512329853</v>
      </c>
      <c r="F43" s="94"/>
      <c r="G43" s="94"/>
      <c r="H43" s="94"/>
    </row>
    <row r="44" spans="1:8">
      <c r="A44" s="83" t="s">
        <v>74</v>
      </c>
      <c r="B44" s="83"/>
      <c r="C44" s="83"/>
      <c r="D44" s="83"/>
      <c r="E44" s="95">
        <v>29297.35</v>
      </c>
      <c r="F44" s="95"/>
      <c r="G44" s="95"/>
      <c r="H44" s="95"/>
    </row>
    <row r="45" spans="1:8">
      <c r="A45" s="78" t="s">
        <v>75</v>
      </c>
      <c r="B45" s="78"/>
      <c r="C45" s="78"/>
      <c r="D45" s="78"/>
      <c r="E45" s="82" t="s">
        <v>76</v>
      </c>
      <c r="F45" s="78"/>
      <c r="G45" s="78"/>
      <c r="H45" s="78"/>
    </row>
    <row r="46" spans="1:8">
      <c r="A46" s="92" t="s">
        <v>77</v>
      </c>
      <c r="B46" s="92"/>
      <c r="C46" s="92"/>
      <c r="D46" s="92"/>
      <c r="E46" s="92"/>
      <c r="F46" s="92"/>
      <c r="G46" s="92"/>
      <c r="H46" s="92"/>
    </row>
    <row r="47" spans="1:8" ht="33.75" customHeight="1">
      <c r="A47" s="96" t="s">
        <v>78</v>
      </c>
      <c r="B47" s="97"/>
      <c r="C47" s="98" t="s">
        <v>79</v>
      </c>
      <c r="D47" s="99"/>
      <c r="E47" s="99"/>
      <c r="F47" s="99"/>
      <c r="G47" s="99"/>
      <c r="H47" s="100"/>
    </row>
    <row r="48" spans="1:8" ht="15.75" customHeight="1">
      <c r="A48" s="96" t="s">
        <v>80</v>
      </c>
      <c r="B48" s="97"/>
      <c r="C48" s="96" t="s">
        <v>223</v>
      </c>
      <c r="D48" s="101"/>
      <c r="E48" s="97"/>
      <c r="F48" s="22" t="s">
        <v>81</v>
      </c>
      <c r="G48" s="102">
        <v>45275</v>
      </c>
      <c r="H48" s="97"/>
    </row>
    <row r="49" spans="1:14">
      <c r="A49" s="96" t="s">
        <v>82</v>
      </c>
      <c r="B49" s="97"/>
      <c r="C49" s="96" t="str">
        <f>C48</f>
        <v>BPK/(02/2023-2024)/JKNRV/3262</v>
      </c>
      <c r="D49" s="101"/>
      <c r="E49" s="97"/>
      <c r="F49" s="22" t="s">
        <v>81</v>
      </c>
      <c r="G49" s="102">
        <v>45275</v>
      </c>
      <c r="H49" s="97"/>
    </row>
    <row r="50" spans="1:14" s="14" customFormat="1" ht="15.75" customHeight="1">
      <c r="A50" s="103" t="s">
        <v>83</v>
      </c>
      <c r="B50" s="104"/>
      <c r="C50" s="96" t="s">
        <v>222</v>
      </c>
      <c r="D50" s="101"/>
      <c r="E50" s="97"/>
      <c r="F50" s="22" t="s">
        <v>81</v>
      </c>
      <c r="G50" s="102">
        <v>45275</v>
      </c>
      <c r="H50" s="97"/>
    </row>
    <row r="51" spans="1:14" s="14" customFormat="1">
      <c r="A51" s="105"/>
      <c r="B51" s="106"/>
      <c r="C51" s="96" t="s">
        <v>224</v>
      </c>
      <c r="D51" s="101"/>
      <c r="E51" s="101"/>
      <c r="F51" s="101"/>
      <c r="G51" s="101"/>
      <c r="H51" s="97"/>
    </row>
    <row r="52" spans="1:14">
      <c r="A52" s="107" t="s">
        <v>84</v>
      </c>
      <c r="B52" s="108"/>
      <c r="C52" s="107" t="s">
        <v>85</v>
      </c>
      <c r="D52" s="109"/>
      <c r="E52" s="108"/>
      <c r="F52" s="23" t="s">
        <v>81</v>
      </c>
      <c r="G52" s="110" t="s">
        <v>58</v>
      </c>
      <c r="H52" s="111"/>
    </row>
    <row r="53" spans="1:14">
      <c r="A53" s="112" t="s">
        <v>86</v>
      </c>
      <c r="B53" s="112"/>
      <c r="C53" s="112"/>
      <c r="D53" s="112"/>
      <c r="E53" s="112"/>
      <c r="F53" s="112"/>
      <c r="G53" s="112"/>
      <c r="H53" s="112"/>
    </row>
    <row r="54" spans="1:14">
      <c r="A54" s="85" t="s">
        <v>87</v>
      </c>
      <c r="B54" s="85"/>
      <c r="C54" s="85"/>
      <c r="D54" s="83">
        <f>E44</f>
        <v>29297.35</v>
      </c>
      <c r="E54" s="83"/>
      <c r="F54" s="83"/>
      <c r="G54" s="83"/>
      <c r="H54" s="83"/>
    </row>
    <row r="55" spans="1:14">
      <c r="A55" s="113" t="s">
        <v>88</v>
      </c>
      <c r="B55" s="79"/>
      <c r="C55" s="79"/>
      <c r="D55" s="78" t="s">
        <v>237</v>
      </c>
      <c r="E55" s="78"/>
      <c r="F55" s="78"/>
      <c r="G55" s="78"/>
      <c r="H55" s="78"/>
      <c r="I55" s="24"/>
    </row>
    <row r="56" spans="1:14">
      <c r="A56" s="114" t="s">
        <v>89</v>
      </c>
      <c r="B56" s="115"/>
      <c r="C56" s="116"/>
      <c r="D56" s="117" t="s">
        <v>224</v>
      </c>
      <c r="E56" s="118"/>
      <c r="F56" s="118"/>
      <c r="G56" s="118"/>
      <c r="H56" s="118"/>
    </row>
    <row r="57" spans="1:14" ht="31.5" customHeight="1">
      <c r="A57" s="114" t="s">
        <v>90</v>
      </c>
      <c r="B57" s="115"/>
      <c r="C57" s="115"/>
      <c r="D57" s="82" t="s">
        <v>91</v>
      </c>
      <c r="E57" s="78"/>
      <c r="F57" s="78"/>
      <c r="G57" s="78"/>
      <c r="H57" s="78"/>
    </row>
    <row r="58" spans="1:14" ht="15.75" customHeight="1">
      <c r="A58" s="83" t="s">
        <v>92</v>
      </c>
      <c r="B58" s="83"/>
      <c r="C58" s="83"/>
      <c r="D58" s="85" t="s">
        <v>93</v>
      </c>
      <c r="E58" s="85"/>
      <c r="F58" s="85"/>
      <c r="G58" s="85"/>
      <c r="H58" s="85"/>
      <c r="J58" s="25"/>
      <c r="K58" s="24"/>
      <c r="N58" s="24"/>
    </row>
    <row r="59" spans="1:14" ht="15.75" customHeight="1">
      <c r="A59" s="83" t="s">
        <v>94</v>
      </c>
      <c r="B59" s="83"/>
      <c r="C59" s="83"/>
      <c r="D59" s="119" t="str">
        <f>(IF(G52="NA","60 Years After Completion",IF(G52&lt;&gt;"NA",""&amp;60-ROUNDDOWN((E3-G52)/360,0)&amp;" Years"," ")))</f>
        <v>60 Years After Completion</v>
      </c>
      <c r="E59" s="119"/>
      <c r="F59" s="119"/>
      <c r="G59" s="119"/>
      <c r="H59" s="119"/>
      <c r="N59" s="24"/>
    </row>
    <row r="60" spans="1:14" ht="15.75" customHeight="1">
      <c r="A60" s="83" t="s">
        <v>95</v>
      </c>
      <c r="B60" s="83"/>
      <c r="C60" s="83"/>
      <c r="D60" s="85" t="s">
        <v>48</v>
      </c>
      <c r="E60" s="85"/>
      <c r="F60" s="85"/>
      <c r="G60" s="85"/>
      <c r="H60" s="85"/>
      <c r="J60" s="26"/>
      <c r="K60" s="26"/>
    </row>
    <row r="61" spans="1:14" ht="30" customHeight="1">
      <c r="A61" s="83" t="s">
        <v>96</v>
      </c>
      <c r="B61" s="83"/>
      <c r="C61" s="83"/>
      <c r="D61" s="82" t="s">
        <v>97</v>
      </c>
      <c r="E61" s="85"/>
      <c r="F61" s="85"/>
      <c r="G61" s="85"/>
      <c r="H61" s="85"/>
    </row>
    <row r="62" spans="1:14">
      <c r="A62" s="85" t="s">
        <v>98</v>
      </c>
      <c r="B62" s="85"/>
      <c r="C62" s="85"/>
      <c r="D62" s="85" t="s">
        <v>58</v>
      </c>
      <c r="E62" s="85"/>
      <c r="F62" s="85"/>
      <c r="G62" s="85"/>
      <c r="H62" s="85"/>
      <c r="I62" s="27"/>
      <c r="J62" s="27"/>
      <c r="K62" s="27"/>
      <c r="L62" s="27"/>
      <c r="M62" s="27"/>
      <c r="N62" s="27"/>
    </row>
    <row r="63" spans="1:14" ht="15.75" customHeight="1">
      <c r="A63" s="83" t="s">
        <v>99</v>
      </c>
      <c r="B63" s="83"/>
      <c r="C63" s="83"/>
      <c r="D63" s="82" t="str">
        <f ca="1">(IF(G98&gt;95%,"Nothing",IF(G98&gt;0%,"Cement, Aggregate, Steel, etc",IF(G69=0%,"Work not yet Started"))))</f>
        <v>Cement, Aggregate, Steel, etc</v>
      </c>
      <c r="E63" s="82"/>
      <c r="F63" s="82"/>
      <c r="G63" s="82"/>
      <c r="H63" s="82"/>
      <c r="J63" s="26"/>
    </row>
    <row r="64" spans="1:14" ht="33.75" customHeight="1">
      <c r="A64" s="85" t="s">
        <v>100</v>
      </c>
      <c r="B64" s="85"/>
      <c r="C64" s="85"/>
      <c r="D64" s="82" t="str">
        <f ca="1">(IF(D63="Nothing","Yes",IF(D63="Cement, Aggregate, Steel, etc","Under Construction",IF(D63="Work not yet Started","Work not yet Started"))))</f>
        <v>Under Construction</v>
      </c>
      <c r="E64" s="82"/>
      <c r="F64" s="82" t="str">
        <f ca="1">(IF(D63="Nothing","Yes",IF(D63="Cement, Aggregate, Steel, etc","Under Construction",IF(D63="Work not yet Started","Work not yet Started"))))</f>
        <v>Under Construction</v>
      </c>
      <c r="G64" s="82"/>
      <c r="H64" s="82"/>
    </row>
    <row r="65" spans="1:10" ht="15.75" customHeight="1">
      <c r="A65" s="120" t="s">
        <v>101</v>
      </c>
      <c r="B65" s="120"/>
      <c r="C65" s="121" t="s">
        <v>240</v>
      </c>
      <c r="D65" s="121"/>
      <c r="E65" s="121"/>
      <c r="F65" s="121"/>
      <c r="G65" s="121"/>
      <c r="H65" s="121"/>
      <c r="I65" s="72" t="str">
        <f ca="1">IF(D78=100%,"All work Completed. Possession granted to the Building.",IF(D77=100%,"All work Completed, Waiting for OC",I66&amp;""&amp;I67&amp;""&amp;J66&amp;""&amp;J65&amp;" "&amp;J67))</f>
        <v>Excavation, Plinth Completed, RCC upto 6 Slab, Brickwork upto 1.5 Floor Completed</v>
      </c>
      <c r="J65" s="4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6 Slab, Brickwork upto 1.5 Floor</v>
      </c>
    </row>
    <row r="66" spans="1:10">
      <c r="A66" s="71" t="s">
        <v>102</v>
      </c>
      <c r="B66" s="71">
        <v>0</v>
      </c>
      <c r="C66" s="71" t="s">
        <v>103</v>
      </c>
      <c r="D66" s="71">
        <v>1</v>
      </c>
      <c r="E66" s="71" t="s">
        <v>104</v>
      </c>
      <c r="F66" s="71">
        <v>0</v>
      </c>
      <c r="G66" s="71" t="s">
        <v>105</v>
      </c>
      <c r="H66" s="71">
        <f ca="1">--TRIM(RIGHT(SUBSTITUTE(LEFT(C65,_xlfn.AGGREGATE(16,6,FIND({0,1,2,3,4,5,6,7,8,9},C65,ROW(INDIRECT("1:"&amp;LEN(C65)))),1))," ",REPT(" ",LEN(C65))),LEN(C65)))</f>
        <v>14</v>
      </c>
      <c r="I66" s="7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2" customHeight="1">
      <c r="A67" s="81" t="s">
        <v>106</v>
      </c>
      <c r="B67" s="81"/>
      <c r="C67" s="121" t="str">
        <f ca="1">(IF($G$52="NA",I65,"All work Completed. OC Received."))</f>
        <v>Excavation, Plinth Completed, RCC upto 6 Slab, Brickwork upto 1.5 Floor Completed</v>
      </c>
      <c r="D67" s="121"/>
      <c r="E67" s="121"/>
      <c r="F67" s="121"/>
      <c r="G67" s="121"/>
      <c r="H67" s="121"/>
      <c r="I67" s="73" t="str">
        <f ca="1">IF(I66&lt;&gt;""," Completed","")</f>
        <v xml:space="preserve"> Completed</v>
      </c>
      <c r="J67" s="43" t="str">
        <f ca="1">IF(J65&lt;&gt;"","Completed","")</f>
        <v>Completed</v>
      </c>
    </row>
    <row r="68" spans="1:10" ht="15.75" customHeight="1">
      <c r="A68" s="122" t="s">
        <v>107</v>
      </c>
      <c r="B68" s="123"/>
      <c r="C68" s="30" t="s">
        <v>108</v>
      </c>
      <c r="D68" s="30" t="s">
        <v>109</v>
      </c>
      <c r="E68" s="123" t="s">
        <v>110</v>
      </c>
      <c r="F68" s="123"/>
      <c r="G68" s="123" t="s">
        <v>111</v>
      </c>
      <c r="H68" s="124"/>
      <c r="I68" s="44" t="s">
        <v>112</v>
      </c>
      <c r="J68" s="45">
        <f ca="1">H66*25%</f>
        <v>3.5</v>
      </c>
    </row>
    <row r="69" spans="1:10">
      <c r="A69" s="122" t="s">
        <v>113</v>
      </c>
      <c r="B69" s="123"/>
      <c r="C69" s="30">
        <f ca="1">J70</f>
        <v>14</v>
      </c>
      <c r="D69" s="31">
        <f ca="1">((100/H66)*C69)/100</f>
        <v>1</v>
      </c>
      <c r="E69" s="134">
        <f ca="1">(((C70/H66*10)+(40/(D66+F66+H66)*C71)+(7.5/(H66)*C72)+(7.5/(H66)*C73)+(10/H66*C74)+(10/H66*C75)+(5/H66*C76)+(5/H66*C77)+(5/H66*C78))/100)</f>
        <v>0.26803571428571427</v>
      </c>
      <c r="F69" s="135"/>
      <c r="G69" s="134">
        <f ca="1">((((C69/H66)*20)+((C70/H66)*25)+(30/(H66+F66+D66)*C71)+(5/H66*C72)+(5/H66*C73)+(5/H66*C74)+(5/H66*C75)+(0/H66*C76)+(0/H66*C77)+(5/H66*C78))/100)</f>
        <v>0.5753571428571429</v>
      </c>
      <c r="H69" s="140"/>
      <c r="I69" s="44" t="s">
        <v>114</v>
      </c>
      <c r="J69" s="46">
        <f ca="1">H66*50%</f>
        <v>7</v>
      </c>
    </row>
    <row r="70" spans="1:10">
      <c r="A70" s="122" t="s">
        <v>115</v>
      </c>
      <c r="B70" s="123"/>
      <c r="C70" s="32">
        <f ca="1">J78</f>
        <v>14</v>
      </c>
      <c r="D70" s="31">
        <f ca="1">((100/H66)*C70)/100</f>
        <v>1</v>
      </c>
      <c r="E70" s="136"/>
      <c r="F70" s="137"/>
      <c r="G70" s="136"/>
      <c r="H70" s="141"/>
      <c r="I70" s="44" t="s">
        <v>116</v>
      </c>
      <c r="J70" s="46">
        <f ca="1">H66</f>
        <v>14</v>
      </c>
    </row>
    <row r="71" spans="1:10" ht="15.75" customHeight="1">
      <c r="A71" s="122" t="s">
        <v>117</v>
      </c>
      <c r="B71" s="123"/>
      <c r="C71" s="30">
        <v>6</v>
      </c>
      <c r="D71" s="31">
        <f ca="1">((100/(D66+F66+H66))*C71)/100</f>
        <v>0.4</v>
      </c>
      <c r="E71" s="136"/>
      <c r="F71" s="137"/>
      <c r="G71" s="136"/>
      <c r="H71" s="141"/>
      <c r="I71" s="44" t="s">
        <v>118</v>
      </c>
      <c r="J71" s="47">
        <f ca="1">(IF(B66&gt;1,(H66/(B66+2)),H66/4))</f>
        <v>3.5</v>
      </c>
    </row>
    <row r="72" spans="1:10" ht="15.75" customHeight="1">
      <c r="A72" s="122" t="s">
        <v>119</v>
      </c>
      <c r="B72" s="123" t="s">
        <v>120</v>
      </c>
      <c r="C72" s="30">
        <v>1.5</v>
      </c>
      <c r="D72" s="31">
        <f ca="1">((100/H66)*C72)/100</f>
        <v>0.10714285714285715</v>
      </c>
      <c r="E72" s="136"/>
      <c r="F72" s="137"/>
      <c r="G72" s="136"/>
      <c r="H72" s="141"/>
      <c r="I72" s="44" t="s">
        <v>121</v>
      </c>
      <c r="J72" s="47">
        <f ca="1">(IF(B66&gt;1,(H66/(B66+2)+J71),H66/4+J71))</f>
        <v>7</v>
      </c>
    </row>
    <row r="73" spans="1:10" ht="15.75" customHeight="1">
      <c r="A73" s="122" t="s">
        <v>122</v>
      </c>
      <c r="B73" s="123" t="s">
        <v>120</v>
      </c>
      <c r="C73" s="30">
        <v>0</v>
      </c>
      <c r="D73" s="31">
        <f ca="1">((100/H66)*C73)/100</f>
        <v>0</v>
      </c>
      <c r="E73" s="136"/>
      <c r="F73" s="137"/>
      <c r="G73" s="136"/>
      <c r="H73" s="141"/>
      <c r="I73" s="44" t="s">
        <v>123</v>
      </c>
      <c r="J73" s="47">
        <f>(IF(B66&gt;1,(H66/(B66+2)+J72),0))</f>
        <v>0</v>
      </c>
    </row>
    <row r="74" spans="1:10" ht="15" customHeight="1">
      <c r="A74" s="122" t="s">
        <v>124</v>
      </c>
      <c r="B74" s="123" t="s">
        <v>125</v>
      </c>
      <c r="C74" s="30">
        <v>0</v>
      </c>
      <c r="D74" s="31">
        <f ca="1">((100/(H66))*C74)/100</f>
        <v>0</v>
      </c>
      <c r="E74" s="136"/>
      <c r="F74" s="137"/>
      <c r="G74" s="136"/>
      <c r="H74" s="141"/>
      <c r="I74" s="44" t="s">
        <v>126</v>
      </c>
      <c r="J74" s="47">
        <f>(IF(B66&gt;2,(H66/(B66+2)+J73),0))</f>
        <v>0</v>
      </c>
    </row>
    <row r="75" spans="1:10" ht="15.75" customHeight="1">
      <c r="A75" s="122" t="s">
        <v>127</v>
      </c>
      <c r="B75" s="123" t="s">
        <v>127</v>
      </c>
      <c r="C75" s="30">
        <v>0</v>
      </c>
      <c r="D75" s="31">
        <f ca="1">((100/H66)*C75)/100</f>
        <v>0</v>
      </c>
      <c r="E75" s="136"/>
      <c r="F75" s="137"/>
      <c r="G75" s="136"/>
      <c r="H75" s="141"/>
      <c r="I75" s="44" t="s">
        <v>128</v>
      </c>
      <c r="J75" s="48">
        <f>(IF(B66&gt;3,(H66/(B66+2)+J74),0))</f>
        <v>0</v>
      </c>
    </row>
    <row r="76" spans="1:10" ht="15.75" customHeight="1">
      <c r="A76" s="122" t="s">
        <v>129</v>
      </c>
      <c r="B76" s="123"/>
      <c r="C76" s="30">
        <v>0</v>
      </c>
      <c r="D76" s="31">
        <f ca="1">((100/H66)*C76)/100</f>
        <v>0</v>
      </c>
      <c r="E76" s="136"/>
      <c r="F76" s="137"/>
      <c r="G76" s="136"/>
      <c r="H76" s="141"/>
      <c r="I76" s="44" t="s">
        <v>130</v>
      </c>
      <c r="J76" s="47">
        <f>(IF(B66&gt;4,(H66/(B66+2)+J75),0))</f>
        <v>0</v>
      </c>
    </row>
    <row r="77" spans="1:10" ht="15.75" customHeight="1">
      <c r="A77" s="122" t="s">
        <v>131</v>
      </c>
      <c r="B77" s="123" t="s">
        <v>131</v>
      </c>
      <c r="C77" s="30">
        <v>0</v>
      </c>
      <c r="D77" s="31">
        <f ca="1">((100/(H66))*C77)/100</f>
        <v>0</v>
      </c>
      <c r="E77" s="136"/>
      <c r="F77" s="137"/>
      <c r="G77" s="136"/>
      <c r="H77" s="141"/>
      <c r="I77" s="44" t="s">
        <v>132</v>
      </c>
      <c r="J77" s="47">
        <f ca="1">(IF(B66=1,(H66/(B66+3)+J72),IF(B66=0,(H66/4+J72),IF(B66&gt;1,0))))</f>
        <v>10.5</v>
      </c>
    </row>
    <row r="78" spans="1:10">
      <c r="A78" s="125" t="s">
        <v>133</v>
      </c>
      <c r="B78" s="126"/>
      <c r="C78" s="33">
        <v>0</v>
      </c>
      <c r="D78" s="34">
        <f ca="1">((100/(H66))*C78)/100</f>
        <v>0</v>
      </c>
      <c r="E78" s="138"/>
      <c r="F78" s="139"/>
      <c r="G78" s="138"/>
      <c r="H78" s="142"/>
      <c r="I78" s="49" t="s">
        <v>134</v>
      </c>
      <c r="J78" s="50">
        <f ca="1">(IF(B66&gt;1.5,(H66/(B66+2)+J72+MAX(0,J73-J72)+MAX(0,J74-J73)+MAX(0,J75-J74)+MAX(0,J76-J75)+MAX(0,J77-J76)),IF(B66=1,(H66/(B66+3)+J77),IF(B66=0,H66/4+J77))))</f>
        <v>14</v>
      </c>
    </row>
    <row r="79" spans="1:10" ht="15.75" hidden="1" customHeight="1">
      <c r="A79" s="127" t="s">
        <v>101</v>
      </c>
      <c r="B79" s="128"/>
      <c r="C79" s="129" t="s">
        <v>135</v>
      </c>
      <c r="D79" s="130"/>
      <c r="E79" s="130"/>
      <c r="F79" s="130"/>
      <c r="G79" s="130"/>
      <c r="H79" s="131"/>
      <c r="I79" s="40" t="str">
        <f ca="1">IF(D92=100%,"All work Completed. Possession granted to the Building.",IF(D91=100%,"All work Completed, Waiting for OC",I80&amp;""&amp;I81&amp;""&amp;J80&amp;""&amp;J79&amp;" "&amp;J81))</f>
        <v>Excavation, Plinth Completed, RCC upto 4 Slab Completed</v>
      </c>
      <c r="J79" s="41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RCC upto 4 Slab</v>
      </c>
    </row>
    <row r="80" spans="1:10" hidden="1">
      <c r="A80" s="28" t="s">
        <v>102</v>
      </c>
      <c r="B80" s="21">
        <v>0</v>
      </c>
      <c r="C80" s="21" t="s">
        <v>103</v>
      </c>
      <c r="D80" s="21">
        <v>1</v>
      </c>
      <c r="E80" s="21" t="s">
        <v>104</v>
      </c>
      <c r="F80" s="21">
        <v>0</v>
      </c>
      <c r="G80" s="21" t="s">
        <v>105</v>
      </c>
      <c r="H80" s="29">
        <f ca="1">--TRIM(RIGHT(SUBSTITUTE(LEFT(C79,_xlfn.AGGREGATE(16,6,FIND({0,1,2,3,4,5,6,7,8,9},C79,ROW(INDIRECT("1:"&amp;LEN(C79)))),1))," ",REPT(" ",LEN(C79))),LEN(C79)))</f>
        <v>14</v>
      </c>
      <c r="I80" s="42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</v>
      </c>
      <c r="J80" s="43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idden="1">
      <c r="A81" s="132" t="s">
        <v>106</v>
      </c>
      <c r="B81" s="81"/>
      <c r="C81" s="121" t="str">
        <f ca="1">(IF($G$52="NA",I79,"All work Completed. OC Received."))</f>
        <v>Excavation, Plinth Completed, RCC upto 4 Slab Completed</v>
      </c>
      <c r="D81" s="121"/>
      <c r="E81" s="121"/>
      <c r="F81" s="121"/>
      <c r="G81" s="121"/>
      <c r="H81" s="133"/>
      <c r="I81" s="42" t="str">
        <f ca="1">IF(I80&lt;&gt;""," Completed","")</f>
        <v xml:space="preserve"> Completed</v>
      </c>
      <c r="J81" s="43" t="str">
        <f ca="1">IF(J79&lt;&gt;"","Completed","")</f>
        <v>Completed</v>
      </c>
    </row>
    <row r="82" spans="1:10" ht="15.75" hidden="1" customHeight="1">
      <c r="A82" s="122" t="s">
        <v>107</v>
      </c>
      <c r="B82" s="123"/>
      <c r="C82" s="30" t="s">
        <v>108</v>
      </c>
      <c r="D82" s="30" t="s">
        <v>109</v>
      </c>
      <c r="E82" s="123" t="s">
        <v>110</v>
      </c>
      <c r="F82" s="123"/>
      <c r="G82" s="123" t="s">
        <v>111</v>
      </c>
      <c r="H82" s="124"/>
      <c r="I82" s="44" t="s">
        <v>112</v>
      </c>
      <c r="J82" s="45">
        <f ca="1">H80*25%</f>
        <v>3.5</v>
      </c>
    </row>
    <row r="83" spans="1:10" hidden="1">
      <c r="A83" s="122" t="s">
        <v>113</v>
      </c>
      <c r="B83" s="123"/>
      <c r="C83" s="30">
        <f ca="1">J84</f>
        <v>14</v>
      </c>
      <c r="D83" s="31">
        <f ca="1">((100/H80)*C83)/100</f>
        <v>1</v>
      </c>
      <c r="E83" s="134">
        <f ca="1">(((C84/H80*10)+(40/(D80+F80+H80)*C85)+(7.5/(H80)*C86)+(7.5/(H80)*C87)+(10/H80*C88)+(10/H80*C89)+(5/H80*C90)+(5/H80*C91)+(5/H80*C92))/100)</f>
        <v>0.20666666666666664</v>
      </c>
      <c r="F83" s="135"/>
      <c r="G83" s="134">
        <f ca="1">((((C83/H80)*20)+((C84/H80)*25)+(30/(H80+F80+D80)*C85)+(5/H80*C86)+(5/H80*C87)+(5/H80*C88)+(5/H80*C89)+(0/H80*C90)+(0/H80*C91)+(5/H80*C92))/100)</f>
        <v>0.53</v>
      </c>
      <c r="H83" s="140"/>
      <c r="I83" s="44" t="s">
        <v>114</v>
      </c>
      <c r="J83" s="46">
        <f ca="1">H80*50%</f>
        <v>7</v>
      </c>
    </row>
    <row r="84" spans="1:10" hidden="1">
      <c r="A84" s="122" t="s">
        <v>115</v>
      </c>
      <c r="B84" s="123"/>
      <c r="C84" s="32">
        <f ca="1">J92</f>
        <v>14</v>
      </c>
      <c r="D84" s="31">
        <f ca="1">((100/H80)*C84)/100</f>
        <v>1</v>
      </c>
      <c r="E84" s="136"/>
      <c r="F84" s="137"/>
      <c r="G84" s="136"/>
      <c r="H84" s="141"/>
      <c r="I84" s="44" t="s">
        <v>116</v>
      </c>
      <c r="J84" s="46">
        <f ca="1">H80</f>
        <v>14</v>
      </c>
    </row>
    <row r="85" spans="1:10" ht="15.75" hidden="1" customHeight="1">
      <c r="A85" s="122" t="s">
        <v>117</v>
      </c>
      <c r="B85" s="123"/>
      <c r="C85" s="30">
        <v>4</v>
      </c>
      <c r="D85" s="31">
        <f ca="1">((100/(D80+F80+H80))*C85)/100</f>
        <v>0.26666666666666666</v>
      </c>
      <c r="E85" s="136"/>
      <c r="F85" s="137"/>
      <c r="G85" s="136"/>
      <c r="H85" s="141"/>
      <c r="I85" s="44" t="s">
        <v>118</v>
      </c>
      <c r="J85" s="47">
        <f ca="1">(IF(B80&gt;1,(H80/(B80+2)),H80/4))</f>
        <v>3.5</v>
      </c>
    </row>
    <row r="86" spans="1:10" ht="15.75" hidden="1" customHeight="1">
      <c r="A86" s="122" t="s">
        <v>119</v>
      </c>
      <c r="B86" s="123" t="s">
        <v>120</v>
      </c>
      <c r="C86" s="30">
        <v>0</v>
      </c>
      <c r="D86" s="31">
        <f ca="1">((100/H80)*C86)/100</f>
        <v>0</v>
      </c>
      <c r="E86" s="136"/>
      <c r="F86" s="137"/>
      <c r="G86" s="136"/>
      <c r="H86" s="141"/>
      <c r="I86" s="44" t="s">
        <v>121</v>
      </c>
      <c r="J86" s="47">
        <f ca="1">(IF(B80&gt;1,(H80/(B80+2)+J85),H80/4+J85))</f>
        <v>7</v>
      </c>
    </row>
    <row r="87" spans="1:10" ht="15.75" hidden="1" customHeight="1">
      <c r="A87" s="122" t="s">
        <v>122</v>
      </c>
      <c r="B87" s="123" t="s">
        <v>120</v>
      </c>
      <c r="C87" s="30">
        <v>0</v>
      </c>
      <c r="D87" s="31">
        <f ca="1">((100/H80)*C87)/100</f>
        <v>0</v>
      </c>
      <c r="E87" s="136"/>
      <c r="F87" s="137"/>
      <c r="G87" s="136"/>
      <c r="H87" s="141"/>
      <c r="I87" s="44" t="s">
        <v>123</v>
      </c>
      <c r="J87" s="47">
        <f>(IF(B80&gt;1,(H80/(B80+2)+J86),0))</f>
        <v>0</v>
      </c>
    </row>
    <row r="88" spans="1:10" ht="15" hidden="1" customHeight="1">
      <c r="A88" s="122" t="s">
        <v>124</v>
      </c>
      <c r="B88" s="123" t="s">
        <v>125</v>
      </c>
      <c r="C88" s="30">
        <v>0</v>
      </c>
      <c r="D88" s="31">
        <f ca="1">((100/(H80))*C88)/100</f>
        <v>0</v>
      </c>
      <c r="E88" s="136"/>
      <c r="F88" s="137"/>
      <c r="G88" s="136"/>
      <c r="H88" s="141"/>
      <c r="I88" s="44" t="s">
        <v>126</v>
      </c>
      <c r="J88" s="47">
        <f>(IF(B80&gt;2,(H80/(B80+2)+J87),0))</f>
        <v>0</v>
      </c>
    </row>
    <row r="89" spans="1:10" ht="15.75" hidden="1" customHeight="1">
      <c r="A89" s="122" t="s">
        <v>127</v>
      </c>
      <c r="B89" s="123" t="s">
        <v>127</v>
      </c>
      <c r="C89" s="30">
        <v>0</v>
      </c>
      <c r="D89" s="31">
        <f ca="1">((100/H80)*C89)/100</f>
        <v>0</v>
      </c>
      <c r="E89" s="136"/>
      <c r="F89" s="137"/>
      <c r="G89" s="136"/>
      <c r="H89" s="141"/>
      <c r="I89" s="44" t="s">
        <v>128</v>
      </c>
      <c r="J89" s="48">
        <f>(IF(B80&gt;3,(H80/(B80+2)+J88),0))</f>
        <v>0</v>
      </c>
    </row>
    <row r="90" spans="1:10" ht="15.75" hidden="1" customHeight="1">
      <c r="A90" s="122" t="s">
        <v>129</v>
      </c>
      <c r="B90" s="123"/>
      <c r="C90" s="30">
        <v>0</v>
      </c>
      <c r="D90" s="31">
        <f ca="1">((100/H80)*C90)/100</f>
        <v>0</v>
      </c>
      <c r="E90" s="136"/>
      <c r="F90" s="137"/>
      <c r="G90" s="136"/>
      <c r="H90" s="141"/>
      <c r="I90" s="44" t="s">
        <v>130</v>
      </c>
      <c r="J90" s="47">
        <f>(IF(B80&gt;4,(H80/(B80+2)+J89),0))</f>
        <v>0</v>
      </c>
    </row>
    <row r="91" spans="1:10" ht="15.75" hidden="1" customHeight="1">
      <c r="A91" s="122" t="s">
        <v>131</v>
      </c>
      <c r="B91" s="123" t="s">
        <v>131</v>
      </c>
      <c r="C91" s="30">
        <v>0</v>
      </c>
      <c r="D91" s="31">
        <f ca="1">((100/(H80))*C91)/100</f>
        <v>0</v>
      </c>
      <c r="E91" s="136"/>
      <c r="F91" s="137"/>
      <c r="G91" s="136"/>
      <c r="H91" s="141"/>
      <c r="I91" s="44" t="s">
        <v>132</v>
      </c>
      <c r="J91" s="47">
        <f ca="1">(IF(B80=1,(H80/(B80+3)+J86),IF(B80=0,(H80/4+J86),IF(B80&gt;1,0))))</f>
        <v>10.5</v>
      </c>
    </row>
    <row r="92" spans="1:10" hidden="1">
      <c r="A92" s="125" t="s">
        <v>133</v>
      </c>
      <c r="B92" s="126"/>
      <c r="C92" s="33">
        <v>0</v>
      </c>
      <c r="D92" s="34">
        <f ca="1">((100/(H80))*C92)/100</f>
        <v>0</v>
      </c>
      <c r="E92" s="138"/>
      <c r="F92" s="139"/>
      <c r="G92" s="138"/>
      <c r="H92" s="142"/>
      <c r="I92" s="49" t="s">
        <v>134</v>
      </c>
      <c r="J92" s="50">
        <f ca="1">(IF(B80&gt;1.5,(H80/(B80+2)+J86+MAX(0,J87-J86)+MAX(0,J88-J87)+MAX(0,J89-J88)+MAX(0,J90-J89)+MAX(0,J91-J90)),IF(B80=1,(H80/(B80+3)+J91),IF(B80=0,H80/4+J91))))</f>
        <v>14</v>
      </c>
    </row>
    <row r="93" spans="1:10" ht="38.25" hidden="1" customHeight="1">
      <c r="A93" s="143" t="s">
        <v>136</v>
      </c>
      <c r="B93" s="144"/>
      <c r="C93" s="145" t="s">
        <v>110</v>
      </c>
      <c r="D93" s="146"/>
      <c r="E93" s="35">
        <f ca="1">AVERAGE(E69,E83)</f>
        <v>0.23735119047619047</v>
      </c>
      <c r="F93" s="147" t="s">
        <v>111</v>
      </c>
      <c r="G93" s="147"/>
      <c r="H93" s="35">
        <f ca="1">AVERAGE(G69,G83)</f>
        <v>0.55267857142857146</v>
      </c>
      <c r="I93" s="49" t="s">
        <v>134</v>
      </c>
      <c r="J93" s="50">
        <f ca="1">(IF(B81&gt;1.5,(H81/(B81+2)+J87+MAX(0,J88-J87)+MAX(0,J89-J88)+MAX(0,J90-J89)+MAX(0,J91-J90)+MAX(0,J92-J91)),IF(B81=1,(H81/(B81+3)+J92),IF(B81=0,H81/4+J92))))</f>
        <v>14</v>
      </c>
    </row>
    <row r="94" spans="1:10" ht="15.75" customHeight="1">
      <c r="A94" s="148" t="s">
        <v>101</v>
      </c>
      <c r="B94" s="149"/>
      <c r="C94" s="129" t="s">
        <v>238</v>
      </c>
      <c r="D94" s="130"/>
      <c r="E94" s="130"/>
      <c r="F94" s="130"/>
      <c r="G94" s="130"/>
      <c r="H94" s="131"/>
      <c r="I94" s="40" t="str">
        <f ca="1">IF(D107=100%,"All work Completed. Possession granted to the Building.",IF(D106=100%,"All work Completed, Waiting for OC",I95&amp;""&amp;I96&amp;""&amp;J95&amp;""&amp;J94&amp;" "&amp;J96))</f>
        <v>Excavation, Plinth, RCC Slab, Brickwork, Internal Plaster Completed, External Plaster upto 10 Floor Completed</v>
      </c>
      <c r="J94" s="41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External Plaster upto 10 Floor</v>
      </c>
    </row>
    <row r="95" spans="1:10">
      <c r="A95" s="28" t="s">
        <v>102</v>
      </c>
      <c r="B95" s="21">
        <v>0</v>
      </c>
      <c r="C95" s="21" t="s">
        <v>103</v>
      </c>
      <c r="D95" s="21">
        <v>1</v>
      </c>
      <c r="E95" s="21" t="s">
        <v>104</v>
      </c>
      <c r="F95" s="21">
        <v>0</v>
      </c>
      <c r="G95" s="21" t="s">
        <v>105</v>
      </c>
      <c r="H95" s="29">
        <f ca="1">--TRIM(RIGHT(SUBSTITUTE(LEFT(C94,_xlfn.AGGREGATE(16,6,FIND({0,1,2,3,4,5,6,7,8,9},C94,ROW(INDIRECT("1:"&amp;LEN(C94)))),1))," ",REPT(" ",LEN(C94))),LEN(C94)))</f>
        <v>14</v>
      </c>
      <c r="I95" s="42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Plinth, RCC Slab, Brickwork, Internal Plaster</v>
      </c>
      <c r="J95" s="43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0.75" customHeight="1">
      <c r="A96" s="81" t="s">
        <v>106</v>
      </c>
      <c r="B96" s="81"/>
      <c r="C96" s="121" t="str">
        <f ca="1">(IF($G$52="NA",I94,"All work Completed. OC Received."))</f>
        <v>Excavation, Plinth, RCC Slab, Brickwork, Internal Plaster Completed, External Plaster upto 10 Floor Completed</v>
      </c>
      <c r="D96" s="121"/>
      <c r="E96" s="121"/>
      <c r="F96" s="121"/>
      <c r="G96" s="121"/>
      <c r="H96" s="121"/>
      <c r="I96" s="73" t="str">
        <f ca="1">IF(I95&lt;&gt;""," Completed","")</f>
        <v xml:space="preserve"> Completed</v>
      </c>
      <c r="J96" s="43" t="str">
        <f ca="1">IF(J94&lt;&gt;"","Completed","")</f>
        <v>Completed</v>
      </c>
    </row>
    <row r="97" spans="1:10" ht="15.75" customHeight="1">
      <c r="A97" s="123" t="s">
        <v>107</v>
      </c>
      <c r="B97" s="123"/>
      <c r="C97" s="68" t="s">
        <v>108</v>
      </c>
      <c r="D97" s="68" t="s">
        <v>109</v>
      </c>
      <c r="E97" s="123" t="s">
        <v>110</v>
      </c>
      <c r="F97" s="123"/>
      <c r="G97" s="123" t="s">
        <v>111</v>
      </c>
      <c r="H97" s="123"/>
      <c r="I97" s="44" t="s">
        <v>112</v>
      </c>
      <c r="J97" s="45">
        <f ca="1">H95*25%</f>
        <v>3.5</v>
      </c>
    </row>
    <row r="98" spans="1:10">
      <c r="A98" s="123" t="s">
        <v>113</v>
      </c>
      <c r="B98" s="123"/>
      <c r="C98" s="68">
        <v>14</v>
      </c>
      <c r="D98" s="31">
        <f ca="1">((100/H95)*C98)/100</f>
        <v>1</v>
      </c>
      <c r="E98" s="155">
        <f ca="1">(((C99/H95*10)+(40/(D95+F95+H95)*C100)+(7.5/(H95)*C101)+(7.5/(H95)*C102)+(10/H95*C103)+(10/H95*C104)+(5/H95*C105)+(5/H95*C106)+(5/H95*C107))/100)</f>
        <v>0.72142857142857142</v>
      </c>
      <c r="F98" s="155"/>
      <c r="G98" s="155">
        <f ca="1">((((C98/H95)*20)+((C99/H95)*25)+(30/(H95+F95+D95)*C100)+(5/H95*C101)+(5/H95*C102)+(5/H95*C103)+(5/H95*C104)+(0/H95*C105)+(0/H95*C106)+(5/H95*C107))/100)</f>
        <v>0.88571428571428568</v>
      </c>
      <c r="H98" s="155"/>
      <c r="I98" s="44" t="s">
        <v>114</v>
      </c>
      <c r="J98" s="46">
        <f ca="1">H95*50%</f>
        <v>7</v>
      </c>
    </row>
    <row r="99" spans="1:10">
      <c r="A99" s="123" t="s">
        <v>115</v>
      </c>
      <c r="B99" s="123"/>
      <c r="C99" s="32">
        <f ca="1">J107</f>
        <v>14</v>
      </c>
      <c r="D99" s="31">
        <f ca="1">((100/H95)*C99)/100</f>
        <v>1</v>
      </c>
      <c r="E99" s="155"/>
      <c r="F99" s="155"/>
      <c r="G99" s="155"/>
      <c r="H99" s="155"/>
      <c r="I99" s="44" t="s">
        <v>116</v>
      </c>
      <c r="J99" s="46">
        <f ca="1">H95</f>
        <v>14</v>
      </c>
    </row>
    <row r="100" spans="1:10" ht="15.75" customHeight="1">
      <c r="A100" s="123" t="s">
        <v>117</v>
      </c>
      <c r="B100" s="123"/>
      <c r="C100" s="68">
        <v>15</v>
      </c>
      <c r="D100" s="31">
        <f ca="1">((100/(D95+F95+H95))*C100)/100</f>
        <v>1</v>
      </c>
      <c r="E100" s="155"/>
      <c r="F100" s="155"/>
      <c r="G100" s="155"/>
      <c r="H100" s="155"/>
      <c r="I100" s="44" t="s">
        <v>118</v>
      </c>
      <c r="J100" s="47">
        <f ca="1">(IF(B95&gt;1,(H95/(B95+2)),H95/4))</f>
        <v>3.5</v>
      </c>
    </row>
    <row r="101" spans="1:10" ht="15.75" customHeight="1">
      <c r="A101" s="123" t="s">
        <v>119</v>
      </c>
      <c r="B101" s="123" t="s">
        <v>120</v>
      </c>
      <c r="C101" s="68">
        <v>14</v>
      </c>
      <c r="D101" s="31">
        <f ca="1">((100/H95)*C101)/100</f>
        <v>1</v>
      </c>
      <c r="E101" s="155"/>
      <c r="F101" s="155"/>
      <c r="G101" s="155"/>
      <c r="H101" s="155"/>
      <c r="I101" s="44" t="s">
        <v>121</v>
      </c>
      <c r="J101" s="47">
        <f ca="1">(IF(B95&gt;1,(H95/(B95+2)+J100),H95/4+J100))</f>
        <v>7</v>
      </c>
    </row>
    <row r="102" spans="1:10" ht="15.75" customHeight="1">
      <c r="A102" s="123" t="s">
        <v>122</v>
      </c>
      <c r="B102" s="123" t="s">
        <v>120</v>
      </c>
      <c r="C102" s="68">
        <v>14</v>
      </c>
      <c r="D102" s="31">
        <f ca="1">((100/H95)*C102)/100</f>
        <v>1</v>
      </c>
      <c r="E102" s="155"/>
      <c r="F102" s="155"/>
      <c r="G102" s="155"/>
      <c r="H102" s="155"/>
      <c r="I102" s="44" t="s">
        <v>123</v>
      </c>
      <c r="J102" s="47">
        <f>(IF(B95&gt;1,(H95/(B95+2)+J101),0))</f>
        <v>0</v>
      </c>
    </row>
    <row r="103" spans="1:10" ht="15" customHeight="1">
      <c r="A103" s="123" t="s">
        <v>124</v>
      </c>
      <c r="B103" s="123" t="s">
        <v>125</v>
      </c>
      <c r="C103" s="68">
        <v>10</v>
      </c>
      <c r="D103" s="31">
        <f ca="1">((100/(H95))*C103)/100</f>
        <v>0.7142857142857143</v>
      </c>
      <c r="E103" s="155"/>
      <c r="F103" s="155"/>
      <c r="G103" s="155"/>
      <c r="H103" s="155"/>
      <c r="I103" s="44" t="s">
        <v>126</v>
      </c>
      <c r="J103" s="47">
        <f>(IF(B95&gt;2,(H95/(B95+2)+J102),0))</f>
        <v>0</v>
      </c>
    </row>
    <row r="104" spans="1:10" ht="15.75" customHeight="1">
      <c r="A104" s="123" t="s">
        <v>127</v>
      </c>
      <c r="B104" s="123" t="s">
        <v>127</v>
      </c>
      <c r="C104" s="68">
        <v>0</v>
      </c>
      <c r="D104" s="31">
        <f ca="1">((100/H95)*C104)/100</f>
        <v>0</v>
      </c>
      <c r="E104" s="155"/>
      <c r="F104" s="155"/>
      <c r="G104" s="155"/>
      <c r="H104" s="155"/>
      <c r="I104" s="44" t="s">
        <v>128</v>
      </c>
      <c r="J104" s="48">
        <f>(IF(B95&gt;3,(H95/(B95+2)+J103),0))</f>
        <v>0</v>
      </c>
    </row>
    <row r="105" spans="1:10" ht="15.75" customHeight="1">
      <c r="A105" s="123" t="s">
        <v>129</v>
      </c>
      <c r="B105" s="123"/>
      <c r="C105" s="68">
        <v>0</v>
      </c>
      <c r="D105" s="31">
        <f ca="1">((100/H95)*C105)/100</f>
        <v>0</v>
      </c>
      <c r="E105" s="155"/>
      <c r="F105" s="155"/>
      <c r="G105" s="155"/>
      <c r="H105" s="155"/>
      <c r="I105" s="44" t="s">
        <v>130</v>
      </c>
      <c r="J105" s="47">
        <f>(IF(B95&gt;4,(H95/(B95+2)+J104),0))</f>
        <v>0</v>
      </c>
    </row>
    <row r="106" spans="1:10" ht="15.75" customHeight="1">
      <c r="A106" s="123" t="s">
        <v>131</v>
      </c>
      <c r="B106" s="123" t="s">
        <v>131</v>
      </c>
      <c r="C106" s="68">
        <v>0</v>
      </c>
      <c r="D106" s="31">
        <f ca="1">((100/(H95))*C106)/100</f>
        <v>0</v>
      </c>
      <c r="E106" s="155"/>
      <c r="F106" s="155"/>
      <c r="G106" s="155"/>
      <c r="H106" s="155"/>
      <c r="I106" s="44" t="s">
        <v>132</v>
      </c>
      <c r="J106" s="47">
        <f ca="1">(IF(B95=1,(H95/(B95+3)+J101),IF(B95=0,(H95/4+J101),IF(B95&gt;1,0))))</f>
        <v>10.5</v>
      </c>
    </row>
    <row r="107" spans="1:10">
      <c r="A107" s="123" t="s">
        <v>133</v>
      </c>
      <c r="B107" s="123"/>
      <c r="C107" s="68">
        <v>0</v>
      </c>
      <c r="D107" s="31">
        <f ca="1">((100/(H95))*C107)/100</f>
        <v>0</v>
      </c>
      <c r="E107" s="155"/>
      <c r="F107" s="155"/>
      <c r="G107" s="155"/>
      <c r="H107" s="155"/>
      <c r="I107" s="49" t="s">
        <v>134</v>
      </c>
      <c r="J107" s="50">
        <f ca="1">(IF(B95&gt;1.5,(H95/(B95+2)+J101+MAX(0,J102-J101)+MAX(0,J103-J102)+MAX(0,J104-J103)+MAX(0,J105-J104)+MAX(0,J106-J105)),IF(B95=1,(H95/(B95+3)+J106),IF(B95=0,H95/4+J106))))</f>
        <v>14</v>
      </c>
    </row>
    <row r="108" spans="1:10" ht="15.75" hidden="1" customHeight="1">
      <c r="A108" s="150" t="s">
        <v>101</v>
      </c>
      <c r="B108" s="151"/>
      <c r="C108" s="152" t="s">
        <v>137</v>
      </c>
      <c r="D108" s="153"/>
      <c r="E108" s="153"/>
      <c r="F108" s="153"/>
      <c r="G108" s="153"/>
      <c r="H108" s="154"/>
      <c r="I108" s="40" t="str">
        <f ca="1">IF(D121=100%,"All work Completed. Possession granted to the Building.",IF(D120=100%,"All work Completed, Waiting for OC",I109&amp;""&amp;I110&amp;""&amp;J109&amp;""&amp;J108&amp;" "&amp;J110))</f>
        <v>Excavation, Plinth Completed, RCC upto 14 Slab, Brickwork upto 9 Floor, Internal Plaster upto 3 Floor Completed</v>
      </c>
      <c r="J108" s="41" t="str">
        <f ca="1">(IF(C114=(D109+F109+H109),"",IF(C114&gt;0,", RCC upto "&amp;C114&amp;" Slab","")))&amp;(IF(C115=H109,"",IF(C115&gt;0,", Brickwork upto "&amp;C115&amp;" Floor","")))&amp;(IF(C116=H109,"",IF(C116&gt;0,", Internal Plaster upto "&amp;C116&amp;" Floor","")))&amp;(IF(C117=H109,"",IF(C117&gt;0,", External Plaster upto "&amp;C117&amp;" Floor","")))&amp;(IF(C118=H109,"",IF(C118&gt;0,", Flooring upto "&amp;C118&amp;" Floor","")))&amp;(IF(C119=H109,"",IF(C119&gt;0,", Painting upto "&amp;C119&amp;" Floor","")))&amp;(IF(C120=H109,"",IF(C120&gt;0,", Finishing upto "&amp;C120&amp;" Floor","")))&amp;(IF(C121=H109,"",IF(C121&gt;0,", Possession upto "&amp;C121&amp;" Floor","")))</f>
        <v>, RCC upto 14 Slab, Brickwork upto 9 Floor, Internal Plaster upto 3 Floor</v>
      </c>
    </row>
    <row r="109" spans="1:10" hidden="1">
      <c r="A109" s="28" t="s">
        <v>102</v>
      </c>
      <c r="B109" s="21">
        <v>0</v>
      </c>
      <c r="C109" s="21" t="s">
        <v>103</v>
      </c>
      <c r="D109" s="21">
        <v>1</v>
      </c>
      <c r="E109" s="21" t="s">
        <v>104</v>
      </c>
      <c r="F109" s="21">
        <v>0</v>
      </c>
      <c r="G109" s="21" t="s">
        <v>105</v>
      </c>
      <c r="H109" s="29">
        <f ca="1">--TRIM(RIGHT(SUBSTITUTE(LEFT(C108,_xlfn.AGGREGATE(16,6,FIND({0,1,2,3,4,5,6,7,8,9},C108,ROW(INDIRECT("1:"&amp;LEN(C108)))),1))," ",REPT(" ",LEN(C108))),LEN(C108)))</f>
        <v>14</v>
      </c>
      <c r="I109" s="42" t="str">
        <f ca="1">IF(D112=100%,"Excavation","")&amp;IF(D113=100%,", Plinth","")&amp;IF(D114=100%,", RCC Slab","")&amp;IF(D115=100%,", Brickwork","")&amp;IF(D116=100%,", Internal Plaster","")&amp;IF(D117=100%,", External Plaster","")&amp;IF(D118=100%,", Flooring","")&amp;IF(D119=100%,", Painting","")&amp;IF(D120=100%,", Building common Amenities","")</f>
        <v>Excavation, Plinth</v>
      </c>
      <c r="J109" s="43" t="str">
        <f ca="1">(IF(C112=0,"Work not yet Started.",IF(D112=25%,"Piling work in process",IF(D112=50%,"Excavation work in process",IF(D112=100%,"","0")))))&amp;(IF(C113=0%,"",IF(C113=J114,", Footing work is process",IF(C113=J115,", Footing work Completed",IF(C113=J116,", 1st Basement Completed",IF(C113=J117,", 1st &amp; 2nd Basement Completed",IF(C113=J118,", 1st to 3rd Basement Completed",IF(C113=J119,", 1st to 4th Basement Completed",IF(C113=J120,", Plinth work is process",IF(C113=J121,"","0"))))))))))</f>
        <v/>
      </c>
    </row>
    <row r="110" spans="1:10" ht="32.25" hidden="1" customHeight="1">
      <c r="A110" s="132" t="s">
        <v>106</v>
      </c>
      <c r="B110" s="81"/>
      <c r="C110" s="121" t="str">
        <f ca="1">(IF($G$52="NA",I108,"All work Completed. OC Received."))</f>
        <v>Excavation, Plinth Completed, RCC upto 14 Slab, Brickwork upto 9 Floor, Internal Plaster upto 3 Floor Completed</v>
      </c>
      <c r="D110" s="121"/>
      <c r="E110" s="121"/>
      <c r="F110" s="121"/>
      <c r="G110" s="121"/>
      <c r="H110" s="133"/>
      <c r="I110" s="42" t="str">
        <f ca="1">IF(I109&lt;&gt;""," Completed","")</f>
        <v xml:space="preserve"> Completed</v>
      </c>
      <c r="J110" s="43" t="str">
        <f ca="1">IF(J108&lt;&gt;"","Completed","")</f>
        <v>Completed</v>
      </c>
    </row>
    <row r="111" spans="1:10" ht="15.75" hidden="1" customHeight="1">
      <c r="A111" s="122" t="s">
        <v>107</v>
      </c>
      <c r="B111" s="123"/>
      <c r="C111" s="30" t="s">
        <v>108</v>
      </c>
      <c r="D111" s="30" t="s">
        <v>109</v>
      </c>
      <c r="E111" s="123" t="s">
        <v>110</v>
      </c>
      <c r="F111" s="123"/>
      <c r="G111" s="123" t="s">
        <v>111</v>
      </c>
      <c r="H111" s="124"/>
      <c r="I111" s="44" t="s">
        <v>112</v>
      </c>
      <c r="J111" s="45">
        <f ca="1">H109*25%</f>
        <v>3.5</v>
      </c>
    </row>
    <row r="112" spans="1:10" hidden="1">
      <c r="A112" s="122" t="s">
        <v>113</v>
      </c>
      <c r="B112" s="123"/>
      <c r="C112" s="30">
        <v>14</v>
      </c>
      <c r="D112" s="31">
        <f ca="1">((100/H109)*C112)/100</f>
        <v>1</v>
      </c>
      <c r="E112" s="134">
        <f ca="1">(((C113/H109*10)+(40/(D109+F109+H109)*C114)+(7.5/(H109)*C115)+(7.5/(H109)*C116)+(10/H109*C117)+(10/H109*C118)+(5/H109*C119)+(5/H109*C120)+(5/H109*C121))/100)</f>
        <v>0.53761904761904755</v>
      </c>
      <c r="F112" s="135"/>
      <c r="G112" s="134">
        <f ca="1">((((C112/H109)*20)+((C113/H109)*25)+(30/(H109+F109+D109)*C114)+(5/H109*C115)+(5/H109*C116)+(5/H109*C117)+(5/H109*C118)+(0/H109*C119)+(0/H109*C120)+(5/H109*C121))/100)</f>
        <v>0.7728571428571428</v>
      </c>
      <c r="H112" s="140"/>
      <c r="I112" s="44" t="s">
        <v>114</v>
      </c>
      <c r="J112" s="46">
        <f ca="1">H109*50%</f>
        <v>7</v>
      </c>
    </row>
    <row r="113" spans="1:13" hidden="1">
      <c r="A113" s="122" t="s">
        <v>115</v>
      </c>
      <c r="B113" s="123"/>
      <c r="C113" s="32">
        <f ca="1">J121</f>
        <v>14</v>
      </c>
      <c r="D113" s="31">
        <f ca="1">((100/H109)*C113)/100</f>
        <v>1</v>
      </c>
      <c r="E113" s="136"/>
      <c r="F113" s="137"/>
      <c r="G113" s="136"/>
      <c r="H113" s="141"/>
      <c r="I113" s="44" t="s">
        <v>116</v>
      </c>
      <c r="J113" s="46">
        <f ca="1">H109</f>
        <v>14</v>
      </c>
    </row>
    <row r="114" spans="1:13" ht="15.75" hidden="1" customHeight="1">
      <c r="A114" s="122" t="s">
        <v>117</v>
      </c>
      <c r="B114" s="123"/>
      <c r="C114" s="30">
        <v>14</v>
      </c>
      <c r="D114" s="31">
        <f ca="1">((100/(D109+F109+H109))*C114)/100</f>
        <v>0.93333333333333346</v>
      </c>
      <c r="E114" s="136"/>
      <c r="F114" s="137"/>
      <c r="G114" s="136"/>
      <c r="H114" s="141"/>
      <c r="I114" s="44" t="s">
        <v>118</v>
      </c>
      <c r="J114" s="47">
        <f ca="1">(IF(B109&gt;1,(H109/(B109+2)),H109/4))</f>
        <v>3.5</v>
      </c>
    </row>
    <row r="115" spans="1:13" ht="15.75" hidden="1" customHeight="1">
      <c r="A115" s="122" t="s">
        <v>119</v>
      </c>
      <c r="B115" s="123" t="s">
        <v>120</v>
      </c>
      <c r="C115" s="30">
        <v>9</v>
      </c>
      <c r="D115" s="31">
        <f ca="1">((100/H109)*C115)/100</f>
        <v>0.6428571428571429</v>
      </c>
      <c r="E115" s="136"/>
      <c r="F115" s="137"/>
      <c r="G115" s="136"/>
      <c r="H115" s="141"/>
      <c r="I115" s="44" t="s">
        <v>121</v>
      </c>
      <c r="J115" s="47">
        <f ca="1">(IF(B109&gt;1,(H109/(B109+2)+J114),H109/4+J114))</f>
        <v>7</v>
      </c>
    </row>
    <row r="116" spans="1:13" ht="15.75" hidden="1" customHeight="1">
      <c r="A116" s="122" t="s">
        <v>122</v>
      </c>
      <c r="B116" s="123" t="s">
        <v>120</v>
      </c>
      <c r="C116" s="30">
        <v>3</v>
      </c>
      <c r="D116" s="31">
        <f ca="1">((100/H109)*C116)/100</f>
        <v>0.2142857142857143</v>
      </c>
      <c r="E116" s="136"/>
      <c r="F116" s="137"/>
      <c r="G116" s="136"/>
      <c r="H116" s="141"/>
      <c r="I116" s="44" t="s">
        <v>123</v>
      </c>
      <c r="J116" s="47">
        <f>(IF(B109&gt;1,(H109/(B109+2)+J115),0))</f>
        <v>0</v>
      </c>
    </row>
    <row r="117" spans="1:13" ht="15" hidden="1" customHeight="1">
      <c r="A117" s="122" t="s">
        <v>124</v>
      </c>
      <c r="B117" s="123" t="s">
        <v>125</v>
      </c>
      <c r="C117" s="30">
        <v>0</v>
      </c>
      <c r="D117" s="31">
        <f ca="1">((100/(H109))*C117)/100</f>
        <v>0</v>
      </c>
      <c r="E117" s="136"/>
      <c r="F117" s="137"/>
      <c r="G117" s="136"/>
      <c r="H117" s="141"/>
      <c r="I117" s="44" t="s">
        <v>126</v>
      </c>
      <c r="J117" s="47">
        <f>(IF(B109&gt;2,(H109/(B109+2)+J116),0))</f>
        <v>0</v>
      </c>
    </row>
    <row r="118" spans="1:13" ht="15.75" hidden="1" customHeight="1">
      <c r="A118" s="122" t="s">
        <v>127</v>
      </c>
      <c r="B118" s="123" t="s">
        <v>127</v>
      </c>
      <c r="C118" s="30">
        <v>0</v>
      </c>
      <c r="D118" s="31">
        <f ca="1">((100/H109)*C118)/100</f>
        <v>0</v>
      </c>
      <c r="E118" s="136"/>
      <c r="F118" s="137"/>
      <c r="G118" s="136"/>
      <c r="H118" s="141"/>
      <c r="I118" s="44" t="s">
        <v>128</v>
      </c>
      <c r="J118" s="48">
        <f>(IF(B109&gt;3,(H109/(B109+2)+J117),0))</f>
        <v>0</v>
      </c>
    </row>
    <row r="119" spans="1:13" ht="15.75" hidden="1" customHeight="1">
      <c r="A119" s="122" t="s">
        <v>129</v>
      </c>
      <c r="B119" s="123"/>
      <c r="C119" s="30">
        <v>0</v>
      </c>
      <c r="D119" s="31">
        <f ca="1">((100/H109)*C119)/100</f>
        <v>0</v>
      </c>
      <c r="E119" s="136"/>
      <c r="F119" s="137"/>
      <c r="G119" s="136"/>
      <c r="H119" s="141"/>
      <c r="I119" s="44" t="s">
        <v>130</v>
      </c>
      <c r="J119" s="47">
        <f>(IF(B109&gt;4,(H109/(B109+2)+J118),0))</f>
        <v>0</v>
      </c>
    </row>
    <row r="120" spans="1:13" ht="15.75" hidden="1" customHeight="1">
      <c r="A120" s="122" t="s">
        <v>131</v>
      </c>
      <c r="B120" s="123" t="s">
        <v>131</v>
      </c>
      <c r="C120" s="30">
        <v>0</v>
      </c>
      <c r="D120" s="31">
        <f ca="1">((100/(H109))*C120)/100</f>
        <v>0</v>
      </c>
      <c r="E120" s="136"/>
      <c r="F120" s="137"/>
      <c r="G120" s="136"/>
      <c r="H120" s="141"/>
      <c r="I120" s="44" t="s">
        <v>132</v>
      </c>
      <c r="J120" s="47">
        <f ca="1">(IF(B109=1,(H109/(B109+3)+J115),IF(B109=0,(H109/4+J115),IF(B109&gt;1,0))))</f>
        <v>10.5</v>
      </c>
    </row>
    <row r="121" spans="1:13" hidden="1">
      <c r="A121" s="156" t="s">
        <v>133</v>
      </c>
      <c r="B121" s="157"/>
      <c r="C121" s="36">
        <v>0</v>
      </c>
      <c r="D121" s="37">
        <f ca="1">((100/(H109))*C121)/100</f>
        <v>0</v>
      </c>
      <c r="E121" s="136"/>
      <c r="F121" s="137"/>
      <c r="G121" s="136"/>
      <c r="H121" s="141"/>
      <c r="I121" s="49" t="s">
        <v>134</v>
      </c>
      <c r="J121" s="50">
        <f ca="1">(IF(B109&gt;1.5,(H109/(B109+2)+J115+MAX(0,J116-J115)+MAX(0,J117-J116)+MAX(0,J118-J117)+MAX(0,J119-J118)+MAX(0,J120-J119)),IF(B109=1,(H109/(B109+3)+J120),IF(B109=0,H109/4+J120))))</f>
        <v>14</v>
      </c>
    </row>
    <row r="122" spans="1:13" ht="38.25" hidden="1" customHeight="1">
      <c r="A122" s="158" t="s">
        <v>138</v>
      </c>
      <c r="B122" s="159"/>
      <c r="C122" s="160" t="s">
        <v>110</v>
      </c>
      <c r="D122" s="161"/>
      <c r="E122" s="38">
        <f ca="1">AVERAGE(E98,E112)</f>
        <v>0.62952380952380949</v>
      </c>
      <c r="F122" s="162" t="s">
        <v>111</v>
      </c>
      <c r="G122" s="162"/>
      <c r="H122" s="39">
        <f ca="1">AVERAGE(G98,G112)</f>
        <v>0.82928571428571418</v>
      </c>
      <c r="I122" s="49" t="s">
        <v>134</v>
      </c>
      <c r="J122" s="50">
        <f ca="1">(IF(B110&gt;1.5,(H110/(B110+2)+J116+MAX(0,J117-J116)+MAX(0,J118-J117)+MAX(0,J119-J118)+MAX(0,J120-J119)+MAX(0,J121-J120)),IF(B110=1,(H110/(B110+3)+J121),IF(B110=0,H110/4+J121))))</f>
        <v>14</v>
      </c>
    </row>
    <row r="123" spans="1:13">
      <c r="A123" s="163" t="s">
        <v>139</v>
      </c>
      <c r="B123" s="163"/>
      <c r="C123" s="163"/>
      <c r="D123" s="163"/>
      <c r="E123" s="163"/>
      <c r="F123" s="164" t="s">
        <v>140</v>
      </c>
      <c r="G123" s="164"/>
      <c r="H123" s="164"/>
    </row>
    <row r="124" spans="1:13">
      <c r="A124" s="83" t="s">
        <v>141</v>
      </c>
      <c r="B124" s="83"/>
      <c r="C124" s="83"/>
      <c r="D124" s="83"/>
      <c r="E124" s="83"/>
      <c r="F124" s="165">
        <v>6000</v>
      </c>
      <c r="G124" s="165"/>
      <c r="H124" s="165"/>
      <c r="I124" s="51" t="s">
        <v>142</v>
      </c>
      <c r="J124" s="51"/>
      <c r="K124" s="51" t="s">
        <v>143</v>
      </c>
      <c r="L124" s="51" t="s">
        <v>144</v>
      </c>
      <c r="M124" s="52">
        <v>44973</v>
      </c>
    </row>
    <row r="125" spans="1:13">
      <c r="A125" s="83" t="s">
        <v>145</v>
      </c>
      <c r="B125" s="83"/>
      <c r="C125" s="83"/>
      <c r="D125" s="83"/>
      <c r="E125" s="83"/>
      <c r="F125" s="166">
        <v>10000</v>
      </c>
      <c r="G125" s="166"/>
      <c r="H125" s="166"/>
    </row>
    <row r="126" spans="1:13">
      <c r="A126" s="83" t="s">
        <v>146</v>
      </c>
      <c r="B126" s="83"/>
      <c r="C126" s="83"/>
      <c r="D126" s="83"/>
      <c r="E126" s="83"/>
      <c r="F126" s="166">
        <v>8500</v>
      </c>
      <c r="G126" s="166"/>
      <c r="H126" s="166"/>
    </row>
    <row r="127" spans="1:13" s="15" customFormat="1" hidden="1">
      <c r="A127" s="83" t="s">
        <v>147</v>
      </c>
      <c r="B127" s="83"/>
      <c r="C127" s="83"/>
      <c r="D127" s="83"/>
      <c r="E127" s="83"/>
      <c r="F127" s="166"/>
      <c r="G127" s="166"/>
      <c r="H127" s="166"/>
    </row>
    <row r="128" spans="1:13" s="15" customFormat="1">
      <c r="A128" s="83" t="s">
        <v>148</v>
      </c>
      <c r="B128" s="83"/>
      <c r="C128" s="83"/>
      <c r="D128" s="83"/>
      <c r="E128" s="83"/>
      <c r="F128" s="166">
        <v>150000</v>
      </c>
      <c r="G128" s="166"/>
      <c r="H128" s="166"/>
    </row>
    <row r="129" spans="1:14" s="15" customFormat="1">
      <c r="A129" s="83" t="s">
        <v>149</v>
      </c>
      <c r="B129" s="83"/>
      <c r="C129" s="83"/>
      <c r="D129" s="83"/>
      <c r="E129" s="83"/>
      <c r="F129" s="166">
        <v>100000</v>
      </c>
      <c r="G129" s="166"/>
      <c r="H129" s="166"/>
    </row>
    <row r="130" spans="1:14" s="15" customFormat="1" hidden="1">
      <c r="A130" s="83" t="s">
        <v>150</v>
      </c>
      <c r="B130" s="83"/>
      <c r="C130" s="83"/>
      <c r="D130" s="83"/>
      <c r="E130" s="83"/>
      <c r="F130" s="166"/>
      <c r="G130" s="166"/>
      <c r="H130" s="166"/>
    </row>
    <row r="131" spans="1:14" s="15" customFormat="1" hidden="1">
      <c r="A131" s="83" t="s">
        <v>151</v>
      </c>
      <c r="B131" s="83"/>
      <c r="C131" s="83"/>
      <c r="D131" s="83"/>
      <c r="E131" s="83"/>
      <c r="F131" s="166"/>
      <c r="G131" s="166"/>
      <c r="H131" s="166"/>
    </row>
    <row r="132" spans="1:14" s="15" customFormat="1">
      <c r="A132" s="83" t="s">
        <v>152</v>
      </c>
      <c r="B132" s="83"/>
      <c r="C132" s="83"/>
      <c r="D132" s="83"/>
      <c r="E132" s="83"/>
      <c r="F132" s="166">
        <v>50000</v>
      </c>
      <c r="G132" s="166"/>
      <c r="H132" s="166"/>
    </row>
    <row r="133" spans="1:14" s="15" customFormat="1" hidden="1">
      <c r="A133" s="83" t="s">
        <v>153</v>
      </c>
      <c r="B133" s="83"/>
      <c r="C133" s="83"/>
      <c r="D133" s="83"/>
      <c r="E133" s="83"/>
      <c r="F133" s="166"/>
      <c r="G133" s="166"/>
      <c r="H133" s="166"/>
    </row>
    <row r="134" spans="1:14" s="15" customFormat="1" hidden="1">
      <c r="A134" s="83" t="s">
        <v>154</v>
      </c>
      <c r="B134" s="83"/>
      <c r="C134" s="83"/>
      <c r="D134" s="83"/>
      <c r="E134" s="83"/>
      <c r="F134" s="167"/>
      <c r="G134" s="167"/>
      <c r="H134" s="167"/>
      <c r="N134" s="58"/>
    </row>
    <row r="135" spans="1:14">
      <c r="A135" s="83" t="s">
        <v>155</v>
      </c>
      <c r="B135" s="83"/>
      <c r="C135" s="83"/>
      <c r="D135" s="83"/>
      <c r="E135" s="83"/>
      <c r="F135" s="166">
        <v>200000</v>
      </c>
      <c r="G135" s="166"/>
      <c r="H135" s="166"/>
    </row>
    <row r="136" spans="1:14" s="16" customFormat="1">
      <c r="A136" s="92" t="s">
        <v>156</v>
      </c>
      <c r="B136" s="92"/>
      <c r="C136" s="92"/>
      <c r="D136" s="92"/>
      <c r="E136" s="92"/>
      <c r="F136" s="166">
        <f>F124*0.8</f>
        <v>4800</v>
      </c>
      <c r="G136" s="166"/>
      <c r="H136" s="166"/>
    </row>
    <row r="137" spans="1:14" s="17" customFormat="1" ht="15.75" customHeight="1">
      <c r="A137" s="168" t="s">
        <v>157</v>
      </c>
      <c r="B137" s="168"/>
      <c r="C137" s="168"/>
      <c r="D137" s="168"/>
      <c r="E137" s="168"/>
      <c r="F137" s="168"/>
      <c r="G137" s="168"/>
      <c r="H137" s="168"/>
    </row>
    <row r="138" spans="1:14" s="17" customFormat="1" ht="15.75" customHeight="1">
      <c r="A138" s="169" t="s">
        <v>158</v>
      </c>
      <c r="B138" s="169"/>
      <c r="C138" s="170" t="s">
        <v>159</v>
      </c>
      <c r="D138" s="170"/>
      <c r="E138" s="171" t="s">
        <v>160</v>
      </c>
      <c r="F138" s="171"/>
      <c r="G138" s="169" t="s">
        <v>161</v>
      </c>
      <c r="H138" s="169"/>
    </row>
    <row r="139" spans="1:14" s="17" customFormat="1">
      <c r="A139" s="172" t="s">
        <v>235</v>
      </c>
      <c r="B139" s="172"/>
      <c r="C139" s="173">
        <f>COUNT(D154:D178)</f>
        <v>25</v>
      </c>
      <c r="D139" s="174"/>
      <c r="E139" s="175">
        <f>SUM(D154:D178)</f>
        <v>7848.2476799999995</v>
      </c>
      <c r="F139" s="176"/>
      <c r="G139" s="175">
        <f>SUM(F154:F178)</f>
        <v>12557.196287999999</v>
      </c>
      <c r="H139" s="176"/>
    </row>
    <row r="140" spans="1:14" s="17" customFormat="1">
      <c r="A140" s="172" t="s">
        <v>236</v>
      </c>
      <c r="B140" s="172"/>
      <c r="C140" s="174">
        <f>COUNT(D180:D205)</f>
        <v>26</v>
      </c>
      <c r="D140" s="174"/>
      <c r="E140" s="175">
        <f>SUM(D180:D205)</f>
        <v>7995.9297599999991</v>
      </c>
      <c r="F140" s="176"/>
      <c r="G140" s="175">
        <f>SUM(F180:F205)</f>
        <v>12793.487616</v>
      </c>
      <c r="H140" s="176"/>
    </row>
    <row r="141" spans="1:14" s="17" customFormat="1">
      <c r="A141" s="168" t="s">
        <v>163</v>
      </c>
      <c r="B141" s="168"/>
      <c r="C141" s="177">
        <f>SUM(C139:D140)</f>
        <v>51</v>
      </c>
      <c r="D141" s="170"/>
      <c r="E141" s="178">
        <f>SUM(E139:F140)</f>
        <v>15844.177439999999</v>
      </c>
      <c r="F141" s="171"/>
      <c r="G141" s="169">
        <f>SUM(G139:H140)</f>
        <v>25350.683903999998</v>
      </c>
      <c r="H141" s="169"/>
    </row>
    <row r="142" spans="1:14" s="17" customFormat="1">
      <c r="A142" s="168" t="s">
        <v>164</v>
      </c>
      <c r="B142" s="168"/>
      <c r="C142" s="168"/>
      <c r="D142" s="168"/>
      <c r="E142" s="168"/>
      <c r="F142" s="168"/>
      <c r="G142" s="168"/>
      <c r="H142" s="168"/>
    </row>
    <row r="143" spans="1:14" s="17" customFormat="1" ht="15.75" customHeight="1">
      <c r="A143" s="169" t="s">
        <v>158</v>
      </c>
      <c r="B143" s="169"/>
      <c r="C143" s="170" t="s">
        <v>159</v>
      </c>
      <c r="D143" s="170"/>
      <c r="E143" s="171" t="s">
        <v>160</v>
      </c>
      <c r="F143" s="171"/>
      <c r="G143" s="169" t="s">
        <v>161</v>
      </c>
      <c r="H143" s="169"/>
    </row>
    <row r="144" spans="1:14" s="17" customFormat="1">
      <c r="A144" s="172" t="s">
        <v>162</v>
      </c>
      <c r="B144" s="172"/>
      <c r="C144" s="173">
        <f>COUNT(D211:D219)+COUNT(D221:D236)+COUNT(D238:D253)*10+COUNT(D255:D270)*2</f>
        <v>217</v>
      </c>
      <c r="D144" s="174"/>
      <c r="E144" s="175">
        <f>SUM(D211:D219)+SUM(D221:D236)+SUM(D238:D253)*10+SUM(D255:D270)*2</f>
        <v>110127.96943199998</v>
      </c>
      <c r="F144" s="176"/>
      <c r="G144" s="175">
        <f>SUM(F211:F219)+SUM(F221:F236)+SUM(F238:F253)*10+SUM(F255:F270)*2</f>
        <v>165854.26306799991</v>
      </c>
      <c r="H144" s="176"/>
    </row>
    <row r="145" spans="1:14" s="17" customFormat="1">
      <c r="A145" s="172" t="s">
        <v>165</v>
      </c>
      <c r="B145" s="172"/>
      <c r="C145" s="173">
        <f>COUNT(D274:D289)*12+COUNT(D291:D306)*2</f>
        <v>224</v>
      </c>
      <c r="D145" s="173"/>
      <c r="E145" s="175">
        <f>SUM(D274:D289)*12+SUM(D291:D306)*2</f>
        <v>99355.003020000018</v>
      </c>
      <c r="F145" s="175"/>
      <c r="G145" s="175">
        <f>SUM(F274:F289)*12+SUM(F291:F306)*2</f>
        <v>149032.50452999998</v>
      </c>
      <c r="H145" s="175"/>
    </row>
    <row r="146" spans="1:14" s="17" customFormat="1">
      <c r="A146" s="168" t="s">
        <v>163</v>
      </c>
      <c r="B146" s="168"/>
      <c r="C146" s="177">
        <f>SUM(C144:D145)</f>
        <v>441</v>
      </c>
      <c r="D146" s="170"/>
      <c r="E146" s="178">
        <f>SUM(E144:F145)</f>
        <v>209482.97245200002</v>
      </c>
      <c r="F146" s="171"/>
      <c r="G146" s="169">
        <f>SUM(G144:H145)</f>
        <v>314886.76759799989</v>
      </c>
      <c r="H146" s="169"/>
    </row>
    <row r="147" spans="1:14" s="17" customFormat="1">
      <c r="A147" s="168" t="s">
        <v>166</v>
      </c>
      <c r="B147" s="168"/>
      <c r="C147" s="177">
        <f>C139+C146</f>
        <v>466</v>
      </c>
      <c r="D147" s="170"/>
      <c r="E147" s="177">
        <f>E139+E146</f>
        <v>217331.22013200002</v>
      </c>
      <c r="F147" s="170"/>
      <c r="G147" s="177">
        <f>G139+G146</f>
        <v>327443.96388599987</v>
      </c>
      <c r="H147" s="170"/>
    </row>
    <row r="148" spans="1:14" s="16" customFormat="1">
      <c r="A148" s="77" t="s">
        <v>167</v>
      </c>
      <c r="B148" s="77"/>
      <c r="C148" s="77"/>
      <c r="D148" s="77"/>
      <c r="E148" s="77"/>
      <c r="F148" s="77"/>
      <c r="G148" s="77"/>
      <c r="H148" s="77"/>
    </row>
    <row r="149" spans="1:14">
      <c r="A149" s="77" t="s">
        <v>168</v>
      </c>
      <c r="B149" s="77"/>
      <c r="C149" s="77"/>
      <c r="D149" s="77"/>
      <c r="E149" s="77"/>
      <c r="F149" s="77"/>
      <c r="G149" s="77"/>
      <c r="H149" s="77"/>
    </row>
    <row r="150" spans="1:14" ht="47.25" customHeight="1">
      <c r="A150" s="196" t="s">
        <v>169</v>
      </c>
      <c r="B150" s="196" t="s">
        <v>170</v>
      </c>
      <c r="C150" s="196" t="s">
        <v>171</v>
      </c>
      <c r="D150" s="196" t="s">
        <v>172</v>
      </c>
      <c r="E150" s="199" t="s">
        <v>173</v>
      </c>
      <c r="F150" s="54" t="s">
        <v>174</v>
      </c>
      <c r="G150" s="209" t="s">
        <v>175</v>
      </c>
      <c r="H150" s="210"/>
    </row>
    <row r="151" spans="1:14" s="18" customFormat="1">
      <c r="A151" s="197"/>
      <c r="B151" s="197"/>
      <c r="C151" s="197"/>
      <c r="D151" s="197"/>
      <c r="E151" s="200"/>
      <c r="F151" s="55">
        <v>0.6</v>
      </c>
      <c r="G151" s="211"/>
      <c r="H151" s="212"/>
    </row>
    <row r="152" spans="1:14" s="18" customFormat="1">
      <c r="A152" s="179" t="s">
        <v>176</v>
      </c>
      <c r="B152" s="180"/>
      <c r="C152" s="180"/>
      <c r="D152" s="180"/>
      <c r="E152" s="180"/>
      <c r="F152" s="180"/>
      <c r="G152" s="180"/>
      <c r="H152" s="181"/>
      <c r="J152" s="59"/>
    </row>
    <row r="153" spans="1:14" s="18" customFormat="1">
      <c r="A153" s="182" t="s">
        <v>225</v>
      </c>
      <c r="B153" s="182"/>
      <c r="C153" s="182"/>
      <c r="D153" s="182"/>
      <c r="E153" s="182"/>
      <c r="F153" s="182"/>
      <c r="G153" s="182"/>
      <c r="H153" s="182"/>
      <c r="J153" s="59"/>
    </row>
    <row r="154" spans="1:14" s="18" customFormat="1" ht="15.75" customHeight="1">
      <c r="A154" s="183">
        <v>1</v>
      </c>
      <c r="B154" s="183"/>
      <c r="C154" s="69" t="s">
        <v>177</v>
      </c>
      <c r="D154" s="57">
        <f>(28.93)*10.764</f>
        <v>311.40251999999998</v>
      </c>
      <c r="E154" s="69">
        <v>0</v>
      </c>
      <c r="F154" s="69">
        <f>(D154+E154)*(($F$151)+1)</f>
        <v>498.244032</v>
      </c>
      <c r="G154" s="183" t="str">
        <f>A153</f>
        <v>Ground Floor For Commercial, Meter Room &amp; Parking</v>
      </c>
      <c r="H154" s="183"/>
      <c r="I154" s="63">
        <f>5*5.65</f>
        <v>28.25</v>
      </c>
      <c r="L154" s="184"/>
      <c r="M154" s="184"/>
      <c r="N154" s="59"/>
    </row>
    <row r="155" spans="1:14" s="18" customFormat="1" ht="15.75" customHeight="1">
      <c r="A155" s="183">
        <f t="shared" ref="A155:A178" si="0">A154+1</f>
        <v>2</v>
      </c>
      <c r="B155" s="183"/>
      <c r="C155" s="69" t="s">
        <v>177</v>
      </c>
      <c r="D155" s="57">
        <f>(18.37)*10.764</f>
        <v>197.73468</v>
      </c>
      <c r="E155" s="69">
        <v>0</v>
      </c>
      <c r="F155" s="69">
        <f t="shared" ref="F155:F158" si="1">(D155+E155)*(($F$151)+1)</f>
        <v>316.37548800000002</v>
      </c>
      <c r="G155" s="183"/>
      <c r="H155" s="183"/>
      <c r="I155" s="59">
        <f>2.75*6.55</f>
        <v>18.012499999999999</v>
      </c>
      <c r="L155" s="184"/>
      <c r="M155" s="184"/>
      <c r="N155" s="59"/>
    </row>
    <row r="156" spans="1:14" s="18" customFormat="1" ht="15.75" customHeight="1">
      <c r="A156" s="183">
        <f t="shared" si="0"/>
        <v>3</v>
      </c>
      <c r="B156" s="183"/>
      <c r="C156" s="69" t="s">
        <v>177</v>
      </c>
      <c r="D156" s="57">
        <f>(22.79)*10.764</f>
        <v>245.31155999999999</v>
      </c>
      <c r="E156" s="69">
        <v>0</v>
      </c>
      <c r="F156" s="69">
        <f t="shared" si="1"/>
        <v>392.49849599999999</v>
      </c>
      <c r="G156" s="183"/>
      <c r="H156" s="183"/>
      <c r="I156" s="59"/>
      <c r="J156" s="57">
        <f>10.764</f>
        <v>10.763999999999999</v>
      </c>
      <c r="L156" s="184"/>
      <c r="M156" s="184"/>
      <c r="N156" s="59"/>
    </row>
    <row r="157" spans="1:14" s="18" customFormat="1" ht="15.75" customHeight="1">
      <c r="A157" s="183">
        <f t="shared" si="0"/>
        <v>4</v>
      </c>
      <c r="B157" s="183"/>
      <c r="C157" s="69" t="s">
        <v>177</v>
      </c>
      <c r="D157" s="57">
        <f>(18.19)*10.764</f>
        <v>195.79715999999999</v>
      </c>
      <c r="E157" s="69">
        <v>0</v>
      </c>
      <c r="F157" s="69">
        <f t="shared" si="1"/>
        <v>313.27545600000002</v>
      </c>
      <c r="G157" s="183"/>
      <c r="H157" s="183"/>
      <c r="I157" s="59"/>
      <c r="J157" s="18">
        <v>764</v>
      </c>
      <c r="L157" s="184"/>
      <c r="M157" s="184"/>
      <c r="N157" s="59"/>
    </row>
    <row r="158" spans="1:14" s="18" customFormat="1" ht="15.75" customHeight="1">
      <c r="A158" s="183">
        <f t="shared" si="0"/>
        <v>5</v>
      </c>
      <c r="B158" s="183"/>
      <c r="C158" s="69" t="s">
        <v>177</v>
      </c>
      <c r="D158" s="57">
        <f>(49.44)*10.764</f>
        <v>532.17215999999996</v>
      </c>
      <c r="E158" s="69">
        <v>0</v>
      </c>
      <c r="F158" s="69">
        <f t="shared" si="1"/>
        <v>851.47545600000001</v>
      </c>
      <c r="G158" s="183"/>
      <c r="H158" s="183"/>
      <c r="I158" s="59"/>
      <c r="L158" s="184"/>
      <c r="M158" s="184"/>
      <c r="N158" s="59"/>
    </row>
    <row r="159" spans="1:14" s="18" customFormat="1" ht="15.75" customHeight="1">
      <c r="A159" s="183">
        <f t="shared" si="0"/>
        <v>6</v>
      </c>
      <c r="B159" s="183"/>
      <c r="C159" s="69" t="s">
        <v>177</v>
      </c>
      <c r="D159" s="57">
        <f>(20.58)*10.764</f>
        <v>221.52311999999998</v>
      </c>
      <c r="E159" s="69">
        <v>0</v>
      </c>
      <c r="F159" s="69">
        <f t="shared" ref="F159:F162" si="2">(D159+E159)*(($F$151)+1)</f>
        <v>354.43699199999998</v>
      </c>
      <c r="G159" s="183"/>
      <c r="H159" s="183"/>
      <c r="I159" s="59"/>
      <c r="L159" s="184"/>
      <c r="M159" s="184"/>
      <c r="N159" s="59"/>
    </row>
    <row r="160" spans="1:14" s="18" customFormat="1" ht="15.75" customHeight="1">
      <c r="A160" s="183">
        <f t="shared" si="0"/>
        <v>7</v>
      </c>
      <c r="B160" s="183"/>
      <c r="C160" s="69" t="s">
        <v>177</v>
      </c>
      <c r="D160" s="57">
        <f>(25.65)*10.764</f>
        <v>276.09659999999997</v>
      </c>
      <c r="E160" s="69">
        <v>0</v>
      </c>
      <c r="F160" s="69">
        <f t="shared" si="2"/>
        <v>441.75455999999997</v>
      </c>
      <c r="G160" s="183"/>
      <c r="H160" s="183"/>
      <c r="I160" s="59"/>
      <c r="L160" s="184"/>
      <c r="M160" s="184"/>
      <c r="N160" s="59"/>
    </row>
    <row r="161" spans="1:14" s="18" customFormat="1" ht="15.75" customHeight="1">
      <c r="A161" s="183">
        <f t="shared" si="0"/>
        <v>8</v>
      </c>
      <c r="B161" s="183"/>
      <c r="C161" s="69" t="s">
        <v>177</v>
      </c>
      <c r="D161" s="57">
        <f>(25.65)*10.764</f>
        <v>276.09659999999997</v>
      </c>
      <c r="E161" s="69">
        <v>0</v>
      </c>
      <c r="F161" s="69">
        <f t="shared" si="2"/>
        <v>441.75455999999997</v>
      </c>
      <c r="G161" s="183"/>
      <c r="H161" s="183"/>
      <c r="I161" s="59"/>
      <c r="L161" s="184"/>
      <c r="M161" s="184"/>
      <c r="N161" s="59"/>
    </row>
    <row r="162" spans="1:14" s="18" customFormat="1" ht="15.75" customHeight="1">
      <c r="A162" s="183">
        <f t="shared" si="0"/>
        <v>9</v>
      </c>
      <c r="B162" s="183"/>
      <c r="C162" s="69" t="s">
        <v>177</v>
      </c>
      <c r="D162" s="57">
        <f>(20.58)*10.764</f>
        <v>221.52311999999998</v>
      </c>
      <c r="E162" s="69">
        <v>0</v>
      </c>
      <c r="F162" s="69">
        <f t="shared" si="2"/>
        <v>354.43699199999998</v>
      </c>
      <c r="G162" s="183"/>
      <c r="H162" s="183"/>
      <c r="I162" s="59"/>
      <c r="L162" s="184"/>
      <c r="M162" s="184"/>
      <c r="N162" s="59"/>
    </row>
    <row r="163" spans="1:14" s="18" customFormat="1" ht="15.75" customHeight="1">
      <c r="A163" s="183">
        <f t="shared" si="0"/>
        <v>10</v>
      </c>
      <c r="B163" s="183"/>
      <c r="C163" s="69" t="s">
        <v>177</v>
      </c>
      <c r="D163" s="57">
        <f>(19.89)*10.764</f>
        <v>214.09595999999999</v>
      </c>
      <c r="E163" s="69">
        <v>0</v>
      </c>
      <c r="F163" s="69">
        <f t="shared" ref="F163:F166" si="3">(D163+E163)*(($F$151)+1)</f>
        <v>342.55353600000001</v>
      </c>
      <c r="G163" s="183"/>
      <c r="H163" s="183"/>
      <c r="I163" s="59"/>
      <c r="L163" s="184"/>
      <c r="M163" s="184"/>
      <c r="N163" s="59"/>
    </row>
    <row r="164" spans="1:14" s="18" customFormat="1" ht="15.75" customHeight="1">
      <c r="A164" s="183">
        <f t="shared" si="0"/>
        <v>11</v>
      </c>
      <c r="B164" s="183"/>
      <c r="C164" s="69" t="s">
        <v>177</v>
      </c>
      <c r="D164" s="57">
        <f>(22.38)*10.764</f>
        <v>240.89831999999998</v>
      </c>
      <c r="E164" s="69">
        <v>0</v>
      </c>
      <c r="F164" s="69">
        <f t="shared" si="3"/>
        <v>385.43731200000002</v>
      </c>
      <c r="G164" s="183"/>
      <c r="H164" s="183"/>
      <c r="I164" s="59"/>
      <c r="L164" s="184"/>
      <c r="M164" s="184"/>
      <c r="N164" s="59"/>
    </row>
    <row r="165" spans="1:14" s="18" customFormat="1" ht="15.75" customHeight="1">
      <c r="A165" s="183">
        <f t="shared" si="0"/>
        <v>12</v>
      </c>
      <c r="B165" s="183"/>
      <c r="C165" s="69" t="s">
        <v>177</v>
      </c>
      <c r="D165" s="57">
        <f>(22.78)*10.764</f>
        <v>245.20392000000001</v>
      </c>
      <c r="E165" s="69">
        <v>0</v>
      </c>
      <c r="F165" s="69">
        <f t="shared" si="3"/>
        <v>392.32627200000002</v>
      </c>
      <c r="G165" s="183"/>
      <c r="H165" s="183"/>
      <c r="I165" s="59"/>
      <c r="L165" s="184"/>
      <c r="M165" s="184"/>
      <c r="N165" s="59"/>
    </row>
    <row r="166" spans="1:14" s="18" customFormat="1" ht="15.75" customHeight="1">
      <c r="A166" s="183">
        <f t="shared" si="0"/>
        <v>13</v>
      </c>
      <c r="B166" s="183"/>
      <c r="C166" s="69" t="s">
        <v>177</v>
      </c>
      <c r="D166" s="57">
        <f>(15.73)*10.764</f>
        <v>169.31772000000001</v>
      </c>
      <c r="E166" s="69">
        <v>0</v>
      </c>
      <c r="F166" s="69">
        <f t="shared" si="3"/>
        <v>270.90835200000004</v>
      </c>
      <c r="G166" s="183"/>
      <c r="H166" s="183"/>
      <c r="I166" s="59"/>
      <c r="L166" s="184"/>
      <c r="M166" s="184"/>
      <c r="N166" s="59"/>
    </row>
    <row r="167" spans="1:14" s="18" customFormat="1" ht="15.75" customHeight="1">
      <c r="A167" s="183">
        <f t="shared" si="0"/>
        <v>14</v>
      </c>
      <c r="B167" s="183"/>
      <c r="C167" s="69" t="s">
        <v>177</v>
      </c>
      <c r="D167" s="57">
        <f>(27.96)*10.764</f>
        <v>300.96143999999998</v>
      </c>
      <c r="E167" s="69">
        <v>0</v>
      </c>
      <c r="F167" s="69">
        <f t="shared" ref="F167:F172" si="4">(D167+E167)*(($F$151)+1)</f>
        <v>481.53830399999998</v>
      </c>
      <c r="G167" s="183"/>
      <c r="H167" s="183"/>
      <c r="I167" s="59"/>
      <c r="L167" s="184"/>
      <c r="M167" s="184"/>
      <c r="N167" s="59"/>
    </row>
    <row r="168" spans="1:14" s="18" customFormat="1" ht="15.75" customHeight="1">
      <c r="A168" s="183">
        <f t="shared" si="0"/>
        <v>15</v>
      </c>
      <c r="B168" s="183"/>
      <c r="C168" s="69" t="s">
        <v>177</v>
      </c>
      <c r="D168" s="57">
        <f>(18.04)*10.764</f>
        <v>194.18255999999997</v>
      </c>
      <c r="E168" s="69">
        <v>0</v>
      </c>
      <c r="F168" s="69">
        <f t="shared" si="4"/>
        <v>310.69209599999999</v>
      </c>
      <c r="G168" s="183"/>
      <c r="H168" s="183"/>
      <c r="I168" s="59"/>
      <c r="L168" s="184"/>
      <c r="M168" s="184"/>
      <c r="N168" s="59"/>
    </row>
    <row r="169" spans="1:14" s="18" customFormat="1" ht="15.75" customHeight="1">
      <c r="A169" s="183">
        <f t="shared" si="0"/>
        <v>16</v>
      </c>
      <c r="B169" s="183"/>
      <c r="C169" s="69" t="s">
        <v>177</v>
      </c>
      <c r="D169" s="57">
        <f>(22.78)*10.764</f>
        <v>245.20392000000001</v>
      </c>
      <c r="E169" s="69">
        <v>0</v>
      </c>
      <c r="F169" s="69">
        <f t="shared" si="4"/>
        <v>392.32627200000002</v>
      </c>
      <c r="G169" s="183"/>
      <c r="H169" s="183"/>
      <c r="I169" s="59"/>
      <c r="L169" s="184"/>
      <c r="M169" s="184"/>
      <c r="N169" s="59"/>
    </row>
    <row r="170" spans="1:14" s="18" customFormat="1" ht="15.75" customHeight="1">
      <c r="A170" s="183">
        <f t="shared" si="0"/>
        <v>17</v>
      </c>
      <c r="B170" s="183"/>
      <c r="C170" s="69" t="s">
        <v>177</v>
      </c>
      <c r="D170" s="57">
        <f>(22.38)*10.764</f>
        <v>240.89831999999998</v>
      </c>
      <c r="E170" s="69">
        <v>0</v>
      </c>
      <c r="F170" s="69">
        <f t="shared" si="4"/>
        <v>385.43731200000002</v>
      </c>
      <c r="G170" s="183"/>
      <c r="H170" s="183"/>
      <c r="I170" s="59"/>
      <c r="L170" s="184"/>
      <c r="M170" s="184"/>
      <c r="N170" s="59"/>
    </row>
    <row r="171" spans="1:14" s="18" customFormat="1" ht="15.75" customHeight="1">
      <c r="A171" s="183">
        <f t="shared" si="0"/>
        <v>18</v>
      </c>
      <c r="B171" s="183"/>
      <c r="C171" s="69" t="s">
        <v>177</v>
      </c>
      <c r="D171" s="57">
        <f>(19.89)*10.764</f>
        <v>214.09595999999999</v>
      </c>
      <c r="E171" s="69">
        <v>0</v>
      </c>
      <c r="F171" s="69">
        <f t="shared" si="4"/>
        <v>342.55353600000001</v>
      </c>
      <c r="G171" s="183"/>
      <c r="H171" s="183"/>
      <c r="I171" s="59"/>
      <c r="L171" s="184"/>
      <c r="M171" s="184"/>
      <c r="N171" s="59"/>
    </row>
    <row r="172" spans="1:14" s="18" customFormat="1" ht="15.75" customHeight="1">
      <c r="A172" s="183">
        <f t="shared" si="0"/>
        <v>19</v>
      </c>
      <c r="B172" s="183"/>
      <c r="C172" s="69" t="s">
        <v>177</v>
      </c>
      <c r="D172" s="57">
        <f>(20.58)*10.764</f>
        <v>221.52311999999998</v>
      </c>
      <c r="E172" s="69">
        <v>0</v>
      </c>
      <c r="F172" s="69">
        <f t="shared" si="4"/>
        <v>354.43699199999998</v>
      </c>
      <c r="G172" s="183"/>
      <c r="H172" s="183"/>
      <c r="I172" s="59"/>
      <c r="L172" s="184"/>
      <c r="M172" s="184"/>
      <c r="N172" s="59"/>
    </row>
    <row r="173" spans="1:14" s="18" customFormat="1" ht="15.75" customHeight="1">
      <c r="A173" s="183">
        <f t="shared" si="0"/>
        <v>20</v>
      </c>
      <c r="B173" s="183"/>
      <c r="C173" s="69" t="s">
        <v>177</v>
      </c>
      <c r="D173" s="57">
        <f>(25.68)*10.764</f>
        <v>276.41951999999998</v>
      </c>
      <c r="E173" s="69">
        <v>0</v>
      </c>
      <c r="F173" s="69">
        <f t="shared" ref="F173:F176" si="5">(D173+E173)*(($F$151)+1)</f>
        <v>442.271232</v>
      </c>
      <c r="G173" s="183"/>
      <c r="H173" s="183"/>
      <c r="I173" s="59"/>
      <c r="L173" s="184"/>
      <c r="M173" s="184"/>
      <c r="N173" s="59"/>
    </row>
    <row r="174" spans="1:14" s="18" customFormat="1" ht="15.75" customHeight="1">
      <c r="A174" s="183">
        <f t="shared" si="0"/>
        <v>21</v>
      </c>
      <c r="B174" s="183"/>
      <c r="C174" s="69" t="s">
        <v>177</v>
      </c>
      <c r="D174" s="57">
        <f>(46.88)*10.764</f>
        <v>504.61631999999997</v>
      </c>
      <c r="E174" s="69">
        <v>0</v>
      </c>
      <c r="F174" s="69">
        <f t="shared" si="5"/>
        <v>807.38611200000003</v>
      </c>
      <c r="G174" s="183"/>
      <c r="H174" s="183"/>
      <c r="I174" s="59"/>
      <c r="L174" s="184"/>
      <c r="M174" s="184"/>
      <c r="N174" s="59"/>
    </row>
    <row r="175" spans="1:14" s="18" customFormat="1" ht="15.75" customHeight="1">
      <c r="A175" s="183">
        <f t="shared" si="0"/>
        <v>22</v>
      </c>
      <c r="B175" s="183"/>
      <c r="C175" s="69" t="s">
        <v>177</v>
      </c>
      <c r="D175" s="57">
        <f>(46.09)*10.764</f>
        <v>496.11275999999998</v>
      </c>
      <c r="E175" s="69">
        <v>0</v>
      </c>
      <c r="F175" s="69">
        <f t="shared" si="5"/>
        <v>793.78041600000006</v>
      </c>
      <c r="G175" s="183"/>
      <c r="H175" s="183"/>
      <c r="I175" s="59">
        <f>4.39*10.36</f>
        <v>45.480399999999996</v>
      </c>
      <c r="L175" s="184"/>
      <c r="M175" s="184"/>
      <c r="N175" s="59"/>
    </row>
    <row r="176" spans="1:14" s="18" customFormat="1" ht="15.75" customHeight="1">
      <c r="A176" s="183">
        <f t="shared" si="0"/>
        <v>23</v>
      </c>
      <c r="B176" s="183"/>
      <c r="C176" s="69" t="s">
        <v>177</v>
      </c>
      <c r="D176" s="57">
        <f>(74.94)*10.764</f>
        <v>806.65415999999993</v>
      </c>
      <c r="E176" s="69">
        <v>0</v>
      </c>
      <c r="F176" s="69">
        <f t="shared" si="5"/>
        <v>1290.6466559999999</v>
      </c>
      <c r="G176" s="183"/>
      <c r="H176" s="183"/>
      <c r="I176" s="59"/>
      <c r="L176" s="184"/>
      <c r="M176" s="184"/>
      <c r="N176" s="59"/>
    </row>
    <row r="177" spans="1:14" s="18" customFormat="1" ht="15.75" customHeight="1">
      <c r="A177" s="183">
        <f t="shared" si="0"/>
        <v>24</v>
      </c>
      <c r="B177" s="183"/>
      <c r="C177" s="69" t="s">
        <v>177</v>
      </c>
      <c r="D177" s="57">
        <f>(46.09)*10.764</f>
        <v>496.11275999999998</v>
      </c>
      <c r="E177" s="69">
        <v>0</v>
      </c>
      <c r="F177" s="69">
        <f t="shared" ref="F177:F178" si="6">(D177+E177)*(($F$151)+1)</f>
        <v>793.78041600000006</v>
      </c>
      <c r="G177" s="183"/>
      <c r="H177" s="183"/>
      <c r="I177" s="59"/>
      <c r="L177" s="184"/>
      <c r="M177" s="184"/>
      <c r="N177" s="59"/>
    </row>
    <row r="178" spans="1:14" s="18" customFormat="1" ht="15.75" customHeight="1">
      <c r="A178" s="183">
        <f t="shared" si="0"/>
        <v>25</v>
      </c>
      <c r="B178" s="183"/>
      <c r="C178" s="69" t="s">
        <v>177</v>
      </c>
      <c r="D178" s="57">
        <f>(46.85)*10.764</f>
        <v>504.29339999999996</v>
      </c>
      <c r="E178" s="69">
        <v>0</v>
      </c>
      <c r="F178" s="69">
        <f t="shared" si="6"/>
        <v>806.86943999999994</v>
      </c>
      <c r="G178" s="183"/>
      <c r="H178" s="183"/>
      <c r="I178" s="59"/>
      <c r="L178" s="184"/>
      <c r="M178" s="184"/>
      <c r="N178" s="59"/>
    </row>
    <row r="179" spans="1:14" s="18" customFormat="1">
      <c r="A179" s="182" t="s">
        <v>226</v>
      </c>
      <c r="B179" s="182"/>
      <c r="C179" s="182"/>
      <c r="D179" s="182"/>
      <c r="E179" s="182"/>
      <c r="F179" s="182"/>
      <c r="G179" s="182"/>
      <c r="H179" s="182"/>
      <c r="J179" s="59"/>
    </row>
    <row r="180" spans="1:14" s="18" customFormat="1" ht="15.75" customHeight="1">
      <c r="A180" s="183">
        <v>1</v>
      </c>
      <c r="B180" s="183"/>
      <c r="C180" s="70" t="s">
        <v>227</v>
      </c>
      <c r="D180" s="57">
        <f>(20.09)*(10.764)</f>
        <v>216.24875999999998</v>
      </c>
      <c r="E180" s="70">
        <v>0</v>
      </c>
      <c r="F180" s="70">
        <f>(D180+E180)*(($F$151)+1)</f>
        <v>345.99801600000001</v>
      </c>
      <c r="G180" s="183" t="str">
        <f>A179</f>
        <v>1st Floor For Commercial &amp; Residential</v>
      </c>
      <c r="H180" s="183"/>
      <c r="I180" s="63">
        <f>2.43*8.15</f>
        <v>19.804500000000001</v>
      </c>
      <c r="L180" s="184"/>
      <c r="M180" s="184"/>
      <c r="N180" s="59"/>
    </row>
    <row r="181" spans="1:14" s="18" customFormat="1" ht="15.75" customHeight="1">
      <c r="A181" s="183">
        <f t="shared" ref="A181:A205" si="7">A180+1</f>
        <v>2</v>
      </c>
      <c r="B181" s="183"/>
      <c r="C181" s="70" t="s">
        <v>227</v>
      </c>
      <c r="D181" s="57">
        <f>(18.15)*(10.764)</f>
        <v>195.36659999999998</v>
      </c>
      <c r="E181" s="70">
        <v>0</v>
      </c>
      <c r="F181" s="70">
        <f t="shared" ref="F181:F184" si="8">(D181+E181)*(($F$151)+1)</f>
        <v>312.58655999999996</v>
      </c>
      <c r="G181" s="183"/>
      <c r="H181" s="183"/>
      <c r="I181" s="59"/>
      <c r="L181" s="184"/>
      <c r="M181" s="184"/>
      <c r="N181" s="59"/>
    </row>
    <row r="182" spans="1:14" s="18" customFormat="1" ht="15.75" customHeight="1">
      <c r="A182" s="183">
        <f t="shared" si="7"/>
        <v>3</v>
      </c>
      <c r="B182" s="183"/>
      <c r="C182" s="70" t="s">
        <v>227</v>
      </c>
      <c r="D182" s="57">
        <f>(22.78)*(10.764)</f>
        <v>245.20392000000001</v>
      </c>
      <c r="E182" s="70">
        <v>0</v>
      </c>
      <c r="F182" s="70">
        <f t="shared" si="8"/>
        <v>392.32627200000002</v>
      </c>
      <c r="G182" s="183"/>
      <c r="H182" s="183"/>
      <c r="I182" s="59"/>
      <c r="J182" s="57">
        <v>10.763999999999999</v>
      </c>
      <c r="L182" s="184"/>
      <c r="M182" s="184"/>
      <c r="N182" s="59"/>
    </row>
    <row r="183" spans="1:14" s="18" customFormat="1" ht="15.75" customHeight="1">
      <c r="A183" s="183">
        <f t="shared" si="7"/>
        <v>4</v>
      </c>
      <c r="B183" s="183"/>
      <c r="C183" s="70" t="s">
        <v>227</v>
      </c>
      <c r="D183" s="57">
        <f>(22.78)*(10.764)</f>
        <v>245.20392000000001</v>
      </c>
      <c r="E183" s="70">
        <v>0</v>
      </c>
      <c r="F183" s="70">
        <f t="shared" si="8"/>
        <v>392.32627200000002</v>
      </c>
      <c r="G183" s="183"/>
      <c r="H183" s="183"/>
      <c r="I183" s="59"/>
      <c r="J183" s="18">
        <v>764</v>
      </c>
      <c r="L183" s="184"/>
      <c r="M183" s="184"/>
      <c r="N183" s="59"/>
    </row>
    <row r="184" spans="1:14" s="18" customFormat="1" ht="15.75" customHeight="1">
      <c r="A184" s="183">
        <f t="shared" si="7"/>
        <v>5</v>
      </c>
      <c r="B184" s="183"/>
      <c r="C184" s="70" t="s">
        <v>227</v>
      </c>
      <c r="D184" s="57">
        <f>(18.19)*(10.764)</f>
        <v>195.79715999999999</v>
      </c>
      <c r="E184" s="70">
        <v>0</v>
      </c>
      <c r="F184" s="70">
        <f t="shared" si="8"/>
        <v>313.27545600000002</v>
      </c>
      <c r="G184" s="183"/>
      <c r="H184" s="183"/>
      <c r="I184" s="59"/>
      <c r="L184" s="184"/>
      <c r="M184" s="184"/>
      <c r="N184" s="59"/>
    </row>
    <row r="185" spans="1:14" s="18" customFormat="1" ht="15.75" customHeight="1">
      <c r="A185" s="183">
        <f t="shared" si="7"/>
        <v>6</v>
      </c>
      <c r="B185" s="183"/>
      <c r="C185" s="70" t="s">
        <v>227</v>
      </c>
      <c r="D185" s="57">
        <f>(49.44)*(10.764)</f>
        <v>532.17215999999996</v>
      </c>
      <c r="E185" s="70">
        <v>0</v>
      </c>
      <c r="F185" s="70">
        <f t="shared" ref="F185:F188" si="9">(D185+E185)*(($F$151)+1)</f>
        <v>851.47545600000001</v>
      </c>
      <c r="G185" s="183"/>
      <c r="H185" s="183"/>
      <c r="I185" s="59"/>
      <c r="L185" s="184"/>
      <c r="M185" s="184"/>
      <c r="N185" s="59"/>
    </row>
    <row r="186" spans="1:14" s="18" customFormat="1" ht="15.75" customHeight="1">
      <c r="A186" s="183">
        <f t="shared" si="7"/>
        <v>7</v>
      </c>
      <c r="B186" s="183"/>
      <c r="C186" s="70" t="s">
        <v>227</v>
      </c>
      <c r="D186" s="57">
        <f>(20.58)*(10.764)</f>
        <v>221.52311999999998</v>
      </c>
      <c r="E186" s="70">
        <v>0</v>
      </c>
      <c r="F186" s="70">
        <f t="shared" si="9"/>
        <v>354.43699199999998</v>
      </c>
      <c r="G186" s="183"/>
      <c r="H186" s="183"/>
      <c r="I186" s="59">
        <f>2.75*7.35</f>
        <v>20.212499999999999</v>
      </c>
      <c r="L186" s="184"/>
      <c r="M186" s="184"/>
      <c r="N186" s="59"/>
    </row>
    <row r="187" spans="1:14" s="18" customFormat="1" ht="15.75" customHeight="1">
      <c r="A187" s="183">
        <f t="shared" si="7"/>
        <v>8</v>
      </c>
      <c r="B187" s="183"/>
      <c r="C187" s="70" t="s">
        <v>227</v>
      </c>
      <c r="D187" s="57">
        <f>(25.65)*(10.764)</f>
        <v>276.09659999999997</v>
      </c>
      <c r="E187" s="70">
        <v>0</v>
      </c>
      <c r="F187" s="70">
        <f t="shared" si="9"/>
        <v>441.75455999999997</v>
      </c>
      <c r="G187" s="183"/>
      <c r="H187" s="183"/>
      <c r="I187" s="59"/>
      <c r="L187" s="184"/>
      <c r="M187" s="184"/>
      <c r="N187" s="59"/>
    </row>
    <row r="188" spans="1:14" s="18" customFormat="1" ht="15.75" customHeight="1">
      <c r="A188" s="183">
        <f t="shared" si="7"/>
        <v>9</v>
      </c>
      <c r="B188" s="183"/>
      <c r="C188" s="70" t="s">
        <v>227</v>
      </c>
      <c r="D188" s="57">
        <f>(25.65)*(10.764)</f>
        <v>276.09659999999997</v>
      </c>
      <c r="E188" s="70">
        <v>0</v>
      </c>
      <c r="F188" s="70">
        <f t="shared" si="9"/>
        <v>441.75455999999997</v>
      </c>
      <c r="G188" s="183"/>
      <c r="H188" s="183"/>
      <c r="I188" s="59"/>
      <c r="L188" s="184"/>
      <c r="M188" s="184"/>
      <c r="N188" s="59"/>
    </row>
    <row r="189" spans="1:14" s="18" customFormat="1" ht="15.75" customHeight="1">
      <c r="A189" s="183">
        <f t="shared" si="7"/>
        <v>10</v>
      </c>
      <c r="B189" s="183"/>
      <c r="C189" s="70" t="s">
        <v>227</v>
      </c>
      <c r="D189" s="57">
        <f>(20.58)*(10.764)</f>
        <v>221.52311999999998</v>
      </c>
      <c r="E189" s="70">
        <v>0</v>
      </c>
      <c r="F189" s="70">
        <f t="shared" ref="F189:F192" si="10">(D189+E189)*(($F$151)+1)</f>
        <v>354.43699199999998</v>
      </c>
      <c r="G189" s="183"/>
      <c r="H189" s="183"/>
      <c r="I189" s="59"/>
      <c r="L189" s="184"/>
      <c r="M189" s="184"/>
      <c r="N189" s="59"/>
    </row>
    <row r="190" spans="1:14" s="18" customFormat="1" ht="15.75" customHeight="1">
      <c r="A190" s="183">
        <f t="shared" si="7"/>
        <v>11</v>
      </c>
      <c r="B190" s="183"/>
      <c r="C190" s="70" t="s">
        <v>227</v>
      </c>
      <c r="D190" s="57">
        <f>(19.89)*(10.764)</f>
        <v>214.09595999999999</v>
      </c>
      <c r="E190" s="70">
        <v>0</v>
      </c>
      <c r="F190" s="70">
        <f t="shared" si="10"/>
        <v>342.55353600000001</v>
      </c>
      <c r="G190" s="183"/>
      <c r="H190" s="183"/>
      <c r="I190" s="59"/>
      <c r="L190" s="184"/>
      <c r="M190" s="184"/>
      <c r="N190" s="59"/>
    </row>
    <row r="191" spans="1:14" s="18" customFormat="1" ht="15.75" customHeight="1">
      <c r="A191" s="183">
        <f t="shared" si="7"/>
        <v>12</v>
      </c>
      <c r="B191" s="183"/>
      <c r="C191" s="70" t="s">
        <v>227</v>
      </c>
      <c r="D191" s="57">
        <f>(22.38)*(10.764)</f>
        <v>240.89831999999998</v>
      </c>
      <c r="E191" s="70">
        <v>0</v>
      </c>
      <c r="F191" s="70">
        <f t="shared" si="10"/>
        <v>385.43731200000002</v>
      </c>
      <c r="G191" s="183"/>
      <c r="H191" s="183"/>
      <c r="I191" s="59"/>
      <c r="L191" s="184"/>
      <c r="M191" s="184"/>
      <c r="N191" s="59"/>
    </row>
    <row r="192" spans="1:14" s="18" customFormat="1" ht="15.75" customHeight="1">
      <c r="A192" s="183">
        <f t="shared" si="7"/>
        <v>13</v>
      </c>
      <c r="B192" s="183"/>
      <c r="C192" s="70" t="s">
        <v>227</v>
      </c>
      <c r="D192" s="57">
        <f>(22.78)*(10.764)</f>
        <v>245.20392000000001</v>
      </c>
      <c r="E192" s="70">
        <v>0</v>
      </c>
      <c r="F192" s="70">
        <f t="shared" si="10"/>
        <v>392.32627200000002</v>
      </c>
      <c r="G192" s="183"/>
      <c r="H192" s="183"/>
      <c r="I192" s="59"/>
      <c r="L192" s="184"/>
      <c r="M192" s="184"/>
      <c r="N192" s="59"/>
    </row>
    <row r="193" spans="1:14" s="18" customFormat="1" ht="15.75" customHeight="1">
      <c r="A193" s="183">
        <f t="shared" si="7"/>
        <v>14</v>
      </c>
      <c r="B193" s="183"/>
      <c r="C193" s="70" t="s">
        <v>227</v>
      </c>
      <c r="D193" s="57">
        <f>(15.73)*(10.764)</f>
        <v>169.31772000000001</v>
      </c>
      <c r="E193" s="70">
        <v>0</v>
      </c>
      <c r="F193" s="70">
        <f t="shared" ref="F193:F198" si="11">(D193+E193)*(($F$151)+1)</f>
        <v>270.90835200000004</v>
      </c>
      <c r="G193" s="183"/>
      <c r="H193" s="183"/>
      <c r="I193" s="59"/>
      <c r="L193" s="184"/>
      <c r="M193" s="184"/>
      <c r="N193" s="59"/>
    </row>
    <row r="194" spans="1:14" s="18" customFormat="1" ht="15.75" customHeight="1">
      <c r="A194" s="183">
        <f t="shared" si="7"/>
        <v>15</v>
      </c>
      <c r="B194" s="183"/>
      <c r="C194" s="70" t="s">
        <v>227</v>
      </c>
      <c r="D194" s="57">
        <f>(27.96)*(10.764)</f>
        <v>300.96143999999998</v>
      </c>
      <c r="E194" s="70">
        <v>0</v>
      </c>
      <c r="F194" s="70">
        <f t="shared" si="11"/>
        <v>481.53830399999998</v>
      </c>
      <c r="G194" s="183"/>
      <c r="H194" s="183"/>
      <c r="I194" s="59"/>
      <c r="L194" s="184"/>
      <c r="M194" s="184"/>
      <c r="N194" s="59"/>
    </row>
    <row r="195" spans="1:14" s="18" customFormat="1" ht="15.75" customHeight="1">
      <c r="A195" s="183">
        <f t="shared" si="7"/>
        <v>16</v>
      </c>
      <c r="B195" s="183"/>
      <c r="C195" s="70" t="s">
        <v>227</v>
      </c>
      <c r="D195" s="57">
        <f>(18.04)*(10.764)</f>
        <v>194.18255999999997</v>
      </c>
      <c r="E195" s="70">
        <v>0</v>
      </c>
      <c r="F195" s="70">
        <f t="shared" si="11"/>
        <v>310.69209599999999</v>
      </c>
      <c r="G195" s="183"/>
      <c r="H195" s="183"/>
      <c r="I195" s="59"/>
      <c r="L195" s="184"/>
      <c r="M195" s="184"/>
      <c r="N195" s="59"/>
    </row>
    <row r="196" spans="1:14" s="18" customFormat="1" ht="15.75" customHeight="1">
      <c r="A196" s="183">
        <f t="shared" si="7"/>
        <v>17</v>
      </c>
      <c r="B196" s="183"/>
      <c r="C196" s="70" t="s">
        <v>227</v>
      </c>
      <c r="D196" s="57">
        <f>(22.78)*(10.764)</f>
        <v>245.20392000000001</v>
      </c>
      <c r="E196" s="70">
        <v>0</v>
      </c>
      <c r="F196" s="70">
        <f t="shared" si="11"/>
        <v>392.32627200000002</v>
      </c>
      <c r="G196" s="183"/>
      <c r="H196" s="183"/>
      <c r="I196" s="59"/>
      <c r="L196" s="184"/>
      <c r="M196" s="184"/>
      <c r="N196" s="59"/>
    </row>
    <row r="197" spans="1:14" s="18" customFormat="1" ht="15.75" customHeight="1">
      <c r="A197" s="183">
        <f t="shared" si="7"/>
        <v>18</v>
      </c>
      <c r="B197" s="183"/>
      <c r="C197" s="70" t="s">
        <v>227</v>
      </c>
      <c r="D197" s="57">
        <f>(22.38)*(10.764)</f>
        <v>240.89831999999998</v>
      </c>
      <c r="E197" s="70">
        <v>0</v>
      </c>
      <c r="F197" s="70">
        <f t="shared" si="11"/>
        <v>385.43731200000002</v>
      </c>
      <c r="G197" s="183"/>
      <c r="H197" s="183"/>
      <c r="I197" s="59"/>
      <c r="L197" s="184"/>
      <c r="M197" s="184"/>
      <c r="N197" s="59"/>
    </row>
    <row r="198" spans="1:14" s="18" customFormat="1" ht="15.75" customHeight="1">
      <c r="A198" s="183">
        <f t="shared" si="7"/>
        <v>19</v>
      </c>
      <c r="B198" s="183"/>
      <c r="C198" s="70" t="s">
        <v>227</v>
      </c>
      <c r="D198" s="57">
        <f>(19.89)*(10.764)</f>
        <v>214.09595999999999</v>
      </c>
      <c r="E198" s="70">
        <v>0</v>
      </c>
      <c r="F198" s="70">
        <f t="shared" si="11"/>
        <v>342.55353600000001</v>
      </c>
      <c r="G198" s="183"/>
      <c r="H198" s="183"/>
      <c r="I198" s="59"/>
      <c r="L198" s="184"/>
      <c r="M198" s="184"/>
      <c r="N198" s="59"/>
    </row>
    <row r="199" spans="1:14" s="18" customFormat="1" ht="15.75" customHeight="1">
      <c r="A199" s="183">
        <f t="shared" si="7"/>
        <v>20</v>
      </c>
      <c r="B199" s="183"/>
      <c r="C199" s="70" t="s">
        <v>227</v>
      </c>
      <c r="D199" s="57">
        <f>(20.58)*(10.764)</f>
        <v>221.52311999999998</v>
      </c>
      <c r="E199" s="70">
        <v>0</v>
      </c>
      <c r="F199" s="70">
        <f t="shared" ref="F199:F202" si="12">(D199+E199)*(($F$151)+1)</f>
        <v>354.43699199999998</v>
      </c>
      <c r="G199" s="183"/>
      <c r="H199" s="183"/>
      <c r="I199" s="59"/>
      <c r="L199" s="184"/>
      <c r="M199" s="184"/>
      <c r="N199" s="59"/>
    </row>
    <row r="200" spans="1:14" s="18" customFormat="1" ht="15.75" customHeight="1">
      <c r="A200" s="183">
        <f t="shared" si="7"/>
        <v>21</v>
      </c>
      <c r="B200" s="183"/>
      <c r="C200" s="70" t="s">
        <v>227</v>
      </c>
      <c r="D200" s="57">
        <f>(25.66)*(10.764)</f>
        <v>276.20423999999997</v>
      </c>
      <c r="E200" s="70">
        <v>0</v>
      </c>
      <c r="F200" s="70">
        <f t="shared" si="12"/>
        <v>441.926784</v>
      </c>
      <c r="G200" s="183"/>
      <c r="H200" s="183"/>
      <c r="I200" s="59"/>
      <c r="L200" s="184"/>
      <c r="M200" s="184"/>
      <c r="N200" s="59"/>
    </row>
    <row r="201" spans="1:14" s="18" customFormat="1" ht="15.75" customHeight="1">
      <c r="A201" s="183">
        <f t="shared" si="7"/>
        <v>22</v>
      </c>
      <c r="B201" s="183"/>
      <c r="C201" s="70" t="s">
        <v>227</v>
      </c>
      <c r="D201" s="57">
        <f>(46.88)*(10.764)</f>
        <v>504.61631999999997</v>
      </c>
      <c r="E201" s="70">
        <v>0</v>
      </c>
      <c r="F201" s="70">
        <f t="shared" si="12"/>
        <v>807.38611200000003</v>
      </c>
      <c r="G201" s="183"/>
      <c r="H201" s="183"/>
      <c r="I201" s="59"/>
      <c r="L201" s="184"/>
      <c r="M201" s="184"/>
      <c r="N201" s="59"/>
    </row>
    <row r="202" spans="1:14" s="18" customFormat="1" ht="15.75" customHeight="1">
      <c r="A202" s="183">
        <f t="shared" si="7"/>
        <v>23</v>
      </c>
      <c r="B202" s="183"/>
      <c r="C202" s="70" t="s">
        <v>227</v>
      </c>
      <c r="D202" s="57">
        <f>(46.09)*(10.764)</f>
        <v>496.11275999999998</v>
      </c>
      <c r="E202" s="70">
        <v>0</v>
      </c>
      <c r="F202" s="70">
        <f t="shared" si="12"/>
        <v>793.78041600000006</v>
      </c>
      <c r="G202" s="183"/>
      <c r="H202" s="183"/>
      <c r="I202" s="59"/>
      <c r="L202" s="184"/>
      <c r="M202" s="184"/>
      <c r="N202" s="59"/>
    </row>
    <row r="203" spans="1:14" s="18" customFormat="1" ht="15.75" customHeight="1">
      <c r="A203" s="183">
        <f t="shared" si="7"/>
        <v>24</v>
      </c>
      <c r="B203" s="183"/>
      <c r="C203" s="70" t="s">
        <v>227</v>
      </c>
      <c r="D203" s="57">
        <f>(74.94)*(10.764)</f>
        <v>806.65415999999993</v>
      </c>
      <c r="E203" s="70">
        <v>0</v>
      </c>
      <c r="F203" s="70">
        <f t="shared" ref="F203:F204" si="13">(D203+E203)*(($F$151)+1)</f>
        <v>1290.6466559999999</v>
      </c>
      <c r="G203" s="183"/>
      <c r="H203" s="183"/>
      <c r="I203" s="59"/>
      <c r="L203" s="184"/>
      <c r="M203" s="184"/>
      <c r="N203" s="59"/>
    </row>
    <row r="204" spans="1:14" s="18" customFormat="1" ht="15.75" customHeight="1">
      <c r="A204" s="183">
        <f t="shared" si="7"/>
        <v>25</v>
      </c>
      <c r="B204" s="183"/>
      <c r="C204" s="70" t="s">
        <v>227</v>
      </c>
      <c r="D204" s="57">
        <f>(46.09)*(10.764)</f>
        <v>496.11275999999998</v>
      </c>
      <c r="E204" s="70">
        <v>0</v>
      </c>
      <c r="F204" s="70">
        <f t="shared" si="13"/>
        <v>793.78041600000006</v>
      </c>
      <c r="G204" s="183"/>
      <c r="H204" s="183"/>
      <c r="I204" s="59">
        <f>4.39*10.36</f>
        <v>45.480399999999996</v>
      </c>
      <c r="L204" s="184"/>
      <c r="M204" s="184"/>
      <c r="N204" s="59"/>
    </row>
    <row r="205" spans="1:14" s="18" customFormat="1" ht="15.75" customHeight="1">
      <c r="A205" s="183">
        <f t="shared" si="7"/>
        <v>26</v>
      </c>
      <c r="B205" s="183"/>
      <c r="C205" s="70" t="s">
        <v>227</v>
      </c>
      <c r="D205" s="57">
        <f>(46.88)*(10.764)</f>
        <v>504.61631999999997</v>
      </c>
      <c r="E205" s="70">
        <v>0</v>
      </c>
      <c r="F205" s="70">
        <f t="shared" ref="F205" si="14">(D205+E205)*(($F$151)+1)</f>
        <v>807.38611200000003</v>
      </c>
      <c r="G205" s="183"/>
      <c r="H205" s="183"/>
      <c r="I205" s="59">
        <f>4.47*10.36</f>
        <v>46.309199999999997</v>
      </c>
      <c r="L205" s="184"/>
      <c r="M205" s="184"/>
      <c r="N205" s="59"/>
    </row>
    <row r="206" spans="1:14" s="18" customFormat="1">
      <c r="A206" s="183"/>
      <c r="B206" s="183"/>
      <c r="C206" s="183"/>
      <c r="D206" s="183"/>
      <c r="E206" s="183"/>
      <c r="F206" s="183"/>
      <c r="G206" s="183"/>
      <c r="H206" s="183"/>
      <c r="I206" s="59"/>
      <c r="N206" s="59"/>
    </row>
    <row r="207" spans="1:14" ht="47.25" customHeight="1">
      <c r="A207" s="198" t="s">
        <v>178</v>
      </c>
      <c r="B207" s="198" t="s">
        <v>179</v>
      </c>
      <c r="C207" s="198" t="s">
        <v>171</v>
      </c>
      <c r="D207" s="198" t="s">
        <v>172</v>
      </c>
      <c r="E207" s="201" t="s">
        <v>180</v>
      </c>
      <c r="F207" s="74" t="s">
        <v>174</v>
      </c>
      <c r="G207" s="198" t="s">
        <v>175</v>
      </c>
      <c r="H207" s="198"/>
      <c r="I207" s="59"/>
    </row>
    <row r="208" spans="1:14" s="18" customFormat="1">
      <c r="A208" s="198"/>
      <c r="B208" s="198"/>
      <c r="C208" s="198"/>
      <c r="D208" s="198"/>
      <c r="E208" s="201"/>
      <c r="F208" s="75">
        <v>0.5</v>
      </c>
      <c r="G208" s="198"/>
      <c r="H208" s="198"/>
      <c r="I208" s="59"/>
    </row>
    <row r="209" spans="1:14" s="18" customFormat="1">
      <c r="A209" s="179" t="s">
        <v>176</v>
      </c>
      <c r="B209" s="180"/>
      <c r="C209" s="180"/>
      <c r="D209" s="180"/>
      <c r="E209" s="180"/>
      <c r="F209" s="180"/>
      <c r="G209" s="180"/>
      <c r="H209" s="181"/>
      <c r="J209" s="59"/>
    </row>
    <row r="210" spans="1:14" s="18" customFormat="1">
      <c r="A210" s="179" t="s">
        <v>228</v>
      </c>
      <c r="B210" s="180"/>
      <c r="C210" s="180"/>
      <c r="D210" s="180"/>
      <c r="E210" s="180"/>
      <c r="F210" s="180"/>
      <c r="G210" s="180"/>
      <c r="H210" s="181"/>
      <c r="J210" s="59"/>
    </row>
    <row r="211" spans="1:14" s="18" customFormat="1" ht="15.75" customHeight="1">
      <c r="A211" s="185">
        <v>1</v>
      </c>
      <c r="B211" s="186"/>
      <c r="C211" s="56" t="s">
        <v>181</v>
      </c>
      <c r="D211" s="56">
        <f>(48.28+1.2*1.8+1*(2.4+3.1)+0.8*2.75)*10.764</f>
        <v>625.81895999999995</v>
      </c>
      <c r="E211" s="56">
        <v>0</v>
      </c>
      <c r="F211" s="56">
        <f t="shared" ref="F211:F219" si="15">D211*(($F$208)+1)+(IF(E211&lt;101,E211,IF(E211&lt;201,E211/2,IF(E211&lt;=301,E211/3,E211/4))))</f>
        <v>938.72843999999986</v>
      </c>
      <c r="G211" s="202" t="str">
        <f>A210</f>
        <v>1st Floor For Residential, Commercial, Club House &amp; Gym</v>
      </c>
      <c r="H211" s="203"/>
      <c r="I211" s="63">
        <f>(4.35*3.3+2.4*2.15+2.75*2.3+3.1*3.35+1.2*2.1*2+3.1*1)</f>
        <v>44.364999999999995</v>
      </c>
      <c r="J211" s="59"/>
      <c r="K211" s="18">
        <f>6000*F211</f>
        <v>5632370.6399999987</v>
      </c>
      <c r="L211" s="184"/>
      <c r="M211" s="184"/>
      <c r="N211" s="59"/>
    </row>
    <row r="212" spans="1:14" s="18" customFormat="1" ht="15.75" customHeight="1">
      <c r="A212" s="185">
        <f t="shared" ref="A212:A219" si="16">A211+1</f>
        <v>2</v>
      </c>
      <c r="B212" s="186"/>
      <c r="C212" s="56" t="s">
        <v>181</v>
      </c>
      <c r="D212" s="56">
        <f>(49.41+1.2*1.6+0.75*3.15)*10.764</f>
        <v>577.94606999999996</v>
      </c>
      <c r="E212" s="56">
        <v>0</v>
      </c>
      <c r="F212" s="56">
        <f t="shared" si="15"/>
        <v>866.91910499999994</v>
      </c>
      <c r="G212" s="204"/>
      <c r="H212" s="208"/>
      <c r="I212" s="63"/>
      <c r="J212" s="59"/>
      <c r="L212" s="184"/>
      <c r="M212" s="184"/>
      <c r="N212" s="59"/>
    </row>
    <row r="213" spans="1:14" s="18" customFormat="1" ht="15.75" customHeight="1">
      <c r="A213" s="185">
        <f t="shared" si="16"/>
        <v>3</v>
      </c>
      <c r="B213" s="186"/>
      <c r="C213" s="56" t="s">
        <v>181</v>
      </c>
      <c r="D213" s="56">
        <f>(49.41+1.2*1.6+0.75*3.15)*10.764</f>
        <v>577.94606999999996</v>
      </c>
      <c r="E213" s="56">
        <v>0</v>
      </c>
      <c r="F213" s="56">
        <f t="shared" si="15"/>
        <v>866.91910499999994</v>
      </c>
      <c r="G213" s="204"/>
      <c r="H213" s="205"/>
      <c r="I213" s="59"/>
      <c r="L213" s="184"/>
      <c r="M213" s="184"/>
      <c r="N213" s="59"/>
    </row>
    <row r="214" spans="1:14" s="18" customFormat="1" ht="15.75" customHeight="1">
      <c r="A214" s="185">
        <f t="shared" si="16"/>
        <v>4</v>
      </c>
      <c r="B214" s="186"/>
      <c r="C214" s="56" t="s">
        <v>182</v>
      </c>
      <c r="D214" s="56">
        <f>(29.96+2.75*0.75*2+1*2.4+0.85*2.75+0.7*2.75)*10.764</f>
        <v>438.60608999999994</v>
      </c>
      <c r="E214" s="56">
        <v>0</v>
      </c>
      <c r="F214" s="56">
        <f t="shared" si="15"/>
        <v>657.90913499999988</v>
      </c>
      <c r="G214" s="204"/>
      <c r="H214" s="205"/>
      <c r="I214" s="59">
        <f>(2.75*3.1+2.4*2.1+2.75*2.65+2.1*1.1+1.1*1.8+0.9*2.75)</f>
        <v>27.617500000000003</v>
      </c>
      <c r="L214" s="184"/>
      <c r="M214" s="184"/>
      <c r="N214" s="59"/>
    </row>
    <row r="215" spans="1:14" s="18" customFormat="1" ht="15.75" customHeight="1">
      <c r="A215" s="185">
        <f t="shared" si="16"/>
        <v>5</v>
      </c>
      <c r="B215" s="186"/>
      <c r="C215" s="56" t="s">
        <v>182</v>
      </c>
      <c r="D215" s="56">
        <f>(29.96+2.75*0.75*2+1*2.4+0.85*2.75+0.7*2.75)*10.764</f>
        <v>438.60608999999994</v>
      </c>
      <c r="E215" s="56">
        <v>0</v>
      </c>
      <c r="F215" s="56">
        <f t="shared" si="15"/>
        <v>657.90913499999988</v>
      </c>
      <c r="G215" s="204"/>
      <c r="H215" s="205"/>
      <c r="I215" s="59"/>
      <c r="L215" s="184"/>
      <c r="M215" s="184"/>
      <c r="N215" s="59"/>
    </row>
    <row r="216" spans="1:14" s="18" customFormat="1" ht="15.75" customHeight="1">
      <c r="A216" s="185">
        <f t="shared" si="16"/>
        <v>6</v>
      </c>
      <c r="B216" s="186"/>
      <c r="C216" s="56" t="s">
        <v>181</v>
      </c>
      <c r="D216" s="56">
        <f>(44.96+1*(2.75+2.73)+2.42*0.8)*10.764</f>
        <v>563.77526399999999</v>
      </c>
      <c r="E216" s="56">
        <v>0</v>
      </c>
      <c r="F216" s="56">
        <f t="shared" si="15"/>
        <v>845.66289600000005</v>
      </c>
      <c r="G216" s="204"/>
      <c r="H216" s="205"/>
      <c r="I216" s="59"/>
      <c r="L216" s="184"/>
      <c r="M216" s="184"/>
      <c r="N216" s="59"/>
    </row>
    <row r="217" spans="1:14" s="18" customFormat="1" ht="15.75" customHeight="1">
      <c r="A217" s="185">
        <f t="shared" si="16"/>
        <v>7</v>
      </c>
      <c r="B217" s="186"/>
      <c r="C217" s="56" t="s">
        <v>181</v>
      </c>
      <c r="D217" s="56">
        <f>(44.96+1*(2.75+2.73)+2.42*0.8)*10.764</f>
        <v>563.77526399999999</v>
      </c>
      <c r="E217" s="56">
        <v>0</v>
      </c>
      <c r="F217" s="56">
        <f t="shared" si="15"/>
        <v>845.66289600000005</v>
      </c>
      <c r="G217" s="204"/>
      <c r="H217" s="205"/>
      <c r="I217" s="59"/>
      <c r="L217" s="184"/>
      <c r="M217" s="184"/>
      <c r="N217" s="59"/>
    </row>
    <row r="218" spans="1:14" s="18" customFormat="1" ht="15.75" customHeight="1">
      <c r="A218" s="185">
        <f t="shared" si="16"/>
        <v>8</v>
      </c>
      <c r="B218" s="186"/>
      <c r="C218" s="56" t="s">
        <v>182</v>
      </c>
      <c r="D218" s="56">
        <f>(29.96+2.75*0.75*2+1*2.4+0.85*2.75+0.7*2.75)*10.764</f>
        <v>438.60608999999994</v>
      </c>
      <c r="E218" s="56">
        <v>0</v>
      </c>
      <c r="F218" s="56">
        <f t="shared" si="15"/>
        <v>657.90913499999988</v>
      </c>
      <c r="G218" s="204"/>
      <c r="H218" s="205"/>
      <c r="I218" s="59"/>
      <c r="L218" s="184"/>
      <c r="M218" s="184"/>
      <c r="N218" s="59"/>
    </row>
    <row r="219" spans="1:14" s="18" customFormat="1" ht="15.75" customHeight="1">
      <c r="A219" s="185">
        <f t="shared" si="16"/>
        <v>9</v>
      </c>
      <c r="B219" s="186"/>
      <c r="C219" s="56" t="s">
        <v>182</v>
      </c>
      <c r="D219" s="56">
        <f>(29.96+2.75*0.75*2+1*2.4+0.85*2.75+0.7*2.75)*10.764</f>
        <v>438.60608999999994</v>
      </c>
      <c r="E219" s="56">
        <v>0</v>
      </c>
      <c r="F219" s="56">
        <f t="shared" si="15"/>
        <v>657.90913499999988</v>
      </c>
      <c r="G219" s="206"/>
      <c r="H219" s="207"/>
      <c r="I219" s="59"/>
      <c r="L219" s="184"/>
      <c r="M219" s="184"/>
      <c r="N219" s="59"/>
    </row>
    <row r="220" spans="1:14" s="18" customFormat="1">
      <c r="A220" s="182" t="s">
        <v>229</v>
      </c>
      <c r="B220" s="182"/>
      <c r="C220" s="182"/>
      <c r="D220" s="182"/>
      <c r="E220" s="182"/>
      <c r="F220" s="182"/>
      <c r="G220" s="182"/>
      <c r="H220" s="182"/>
      <c r="I220" s="59"/>
      <c r="L220" s="184"/>
      <c r="M220" s="184"/>
    </row>
    <row r="221" spans="1:14" s="18" customFormat="1" ht="15.75" customHeight="1">
      <c r="A221" s="183">
        <v>1</v>
      </c>
      <c r="B221" s="183"/>
      <c r="C221" s="70" t="s">
        <v>181</v>
      </c>
      <c r="D221" s="70">
        <f>(48.28+1.2*1.8+1*(2.4+3.1)+0.8*2.75)*10.764</f>
        <v>625.81895999999995</v>
      </c>
      <c r="E221" s="70">
        <v>0</v>
      </c>
      <c r="F221" s="70">
        <f t="shared" ref="F221:F225" si="17">D221*(($F$208)+1)+(IF(E221&lt;101,E221,IF(E221&lt;201,E221/2,IF(E221&lt;=301,E221/3,E221/4))))</f>
        <v>938.72843999999986</v>
      </c>
      <c r="G221" s="183" t="str">
        <f>A220</f>
        <v>2nd Floor For Residential (Part Terrace Area)</v>
      </c>
      <c r="H221" s="183"/>
      <c r="I221" s="59"/>
      <c r="J221" s="18">
        <f>6000*F221</f>
        <v>5632370.6399999987</v>
      </c>
      <c r="N221" s="59"/>
    </row>
    <row r="222" spans="1:14" s="18" customFormat="1" ht="15.75" customHeight="1">
      <c r="A222" s="183">
        <f>A221+1</f>
        <v>2</v>
      </c>
      <c r="B222" s="183"/>
      <c r="C222" s="70" t="s">
        <v>181</v>
      </c>
      <c r="D222" s="70">
        <f>(49.41+1.2*1.6+0.75*3.15)*10.764</f>
        <v>577.94606999999996</v>
      </c>
      <c r="E222" s="70">
        <v>0</v>
      </c>
      <c r="F222" s="70">
        <f t="shared" si="17"/>
        <v>866.91910499999994</v>
      </c>
      <c r="G222" s="183"/>
      <c r="H222" s="183"/>
      <c r="I222" s="59"/>
      <c r="N222" s="59"/>
    </row>
    <row r="223" spans="1:14" s="18" customFormat="1" ht="15.75" customHeight="1">
      <c r="A223" s="183">
        <f>A222+1</f>
        <v>3</v>
      </c>
      <c r="B223" s="183"/>
      <c r="C223" s="70" t="s">
        <v>181</v>
      </c>
      <c r="D223" s="70">
        <f>(49.41+1.2*1.6+0.75*3.15)*10.764</f>
        <v>577.94606999999996</v>
      </c>
      <c r="E223" s="70">
        <v>0</v>
      </c>
      <c r="F223" s="70">
        <f t="shared" si="17"/>
        <v>866.91910499999994</v>
      </c>
      <c r="G223" s="183"/>
      <c r="H223" s="183"/>
      <c r="I223" s="59"/>
      <c r="N223" s="59"/>
    </row>
    <row r="224" spans="1:14" s="18" customFormat="1" ht="15.75" customHeight="1">
      <c r="A224" s="183">
        <f>A223+1</f>
        <v>4</v>
      </c>
      <c r="B224" s="183"/>
      <c r="C224" s="70" t="s">
        <v>182</v>
      </c>
      <c r="D224" s="70">
        <f>(29.96+2.75*0.75*2+1*2.4+0.85*2.75+0.7*2.75)*10.764</f>
        <v>438.60608999999994</v>
      </c>
      <c r="E224" s="70">
        <v>0</v>
      </c>
      <c r="F224" s="70">
        <f t="shared" si="17"/>
        <v>657.90913499999988</v>
      </c>
      <c r="G224" s="183"/>
      <c r="H224" s="183"/>
      <c r="I224" s="59"/>
      <c r="N224" s="59"/>
    </row>
    <row r="225" spans="1:14" s="18" customFormat="1" ht="15.75" customHeight="1">
      <c r="A225" s="183">
        <f>A224+1</f>
        <v>5</v>
      </c>
      <c r="B225" s="183"/>
      <c r="C225" s="70" t="s">
        <v>182</v>
      </c>
      <c r="D225" s="70">
        <f>(29.96+2.75*0.75*2+1*2.4+0.85*2.75+0.7*2.75)*10.764</f>
        <v>438.60608999999994</v>
      </c>
      <c r="E225" s="70">
        <v>0</v>
      </c>
      <c r="F225" s="70">
        <f t="shared" si="17"/>
        <v>657.90913499999988</v>
      </c>
      <c r="G225" s="183"/>
      <c r="H225" s="183"/>
      <c r="I225" s="59"/>
      <c r="N225" s="59"/>
    </row>
    <row r="226" spans="1:14" s="18" customFormat="1" ht="15.75" customHeight="1">
      <c r="A226" s="183">
        <f t="shared" ref="A226:A230" si="18">A225+1</f>
        <v>6</v>
      </c>
      <c r="B226" s="183"/>
      <c r="C226" s="70" t="s">
        <v>181</v>
      </c>
      <c r="D226" s="70">
        <f>(44.96+1*(2.75+2.73)+2.42*0.8)*10.764</f>
        <v>563.77526399999999</v>
      </c>
      <c r="E226" s="70">
        <v>0</v>
      </c>
      <c r="F226" s="70">
        <f t="shared" ref="F226:F230" si="19">D226*(($F$208)+1)+(IF(E226&lt;101,E226,IF(E226&lt;201,E226/2,IF(E226&lt;=301,E226/3,E226/4))))</f>
        <v>845.66289600000005</v>
      </c>
      <c r="G226" s="183"/>
      <c r="H226" s="183"/>
      <c r="I226" s="59"/>
      <c r="N226" s="59"/>
    </row>
    <row r="227" spans="1:14" s="18" customFormat="1" ht="15.75" customHeight="1">
      <c r="A227" s="183">
        <f t="shared" si="18"/>
        <v>7</v>
      </c>
      <c r="B227" s="183"/>
      <c r="C227" s="70" t="s">
        <v>181</v>
      </c>
      <c r="D227" s="70">
        <f>(44.96+1*(2.75+2.73)+2.42*0.8)*10.764</f>
        <v>563.77526399999999</v>
      </c>
      <c r="E227" s="70">
        <v>0</v>
      </c>
      <c r="F227" s="70">
        <f t="shared" si="19"/>
        <v>845.66289600000005</v>
      </c>
      <c r="G227" s="183"/>
      <c r="H227" s="183"/>
      <c r="I227" s="59"/>
      <c r="N227" s="59"/>
    </row>
    <row r="228" spans="1:14" s="18" customFormat="1" ht="15.75" customHeight="1">
      <c r="A228" s="183">
        <f t="shared" si="18"/>
        <v>8</v>
      </c>
      <c r="B228" s="183"/>
      <c r="C228" s="70" t="s">
        <v>182</v>
      </c>
      <c r="D228" s="70">
        <f>(29.96+2.75*0.75*2+1*2.4+0.85*2.75+0.7*2.75)*10.764</f>
        <v>438.60608999999994</v>
      </c>
      <c r="E228" s="70">
        <v>0</v>
      </c>
      <c r="F228" s="70">
        <f t="shared" si="19"/>
        <v>657.90913499999988</v>
      </c>
      <c r="G228" s="183"/>
      <c r="H228" s="183"/>
      <c r="I228" s="59"/>
      <c r="N228" s="59"/>
    </row>
    <row r="229" spans="1:14" s="18" customFormat="1" ht="15.75" customHeight="1">
      <c r="A229" s="183">
        <f t="shared" si="18"/>
        <v>9</v>
      </c>
      <c r="B229" s="183"/>
      <c r="C229" s="70" t="s">
        <v>182</v>
      </c>
      <c r="D229" s="70">
        <f>(29.96+2.75*0.75*2+1*2.4+0.85*2.75+0.7*2.75)*10.764</f>
        <v>438.60608999999994</v>
      </c>
      <c r="E229" s="70">
        <v>0</v>
      </c>
      <c r="F229" s="70">
        <f t="shared" si="19"/>
        <v>657.90913499999988</v>
      </c>
      <c r="G229" s="183"/>
      <c r="H229" s="183"/>
      <c r="I229" s="59"/>
      <c r="N229" s="59"/>
    </row>
    <row r="230" spans="1:14" s="18" customFormat="1" ht="15.75" customHeight="1">
      <c r="A230" s="183">
        <f t="shared" si="18"/>
        <v>10</v>
      </c>
      <c r="B230" s="183"/>
      <c r="C230" s="70" t="s">
        <v>182</v>
      </c>
      <c r="D230" s="70">
        <f>(28.71+2.75*0.75*2+1*2.1+0.4*2.75+0.6*2.75)*10.764</f>
        <v>405.64134000000001</v>
      </c>
      <c r="E230" s="70">
        <f>(3.45*8.125+1.5*2.75)*10.764</f>
        <v>346.12987499999997</v>
      </c>
      <c r="F230" s="70">
        <f t="shared" si="19"/>
        <v>694.99447874999998</v>
      </c>
      <c r="G230" s="183"/>
      <c r="H230" s="183"/>
      <c r="I230" s="59">
        <f>(2.75*3.4+2.1*2.1+2.75*2.8+1.15*1+1.1*1.8+0.9*2.5)</f>
        <v>26.84</v>
      </c>
      <c r="N230" s="59"/>
    </row>
    <row r="231" spans="1:14" s="18" customFormat="1" ht="15.75" customHeight="1">
      <c r="A231" s="183">
        <f t="shared" ref="A231:A236" si="20">A230+1</f>
        <v>11</v>
      </c>
      <c r="B231" s="183"/>
      <c r="C231" s="70" t="s">
        <v>182</v>
      </c>
      <c r="D231" s="70">
        <f>(28.71+2.75*0.75*2+1*2.1+0.4*2.75+0.6*2.75)*10.764</f>
        <v>405.64134000000001</v>
      </c>
      <c r="E231" s="70">
        <f>(3.45*8.125+1.5*2.75)*10.764</f>
        <v>346.12987499999997</v>
      </c>
      <c r="F231" s="70">
        <f t="shared" ref="F231:F235" si="21">D231*(($F$208)+1)+(IF(E231&lt;101,E231,IF(E231&lt;201,E231/2,IF(E231&lt;=301,E231/3,E231/4))))</f>
        <v>694.99447874999998</v>
      </c>
      <c r="G231" s="183"/>
      <c r="H231" s="183"/>
      <c r="I231" s="59"/>
      <c r="N231" s="59"/>
    </row>
    <row r="232" spans="1:14" s="18" customFormat="1" ht="15.75" customHeight="1">
      <c r="A232" s="183">
        <f t="shared" si="20"/>
        <v>12</v>
      </c>
      <c r="B232" s="183"/>
      <c r="C232" s="64" t="s">
        <v>181</v>
      </c>
      <c r="D232" s="70">
        <f>(48.28+1.2*1.8+1*(2.4+3.1)+0.8*2.75)*10.764</f>
        <v>625.81895999999995</v>
      </c>
      <c r="E232" s="70">
        <f>(11.55*2.9+2.7*2.1)*10.764</f>
        <v>421.57206000000002</v>
      </c>
      <c r="F232" s="70">
        <f t="shared" si="21"/>
        <v>1044.121455</v>
      </c>
      <c r="G232" s="183"/>
      <c r="H232" s="183"/>
      <c r="I232" s="59"/>
      <c r="N232" s="59"/>
    </row>
    <row r="233" spans="1:14" s="18" customFormat="1" ht="15.75" customHeight="1">
      <c r="A233" s="183">
        <f t="shared" si="20"/>
        <v>13</v>
      </c>
      <c r="B233" s="183"/>
      <c r="C233" s="64" t="s">
        <v>181</v>
      </c>
      <c r="D233" s="70">
        <f>(48.28+1.2*1.8+1*(2.4+3.1)+0.8*2.75)*10.764</f>
        <v>625.81895999999995</v>
      </c>
      <c r="E233" s="70">
        <f>(11.55*2.9+2.7*2.1)*10.764</f>
        <v>421.57206000000002</v>
      </c>
      <c r="F233" s="70">
        <f t="shared" si="21"/>
        <v>1044.121455</v>
      </c>
      <c r="G233" s="183"/>
      <c r="H233" s="183"/>
      <c r="I233" s="59"/>
      <c r="N233" s="59"/>
    </row>
    <row r="234" spans="1:14" s="18" customFormat="1" ht="15.75" customHeight="1">
      <c r="A234" s="183">
        <f t="shared" si="20"/>
        <v>14</v>
      </c>
      <c r="B234" s="183"/>
      <c r="C234" s="70" t="s">
        <v>182</v>
      </c>
      <c r="D234" s="70">
        <f>(28.71+2.75*0.75*2+1*2.1+0.4*2.75+0.6*2.75)*10.764</f>
        <v>405.64134000000001</v>
      </c>
      <c r="E234" s="70">
        <f>(3.45*8.125+1.5*2.75)*10.764</f>
        <v>346.12987499999997</v>
      </c>
      <c r="F234" s="70">
        <f t="shared" si="21"/>
        <v>694.99447874999998</v>
      </c>
      <c r="G234" s="183"/>
      <c r="H234" s="183"/>
      <c r="I234" s="59"/>
      <c r="N234" s="59"/>
    </row>
    <row r="235" spans="1:14" s="18" customFormat="1" ht="15.75" customHeight="1">
      <c r="A235" s="183">
        <f t="shared" si="20"/>
        <v>15</v>
      </c>
      <c r="B235" s="183"/>
      <c r="C235" s="70" t="s">
        <v>182</v>
      </c>
      <c r="D235" s="70">
        <f>(28.71+2.75*0.75*2+1*2.1+0.4*2.75+0.6*2.75)*10.764</f>
        <v>405.64134000000001</v>
      </c>
      <c r="E235" s="70">
        <f>(3.45*8.125+1.5*2.75)*10.764</f>
        <v>346.12987499999997</v>
      </c>
      <c r="F235" s="70">
        <f t="shared" si="21"/>
        <v>694.99447874999998</v>
      </c>
      <c r="G235" s="183"/>
      <c r="H235" s="183"/>
      <c r="I235" s="59"/>
      <c r="N235" s="59"/>
    </row>
    <row r="236" spans="1:14" s="18" customFormat="1" ht="15.75" customHeight="1">
      <c r="A236" s="183">
        <f t="shared" si="20"/>
        <v>16</v>
      </c>
      <c r="B236" s="183"/>
      <c r="C236" s="70" t="s">
        <v>181</v>
      </c>
      <c r="D236" s="70">
        <f>(48.28+1.2*1.8+1*(2.4+3.1)+0.8*2.75)*10.764</f>
        <v>625.81895999999995</v>
      </c>
      <c r="E236" s="70">
        <f>(11.55*2.9+2.7*2.1)*10.764</f>
        <v>421.57206000000002</v>
      </c>
      <c r="F236" s="70">
        <f t="shared" ref="F236" si="22">D236*(($F$208)+1)+(IF(E236&lt;101,E236,IF(E236&lt;201,E236/2,IF(E236&lt;=301,E236/3,E236/4))))</f>
        <v>1044.121455</v>
      </c>
      <c r="G236" s="183"/>
      <c r="H236" s="183"/>
      <c r="I236" s="59"/>
      <c r="N236" s="59"/>
    </row>
    <row r="237" spans="1:14" s="18" customFormat="1" ht="15.75" customHeight="1">
      <c r="A237" s="215" t="s">
        <v>230</v>
      </c>
      <c r="B237" s="182"/>
      <c r="C237" s="182"/>
      <c r="D237" s="182"/>
      <c r="E237" s="182"/>
      <c r="F237" s="182"/>
      <c r="G237" s="182"/>
      <c r="H237" s="182"/>
      <c r="I237" s="59"/>
    </row>
    <row r="238" spans="1:14" s="18" customFormat="1" ht="15.75" customHeight="1">
      <c r="A238" s="183">
        <v>1</v>
      </c>
      <c r="B238" s="183"/>
      <c r="C238" s="69" t="s">
        <v>181</v>
      </c>
      <c r="D238" s="69">
        <f>(48.28+1.2*1.8+1*(2.4+3.1)+0.8*2.75)*10.764</f>
        <v>625.81895999999995</v>
      </c>
      <c r="E238" s="69">
        <v>0</v>
      </c>
      <c r="F238" s="69">
        <f t="shared" ref="F238:F253" si="23">D238*(($F$208)+1)+(IF(E238&lt;101,E238,IF(E238&lt;201,E238/2,IF(E238&lt;=301,E238/3,E238/4))))</f>
        <v>938.72843999999986</v>
      </c>
      <c r="G238" s="183" t="str">
        <f>A237</f>
        <v xml:space="preserve">3rd to 6th, 8th to 11th, 13th &amp; 14th Floor </v>
      </c>
      <c r="H238" s="183"/>
      <c r="I238" s="59"/>
    </row>
    <row r="239" spans="1:14" s="18" customFormat="1" ht="15.75" customHeight="1">
      <c r="A239" s="183">
        <v>2</v>
      </c>
      <c r="B239" s="183"/>
      <c r="C239" s="69" t="s">
        <v>181</v>
      </c>
      <c r="D239" s="69">
        <f>(49.41+1.2*1.6+0.75*3.15)*10.764</f>
        <v>577.94606999999996</v>
      </c>
      <c r="E239" s="69">
        <v>0</v>
      </c>
      <c r="F239" s="69">
        <f t="shared" si="23"/>
        <v>866.91910499999994</v>
      </c>
      <c r="G239" s="183"/>
      <c r="H239" s="183"/>
      <c r="I239" s="59"/>
    </row>
    <row r="240" spans="1:14" s="18" customFormat="1" ht="15.75" customHeight="1">
      <c r="A240" s="183">
        <v>3</v>
      </c>
      <c r="B240" s="183"/>
      <c r="C240" s="69" t="s">
        <v>181</v>
      </c>
      <c r="D240" s="69">
        <f>(49.41+1.2*1.6+0.75*3.15)*10.764</f>
        <v>577.94606999999996</v>
      </c>
      <c r="E240" s="69">
        <v>0</v>
      </c>
      <c r="F240" s="69">
        <f t="shared" si="23"/>
        <v>866.91910499999994</v>
      </c>
      <c r="G240" s="183"/>
      <c r="H240" s="183"/>
      <c r="I240" s="59"/>
    </row>
    <row r="241" spans="1:9" s="18" customFormat="1" ht="15.75" customHeight="1">
      <c r="A241" s="183">
        <v>4</v>
      </c>
      <c r="B241" s="183"/>
      <c r="C241" s="69" t="s">
        <v>182</v>
      </c>
      <c r="D241" s="69">
        <f>(29.96+2.75*0.75*2+1*2.4+0.85*2.75+0.7*2.75)*10.764</f>
        <v>438.60608999999994</v>
      </c>
      <c r="E241" s="69">
        <v>0</v>
      </c>
      <c r="F241" s="69">
        <f t="shared" si="23"/>
        <v>657.90913499999988</v>
      </c>
      <c r="G241" s="183"/>
      <c r="H241" s="183"/>
      <c r="I241" s="59"/>
    </row>
    <row r="242" spans="1:9" s="18" customFormat="1" ht="15.75" customHeight="1">
      <c r="A242" s="183">
        <v>5</v>
      </c>
      <c r="B242" s="183"/>
      <c r="C242" s="69" t="s">
        <v>182</v>
      </c>
      <c r="D242" s="69">
        <f>(29.96+2.75*0.75*2+1*2.4+0.85*2.75+0.7*2.75)*10.764</f>
        <v>438.60608999999994</v>
      </c>
      <c r="E242" s="69">
        <v>0</v>
      </c>
      <c r="F242" s="69">
        <f t="shared" si="23"/>
        <v>657.90913499999988</v>
      </c>
      <c r="G242" s="183"/>
      <c r="H242" s="183"/>
      <c r="I242" s="59"/>
    </row>
    <row r="243" spans="1:9" s="18" customFormat="1" ht="15.75" customHeight="1">
      <c r="A243" s="183">
        <v>6</v>
      </c>
      <c r="B243" s="183"/>
      <c r="C243" s="69" t="s">
        <v>181</v>
      </c>
      <c r="D243" s="69">
        <f>(44.96+1*(2.75+2.73)+2.42*0.8)*10.764</f>
        <v>563.77526399999999</v>
      </c>
      <c r="E243" s="69">
        <v>0</v>
      </c>
      <c r="F243" s="69">
        <f t="shared" si="23"/>
        <v>845.66289600000005</v>
      </c>
      <c r="G243" s="183"/>
      <c r="H243" s="183"/>
      <c r="I243" s="59"/>
    </row>
    <row r="244" spans="1:9" s="18" customFormat="1" ht="15.75" customHeight="1">
      <c r="A244" s="183">
        <v>7</v>
      </c>
      <c r="B244" s="183"/>
      <c r="C244" s="69" t="s">
        <v>181</v>
      </c>
      <c r="D244" s="69">
        <f>(44.96+1*(2.75+2.73)+2.42*0.8)*10.764</f>
        <v>563.77526399999999</v>
      </c>
      <c r="E244" s="69">
        <v>0</v>
      </c>
      <c r="F244" s="69">
        <f t="shared" si="23"/>
        <v>845.66289600000005</v>
      </c>
      <c r="G244" s="183"/>
      <c r="H244" s="183"/>
      <c r="I244" s="59"/>
    </row>
    <row r="245" spans="1:9" s="18" customFormat="1" ht="15.75" customHeight="1">
      <c r="A245" s="183">
        <v>8</v>
      </c>
      <c r="B245" s="183"/>
      <c r="C245" s="69" t="s">
        <v>182</v>
      </c>
      <c r="D245" s="69">
        <f>(29.96+2.75*0.75*2+1*2.4+0.85*2.75+0.7*2.75)*10.764</f>
        <v>438.60608999999994</v>
      </c>
      <c r="E245" s="69">
        <v>0</v>
      </c>
      <c r="F245" s="69">
        <f t="shared" si="23"/>
        <v>657.90913499999988</v>
      </c>
      <c r="G245" s="183"/>
      <c r="H245" s="183"/>
      <c r="I245" s="59"/>
    </row>
    <row r="246" spans="1:9" s="18" customFormat="1" ht="15.75" customHeight="1">
      <c r="A246" s="183">
        <v>9</v>
      </c>
      <c r="B246" s="183"/>
      <c r="C246" s="69" t="s">
        <v>182</v>
      </c>
      <c r="D246" s="69">
        <f>(29.96+2.75*0.75*2+1*2.4+0.85*2.75+0.7*2.75)*10.764</f>
        <v>438.60608999999994</v>
      </c>
      <c r="E246" s="69">
        <v>0</v>
      </c>
      <c r="F246" s="69">
        <f t="shared" si="23"/>
        <v>657.90913499999988</v>
      </c>
      <c r="G246" s="183"/>
      <c r="H246" s="183"/>
      <c r="I246" s="59"/>
    </row>
    <row r="247" spans="1:9" s="18" customFormat="1" ht="15.75" customHeight="1">
      <c r="A247" s="183">
        <v>10</v>
      </c>
      <c r="B247" s="183"/>
      <c r="C247" s="69" t="s">
        <v>182</v>
      </c>
      <c r="D247" s="69">
        <f>(28.71+2.75*0.75*2+1*2.1+0.4*2.75+0.6*2.75)*10.764</f>
        <v>405.64134000000001</v>
      </c>
      <c r="E247" s="69">
        <v>0</v>
      </c>
      <c r="F247" s="69">
        <f t="shared" si="23"/>
        <v>608.46200999999996</v>
      </c>
      <c r="G247" s="183"/>
      <c r="H247" s="183"/>
      <c r="I247" s="59"/>
    </row>
    <row r="248" spans="1:9" s="18" customFormat="1" ht="15.75" customHeight="1">
      <c r="A248" s="183">
        <v>11</v>
      </c>
      <c r="B248" s="183"/>
      <c r="C248" s="69" t="s">
        <v>182</v>
      </c>
      <c r="D248" s="69">
        <f>(28.71+2.75*0.75*2+1*2.1+0.4*2.75+0.6*2.75)*10.764</f>
        <v>405.64134000000001</v>
      </c>
      <c r="E248" s="69">
        <v>0</v>
      </c>
      <c r="F248" s="69">
        <f t="shared" si="23"/>
        <v>608.46200999999996</v>
      </c>
      <c r="G248" s="183"/>
      <c r="H248" s="183"/>
      <c r="I248" s="59"/>
    </row>
    <row r="249" spans="1:9" s="18" customFormat="1" ht="15.75" customHeight="1">
      <c r="A249" s="183">
        <v>12</v>
      </c>
      <c r="B249" s="183"/>
      <c r="C249" s="64" t="s">
        <v>181</v>
      </c>
      <c r="D249" s="69">
        <f>(48.28+1.2*1.8+1*(2.4+3.1)+0.8*2.75)*10.764</f>
        <v>625.81895999999995</v>
      </c>
      <c r="E249" s="69">
        <v>0</v>
      </c>
      <c r="F249" s="69">
        <f t="shared" si="23"/>
        <v>938.72843999999986</v>
      </c>
      <c r="G249" s="183"/>
      <c r="H249" s="183"/>
    </row>
    <row r="250" spans="1:9" s="18" customFormat="1" ht="15.75" customHeight="1">
      <c r="A250" s="183">
        <v>13</v>
      </c>
      <c r="B250" s="183"/>
      <c r="C250" s="64" t="s">
        <v>181</v>
      </c>
      <c r="D250" s="69">
        <f>(48.28+1.2*1.8+1*(2.4+3.1)+0.8*2.75)*10.764</f>
        <v>625.81895999999995</v>
      </c>
      <c r="E250" s="69">
        <v>0</v>
      </c>
      <c r="F250" s="69">
        <f t="shared" si="23"/>
        <v>938.72843999999986</v>
      </c>
      <c r="G250" s="183"/>
      <c r="H250" s="183"/>
      <c r="I250" s="59"/>
    </row>
    <row r="251" spans="1:9" s="18" customFormat="1" ht="15.75" customHeight="1">
      <c r="A251" s="183">
        <v>14</v>
      </c>
      <c r="B251" s="183"/>
      <c r="C251" s="69" t="s">
        <v>182</v>
      </c>
      <c r="D251" s="69">
        <f>(28.71+2.75*0.75*2+1*2.1+0.4*2.75+0.6*2.75)*10.764</f>
        <v>405.64134000000001</v>
      </c>
      <c r="E251" s="69">
        <v>0</v>
      </c>
      <c r="F251" s="69">
        <f t="shared" si="23"/>
        <v>608.46200999999996</v>
      </c>
      <c r="G251" s="183"/>
      <c r="H251" s="183"/>
      <c r="I251" s="59"/>
    </row>
    <row r="252" spans="1:9" s="18" customFormat="1" ht="15.75" customHeight="1">
      <c r="A252" s="183">
        <v>15</v>
      </c>
      <c r="B252" s="183"/>
      <c r="C252" s="69" t="s">
        <v>182</v>
      </c>
      <c r="D252" s="69">
        <f>(28.71+2.75*0.75*2+1*2.1+0.4*2.75+0.6*2.75)*10.764</f>
        <v>405.64134000000001</v>
      </c>
      <c r="E252" s="69">
        <v>0</v>
      </c>
      <c r="F252" s="69">
        <f t="shared" si="23"/>
        <v>608.46200999999996</v>
      </c>
      <c r="G252" s="183"/>
      <c r="H252" s="183"/>
      <c r="I252" s="59"/>
    </row>
    <row r="253" spans="1:9" s="18" customFormat="1" ht="15.75" customHeight="1">
      <c r="A253" s="183">
        <v>16</v>
      </c>
      <c r="B253" s="183"/>
      <c r="C253" s="69" t="s">
        <v>181</v>
      </c>
      <c r="D253" s="69">
        <f>(48.28+1.2*1.8+1*(2.4+3.1)+0.8*2.75)*10.764</f>
        <v>625.81895999999995</v>
      </c>
      <c r="E253" s="69">
        <v>0</v>
      </c>
      <c r="F253" s="69">
        <f t="shared" si="23"/>
        <v>938.72843999999986</v>
      </c>
      <c r="G253" s="183"/>
      <c r="H253" s="183"/>
      <c r="I253" s="59"/>
    </row>
    <row r="254" spans="1:9" s="18" customFormat="1" ht="15.75" customHeight="1">
      <c r="A254" s="187" t="s">
        <v>185</v>
      </c>
      <c r="B254" s="180"/>
      <c r="C254" s="180"/>
      <c r="D254" s="180"/>
      <c r="E254" s="180"/>
      <c r="F254" s="180"/>
      <c r="G254" s="180"/>
      <c r="H254" s="181"/>
      <c r="I254" s="59"/>
    </row>
    <row r="255" spans="1:9" s="18" customFormat="1" ht="15.75" customHeight="1">
      <c r="A255" s="185">
        <v>1</v>
      </c>
      <c r="B255" s="186"/>
      <c r="C255" s="56" t="s">
        <v>181</v>
      </c>
      <c r="D255" s="56">
        <f>(48.28+1.2*1.8+1*(2.4+3.1)+0.8*2.75)*10.764</f>
        <v>625.81895999999995</v>
      </c>
      <c r="E255" s="56">
        <v>0</v>
      </c>
      <c r="F255" s="56">
        <f t="shared" ref="F255:F270" si="24">D255*(($F$208)+1)+(IF(E255&lt;101,E255,IF(E255&lt;201,E255/2,IF(E255&lt;=301,E255/3,E255/4))))</f>
        <v>938.72843999999986</v>
      </c>
      <c r="G255" s="202" t="str">
        <f>A254</f>
        <v>7th &amp; 12th Floor (Part Refuge Area)</v>
      </c>
      <c r="H255" s="213"/>
      <c r="I255" s="59"/>
    </row>
    <row r="256" spans="1:9" s="18" customFormat="1" ht="15.75" customHeight="1">
      <c r="A256" s="185">
        <v>2</v>
      </c>
      <c r="B256" s="186"/>
      <c r="C256" s="56" t="s">
        <v>181</v>
      </c>
      <c r="D256" s="56">
        <f>(49.41+1.2*1.6+0.75*3.15)*10.764</f>
        <v>577.94606999999996</v>
      </c>
      <c r="E256" s="56">
        <v>0</v>
      </c>
      <c r="F256" s="56">
        <f t="shared" si="24"/>
        <v>866.91910499999994</v>
      </c>
      <c r="G256" s="204"/>
      <c r="H256" s="205"/>
      <c r="I256" s="59"/>
    </row>
    <row r="257" spans="1:9" s="18" customFormat="1" ht="15.75" customHeight="1">
      <c r="A257" s="185">
        <v>3</v>
      </c>
      <c r="B257" s="186"/>
      <c r="C257" s="56" t="s">
        <v>181</v>
      </c>
      <c r="D257" s="56">
        <f>(49.41+1.2*1.6+0.75*3.15)*10.764</f>
        <v>577.94606999999996</v>
      </c>
      <c r="E257" s="56">
        <v>0</v>
      </c>
      <c r="F257" s="56">
        <f t="shared" si="24"/>
        <v>866.91910499999994</v>
      </c>
      <c r="G257" s="204"/>
      <c r="H257" s="205"/>
      <c r="I257" s="59"/>
    </row>
    <row r="258" spans="1:9" s="18" customFormat="1" ht="15.75" customHeight="1">
      <c r="A258" s="185">
        <v>4</v>
      </c>
      <c r="B258" s="186"/>
      <c r="C258" s="56" t="s">
        <v>182</v>
      </c>
      <c r="D258" s="56">
        <f>(29.96+2.75*0.75*2+1*2.4+0.85*2.75+0.7*2.75)*10.764</f>
        <v>438.60608999999994</v>
      </c>
      <c r="E258" s="56">
        <v>0</v>
      </c>
      <c r="F258" s="56">
        <f t="shared" si="24"/>
        <v>657.90913499999988</v>
      </c>
      <c r="G258" s="204"/>
      <c r="H258" s="205"/>
      <c r="I258" s="59"/>
    </row>
    <row r="259" spans="1:9" s="18" customFormat="1" ht="15.75" customHeight="1">
      <c r="A259" s="185">
        <v>5</v>
      </c>
      <c r="B259" s="186"/>
      <c r="C259" s="56" t="s">
        <v>182</v>
      </c>
      <c r="D259" s="56">
        <f>(29.96+2.75*0.75*2+1*2.4+0.85*2.75+0.7*2.75)*10.764</f>
        <v>438.60608999999994</v>
      </c>
      <c r="E259" s="56">
        <v>0</v>
      </c>
      <c r="F259" s="56">
        <f t="shared" si="24"/>
        <v>657.90913499999988</v>
      </c>
      <c r="G259" s="204"/>
      <c r="H259" s="205"/>
      <c r="I259" s="59"/>
    </row>
    <row r="260" spans="1:9" s="18" customFormat="1" ht="15.75" customHeight="1">
      <c r="A260" s="185">
        <v>6</v>
      </c>
      <c r="B260" s="186"/>
      <c r="C260" s="56" t="s">
        <v>181</v>
      </c>
      <c r="D260" s="56">
        <f>(44.96+1*(2.75+2.73)+2.42*0.8)*10.764</f>
        <v>563.77526399999999</v>
      </c>
      <c r="E260" s="56">
        <v>0</v>
      </c>
      <c r="F260" s="56">
        <f t="shared" si="24"/>
        <v>845.66289600000005</v>
      </c>
      <c r="G260" s="204"/>
      <c r="H260" s="205"/>
      <c r="I260" s="59"/>
    </row>
    <row r="261" spans="1:9" s="18" customFormat="1" ht="15.75" customHeight="1">
      <c r="A261" s="185">
        <v>7</v>
      </c>
      <c r="B261" s="186"/>
      <c r="C261" s="56" t="s">
        <v>181</v>
      </c>
      <c r="D261" s="56">
        <f>(44.96+1*(2.75+2.73)+2.42*0.8)*10.764</f>
        <v>563.77526399999999</v>
      </c>
      <c r="E261" s="56">
        <v>0</v>
      </c>
      <c r="F261" s="56">
        <f t="shared" si="24"/>
        <v>845.66289600000005</v>
      </c>
      <c r="G261" s="204"/>
      <c r="H261" s="205"/>
      <c r="I261" s="59"/>
    </row>
    <row r="262" spans="1:9" s="18" customFormat="1" ht="15.75" customHeight="1">
      <c r="A262" s="185">
        <v>8</v>
      </c>
      <c r="B262" s="186"/>
      <c r="C262" s="56" t="s">
        <v>182</v>
      </c>
      <c r="D262" s="56">
        <f>(29.96+2.75*0.75*2+1*2.4+0.85*2.75+0.7*2.75)*10.764</f>
        <v>438.60608999999994</v>
      </c>
      <c r="E262" s="56">
        <v>0</v>
      </c>
      <c r="F262" s="56">
        <f t="shared" si="24"/>
        <v>657.90913499999988</v>
      </c>
      <c r="G262" s="204"/>
      <c r="H262" s="205"/>
      <c r="I262" s="59"/>
    </row>
    <row r="263" spans="1:9" s="18" customFormat="1" ht="15.75" customHeight="1">
      <c r="A263" s="185">
        <v>9</v>
      </c>
      <c r="B263" s="186"/>
      <c r="C263" s="56" t="s">
        <v>182</v>
      </c>
      <c r="D263" s="56">
        <f>(29.96+2.75*0.75*2+1*2.4+0.85*2.75+0.7*2.75)*10.764</f>
        <v>438.60608999999994</v>
      </c>
      <c r="E263" s="56">
        <v>0</v>
      </c>
      <c r="F263" s="56">
        <f t="shared" si="24"/>
        <v>657.90913499999988</v>
      </c>
      <c r="G263" s="204"/>
      <c r="H263" s="205"/>
      <c r="I263" s="59"/>
    </row>
    <row r="264" spans="1:9" s="18" customFormat="1" ht="15.75" customHeight="1">
      <c r="A264" s="185">
        <v>10</v>
      </c>
      <c r="B264" s="186"/>
      <c r="C264" s="56" t="s">
        <v>182</v>
      </c>
      <c r="D264" s="56">
        <f>(28.71+2.75*0.75*2+1*2.1+0.4*2.75+0.6*2.75)*10.764</f>
        <v>405.64134000000001</v>
      </c>
      <c r="E264" s="56">
        <v>0</v>
      </c>
      <c r="F264" s="56">
        <f t="shared" si="24"/>
        <v>608.46200999999996</v>
      </c>
      <c r="G264" s="204"/>
      <c r="H264" s="205"/>
      <c r="I264" s="59"/>
    </row>
    <row r="265" spans="1:9" s="18" customFormat="1" ht="15.75" customHeight="1">
      <c r="A265" s="185">
        <v>11</v>
      </c>
      <c r="B265" s="186"/>
      <c r="C265" s="56" t="s">
        <v>182</v>
      </c>
      <c r="D265" s="56">
        <f>(28.71+2.75*0.75*2+1*2.1+0.4*2.75+0.6*2.75)*10.764</f>
        <v>405.64134000000001</v>
      </c>
      <c r="E265" s="56">
        <v>0</v>
      </c>
      <c r="F265" s="56">
        <f t="shared" si="24"/>
        <v>608.46200999999996</v>
      </c>
      <c r="G265" s="204"/>
      <c r="H265" s="205"/>
      <c r="I265" s="59"/>
    </row>
    <row r="266" spans="1:9" s="18" customFormat="1" ht="15.75" customHeight="1">
      <c r="A266" s="185">
        <v>12</v>
      </c>
      <c r="B266" s="186"/>
      <c r="C266" s="64" t="s">
        <v>182</v>
      </c>
      <c r="D266" s="56">
        <f>(35.96+1.2*1.8+1*2.4+0.8*2.75)*10.764</f>
        <v>459.83808000000005</v>
      </c>
      <c r="E266" s="56">
        <v>0</v>
      </c>
      <c r="F266" s="56">
        <f t="shared" si="24"/>
        <v>689.7571200000001</v>
      </c>
      <c r="G266" s="204"/>
      <c r="H266" s="205"/>
      <c r="I266" s="65">
        <f>(4.35*3.3+2.4*2.15+2.75*2.3+1.4*2.4+1.2*2.1+1.4*1)</f>
        <v>33.119999999999997</v>
      </c>
    </row>
    <row r="267" spans="1:9" s="18" customFormat="1" ht="15.75" customHeight="1">
      <c r="A267" s="185">
        <v>13</v>
      </c>
      <c r="B267" s="186"/>
      <c r="C267" s="64" t="s">
        <v>182</v>
      </c>
      <c r="D267" s="56">
        <f>(35.96+1.2*1.8+1*2.4+0.8*2.75)*10.764</f>
        <v>459.83808000000005</v>
      </c>
      <c r="E267" s="56">
        <v>0</v>
      </c>
      <c r="F267" s="56">
        <f t="shared" si="24"/>
        <v>689.7571200000001</v>
      </c>
      <c r="G267" s="204"/>
      <c r="H267" s="205"/>
      <c r="I267" s="59"/>
    </row>
    <row r="268" spans="1:9" s="18" customFormat="1" ht="15.75" customHeight="1">
      <c r="A268" s="185">
        <v>14</v>
      </c>
      <c r="B268" s="186"/>
      <c r="C268" s="56" t="s">
        <v>182</v>
      </c>
      <c r="D268" s="56">
        <f>(28.71+2.75*0.75*2+1*2.1+0.4*2.75+0.6*2.75)*10.764</f>
        <v>405.64134000000001</v>
      </c>
      <c r="E268" s="56">
        <v>0</v>
      </c>
      <c r="F268" s="56">
        <f t="shared" si="24"/>
        <v>608.46200999999996</v>
      </c>
      <c r="G268" s="204"/>
      <c r="H268" s="205"/>
      <c r="I268" s="59"/>
    </row>
    <row r="269" spans="1:9" s="18" customFormat="1" ht="15.75" customHeight="1">
      <c r="A269" s="185">
        <v>15</v>
      </c>
      <c r="B269" s="186"/>
      <c r="C269" s="56" t="s">
        <v>182</v>
      </c>
      <c r="D269" s="56">
        <f>(28.71+2.75*0.75*2+1*2.1+0.4*2.75+0.6*2.75)*10.764</f>
        <v>405.64134000000001</v>
      </c>
      <c r="E269" s="56">
        <v>0</v>
      </c>
      <c r="F269" s="56">
        <f t="shared" si="24"/>
        <v>608.46200999999996</v>
      </c>
      <c r="G269" s="204"/>
      <c r="H269" s="205"/>
      <c r="I269" s="59"/>
    </row>
    <row r="270" spans="1:9" s="18" customFormat="1" ht="15.75" customHeight="1">
      <c r="A270" s="185">
        <v>16</v>
      </c>
      <c r="B270" s="186"/>
      <c r="C270" s="56" t="s">
        <v>181</v>
      </c>
      <c r="D270" s="56">
        <f>(48.28+1.2*1.8+1*(2.4+3.1)+0.8*2.75)*10.764</f>
        <v>625.81895999999995</v>
      </c>
      <c r="E270" s="56">
        <v>0</v>
      </c>
      <c r="F270" s="56">
        <f t="shared" si="24"/>
        <v>938.72843999999986</v>
      </c>
      <c r="G270" s="206"/>
      <c r="H270" s="207"/>
      <c r="I270" s="59"/>
    </row>
    <row r="271" spans="1:9" s="18" customFormat="1" ht="15.75" customHeight="1">
      <c r="A271" s="179" t="s">
        <v>183</v>
      </c>
      <c r="B271" s="180"/>
      <c r="C271" s="180"/>
      <c r="D271" s="180"/>
      <c r="E271" s="180"/>
      <c r="F271" s="180"/>
      <c r="G271" s="180"/>
      <c r="H271" s="181"/>
      <c r="I271" s="59"/>
    </row>
    <row r="272" spans="1:9" s="18" customFormat="1" ht="15.75" customHeight="1">
      <c r="A272" s="187" t="s">
        <v>231</v>
      </c>
      <c r="B272" s="180"/>
      <c r="C272" s="180"/>
      <c r="D272" s="180"/>
      <c r="E272" s="180"/>
      <c r="F272" s="180"/>
      <c r="G272" s="180"/>
      <c r="H272" s="181"/>
      <c r="I272" s="59"/>
    </row>
    <row r="273" spans="1:10" s="18" customFormat="1" ht="15.75" customHeight="1">
      <c r="A273" s="182" t="s">
        <v>184</v>
      </c>
      <c r="B273" s="182"/>
      <c r="C273" s="182"/>
      <c r="D273" s="182"/>
      <c r="E273" s="182"/>
      <c r="F273" s="182"/>
      <c r="G273" s="182"/>
      <c r="H273" s="182"/>
      <c r="I273" s="59"/>
    </row>
    <row r="274" spans="1:10" s="18" customFormat="1" ht="15.75" customHeight="1">
      <c r="A274" s="183">
        <v>1</v>
      </c>
      <c r="B274" s="183"/>
      <c r="C274" s="69" t="s">
        <v>182</v>
      </c>
      <c r="D274" s="69">
        <f>(29.96+2.75*0.75*2+1*2.4+0.85*2.75+0.7*2.75)*10.764</f>
        <v>438.60608999999994</v>
      </c>
      <c r="E274" s="69">
        <v>0</v>
      </c>
      <c r="F274" s="69">
        <f t="shared" ref="F274:F289" si="25">D274*(($F$208)+1)+(IF(E274&lt;101,E274,IF(E274&lt;201,E274/2,IF(E274&lt;=301,E274/3,E274/4))))</f>
        <v>657.90913499999988</v>
      </c>
      <c r="G274" s="183" t="str">
        <f>A273</f>
        <v xml:space="preserve">1st to 6th, 8th to 11th, 13th &amp; 14th Floor </v>
      </c>
      <c r="H274" s="183"/>
      <c r="I274" s="59">
        <f>(3.1*2.75+2.1*2.4+2.65*2.75+1.1*2.1+1.8*1.1+0.9*2.75)</f>
        <v>27.617500000000003</v>
      </c>
    </row>
    <row r="275" spans="1:10" s="18" customFormat="1" ht="15.75" customHeight="1">
      <c r="A275" s="183">
        <v>2</v>
      </c>
      <c r="B275" s="183"/>
      <c r="C275" s="69" t="s">
        <v>182</v>
      </c>
      <c r="D275" s="69">
        <f t="shared" ref="D275:D276" si="26">(29.96+2.75*0.75*2+1*2.4+0.85*2.75+0.7*2.75)*10.764</f>
        <v>438.60608999999994</v>
      </c>
      <c r="E275" s="69">
        <v>0</v>
      </c>
      <c r="F275" s="69">
        <f t="shared" si="25"/>
        <v>657.90913499999988</v>
      </c>
      <c r="G275" s="183"/>
      <c r="H275" s="183"/>
      <c r="I275" s="59"/>
    </row>
    <row r="276" spans="1:10" s="18" customFormat="1" ht="15.75" customHeight="1">
      <c r="A276" s="183">
        <v>3</v>
      </c>
      <c r="B276" s="183"/>
      <c r="C276" s="69" t="s">
        <v>182</v>
      </c>
      <c r="D276" s="69">
        <f t="shared" si="26"/>
        <v>438.60608999999994</v>
      </c>
      <c r="E276" s="69">
        <v>0</v>
      </c>
      <c r="F276" s="69">
        <f t="shared" si="25"/>
        <v>657.90913499999988</v>
      </c>
      <c r="G276" s="183"/>
      <c r="H276" s="183"/>
      <c r="I276" s="59"/>
    </row>
    <row r="277" spans="1:10" s="18" customFormat="1" ht="15.75" customHeight="1">
      <c r="A277" s="183">
        <v>4</v>
      </c>
      <c r="B277" s="183"/>
      <c r="C277" s="69" t="s">
        <v>182</v>
      </c>
      <c r="D277" s="69">
        <f>(29.36+1*2.1+0.75*2.75+0.85*2.75)*10.764</f>
        <v>385.99703999999997</v>
      </c>
      <c r="E277" s="69">
        <v>0</v>
      </c>
      <c r="F277" s="69">
        <f t="shared" si="25"/>
        <v>578.99555999999995</v>
      </c>
      <c r="G277" s="183"/>
      <c r="H277" s="183"/>
      <c r="I277" s="59">
        <f>(2.75*3.86+2.1*2.1+2.75*2.6+1.1*1.8+1.15*1+0.9*2.45)</f>
        <v>27.509999999999998</v>
      </c>
      <c r="J277" s="59">
        <f>2840000/F277</f>
        <v>4905.0462494047451</v>
      </c>
    </row>
    <row r="278" spans="1:10" s="18" customFormat="1" ht="15.75" customHeight="1">
      <c r="A278" s="183">
        <v>5</v>
      </c>
      <c r="B278" s="183"/>
      <c r="C278" s="69" t="s">
        <v>182</v>
      </c>
      <c r="D278" s="69">
        <f>(29.36+1*2.1+0.75*2.75+0.85*2.75)*10.764</f>
        <v>385.99703999999997</v>
      </c>
      <c r="E278" s="69">
        <v>0</v>
      </c>
      <c r="F278" s="69">
        <f t="shared" si="25"/>
        <v>578.99555999999995</v>
      </c>
      <c r="G278" s="183"/>
      <c r="H278" s="183"/>
      <c r="I278" s="59"/>
    </row>
    <row r="279" spans="1:10" s="18" customFormat="1" ht="15.75" customHeight="1">
      <c r="A279" s="183">
        <v>6</v>
      </c>
      <c r="B279" s="183"/>
      <c r="C279" s="69" t="s">
        <v>181</v>
      </c>
      <c r="D279" s="69">
        <f>(51.19+1.2*1.8+1*(2.4+3.1))*10.764</f>
        <v>633.46139999999991</v>
      </c>
      <c r="E279" s="69">
        <v>0</v>
      </c>
      <c r="F279" s="69">
        <f t="shared" si="25"/>
        <v>950.19209999999987</v>
      </c>
      <c r="G279" s="183"/>
      <c r="H279" s="183"/>
      <c r="I279" s="59">
        <f>(4.35*3.3+2.4*2.25+2.75*3.15+3.1*3.45+1.78*1.3+1.2*2.1+1.05*3)</f>
        <v>47.096499999999999</v>
      </c>
    </row>
    <row r="280" spans="1:10" s="18" customFormat="1" ht="15.75" customHeight="1">
      <c r="A280" s="183">
        <v>7</v>
      </c>
      <c r="B280" s="183"/>
      <c r="C280" s="69" t="s">
        <v>181</v>
      </c>
      <c r="D280" s="69">
        <f>(51.19+1.2*1.8+1*(2.4+3.1))*10.764</f>
        <v>633.46139999999991</v>
      </c>
      <c r="E280" s="69">
        <v>0</v>
      </c>
      <c r="F280" s="69">
        <f t="shared" si="25"/>
        <v>950.19209999999987</v>
      </c>
      <c r="G280" s="183"/>
      <c r="H280" s="183"/>
      <c r="I280" s="59"/>
    </row>
    <row r="281" spans="1:10" s="18" customFormat="1" ht="15.75" customHeight="1">
      <c r="A281" s="183">
        <v>8</v>
      </c>
      <c r="B281" s="183"/>
      <c r="C281" s="69" t="s">
        <v>182</v>
      </c>
      <c r="D281" s="69">
        <f>(29.36+1*2.1+0.75*2.75+0.85*2.75)*10.764</f>
        <v>385.99703999999997</v>
      </c>
      <c r="E281" s="69">
        <v>0</v>
      </c>
      <c r="F281" s="69">
        <f t="shared" si="25"/>
        <v>578.99555999999995</v>
      </c>
      <c r="G281" s="183"/>
      <c r="H281" s="183"/>
      <c r="I281" s="59"/>
    </row>
    <row r="282" spans="1:10" s="18" customFormat="1" ht="15.75" customHeight="1">
      <c r="A282" s="183">
        <v>9</v>
      </c>
      <c r="B282" s="183"/>
      <c r="C282" s="69" t="s">
        <v>182</v>
      </c>
      <c r="D282" s="69">
        <f>(29.36+1*2.1+0.75*2.75+0.85*2.75)*10.764</f>
        <v>385.99703999999997</v>
      </c>
      <c r="E282" s="69">
        <v>0</v>
      </c>
      <c r="F282" s="69">
        <f t="shared" si="25"/>
        <v>578.99555999999995</v>
      </c>
      <c r="G282" s="183"/>
      <c r="H282" s="183"/>
      <c r="I282" s="59"/>
    </row>
    <row r="283" spans="1:10" s="18" customFormat="1" ht="15.75" customHeight="1">
      <c r="A283" s="183">
        <v>10</v>
      </c>
      <c r="B283" s="183"/>
      <c r="C283" s="64" t="s">
        <v>182</v>
      </c>
      <c r="D283" s="69">
        <f>(29.96+2.75*0.75*2+1*2.4+0.85*2.75+0.7*2.75)*10.764</f>
        <v>438.60608999999994</v>
      </c>
      <c r="E283" s="69">
        <v>0</v>
      </c>
      <c r="F283" s="69">
        <f t="shared" si="25"/>
        <v>657.90913499999988</v>
      </c>
      <c r="G283" s="183"/>
      <c r="H283" s="183"/>
      <c r="I283" s="59"/>
    </row>
    <row r="284" spans="1:10" s="18" customFormat="1" ht="15.75" customHeight="1">
      <c r="A284" s="183">
        <v>11</v>
      </c>
      <c r="B284" s="183"/>
      <c r="C284" s="69" t="s">
        <v>182</v>
      </c>
      <c r="D284" s="69">
        <f>(29.96+2.75*0.75*2+1*2.4+0.85*2.75+0.7*2.75)*10.764</f>
        <v>438.60608999999994</v>
      </c>
      <c r="E284" s="69">
        <v>0</v>
      </c>
      <c r="F284" s="69">
        <f t="shared" si="25"/>
        <v>657.90913499999988</v>
      </c>
      <c r="G284" s="183"/>
      <c r="H284" s="183"/>
      <c r="I284" s="59"/>
    </row>
    <row r="285" spans="1:10" s="18" customFormat="1" ht="15.75" customHeight="1">
      <c r="A285" s="183">
        <v>12</v>
      </c>
      <c r="B285" s="183"/>
      <c r="C285" s="64" t="s">
        <v>182</v>
      </c>
      <c r="D285" s="69">
        <f>(29.36+1*2.1+0.75*2.75+0.85*2.75)*10.764</f>
        <v>385.99703999999997</v>
      </c>
      <c r="E285" s="69">
        <v>0</v>
      </c>
      <c r="F285" s="69">
        <f t="shared" si="25"/>
        <v>578.99555999999995</v>
      </c>
      <c r="G285" s="183"/>
      <c r="H285" s="183"/>
      <c r="I285" s="59"/>
    </row>
    <row r="286" spans="1:10" s="18" customFormat="1" ht="15.75" customHeight="1">
      <c r="A286" s="183">
        <v>13</v>
      </c>
      <c r="B286" s="183"/>
      <c r="C286" s="64" t="s">
        <v>182</v>
      </c>
      <c r="D286" s="69">
        <f>(29.96+2.75*0.75*2+1*2.4+0.85*2.75+0.7*2.75)*10.764</f>
        <v>438.60608999999994</v>
      </c>
      <c r="E286" s="69">
        <v>0</v>
      </c>
      <c r="F286" s="69">
        <f t="shared" si="25"/>
        <v>657.90913499999988</v>
      </c>
      <c r="G286" s="183"/>
      <c r="H286" s="183"/>
      <c r="I286" s="59"/>
    </row>
    <row r="287" spans="1:10" s="18" customFormat="1" ht="15.75" customHeight="1">
      <c r="A287" s="183">
        <v>14</v>
      </c>
      <c r="B287" s="183"/>
      <c r="C287" s="69" t="s">
        <v>182</v>
      </c>
      <c r="D287" s="69">
        <f>(29.96+2.75*0.75*2+1*2.4+0.85*2.75+0.7*2.75)*10.764</f>
        <v>438.60608999999994</v>
      </c>
      <c r="E287" s="69">
        <v>0</v>
      </c>
      <c r="F287" s="69">
        <f t="shared" si="25"/>
        <v>657.90913499999988</v>
      </c>
      <c r="G287" s="183"/>
      <c r="H287" s="183"/>
      <c r="I287" s="59"/>
    </row>
    <row r="288" spans="1:10" s="18" customFormat="1" ht="15.75" customHeight="1">
      <c r="A288" s="183">
        <v>15</v>
      </c>
      <c r="B288" s="183"/>
      <c r="C288" s="66" t="s">
        <v>182</v>
      </c>
      <c r="D288" s="69">
        <f>(29.96+2.75*0.75*2+1*2.4+0.85*2.75+0.7*2.75)*10.764</f>
        <v>438.60608999999994</v>
      </c>
      <c r="E288" s="69">
        <v>0</v>
      </c>
      <c r="F288" s="69">
        <f t="shared" si="25"/>
        <v>657.90913499999988</v>
      </c>
      <c r="G288" s="183"/>
      <c r="H288" s="183"/>
      <c r="I288" s="59"/>
    </row>
    <row r="289" spans="1:10" s="18" customFormat="1" ht="15.75" customHeight="1">
      <c r="A289" s="183">
        <v>16</v>
      </c>
      <c r="B289" s="183"/>
      <c r="C289" s="69" t="s">
        <v>182</v>
      </c>
      <c r="D289" s="69">
        <f>(29.96+2.75*0.75*2+1*2.4+0.85*2.75+0.7*2.75)*10.764</f>
        <v>438.60608999999994</v>
      </c>
      <c r="E289" s="69">
        <v>0</v>
      </c>
      <c r="F289" s="69">
        <f t="shared" si="25"/>
        <v>657.90913499999988</v>
      </c>
      <c r="G289" s="183"/>
      <c r="H289" s="183"/>
      <c r="I289" s="59"/>
    </row>
    <row r="290" spans="1:10" s="18" customFormat="1" ht="15.75" customHeight="1">
      <c r="A290" s="179" t="s">
        <v>185</v>
      </c>
      <c r="B290" s="180"/>
      <c r="C290" s="180"/>
      <c r="D290" s="180"/>
      <c r="E290" s="180"/>
      <c r="F290" s="180"/>
      <c r="G290" s="180"/>
      <c r="H290" s="181"/>
      <c r="I290" s="59"/>
    </row>
    <row r="291" spans="1:10" s="18" customFormat="1" ht="15.75" customHeight="1">
      <c r="A291" s="185">
        <v>1</v>
      </c>
      <c r="B291" s="186"/>
      <c r="C291" s="56" t="s">
        <v>182</v>
      </c>
      <c r="D291" s="56">
        <f>(29.96+2.75*0.75*2+1*2.4+0.85*2.75+0.7*2.75)*10.764</f>
        <v>438.60608999999994</v>
      </c>
      <c r="E291" s="56">
        <v>0</v>
      </c>
      <c r="F291" s="56">
        <f t="shared" ref="F291:F306" si="27">D291*(($F$208)+1)+(IF(E291&lt;101,E291,IF(E291&lt;201,E291/2,IF(E291&lt;=301,E291/3,E291/4))))</f>
        <v>657.90913499999988</v>
      </c>
      <c r="G291" s="202" t="str">
        <f>A290</f>
        <v>7th &amp; 12th Floor (Part Refuge Area)</v>
      </c>
      <c r="H291" s="213"/>
      <c r="I291" s="59"/>
    </row>
    <row r="292" spans="1:10" s="18" customFormat="1" ht="15.75" customHeight="1">
      <c r="A292" s="185">
        <v>2</v>
      </c>
      <c r="B292" s="186"/>
      <c r="C292" s="56" t="s">
        <v>182</v>
      </c>
      <c r="D292" s="56">
        <f t="shared" ref="D292:D293" si="28">(29.96+2.75*0.75*2+1*2.4+0.85*2.75+0.7*2.75)*10.764</f>
        <v>438.60608999999994</v>
      </c>
      <c r="E292" s="56">
        <v>0</v>
      </c>
      <c r="F292" s="56">
        <f t="shared" si="27"/>
        <v>657.90913499999988</v>
      </c>
      <c r="G292" s="204"/>
      <c r="H292" s="205"/>
      <c r="I292" s="59"/>
    </row>
    <row r="293" spans="1:10" s="18" customFormat="1" ht="15.75" customHeight="1">
      <c r="A293" s="185">
        <v>3</v>
      </c>
      <c r="B293" s="186"/>
      <c r="C293" s="56" t="s">
        <v>182</v>
      </c>
      <c r="D293" s="56">
        <f t="shared" si="28"/>
        <v>438.60608999999994</v>
      </c>
      <c r="E293" s="56">
        <v>0</v>
      </c>
      <c r="F293" s="56">
        <f t="shared" si="27"/>
        <v>657.90913499999988</v>
      </c>
      <c r="G293" s="204"/>
      <c r="H293" s="205"/>
      <c r="I293" s="59"/>
    </row>
    <row r="294" spans="1:10" s="18" customFormat="1" ht="15.75" customHeight="1">
      <c r="A294" s="185">
        <v>4</v>
      </c>
      <c r="B294" s="186"/>
      <c r="C294" s="56" t="s">
        <v>182</v>
      </c>
      <c r="D294" s="56">
        <f>(29.36+1*2.1+0.75*2.75+0.85*2.75)*10.764</f>
        <v>385.99703999999997</v>
      </c>
      <c r="E294" s="56">
        <v>0</v>
      </c>
      <c r="F294" s="56">
        <f t="shared" si="27"/>
        <v>578.99555999999995</v>
      </c>
      <c r="G294" s="204"/>
      <c r="H294" s="205"/>
      <c r="I294" s="59"/>
    </row>
    <row r="295" spans="1:10" s="18" customFormat="1" ht="15.75" customHeight="1">
      <c r="A295" s="185">
        <v>5</v>
      </c>
      <c r="B295" s="186"/>
      <c r="C295" s="56" t="s">
        <v>182</v>
      </c>
      <c r="D295" s="56">
        <f>(29.36+1*2.1+0.75*2.75+0.85*2.75)*10.764</f>
        <v>385.99703999999997</v>
      </c>
      <c r="E295" s="56">
        <v>0</v>
      </c>
      <c r="F295" s="56">
        <f t="shared" si="27"/>
        <v>578.99555999999995</v>
      </c>
      <c r="G295" s="204"/>
      <c r="H295" s="205"/>
      <c r="I295" s="59"/>
    </row>
    <row r="296" spans="1:10" s="18" customFormat="1" ht="15.75" customHeight="1">
      <c r="A296" s="185">
        <v>6</v>
      </c>
      <c r="B296" s="186"/>
      <c r="C296" s="56" t="s">
        <v>182</v>
      </c>
      <c r="D296" s="56">
        <f>(38.82+1.2*1.8+1*2.4)*10.764</f>
        <v>466.94232</v>
      </c>
      <c r="E296" s="56">
        <v>0</v>
      </c>
      <c r="F296" s="56">
        <f t="shared" si="27"/>
        <v>700.41347999999994</v>
      </c>
      <c r="G296" s="204"/>
      <c r="H296" s="205"/>
      <c r="I296" s="59">
        <f>(4.35*3.3+2.4*2.25+2.75*3.15+1.4*2.5+1.2*2.1+1*2.4)</f>
        <v>36.837499999999999</v>
      </c>
    </row>
    <row r="297" spans="1:10" s="18" customFormat="1" ht="15.75" customHeight="1">
      <c r="A297" s="185">
        <v>7</v>
      </c>
      <c r="B297" s="186"/>
      <c r="C297" s="56" t="s">
        <v>182</v>
      </c>
      <c r="D297" s="56">
        <f>(38.82+1.2*1.8+1*2.4)*10.764</f>
        <v>466.94232</v>
      </c>
      <c r="E297" s="56">
        <v>0</v>
      </c>
      <c r="F297" s="56">
        <f t="shared" si="27"/>
        <v>700.41347999999994</v>
      </c>
      <c r="G297" s="204"/>
      <c r="H297" s="205"/>
      <c r="J297" s="59">
        <f>3240000/F297</f>
        <v>4625.83901155072</v>
      </c>
    </row>
    <row r="298" spans="1:10" s="18" customFormat="1" ht="15.75" customHeight="1">
      <c r="A298" s="185">
        <v>8</v>
      </c>
      <c r="B298" s="186"/>
      <c r="C298" s="56" t="s">
        <v>182</v>
      </c>
      <c r="D298" s="56">
        <f>(29.36+1*2.1+0.75*2.75+0.85*2.75)*10.764</f>
        <v>385.99703999999997</v>
      </c>
      <c r="E298" s="56">
        <v>0</v>
      </c>
      <c r="F298" s="56">
        <f t="shared" si="27"/>
        <v>578.99555999999995</v>
      </c>
      <c r="G298" s="204"/>
      <c r="H298" s="205"/>
      <c r="I298" s="59"/>
    </row>
    <row r="299" spans="1:10" s="18" customFormat="1" ht="15.75" customHeight="1">
      <c r="A299" s="185">
        <v>9</v>
      </c>
      <c r="B299" s="186"/>
      <c r="C299" s="56" t="s">
        <v>182</v>
      </c>
      <c r="D299" s="56">
        <f>(29.36+1*2.1+0.75*2.75+0.85*2.75)*10.764</f>
        <v>385.99703999999997</v>
      </c>
      <c r="E299" s="56">
        <v>0</v>
      </c>
      <c r="F299" s="56">
        <f t="shared" si="27"/>
        <v>578.99555999999995</v>
      </c>
      <c r="G299" s="204"/>
      <c r="H299" s="205"/>
      <c r="I299" s="59"/>
    </row>
    <row r="300" spans="1:10" s="18" customFormat="1" ht="15.75" customHeight="1">
      <c r="A300" s="185">
        <v>10</v>
      </c>
      <c r="B300" s="186"/>
      <c r="C300" s="64" t="s">
        <v>182</v>
      </c>
      <c r="D300" s="56">
        <f>(29.96+2.75*0.75*2+1*2.4+0.85*2.75+0.7*2.75)*10.764</f>
        <v>438.60608999999994</v>
      </c>
      <c r="E300" s="56">
        <v>0</v>
      </c>
      <c r="F300" s="56">
        <f t="shared" si="27"/>
        <v>657.90913499999988</v>
      </c>
      <c r="G300" s="204"/>
      <c r="H300" s="205"/>
      <c r="I300" s="59"/>
    </row>
    <row r="301" spans="1:10" s="18" customFormat="1" ht="15.75" customHeight="1">
      <c r="A301" s="185">
        <v>11</v>
      </c>
      <c r="B301" s="186"/>
      <c r="C301" s="56" t="s">
        <v>182</v>
      </c>
      <c r="D301" s="56">
        <f>(29.96+2.75*0.75*2+1*2.4+0.85*2.75+0.7*2.75)*10.764</f>
        <v>438.60608999999994</v>
      </c>
      <c r="E301" s="56">
        <v>0</v>
      </c>
      <c r="F301" s="56">
        <f t="shared" si="27"/>
        <v>657.90913499999988</v>
      </c>
      <c r="G301" s="204"/>
      <c r="H301" s="205"/>
      <c r="I301" s="59"/>
    </row>
    <row r="302" spans="1:10" s="18" customFormat="1" ht="15.75" customHeight="1">
      <c r="A302" s="185">
        <v>12</v>
      </c>
      <c r="B302" s="186"/>
      <c r="C302" s="64" t="s">
        <v>182</v>
      </c>
      <c r="D302" s="56">
        <f>(29.36+1*2.1+0.75*2.75+0.85*2.75)*10.764</f>
        <v>385.99703999999997</v>
      </c>
      <c r="E302" s="56">
        <v>0</v>
      </c>
      <c r="F302" s="56">
        <f t="shared" si="27"/>
        <v>578.99555999999995</v>
      </c>
      <c r="G302" s="204"/>
      <c r="H302" s="205"/>
      <c r="I302" s="59"/>
    </row>
    <row r="303" spans="1:10" s="18" customFormat="1" ht="15.75" customHeight="1">
      <c r="A303" s="185">
        <v>13</v>
      </c>
      <c r="B303" s="186"/>
      <c r="C303" s="64" t="s">
        <v>182</v>
      </c>
      <c r="D303" s="56">
        <f>(29.96+2.75*0.75*2+1*2.4+0.85*2.75+0.7*2.75)*10.764</f>
        <v>438.60608999999994</v>
      </c>
      <c r="E303" s="56">
        <v>0</v>
      </c>
      <c r="F303" s="56">
        <f t="shared" si="27"/>
        <v>657.90913499999988</v>
      </c>
      <c r="G303" s="204"/>
      <c r="H303" s="205"/>
      <c r="I303" s="59"/>
    </row>
    <row r="304" spans="1:10" s="18" customFormat="1" ht="15.75" customHeight="1">
      <c r="A304" s="185">
        <v>14</v>
      </c>
      <c r="B304" s="186"/>
      <c r="C304" s="56" t="s">
        <v>182</v>
      </c>
      <c r="D304" s="56">
        <f>(29.96+2.75*0.75*2+1*2.4+0.85*2.75+0.7*2.75)*10.764</f>
        <v>438.60608999999994</v>
      </c>
      <c r="E304" s="56">
        <v>0</v>
      </c>
      <c r="F304" s="56">
        <f t="shared" si="27"/>
        <v>657.90913499999988</v>
      </c>
      <c r="G304" s="204"/>
      <c r="H304" s="205"/>
      <c r="I304" s="59"/>
    </row>
    <row r="305" spans="1:9" s="18" customFormat="1" ht="15.75" customHeight="1">
      <c r="A305" s="185">
        <v>15</v>
      </c>
      <c r="B305" s="186"/>
      <c r="C305" s="66" t="s">
        <v>182</v>
      </c>
      <c r="D305" s="56">
        <f>(29.96+2.75*0.75*2+1*2.4+0.85*2.75+0.7*2.75)*10.764</f>
        <v>438.60608999999994</v>
      </c>
      <c r="E305" s="56">
        <v>0</v>
      </c>
      <c r="F305" s="56">
        <f t="shared" si="27"/>
        <v>657.90913499999988</v>
      </c>
      <c r="G305" s="204"/>
      <c r="H305" s="205"/>
      <c r="I305" s="59"/>
    </row>
    <row r="306" spans="1:9" s="18" customFormat="1" ht="15.75" customHeight="1">
      <c r="A306" s="185">
        <v>16</v>
      </c>
      <c r="B306" s="186"/>
      <c r="C306" s="56" t="s">
        <v>182</v>
      </c>
      <c r="D306" s="56">
        <f>(29.96+2.75*0.75*2+1*2.4+0.85*2.75+0.7*2.75)*10.764</f>
        <v>438.60608999999994</v>
      </c>
      <c r="E306" s="56">
        <v>0</v>
      </c>
      <c r="F306" s="56">
        <f t="shared" si="27"/>
        <v>657.90913499999988</v>
      </c>
      <c r="G306" s="206"/>
      <c r="H306" s="207"/>
      <c r="I306" s="59"/>
    </row>
    <row r="307" spans="1:9" s="17" customFormat="1">
      <c r="A307" s="217" t="s">
        <v>186</v>
      </c>
      <c r="B307" s="217"/>
      <c r="C307" s="217"/>
      <c r="D307" s="217"/>
      <c r="E307" s="217"/>
      <c r="F307" s="217"/>
      <c r="G307" s="217"/>
      <c r="H307" s="217"/>
    </row>
    <row r="308" spans="1:9" s="17" customFormat="1">
      <c r="A308" s="53" t="s">
        <v>187</v>
      </c>
      <c r="B308" s="191" t="s">
        <v>241</v>
      </c>
      <c r="C308" s="192"/>
      <c r="D308" s="192"/>
      <c r="E308" s="192"/>
      <c r="F308" s="192"/>
      <c r="G308" s="192"/>
      <c r="H308" s="193"/>
    </row>
    <row r="309" spans="1:9" s="17" customFormat="1">
      <c r="A309" s="53" t="s">
        <v>187</v>
      </c>
      <c r="B309" s="191" t="str">
        <f>(IF(F207="Saleable area Loading :","We have considered Saleable area of Flats as per our Calculation.","We considered Saleable area of Flat as per Builder area Sheet."))</f>
        <v>We have considered Saleable area of Flats as per our Calculation.</v>
      </c>
      <c r="C309" s="192"/>
      <c r="D309" s="192"/>
      <c r="E309" s="192"/>
      <c r="F309" s="192"/>
      <c r="G309" s="192"/>
      <c r="H309" s="193"/>
    </row>
    <row r="310" spans="1:9" s="17" customFormat="1">
      <c r="A310" s="53" t="s">
        <v>187</v>
      </c>
      <c r="B310" s="191" t="str">
        <f>(IF(F150="Saleable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10" s="192"/>
      <c r="D310" s="192"/>
      <c r="E310" s="192"/>
      <c r="F310" s="192"/>
      <c r="G310" s="192"/>
      <c r="H310" s="193"/>
    </row>
    <row r="311" spans="1:9" s="17" customFormat="1">
      <c r="A311" s="53" t="s">
        <v>187</v>
      </c>
      <c r="B311" s="216" t="s">
        <v>188</v>
      </c>
      <c r="C311" s="189"/>
      <c r="D311" s="189"/>
      <c r="E311" s="189"/>
      <c r="F311" s="189"/>
      <c r="G311" s="189"/>
      <c r="H311" s="190"/>
    </row>
    <row r="312" spans="1:9" s="17" customFormat="1">
      <c r="A312" s="53" t="s">
        <v>187</v>
      </c>
      <c r="B312" s="216" t="s">
        <v>189</v>
      </c>
      <c r="C312" s="189"/>
      <c r="D312" s="189"/>
      <c r="E312" s="189"/>
      <c r="F312" s="189"/>
      <c r="G312" s="189"/>
      <c r="H312" s="190"/>
    </row>
    <row r="313" spans="1:9" s="17" customFormat="1">
      <c r="A313" s="53" t="s">
        <v>187</v>
      </c>
      <c r="B313" s="216" t="s">
        <v>190</v>
      </c>
      <c r="C313" s="189"/>
      <c r="D313" s="189"/>
      <c r="E313" s="189"/>
      <c r="F313" s="189"/>
      <c r="G313" s="189"/>
      <c r="H313" s="190"/>
    </row>
    <row r="314" spans="1:9" s="17" customFormat="1">
      <c r="A314" s="53" t="s">
        <v>187</v>
      </c>
      <c r="B314" s="216" t="s">
        <v>191</v>
      </c>
      <c r="C314" s="189"/>
      <c r="D314" s="189"/>
      <c r="E314" s="189"/>
      <c r="F314" s="189"/>
      <c r="G314" s="189"/>
      <c r="H314" s="190"/>
    </row>
    <row r="315" spans="1:9" s="17" customFormat="1" ht="34.5" customHeight="1">
      <c r="A315" s="53" t="s">
        <v>187</v>
      </c>
      <c r="B315" s="216" t="s">
        <v>192</v>
      </c>
      <c r="C315" s="189"/>
      <c r="D315" s="189"/>
      <c r="E315" s="189"/>
      <c r="F315" s="189"/>
      <c r="G315" s="189"/>
      <c r="H315" s="190"/>
    </row>
    <row r="316" spans="1:9" s="17" customFormat="1">
      <c r="A316" s="53" t="s">
        <v>187</v>
      </c>
      <c r="B316" s="216" t="s">
        <v>193</v>
      </c>
      <c r="C316" s="189"/>
      <c r="D316" s="189"/>
      <c r="E316" s="189"/>
      <c r="F316" s="189"/>
      <c r="G316" s="189"/>
      <c r="H316" s="190"/>
    </row>
    <row r="317" spans="1:9" s="17" customFormat="1">
      <c r="A317" s="53" t="s">
        <v>187</v>
      </c>
      <c r="B317" s="188" t="s">
        <v>232</v>
      </c>
      <c r="C317" s="189"/>
      <c r="D317" s="189"/>
      <c r="E317" s="189"/>
      <c r="F317" s="189"/>
      <c r="G317" s="189"/>
      <c r="H317" s="190"/>
    </row>
    <row r="318" spans="1:9" s="17" customFormat="1">
      <c r="A318" s="53" t="s">
        <v>187</v>
      </c>
      <c r="B318" s="188" t="s">
        <v>234</v>
      </c>
      <c r="C318" s="189"/>
      <c r="D318" s="189"/>
      <c r="E318" s="189"/>
      <c r="F318" s="189"/>
      <c r="G318" s="189"/>
      <c r="H318" s="190"/>
    </row>
    <row r="319" spans="1:9" s="17" customFormat="1" hidden="1">
      <c r="A319" s="53" t="s">
        <v>187</v>
      </c>
      <c r="B319" s="191" t="s">
        <v>194</v>
      </c>
      <c r="C319" s="192"/>
      <c r="D319" s="192"/>
      <c r="E319" s="192"/>
      <c r="F319" s="192"/>
      <c r="G319" s="192"/>
      <c r="H319" s="193"/>
    </row>
    <row r="320" spans="1:9">
      <c r="A320" s="112" t="s">
        <v>195</v>
      </c>
      <c r="B320" s="112"/>
      <c r="C320" s="112"/>
      <c r="D320" s="112"/>
      <c r="E320" s="112"/>
      <c r="F320" s="112"/>
      <c r="G320" s="112"/>
      <c r="H320" s="112"/>
    </row>
    <row r="321" spans="1:8">
      <c r="A321" s="83" t="s">
        <v>196</v>
      </c>
      <c r="B321" s="83"/>
      <c r="C321" s="83"/>
      <c r="D321" s="83"/>
      <c r="E321" s="83"/>
      <c r="F321" s="83"/>
      <c r="G321" s="83"/>
      <c r="H321" s="83"/>
    </row>
    <row r="322" spans="1:8" ht="15.75" customHeight="1">
      <c r="A322" s="194" t="s">
        <v>197</v>
      </c>
      <c r="B322" s="194"/>
      <c r="C322" s="194"/>
      <c r="D322" s="194"/>
      <c r="E322" s="194"/>
      <c r="F322" s="194"/>
      <c r="G322" s="194"/>
      <c r="H322" s="194"/>
    </row>
    <row r="323" spans="1:8">
      <c r="A323" s="83" t="s">
        <v>198</v>
      </c>
      <c r="B323" s="83"/>
      <c r="C323" s="83"/>
      <c r="D323" s="83"/>
      <c r="E323" s="83"/>
      <c r="F323" s="83"/>
      <c r="G323" s="83"/>
      <c r="H323" s="83"/>
    </row>
    <row r="324" spans="1:8">
      <c r="A324" s="83" t="s">
        <v>199</v>
      </c>
      <c r="B324" s="83"/>
      <c r="C324" s="83"/>
      <c r="D324" s="83"/>
      <c r="E324" s="83"/>
      <c r="F324" s="83"/>
      <c r="G324" s="83"/>
      <c r="H324" s="83"/>
    </row>
    <row r="325" spans="1:8">
      <c r="A325" s="83" t="s">
        <v>200</v>
      </c>
      <c r="B325" s="83"/>
      <c r="C325" s="83"/>
      <c r="D325" s="83"/>
      <c r="E325" s="83"/>
      <c r="F325" s="83"/>
      <c r="G325" s="83"/>
      <c r="H325" s="83"/>
    </row>
    <row r="326" spans="1:8" ht="35.25" customHeight="1">
      <c r="A326" s="85" t="s">
        <v>201</v>
      </c>
      <c r="B326" s="85"/>
      <c r="C326" s="85"/>
      <c r="D326" s="85"/>
      <c r="E326" s="85"/>
      <c r="F326" s="85"/>
      <c r="G326" s="85"/>
      <c r="H326" s="85"/>
    </row>
    <row r="327" spans="1:8">
      <c r="A327" s="195" t="s">
        <v>202</v>
      </c>
      <c r="B327" s="195"/>
      <c r="C327" s="195" t="s">
        <v>203</v>
      </c>
      <c r="D327" s="195"/>
      <c r="E327" s="195" t="s">
        <v>204</v>
      </c>
      <c r="F327" s="195"/>
      <c r="G327" s="195" t="s">
        <v>239</v>
      </c>
      <c r="H327" s="195"/>
    </row>
    <row r="328" spans="1:8">
      <c r="A328" s="214" t="s">
        <v>205</v>
      </c>
      <c r="B328" s="214"/>
      <c r="C328" s="214"/>
      <c r="D328" s="214"/>
      <c r="E328" s="214"/>
      <c r="F328" s="214"/>
      <c r="G328" s="214"/>
      <c r="H328" s="214"/>
    </row>
    <row r="329" spans="1:8">
      <c r="A329" s="214"/>
      <c r="B329" s="214"/>
      <c r="C329" s="214"/>
      <c r="D329" s="214"/>
      <c r="E329" s="214"/>
      <c r="F329" s="214"/>
      <c r="G329" s="214"/>
      <c r="H329" s="214"/>
    </row>
    <row r="330" spans="1:8">
      <c r="A330" s="214"/>
      <c r="B330" s="214"/>
      <c r="C330" s="214"/>
      <c r="D330" s="214"/>
      <c r="E330" s="214"/>
      <c r="F330" s="214"/>
      <c r="G330" s="214"/>
      <c r="H330" s="214"/>
    </row>
    <row r="331" spans="1:8">
      <c r="A331" s="214"/>
      <c r="B331" s="214"/>
      <c r="C331" s="214"/>
      <c r="D331" s="214"/>
      <c r="E331" s="214"/>
      <c r="F331" s="214"/>
      <c r="G331" s="214"/>
      <c r="H331" s="214"/>
    </row>
    <row r="332" spans="1:8">
      <c r="A332" s="60" t="s">
        <v>206</v>
      </c>
      <c r="B332" s="61"/>
      <c r="C332" s="61"/>
      <c r="D332" s="60" t="str">
        <f>E8</f>
        <v>Yogi Belleza</v>
      </c>
      <c r="F332" s="61"/>
      <c r="G332" s="61"/>
      <c r="H332" s="61"/>
    </row>
    <row r="333" spans="1:8">
      <c r="A333" s="61"/>
      <c r="B333" s="61"/>
      <c r="C333" s="61"/>
      <c r="D333" s="61"/>
      <c r="E333" s="61"/>
      <c r="F333" s="61"/>
      <c r="G333" s="61"/>
      <c r="H333" s="61"/>
    </row>
    <row r="334" spans="1:8">
      <c r="A334" s="61"/>
      <c r="B334" s="61"/>
      <c r="C334" s="61"/>
      <c r="D334" s="61"/>
      <c r="E334" s="61"/>
      <c r="F334" s="61"/>
      <c r="G334" s="61"/>
      <c r="H334" s="61"/>
    </row>
    <row r="335" spans="1:8" ht="15" customHeight="1"/>
    <row r="375" spans="1:1">
      <c r="A375" s="67" t="s">
        <v>233</v>
      </c>
    </row>
    <row r="418" spans="1:1">
      <c r="A418" s="62" t="s">
        <v>207</v>
      </c>
    </row>
  </sheetData>
  <mergeCells count="545">
    <mergeCell ref="A269:B269"/>
    <mergeCell ref="A270:B270"/>
    <mergeCell ref="B316:H316"/>
    <mergeCell ref="B317:H317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307:H307"/>
    <mergeCell ref="B308:H308"/>
    <mergeCell ref="B309:H309"/>
    <mergeCell ref="B310:H310"/>
    <mergeCell ref="B311:H311"/>
    <mergeCell ref="B312:H312"/>
    <mergeCell ref="B313:H313"/>
    <mergeCell ref="B314:H314"/>
    <mergeCell ref="B315:H315"/>
    <mergeCell ref="A298:B298"/>
    <mergeCell ref="A299:B299"/>
    <mergeCell ref="A328:H331"/>
    <mergeCell ref="G207:H208"/>
    <mergeCell ref="G221:H236"/>
    <mergeCell ref="G274:H289"/>
    <mergeCell ref="G291:H306"/>
    <mergeCell ref="A237:H237"/>
    <mergeCell ref="A238:B238"/>
    <mergeCell ref="G238:H253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H254"/>
    <mergeCell ref="A327:B327"/>
    <mergeCell ref="C327:D327"/>
    <mergeCell ref="E327:F327"/>
    <mergeCell ref="G327:H327"/>
    <mergeCell ref="A150:A151"/>
    <mergeCell ref="A207:A208"/>
    <mergeCell ref="B150:B151"/>
    <mergeCell ref="B207:B208"/>
    <mergeCell ref="C150:C151"/>
    <mergeCell ref="C207:C208"/>
    <mergeCell ref="D150:D151"/>
    <mergeCell ref="D207:D208"/>
    <mergeCell ref="E150:E151"/>
    <mergeCell ref="E207:E208"/>
    <mergeCell ref="G180:H205"/>
    <mergeCell ref="G154:H178"/>
    <mergeCell ref="G211:H219"/>
    <mergeCell ref="G150:H151"/>
    <mergeCell ref="A255:B255"/>
    <mergeCell ref="G255:H270"/>
    <mergeCell ref="A256:B256"/>
    <mergeCell ref="A257:B257"/>
    <mergeCell ref="A258:B258"/>
    <mergeCell ref="A259:B259"/>
    <mergeCell ref="B318:H318"/>
    <mergeCell ref="B319:H319"/>
    <mergeCell ref="A320:H320"/>
    <mergeCell ref="A321:H321"/>
    <mergeCell ref="A322:H322"/>
    <mergeCell ref="A323:H323"/>
    <mergeCell ref="A324:H324"/>
    <mergeCell ref="A325:H325"/>
    <mergeCell ref="A326:H326"/>
    <mergeCell ref="A300:B300"/>
    <mergeCell ref="A301:B301"/>
    <mergeCell ref="A302:B302"/>
    <mergeCell ref="A303:B303"/>
    <mergeCell ref="A304:B304"/>
    <mergeCell ref="A305:B305"/>
    <mergeCell ref="A306:B306"/>
    <mergeCell ref="A289:B289"/>
    <mergeCell ref="A290:H290"/>
    <mergeCell ref="A291:B291"/>
    <mergeCell ref="A292:B292"/>
    <mergeCell ref="A293:B293"/>
    <mergeCell ref="A294:B294"/>
    <mergeCell ref="A295:B295"/>
    <mergeCell ref="A296:B296"/>
    <mergeCell ref="A297:B297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71:H271"/>
    <mergeCell ref="A272:H272"/>
    <mergeCell ref="A273:H273"/>
    <mergeCell ref="A274:B274"/>
    <mergeCell ref="A275:B275"/>
    <mergeCell ref="A276:B276"/>
    <mergeCell ref="A277:B277"/>
    <mergeCell ref="A278:B278"/>
    <mergeCell ref="A279:B279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20:H220"/>
    <mergeCell ref="L220:M220"/>
    <mergeCell ref="A221:B221"/>
    <mergeCell ref="A222:B222"/>
    <mergeCell ref="A223:B223"/>
    <mergeCell ref="A224:B224"/>
    <mergeCell ref="A225:B225"/>
    <mergeCell ref="A226:B226"/>
    <mergeCell ref="A227:B227"/>
    <mergeCell ref="A215:B215"/>
    <mergeCell ref="L215:M215"/>
    <mergeCell ref="A216:B216"/>
    <mergeCell ref="L216:M216"/>
    <mergeCell ref="A217:B217"/>
    <mergeCell ref="L217:M217"/>
    <mergeCell ref="A218:B218"/>
    <mergeCell ref="L218:M218"/>
    <mergeCell ref="A219:B219"/>
    <mergeCell ref="L219:M219"/>
    <mergeCell ref="A209:H209"/>
    <mergeCell ref="A210:H210"/>
    <mergeCell ref="A211:B211"/>
    <mergeCell ref="L211:M211"/>
    <mergeCell ref="A212:B212"/>
    <mergeCell ref="L212:M212"/>
    <mergeCell ref="A213:B213"/>
    <mergeCell ref="L213:M213"/>
    <mergeCell ref="A214:B214"/>
    <mergeCell ref="L214:M214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6:H20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A201:B201"/>
    <mergeCell ref="L201:M201"/>
    <mergeCell ref="A192:B192"/>
    <mergeCell ref="L192:M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A177:B177"/>
    <mergeCell ref="L177:M177"/>
    <mergeCell ref="A178:B178"/>
    <mergeCell ref="L178:M178"/>
    <mergeCell ref="A179:H179"/>
    <mergeCell ref="A180:B180"/>
    <mergeCell ref="L180:M180"/>
    <mergeCell ref="A181:B181"/>
    <mergeCell ref="L181:M181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A167:B167"/>
    <mergeCell ref="L167:M167"/>
    <mergeCell ref="A168:B168"/>
    <mergeCell ref="L168:M168"/>
    <mergeCell ref="A169:B169"/>
    <mergeCell ref="L169:M169"/>
    <mergeCell ref="A170:B170"/>
    <mergeCell ref="L170:M170"/>
    <mergeCell ref="A171:B171"/>
    <mergeCell ref="L171:M171"/>
    <mergeCell ref="A162:B162"/>
    <mergeCell ref="L162:M162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A157:B157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49:H149"/>
    <mergeCell ref="A152:H152"/>
    <mergeCell ref="A153:H153"/>
    <mergeCell ref="A154:B154"/>
    <mergeCell ref="L154:M154"/>
    <mergeCell ref="A155:B155"/>
    <mergeCell ref="L155:M155"/>
    <mergeCell ref="A156:B156"/>
    <mergeCell ref="L156:M156"/>
    <mergeCell ref="A146:B146"/>
    <mergeCell ref="C146:D146"/>
    <mergeCell ref="E146:F146"/>
    <mergeCell ref="G146:H146"/>
    <mergeCell ref="A147:B147"/>
    <mergeCell ref="C147:D147"/>
    <mergeCell ref="E147:F147"/>
    <mergeCell ref="G147:H147"/>
    <mergeCell ref="A148:H148"/>
    <mergeCell ref="A143:B143"/>
    <mergeCell ref="C143:D143"/>
    <mergeCell ref="E143:F143"/>
    <mergeCell ref="G143:H143"/>
    <mergeCell ref="A144:B144"/>
    <mergeCell ref="C144:D144"/>
    <mergeCell ref="E144:F144"/>
    <mergeCell ref="G144:H144"/>
    <mergeCell ref="A145:B145"/>
    <mergeCell ref="C145:D145"/>
    <mergeCell ref="E145:F145"/>
    <mergeCell ref="G145:H145"/>
    <mergeCell ref="A140:B140"/>
    <mergeCell ref="C140:D140"/>
    <mergeCell ref="E140:F140"/>
    <mergeCell ref="G140:H140"/>
    <mergeCell ref="A141:B141"/>
    <mergeCell ref="C141:D141"/>
    <mergeCell ref="E141:F141"/>
    <mergeCell ref="G141:H141"/>
    <mergeCell ref="A142:H142"/>
    <mergeCell ref="A137:H137"/>
    <mergeCell ref="A138:B138"/>
    <mergeCell ref="C138:D138"/>
    <mergeCell ref="E138:F138"/>
    <mergeCell ref="G138:H138"/>
    <mergeCell ref="A139:B139"/>
    <mergeCell ref="C139:D139"/>
    <mergeCell ref="E139:F139"/>
    <mergeCell ref="G139:H139"/>
    <mergeCell ref="A132:E132"/>
    <mergeCell ref="F132:H132"/>
    <mergeCell ref="A133:E133"/>
    <mergeCell ref="F133:H133"/>
    <mergeCell ref="A134:E134"/>
    <mergeCell ref="F134:H134"/>
    <mergeCell ref="A135:E135"/>
    <mergeCell ref="F135:H135"/>
    <mergeCell ref="A136:E136"/>
    <mergeCell ref="F136:H136"/>
    <mergeCell ref="A127:E127"/>
    <mergeCell ref="F127:H127"/>
    <mergeCell ref="A128:E128"/>
    <mergeCell ref="F128:H128"/>
    <mergeCell ref="A129:E129"/>
    <mergeCell ref="F129:H129"/>
    <mergeCell ref="A130:E130"/>
    <mergeCell ref="F130:H130"/>
    <mergeCell ref="A131:E131"/>
    <mergeCell ref="F131:H131"/>
    <mergeCell ref="F122:G122"/>
    <mergeCell ref="A123:E123"/>
    <mergeCell ref="F123:H123"/>
    <mergeCell ref="A124:E124"/>
    <mergeCell ref="F124:H124"/>
    <mergeCell ref="A125:E125"/>
    <mergeCell ref="F125:H125"/>
    <mergeCell ref="A126:E126"/>
    <mergeCell ref="F126:H126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C122:D122"/>
    <mergeCell ref="A107:B107"/>
    <mergeCell ref="A108:B108"/>
    <mergeCell ref="C108:H108"/>
    <mergeCell ref="A110:B110"/>
    <mergeCell ref="C110:H110"/>
    <mergeCell ref="A111:B111"/>
    <mergeCell ref="E111:F111"/>
    <mergeCell ref="G111:H111"/>
    <mergeCell ref="A112:B112"/>
    <mergeCell ref="E112:F121"/>
    <mergeCell ref="G112:H121"/>
    <mergeCell ref="E98:F107"/>
    <mergeCell ref="G98:H10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13:B113"/>
    <mergeCell ref="A114:B114"/>
    <mergeCell ref="A92:B92"/>
    <mergeCell ref="A93:B93"/>
    <mergeCell ref="C93:D93"/>
    <mergeCell ref="F93:G93"/>
    <mergeCell ref="A94:B94"/>
    <mergeCell ref="C94:H94"/>
    <mergeCell ref="A96:B96"/>
    <mergeCell ref="C96:H96"/>
    <mergeCell ref="A97:B97"/>
    <mergeCell ref="E97:F97"/>
    <mergeCell ref="G97:H97"/>
    <mergeCell ref="E83:F92"/>
    <mergeCell ref="G83:H9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5:B75"/>
    <mergeCell ref="A76:B76"/>
    <mergeCell ref="A77:B77"/>
    <mergeCell ref="A78:B78"/>
    <mergeCell ref="A79:B79"/>
    <mergeCell ref="C79:H79"/>
    <mergeCell ref="A81:B81"/>
    <mergeCell ref="C81:H81"/>
    <mergeCell ref="A82:B82"/>
    <mergeCell ref="E82:F82"/>
    <mergeCell ref="G82:H82"/>
    <mergeCell ref="E69:F78"/>
    <mergeCell ref="G69:H78"/>
    <mergeCell ref="A68:B68"/>
    <mergeCell ref="E68:F68"/>
    <mergeCell ref="G68:H68"/>
    <mergeCell ref="A69:B69"/>
    <mergeCell ref="A70:B70"/>
    <mergeCell ref="A71:B71"/>
    <mergeCell ref="A72:B72"/>
    <mergeCell ref="A73:B73"/>
    <mergeCell ref="A74:B74"/>
    <mergeCell ref="A62:C62"/>
    <mergeCell ref="D62:H62"/>
    <mergeCell ref="A63:C63"/>
    <mergeCell ref="D63:H63"/>
    <mergeCell ref="A64:C64"/>
    <mergeCell ref="D64:H64"/>
    <mergeCell ref="A65:B65"/>
    <mergeCell ref="C65:H65"/>
    <mergeCell ref="A67:B67"/>
    <mergeCell ref="C67:H67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52:B52"/>
    <mergeCell ref="C52:E52"/>
    <mergeCell ref="G52:H52"/>
    <mergeCell ref="A53:H53"/>
    <mergeCell ref="A54:C54"/>
    <mergeCell ref="D54:H54"/>
    <mergeCell ref="A55:C55"/>
    <mergeCell ref="D55:H55"/>
    <mergeCell ref="A56:C56"/>
    <mergeCell ref="D56:H56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331" max="16383" man="1"/>
    <brk id="374" max="7" man="1"/>
    <brk id="41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218" t="s">
        <v>208</v>
      </c>
      <c r="C3" s="218"/>
      <c r="D3" s="218"/>
      <c r="E3" s="218"/>
      <c r="F3" s="218"/>
      <c r="G3" s="218"/>
      <c r="H3" s="218"/>
    </row>
    <row r="4" spans="1:9">
      <c r="A4" s="2"/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214</v>
      </c>
      <c r="H4" s="3" t="s">
        <v>215</v>
      </c>
    </row>
    <row r="5" spans="1:9" ht="15" customHeight="1">
      <c r="A5" s="2"/>
      <c r="B5" s="4" t="s">
        <v>216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216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216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216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216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217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217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218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219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2024-10-28T06:03:39Z</cp:lastPrinted>
  <dcterms:created xsi:type="dcterms:W3CDTF">2019-07-16T09:29:00Z</dcterms:created>
  <dcterms:modified xsi:type="dcterms:W3CDTF">2025-07-04T14:09:08Z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8D6A009F139B41A5A9DFA18D98614A7E_12</vt:lpwstr>
  </property>
  <property fmtid="{D5CDD505-2E9C-101B-9397-08002B2CF9AE}" pid="3" name="KSOProductBuildVer">
    <vt:lpwstr>1033-12.2.0.17562</vt:lpwstr>
  </property>
</Properties>
</file>