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 name="Sheet1" sheetId="4" r:id="rId2"/>
  </sheets>
  <definedNames>
    <definedName name="_xlnm.Print_Area" localSheetId="0">Report!$A$1:$I$396</definedName>
  </definedNames>
  <calcPr calcId="162913"/>
</workbook>
</file>

<file path=xl/calcChain.xml><?xml version="1.0" encoding="utf-8"?>
<calcChain xmlns="http://schemas.openxmlformats.org/spreadsheetml/2006/main">
  <c r="C75" i="3" l="1"/>
  <c r="C76" i="3" s="1"/>
  <c r="C91" i="3"/>
  <c r="C59" i="3"/>
  <c r="C60" i="3" s="1"/>
  <c r="C61" i="3" l="1"/>
  <c r="C62" i="3" s="1"/>
  <c r="I4" i="3"/>
  <c r="C92" i="3" l="1"/>
  <c r="C93" i="3" s="1"/>
  <c r="C77" i="3"/>
  <c r="C78" i="3" s="1"/>
  <c r="M98" i="3" l="1"/>
  <c r="K96" i="3"/>
  <c r="K95" i="3"/>
  <c r="K94" i="3"/>
  <c r="M82" i="3"/>
  <c r="K80" i="3"/>
  <c r="K79" i="3"/>
  <c r="K78" i="3"/>
  <c r="M66" i="3"/>
  <c r="K64" i="3"/>
  <c r="K63" i="3"/>
  <c r="K62" i="3"/>
  <c r="I55" i="3"/>
  <c r="I87" i="3"/>
  <c r="I71" i="3"/>
  <c r="K90" i="3" l="1"/>
  <c r="C89" i="3" s="1"/>
  <c r="E89" i="3" s="1"/>
  <c r="K88" i="3"/>
  <c r="E100" i="3"/>
  <c r="E98" i="3"/>
  <c r="E96" i="3"/>
  <c r="K91" i="3"/>
  <c r="K92" i="3" s="1"/>
  <c r="K97" i="3" s="1"/>
  <c r="E99" i="3"/>
  <c r="E91" i="3"/>
  <c r="E97" i="3"/>
  <c r="E95" i="3"/>
  <c r="E92" i="3"/>
  <c r="K89" i="3"/>
  <c r="E65" i="3"/>
  <c r="E63" i="3"/>
  <c r="E61" i="3"/>
  <c r="K59" i="3"/>
  <c r="K60" i="3" s="1"/>
  <c r="K65" i="3" s="1"/>
  <c r="E59" i="3"/>
  <c r="K57" i="3"/>
  <c r="E68" i="3"/>
  <c r="E66" i="3"/>
  <c r="E64" i="3"/>
  <c r="E62" i="3"/>
  <c r="E60" i="3"/>
  <c r="K58" i="3"/>
  <c r="C57" i="3" s="1"/>
  <c r="E57" i="3" s="1"/>
  <c r="K56" i="3"/>
  <c r="E67" i="3"/>
  <c r="E83" i="3"/>
  <c r="E81" i="3"/>
  <c r="E79" i="3"/>
  <c r="E77" i="3"/>
  <c r="K75" i="3"/>
  <c r="K76" i="3" s="1"/>
  <c r="K81" i="3" s="1"/>
  <c r="E75" i="3"/>
  <c r="K73" i="3"/>
  <c r="E84" i="3"/>
  <c r="E82" i="3"/>
  <c r="E80" i="3"/>
  <c r="E78" i="3"/>
  <c r="E76" i="3"/>
  <c r="K74" i="3"/>
  <c r="C73" i="3" s="1"/>
  <c r="E73" i="3" s="1"/>
  <c r="K72" i="3"/>
  <c r="E93" i="3"/>
  <c r="C94" i="3"/>
  <c r="E94" i="3" s="1"/>
  <c r="K93" i="3" l="1"/>
  <c r="K98" i="3" s="1"/>
  <c r="C90" i="3" s="1"/>
  <c r="K77" i="3"/>
  <c r="K82" i="3" s="1"/>
  <c r="C74" i="3" s="1"/>
  <c r="K61" i="3"/>
  <c r="K66" i="3" s="1"/>
  <c r="C58" i="3" s="1"/>
  <c r="E90" i="3" l="1"/>
  <c r="F89" i="3"/>
  <c r="E74" i="3"/>
  <c r="F73" i="3"/>
  <c r="J70" i="3" s="1"/>
  <c r="H73" i="3" s="1"/>
  <c r="E58" i="3"/>
  <c r="F57" i="3"/>
  <c r="J54" i="3" s="1"/>
  <c r="H57" i="3" s="1"/>
  <c r="J86" i="3" l="1"/>
  <c r="H89" i="3" s="1"/>
  <c r="H101" i="3"/>
  <c r="D155" i="3"/>
  <c r="F153" i="3"/>
  <c r="F152" i="3"/>
  <c r="F140" i="3"/>
  <c r="F139" i="3"/>
  <c r="D142" i="3"/>
  <c r="L22" i="3"/>
  <c r="L21" i="3"/>
  <c r="L20" i="3"/>
  <c r="F155" i="3"/>
  <c r="D154" i="3"/>
  <c r="I154" i="3" s="1"/>
  <c r="D153" i="3"/>
  <c r="D152" i="3"/>
  <c r="D151" i="3"/>
  <c r="I151" i="3" s="1"/>
  <c r="D149" i="3"/>
  <c r="I149" i="3" s="1"/>
  <c r="D148" i="3"/>
  <c r="I148" i="3" s="1"/>
  <c r="J147" i="3"/>
  <c r="F147" i="3"/>
  <c r="D147" i="3"/>
  <c r="I147" i="3" s="1"/>
  <c r="F146" i="3"/>
  <c r="D146" i="3"/>
  <c r="D145" i="3"/>
  <c r="I145" i="3" s="1"/>
  <c r="A145" i="3"/>
  <c r="A146" i="3" s="1"/>
  <c r="A147" i="3" s="1"/>
  <c r="A148" i="3" s="1"/>
  <c r="A149" i="3" s="1"/>
  <c r="A152" i="3" s="1"/>
  <c r="A153" i="3" s="1"/>
  <c r="A154" i="3" s="1"/>
  <c r="A155" i="3" s="1"/>
  <c r="K144" i="3"/>
  <c r="J144" i="3"/>
  <c r="F144" i="3"/>
  <c r="D144" i="3"/>
  <c r="F142" i="3"/>
  <c r="D141" i="3"/>
  <c r="D140" i="3"/>
  <c r="D139" i="3"/>
  <c r="D138" i="3"/>
  <c r="D137" i="3"/>
  <c r="D136" i="3"/>
  <c r="D135" i="3"/>
  <c r="I146" i="3" l="1"/>
  <c r="K145" i="3"/>
  <c r="L145" i="3" s="1"/>
  <c r="L146" i="3" s="1"/>
  <c r="L23" i="3"/>
  <c r="I144" i="3"/>
  <c r="M146" i="3" s="1"/>
  <c r="L147" i="3" s="1"/>
  <c r="I153" i="3"/>
  <c r="I152" i="3"/>
  <c r="A150" i="3"/>
  <c r="M144" i="3"/>
  <c r="I155" i="3"/>
  <c r="F134" i="3"/>
  <c r="F133" i="3"/>
  <c r="D134" i="3"/>
  <c r="D133" i="3"/>
  <c r="D132" i="3"/>
  <c r="F131" i="3"/>
  <c r="D131" i="3"/>
  <c r="I142" i="3"/>
  <c r="I141" i="3"/>
  <c r="I140" i="3" l="1"/>
  <c r="I139" i="3"/>
  <c r="I138" i="3"/>
  <c r="I137" i="3"/>
  <c r="I136" i="3"/>
  <c r="I135" i="3"/>
  <c r="J134" i="3"/>
  <c r="I134" i="3"/>
  <c r="I133" i="3"/>
  <c r="I132" i="3"/>
  <c r="A132" i="3"/>
  <c r="A133" i="3" s="1"/>
  <c r="A134" i="3" s="1"/>
  <c r="A135" i="3" s="1"/>
  <c r="A136" i="3" s="1"/>
  <c r="A137" i="3" s="1"/>
  <c r="A138" i="3" s="1"/>
  <c r="A139" i="3" s="1"/>
  <c r="A140" i="3" s="1"/>
  <c r="A141" i="3" s="1"/>
  <c r="A142" i="3" s="1"/>
  <c r="K131" i="3"/>
  <c r="J131" i="3"/>
  <c r="I131" i="3"/>
  <c r="M133" i="3" s="1"/>
  <c r="K125" i="3"/>
  <c r="F118" i="3" l="1"/>
  <c r="H118" i="3"/>
  <c r="K132" i="3"/>
  <c r="L132" i="3" s="1"/>
  <c r="L133" i="3" s="1"/>
  <c r="L134" i="3" s="1"/>
  <c r="M131" i="3"/>
  <c r="J162" i="3" l="1"/>
  <c r="C20" i="3" l="1"/>
  <c r="H19" i="3"/>
  <c r="J19" i="3"/>
  <c r="K200" i="3"/>
  <c r="J200" i="3"/>
  <c r="F199" i="3"/>
  <c r="D199" i="3"/>
  <c r="D178" i="3"/>
  <c r="I178" i="3" s="1"/>
  <c r="J165" i="3"/>
  <c r="K162" i="3"/>
  <c r="K163" i="3" s="1"/>
  <c r="L163" i="3" s="1"/>
  <c r="L164" i="3" s="1"/>
  <c r="F201" i="3"/>
  <c r="F200" i="3"/>
  <c r="F198" i="3"/>
  <c r="F197" i="3"/>
  <c r="F196" i="3"/>
  <c r="D201" i="3"/>
  <c r="D200" i="3"/>
  <c r="D198" i="3"/>
  <c r="D197" i="3"/>
  <c r="D196" i="3"/>
  <c r="F194" i="3"/>
  <c r="F193" i="3"/>
  <c r="F192" i="3"/>
  <c r="F191" i="3"/>
  <c r="F190" i="3"/>
  <c r="F189" i="3"/>
  <c r="D194" i="3"/>
  <c r="D193" i="3"/>
  <c r="D192" i="3"/>
  <c r="D191" i="3"/>
  <c r="D190" i="3"/>
  <c r="D189" i="3"/>
  <c r="A197" i="3"/>
  <c r="A198" i="3" s="1"/>
  <c r="A200" i="3" s="1"/>
  <c r="A201" i="3" s="1"/>
  <c r="A190" i="3"/>
  <c r="A191" i="3" s="1"/>
  <c r="A192" i="3" s="1"/>
  <c r="A193" i="3" s="1"/>
  <c r="A194" i="3" s="1"/>
  <c r="K183" i="3"/>
  <c r="F182" i="3"/>
  <c r="D182" i="3"/>
  <c r="F181" i="3"/>
  <c r="D181" i="3"/>
  <c r="D180" i="3"/>
  <c r="I180" i="3" s="1"/>
  <c r="D177" i="3"/>
  <c r="I177" i="3" s="1"/>
  <c r="D176" i="3"/>
  <c r="I176" i="3" s="1"/>
  <c r="D175" i="3"/>
  <c r="I175" i="3" s="1"/>
  <c r="F174" i="3"/>
  <c r="D174" i="3"/>
  <c r="A174" i="3"/>
  <c r="A175" i="3" s="1"/>
  <c r="A176" i="3" s="1"/>
  <c r="A177" i="3" s="1"/>
  <c r="A178" i="3" s="1"/>
  <c r="A179" i="3" s="1"/>
  <c r="A180" i="3" s="1"/>
  <c r="A181" i="3" s="1"/>
  <c r="A182" i="3" s="1"/>
  <c r="F173" i="3"/>
  <c r="D173" i="3"/>
  <c r="F171" i="3"/>
  <c r="F170" i="3"/>
  <c r="F163" i="3"/>
  <c r="F162" i="3"/>
  <c r="D171" i="3"/>
  <c r="D170" i="3"/>
  <c r="D169" i="3"/>
  <c r="D168" i="3"/>
  <c r="D167" i="3"/>
  <c r="D166" i="3"/>
  <c r="D165" i="3"/>
  <c r="D164" i="3"/>
  <c r="D163" i="3"/>
  <c r="D162" i="3"/>
  <c r="A163" i="3"/>
  <c r="I201" i="3" l="1"/>
  <c r="I170" i="3"/>
  <c r="I193" i="3"/>
  <c r="I191" i="3"/>
  <c r="I192" i="3"/>
  <c r="I200" i="3"/>
  <c r="I198" i="3"/>
  <c r="I181" i="3"/>
  <c r="I194" i="3"/>
  <c r="M162" i="3"/>
  <c r="I163" i="3"/>
  <c r="I174" i="3"/>
  <c r="I199" i="3"/>
  <c r="I189" i="3"/>
  <c r="I171" i="3"/>
  <c r="I182" i="3"/>
  <c r="I190" i="3"/>
  <c r="I173" i="3"/>
  <c r="I197" i="3"/>
  <c r="I196" i="3"/>
  <c r="I162" i="3"/>
  <c r="E247" i="3"/>
  <c r="M164" i="3" l="1"/>
  <c r="L165" i="3" s="1"/>
  <c r="F120" i="3"/>
  <c r="H120" i="3"/>
  <c r="K124" i="3"/>
  <c r="K156" i="3"/>
  <c r="I169" i="3"/>
  <c r="I168" i="3"/>
  <c r="I167" i="3"/>
  <c r="I166" i="3"/>
  <c r="I165" i="3"/>
  <c r="I164" i="3"/>
  <c r="A164" i="3"/>
  <c r="A165" i="3" s="1"/>
  <c r="A166" i="3" s="1"/>
  <c r="A167" i="3" s="1"/>
  <c r="A168" i="3" s="1"/>
  <c r="A169" i="3" s="1"/>
  <c r="A170" i="3" s="1"/>
  <c r="A171" i="3" s="1"/>
  <c r="H114" i="3"/>
  <c r="H113" i="3"/>
  <c r="F119" i="3" l="1"/>
  <c r="F121" i="3" s="1"/>
  <c r="H119" i="3"/>
  <c r="H121" i="3" s="1"/>
  <c r="A234" i="3" l="1"/>
  <c r="A235" i="3" s="1"/>
  <c r="A236" i="3" s="1"/>
  <c r="A237" i="3" s="1"/>
  <c r="A238" i="3" s="1"/>
  <c r="A239" i="3" s="1"/>
  <c r="A240" i="3" s="1"/>
  <c r="A241" i="3" s="1"/>
  <c r="A242" i="3" s="1"/>
  <c r="A243" i="3" s="1"/>
  <c r="A223" i="3"/>
  <c r="A224" i="3" s="1"/>
  <c r="A225" i="3" s="1"/>
  <c r="A226" i="3" s="1"/>
  <c r="A227" i="3" s="1"/>
  <c r="A228" i="3" s="1"/>
  <c r="A229" i="3" s="1"/>
  <c r="A230" i="3" s="1"/>
  <c r="A231" i="3" s="1"/>
  <c r="A232" i="3" s="1"/>
  <c r="A212" i="3"/>
  <c r="A213" i="3" s="1"/>
  <c r="A214" i="3" s="1"/>
  <c r="A215" i="3" s="1"/>
  <c r="A216" i="3" s="1"/>
  <c r="A217" i="3" s="1"/>
  <c r="A218" i="3" s="1"/>
  <c r="A219" i="3" s="1"/>
  <c r="A220" i="3" s="1"/>
  <c r="A221" i="3" s="1"/>
  <c r="A203" i="3"/>
  <c r="A204" i="3" s="1"/>
  <c r="A205" i="3" s="1"/>
  <c r="A206" i="3" s="1"/>
  <c r="A207" i="3" s="1"/>
  <c r="A208" i="3" s="1"/>
  <c r="A209" i="3" s="1"/>
  <c r="A210" i="3" s="1"/>
  <c r="C203" i="3"/>
  <c r="C204" i="3" s="1"/>
  <c r="C205" i="3" s="1"/>
  <c r="C206" i="3" s="1"/>
  <c r="C207" i="3" s="1"/>
  <c r="C208" i="3" s="1"/>
  <c r="C209" i="3" s="1"/>
  <c r="C210" i="3" s="1"/>
  <c r="E248" i="3" l="1"/>
  <c r="H115" i="3"/>
  <c r="I243" i="3" l="1"/>
  <c r="I242" i="3"/>
  <c r="I241" i="3"/>
  <c r="I240" i="3"/>
  <c r="I239" i="3"/>
  <c r="I238" i="3"/>
  <c r="I237" i="3"/>
  <c r="I236" i="3"/>
  <c r="I235" i="3"/>
  <c r="I234" i="3"/>
  <c r="I232" i="3"/>
  <c r="I231" i="3"/>
  <c r="I230" i="3"/>
  <c r="I229" i="3"/>
  <c r="I228" i="3"/>
  <c r="I227" i="3"/>
  <c r="I226" i="3"/>
  <c r="I225" i="3"/>
  <c r="I224" i="3"/>
  <c r="I223" i="3"/>
  <c r="I221" i="3"/>
  <c r="I220" i="3"/>
  <c r="I219" i="3"/>
  <c r="I218" i="3"/>
  <c r="I217" i="3"/>
  <c r="I216" i="3"/>
  <c r="I215" i="3"/>
  <c r="I214" i="3"/>
  <c r="I213" i="3"/>
  <c r="I212" i="3"/>
  <c r="I204" i="3"/>
  <c r="I205" i="3"/>
  <c r="I206" i="3"/>
  <c r="I207" i="3"/>
  <c r="I208" i="3"/>
  <c r="I209" i="3"/>
  <c r="I210" i="3"/>
  <c r="I203" i="3"/>
  <c r="W234" i="3"/>
  <c r="W223" i="3"/>
  <c r="V223" i="3"/>
  <c r="V212" i="3"/>
  <c r="W212" i="3"/>
  <c r="V234" i="3"/>
  <c r="U234" i="3" l="1"/>
  <c r="V235" i="3"/>
  <c r="W235" i="3"/>
  <c r="W236" i="3" s="1"/>
  <c r="W237" i="3" s="1"/>
  <c r="W238" i="3" s="1"/>
  <c r="W239" i="3" s="1"/>
  <c r="W240" i="3" s="1"/>
  <c r="W241" i="3" s="1"/>
  <c r="W242" i="3" s="1"/>
  <c r="W243" i="3" s="1"/>
  <c r="U223" i="3"/>
  <c r="V224" i="3"/>
  <c r="W224" i="3"/>
  <c r="W225" i="3" s="1"/>
  <c r="W226" i="3" s="1"/>
  <c r="W227" i="3" s="1"/>
  <c r="W228" i="3" s="1"/>
  <c r="W229" i="3" s="1"/>
  <c r="W230" i="3" s="1"/>
  <c r="W231" i="3" s="1"/>
  <c r="W232" i="3" s="1"/>
  <c r="W213" i="3"/>
  <c r="W214" i="3" s="1"/>
  <c r="W215" i="3" s="1"/>
  <c r="W216" i="3" s="1"/>
  <c r="W217" i="3" s="1"/>
  <c r="W218" i="3" s="1"/>
  <c r="W219" i="3" s="1"/>
  <c r="W220" i="3" s="1"/>
  <c r="W221" i="3" s="1"/>
  <c r="V213" i="3"/>
  <c r="U212" i="3"/>
  <c r="C234" i="3" l="1"/>
  <c r="C223" i="3"/>
  <c r="C212" i="3"/>
  <c r="U235" i="3"/>
  <c r="V236" i="3"/>
  <c r="U236" i="3" s="1"/>
  <c r="C236" i="3" s="1"/>
  <c r="U224" i="3"/>
  <c r="V225" i="3"/>
  <c r="U225" i="3" s="1"/>
  <c r="C225" i="3" s="1"/>
  <c r="V214" i="3"/>
  <c r="U213" i="3"/>
  <c r="C235" i="3" l="1"/>
  <c r="C224" i="3"/>
  <c r="C213" i="3"/>
  <c r="V237" i="3"/>
  <c r="U237" i="3" s="1"/>
  <c r="C237" i="3" s="1"/>
  <c r="V226" i="3"/>
  <c r="U226" i="3" s="1"/>
  <c r="C226" i="3" s="1"/>
  <c r="V215" i="3"/>
  <c r="U214" i="3"/>
  <c r="C214" i="3" l="1"/>
  <c r="V238" i="3"/>
  <c r="U238" i="3" s="1"/>
  <c r="C238" i="3" s="1"/>
  <c r="V227" i="3"/>
  <c r="U227" i="3" s="1"/>
  <c r="C227" i="3" s="1"/>
  <c r="V216" i="3"/>
  <c r="U215" i="3"/>
  <c r="C215" i="3" l="1"/>
  <c r="V239" i="3"/>
  <c r="U239" i="3" s="1"/>
  <c r="C239" i="3" s="1"/>
  <c r="V228" i="3"/>
  <c r="U228" i="3" s="1"/>
  <c r="C228" i="3" s="1"/>
  <c r="V217" i="3"/>
  <c r="U216" i="3"/>
  <c r="C216" i="3" l="1"/>
  <c r="V240" i="3"/>
  <c r="U240" i="3" s="1"/>
  <c r="C240" i="3" s="1"/>
  <c r="V229" i="3"/>
  <c r="U229" i="3" s="1"/>
  <c r="C229" i="3" s="1"/>
  <c r="V218" i="3"/>
  <c r="U217" i="3"/>
  <c r="C217" i="3" l="1"/>
  <c r="V241" i="3"/>
  <c r="U241" i="3" s="1"/>
  <c r="C241" i="3" s="1"/>
  <c r="V230" i="3"/>
  <c r="U230" i="3" s="1"/>
  <c r="C230" i="3" s="1"/>
  <c r="V219" i="3"/>
  <c r="U218" i="3"/>
  <c r="C218" i="3" l="1"/>
  <c r="V242" i="3"/>
  <c r="U242" i="3" s="1"/>
  <c r="C242" i="3" s="1"/>
  <c r="V231" i="3"/>
  <c r="U231" i="3" s="1"/>
  <c r="C231" i="3" s="1"/>
  <c r="V220" i="3"/>
  <c r="U219" i="3"/>
  <c r="C219" i="3" l="1"/>
  <c r="V243" i="3"/>
  <c r="V232" i="3"/>
  <c r="V221" i="3"/>
  <c r="U221" i="3" s="1"/>
  <c r="U220" i="3"/>
  <c r="C221" i="3" l="1"/>
  <c r="C220" i="3"/>
  <c r="U243" i="3"/>
  <c r="U232" i="3"/>
  <c r="C243" i="3" l="1"/>
  <c r="C232" i="3"/>
  <c r="E249" i="3"/>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113" authorId="0" shapeId="0">
      <text>
        <r>
          <rPr>
            <b/>
            <sz val="16"/>
            <color indexed="81"/>
            <rFont val="Tahoma"/>
            <family val="2"/>
          </rPr>
          <t>Ready Recknor</t>
        </r>
      </text>
    </comment>
  </commentList>
</comments>
</file>

<file path=xl/sharedStrings.xml><?xml version="1.0" encoding="utf-8"?>
<sst xmlns="http://schemas.openxmlformats.org/spreadsheetml/2006/main" count="530" uniqueCount="267">
  <si>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</si>
  <si>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</si>
  <si>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</si>
  <si>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</si>
  <si>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</si>
  <si>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</si>
  <si>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</si>
  <si>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</si>
  <si>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</si>
  <si>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</si>
  <si>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</si>
  <si>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</si>
  <si>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</si>
  <si>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</si>
  <si>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</si>
  <si>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</si>
  <si>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</si>
  <si>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</si>
  <si>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</si>
  <si>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</si>
  <si>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</si>
  <si>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</si>
  <si>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</si>
  <si>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</si>
  <si>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</si>
  <si>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</si>
  <si>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</si>
  <si>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</si>
  <si>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</si>
  <si>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</si>
  <si>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</si>
  <si>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</si>
  <si>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</si>
  <si>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</si>
  <si>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</si>
  <si>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</si>
  <si>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</si>
  <si>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</si>
  <si>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</si>
  <si>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</si>
  <si>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</si>
  <si>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</si>
  <si>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</si>
  <si>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</si>
  <si>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</si>
  <si>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</si>
  <si>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</si>
  <si>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</si>
  <si>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</si>
  <si>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</si>
  <si>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</si>
  <si>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</si>
  <si>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</si>
  <si>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</si>
  <si>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</si>
  <si>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</si>
  <si>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</si>
  <si>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</si>
  <si>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</si>
  <si>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</si>
  <si>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</si>
  <si>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</si>
  <si>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</si>
  <si>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</si>
  <si>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</si>
  <si>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</si>
  <si>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</si>
  <si>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</si>
  <si>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</si>
  <si>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</si>
  <si>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</si>
  <si>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</si>
  <si>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</si>
  <si>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</si>
  <si>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</si>
  <si>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</si>
  <si>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</si>
  <si>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</si>
  <si>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</si>
  <si>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</si>
  <si>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</si>
  <si>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</si>
  <si>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</si>
  <si>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</si>
  <si>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</si>
  <si>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</si>
  <si>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</si>
  <si>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</si>
  <si>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</si>
  <si>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</si>
  <si>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</si>
  <si>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</si>
  <si>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</si>
  <si>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</si>
  <si>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</si>
  <si>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</si>
  <si>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</si>
  <si>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</si>
  <si>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</si>
  <si>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</si>
  <si>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</si>
  <si>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</si>
  <si>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</si>
  <si>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</si>
  <si>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</si>
  <si>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</si>
  <si>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</si>
  <si>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</si>
  <si>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</si>
  <si>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</si>
  <si>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</si>
  <si>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</si>
  <si>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</si>
  <si>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</si>
  <si>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</si>
  <si>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</si>
  <si>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</si>
  <si>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</si>
  <si>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</si>
  <si>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</si>
  <si>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</si>
  <si>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</si>
  <si>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</si>
  <si>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</si>
  <si>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</si>
  <si>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</si>
  <si>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</si>
  <si>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</si>
  <si>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</si>
  <si>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</si>
  <si>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</si>
  <si>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</si>
  <si>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</si>
  <si>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</si>
  <si>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</si>
  <si>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</si>
  <si>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</si>
  <si>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</si>
  <si>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</si>
  <si>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</si>
  <si>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</si>
  <si>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</si>
  <si>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</si>
  <si>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</si>
  <si>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</si>
  <si>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</si>
  <si>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</si>
  <si>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</si>
  <si>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</si>
  <si>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</si>
  <si>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</si>
  <si>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</si>
  <si>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</si>
  <si>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</si>
  <si>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</si>
  <si>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</si>
  <si>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</si>
  <si>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</si>
  <si>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</si>
  <si>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</si>
  <si>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</si>
  <si>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</si>
  <si>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</si>
  <si>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</si>
  <si>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</si>
  <si>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</si>
  <si>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</si>
  <si>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</si>
  <si>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</si>
  <si>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</si>
  <si>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</si>
  <si>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</si>
  <si>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</si>
  <si>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</si>
  <si>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</si>
  <si>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</si>
  <si>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</si>
  <si>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</si>
  <si>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</si>
  <si>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</si>
  <si>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</si>
  <si>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</si>
  <si>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</si>
  <si>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</si>
  <si>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Carpet Area</t>
  </si>
  <si>
    <t>No. of Unit</t>
  </si>
  <si>
    <t>Building &amp; Wing</t>
  </si>
  <si>
    <t>Sale / Rehab</t>
  </si>
  <si>
    <t>Flats/ Shops/ Offices</t>
  </si>
  <si>
    <t>Total</t>
  </si>
  <si>
    <t>Rate of Flat Per Sq. Ft. 
(on Carpet area)</t>
  </si>
  <si>
    <t>Date &amp; Time of Site Visit</t>
  </si>
  <si>
    <t>On Carpet area</t>
  </si>
  <si>
    <t>Location Link</t>
  </si>
  <si>
    <t xml:space="preserve">Layout </t>
  </si>
  <si>
    <t>Dhruva Woollen Mills Pvt Ltd</t>
  </si>
  <si>
    <t>4th Floor, Runwal &amp; Omkar Esquare, Off, Eastern Express Hwy, opp. Sion-Chunabhatti, Sion East, Signal, Mumbai</t>
  </si>
  <si>
    <t>25 hour life, Ghodbunder Rd, next to Rmall, Manpada, Thane West, Thane, Maharashtra 400607</t>
  </si>
  <si>
    <t>Mr.Fahad</t>
  </si>
  <si>
    <t>Ghodbunder Road, near R Mall, Manpada, Thane West, Thane, Maharashtra 400607</t>
  </si>
  <si>
    <t>25 hour life, Gut No.2/2, 2/5, 7/1 &amp; 7/2,Ghodbunder Road, Near R-Mall, Panchpakhadi, Manpada, Thane West, Thane, Pin Code - 400607.</t>
  </si>
  <si>
    <t>Approved Layout &amp; Floor Plans, CC, RERA certificate</t>
  </si>
  <si>
    <t>Thane Municipal Corporation</t>
  </si>
  <si>
    <t>ICICI Bank
ICIC0000740</t>
  </si>
  <si>
    <t>Residential</t>
  </si>
  <si>
    <t>5.7KM from Thane Railway Station
8KM from Kalva Railway Station</t>
  </si>
  <si>
    <t>About 300m form Thane Municipal Hospital</t>
  </si>
  <si>
    <t>About 650m from Hari Om English School</t>
  </si>
  <si>
    <t>1. Approx. 700M from Runwal Market.
2. Approx. 400M from Manorama Nagar Market.</t>
  </si>
  <si>
    <t>100M from Manpada Bus Stop</t>
  </si>
  <si>
    <t>2BHK</t>
  </si>
  <si>
    <t>1BHK</t>
  </si>
  <si>
    <t>Refuge Area</t>
  </si>
  <si>
    <t>3BHK</t>
  </si>
  <si>
    <t>Flats</t>
  </si>
  <si>
    <t>HP Petrol pump / Slum</t>
  </si>
  <si>
    <t>Sukh Sheetal CHS/ 38ft Road</t>
  </si>
  <si>
    <t>Manorama Nagar Police Chowki</t>
  </si>
  <si>
    <t>Ghodbunder Road</t>
  </si>
  <si>
    <t>Internal Road</t>
  </si>
  <si>
    <t>Parking Area</t>
  </si>
  <si>
    <t>Mr. Ajay Songare</t>
  </si>
  <si>
    <t>Cafeteria/Food Court
Outdoor Tennis Courts
Banquet Hall
Gymnasium
Indoor Squash &amp; Badminton Courts
Power Back Up
Swimming Pool
Club House
Lift
Security
Reserved Parking
Visitor Parking</t>
  </si>
  <si>
    <t>https://goo.gl/maps/897yVqAXnvB4dkEv6</t>
  </si>
  <si>
    <t>500000/-</t>
  </si>
  <si>
    <t>Floor Rise Per Sq. Ft.(on Carpet area)</t>
  </si>
  <si>
    <t>Net Carpet</t>
  </si>
  <si>
    <t>Balcony Area</t>
  </si>
  <si>
    <t>Gross Carpet Area</t>
  </si>
  <si>
    <t>Parking Level 1 &amp; 2 (Basement 1 &amp; 2) For Flushing Tank &amp; Parking</t>
  </si>
  <si>
    <t>Parking Level 3 (Ground Floor) For Entrance Lobby, Society Office, Meter Room &amp; Parking</t>
  </si>
  <si>
    <t>Parking Level 4 &amp; 5 (1st &amp; 2nd Podium) For Parking</t>
  </si>
  <si>
    <t>Parking Level 6 (3rd Podium) For Creche Area &amp; Parking</t>
  </si>
  <si>
    <t>1st to 4th, 6th to 9th, 11th to 14th, 16th to 19th, 21st to 24th, 26th to 28th, 30th to 33rd, 35th to 38th, 40th to 43rd, 45th to 48th &amp; 50th Floor For Residential</t>
  </si>
  <si>
    <t>5th, 10th, 15th, 20th, 25th, 29th, 34th, 39th, 44th &amp; 49th Floor (Part Refuge Area)</t>
  </si>
  <si>
    <t>Building Type B1</t>
  </si>
  <si>
    <t>Building Type C1</t>
  </si>
  <si>
    <t>Parking Level 3 (Ground Floor) For Entrance Lobby, Society Office, Meter Room, Drivers Room &amp; Parking</t>
  </si>
  <si>
    <t xml:space="preserve">
-</t>
  </si>
  <si>
    <t>Middle</t>
  </si>
  <si>
    <t>18000 to 18500</t>
  </si>
  <si>
    <t>2P Lvl + Gr/P3 + P4 to P6 + 1st to 55th Floors</t>
  </si>
  <si>
    <t>2P Lvl + Gr/P3 + P4 to P6 + 1st to 50th Floors</t>
  </si>
  <si>
    <t>Parking Level 1 &amp; 2  For Flushing Tank &amp; Parking</t>
  </si>
  <si>
    <t>25 Hourlife - Tower A1, B1 &amp; C1</t>
  </si>
  <si>
    <t>S05/0218/22/TMC/TDD/4482/23
Date: 31/10/2023
Valid Up to:
Building No. A1 = P1 + P2 + Gr/P3 + P4 to P6 + 1st Floor 
Building No. B1 &amp; C1 = P1 + P2 + Gr/P3 + P4 to P6 + 1st &amp; 2nd Floor</t>
  </si>
  <si>
    <t>Building Type A1</t>
  </si>
  <si>
    <t>S05/0218/22/TMC/TD-DP/
TPS/4482/23
Date: 31/10/2023</t>
  </si>
  <si>
    <t>S05/0218/22/TMC/TD-DP/
TPS/4482/23
Date: 31/10/2023
Valid Up to:
Building Type A1, B1 &amp; C1 = 2P Lvl + Gr/P3 + P4 to P6 + 1st to 50th Floors</t>
  </si>
  <si>
    <t>Parking Level 3 (Ground Floor) For Double Height Entrance Lobby, Society Office, Drivers  Room, Substation, Meter Room &amp; Parking</t>
  </si>
  <si>
    <t>Parking Level 6 (3rd Podium) For Parking</t>
  </si>
  <si>
    <t>Flats = 1380</t>
  </si>
  <si>
    <t>As per RERA Site Flats = 1450</t>
  </si>
  <si>
    <t>Building Type A1 = P51700053696
Building Type B1 = P51700048270
Building Type C1 = P51700048278</t>
  </si>
  <si>
    <t>Building Type A1 = 31/12/2030
Building Type B1 = 31/12/2029
Building Type C1 = 31/12/2029</t>
  </si>
  <si>
    <t>Building Type A1 = 2P Lvl + Gr/P3 + P4 to P6 + 1st to 50th Floor</t>
  </si>
  <si>
    <t>Building Type B1 = 2P Lvl + Gr/P3 + P4 to P6 + 1st to 55th Floor</t>
  </si>
  <si>
    <t>External Plaster</t>
  </si>
  <si>
    <t>External Plumbing, Elevation and Waterproofing</t>
  </si>
  <si>
    <t>Wooden Work</t>
  </si>
  <si>
    <t>Electrical &amp; Sanitary fittings</t>
  </si>
  <si>
    <t xml:space="preserve">Building Type C1 = 2P Lvl + Gr/P3 + P4 to P6 + 1st to 55th Floor </t>
  </si>
  <si>
    <t>S05/0218/22/TMC/TDD/TMCB/TDD/0095/[P/C]/2024/Auto DCR
Date: 26/02/2024
Valid Up to:
Building No. A1 = 2nd to 26th + Service Floor + 27th to 50th Floor
Building No. B1 &amp; C1 = 3rd to 26th + Service Floor + 27th to 50th Floor</t>
  </si>
  <si>
    <t>Mansi 8452041560</t>
  </si>
  <si>
    <t>03/07/2025 @ 12:40PM</t>
  </si>
  <si>
    <t>Security</t>
  </si>
  <si>
    <t xml:space="preserve">1. Tower A1c, B1 &amp; C1 = Construction work is in process at the time of Visit. Internal visit not allowed.
2. We considered  Saleable area as per our calculation.
3. We considered Carpet area as per Approved Plan.
4. We considered Gross carpet area = Net carpet + Balcony
5. We have considered rate by verifying it from market inquire.
6. Car parking is subjected to authentic documentation.
7. We have updated revised approved floor plan &amp; C.C (on 02/11/2023).
8. We have considered sale plan for building B1 &amp; C1 provided by builder for flat numbering as flat no in approved floor plan &amp; Area table in the approved plan are different.
9. We have updated revised approved C.C from RERA site (on 05/02/2025).
7. On Site, we meet Mr........(........).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</si>
</sst>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u/>
      <sz val="14"/>
      <color theme="10"/>
      <name val="Calibri"/>
      <family val="2"/>
    </font>
    <font>
      <sz val="14"/>
      <color rgb="FF0070C0"/>
      <name val="Times New Roman"/>
      <family val="1"/>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6" fillId="0" borderId="0" applyNumberFormat="0" applyFill="0" applyBorder="0" applyAlignment="0" applyProtection="0"/>
  </cellStyleXfs>
  <cellXfs count="17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1" fontId="4"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4" borderId="0" xfId="0" applyFont="1" applyFill="1" applyBorder="1" applyAlignment="1">
      <alignmen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17" fillId="0" borderId="2" xfId="2" applyFont="1" applyBorder="1" applyAlignment="1">
      <alignment horizontal="left" vertical="top" wrapText="1"/>
    </xf>
    <xf numFmtId="0" fontId="18" fillId="0" borderId="3" xfId="0" applyFont="1" applyBorder="1" applyAlignment="1">
      <alignment horizontal="left" vertical="top" wrapText="1"/>
    </xf>
    <xf numFmtId="0" fontId="18" fillId="0" borderId="5" xfId="0" applyFont="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4" borderId="1"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19" fillId="4" borderId="2" xfId="1" applyNumberFormat="1" applyFont="1" applyFill="1" applyBorder="1" applyAlignment="1">
      <alignment horizontal="center" vertical="center" wrapText="1"/>
    </xf>
    <xf numFmtId="1" fontId="19" fillId="4" borderId="5" xfId="1" applyNumberFormat="1" applyFont="1" applyFill="1" applyBorder="1" applyAlignment="1">
      <alignment horizontal="center" vertical="center" wrapText="1"/>
    </xf>
    <xf numFmtId="1" fontId="6" fillId="0" borderId="2" xfId="1"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1" fontId="4" fillId="4" borderId="3" xfId="1" applyNumberFormat="1" applyFont="1" applyFill="1" applyBorder="1" applyAlignment="1">
      <alignment horizontal="center" vertical="center" wrapText="1"/>
    </xf>
    <xf numFmtId="0" fontId="4" fillId="0" borderId="0" xfId="0" applyFont="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0066"/>
      <color rgb="FFFCF56A"/>
      <color rgb="FFFFFFFF"/>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9</xdr:col>
      <xdr:colOff>136071</xdr:colOff>
      <xdr:row>103</xdr:row>
      <xdr:rowOff>721179</xdr:rowOff>
    </xdr:from>
    <xdr:to>
      <xdr:col>19</xdr:col>
      <xdr:colOff>570969</xdr:colOff>
      <xdr:row>122</xdr:row>
      <xdr:rowOff>17781</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34750" y="35541858"/>
          <a:ext cx="9190476" cy="4247619"/>
        </a:xfrm>
        <a:prstGeom prst="rect">
          <a:avLst/>
        </a:prstGeom>
      </xdr:spPr>
    </xdr:pic>
    <xdr:clientData/>
  </xdr:twoCellAnchor>
  <xdr:twoCellAnchor editAs="oneCell">
    <xdr:from>
      <xdr:col>0</xdr:col>
      <xdr:colOff>1820151</xdr:colOff>
      <xdr:row>348</xdr:row>
      <xdr:rowOff>213181</xdr:rowOff>
    </xdr:from>
    <xdr:to>
      <xdr:col>7</xdr:col>
      <xdr:colOff>1545294</xdr:colOff>
      <xdr:row>362</xdr:row>
      <xdr:rowOff>40094</xdr:rowOff>
    </xdr:to>
    <xdr:pic>
      <xdr:nvPicPr>
        <xdr:cNvPr id="16" name="Picture 15"/>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20151" y="95463181"/>
          <a:ext cx="7200000" cy="3509913"/>
        </a:xfrm>
        <a:prstGeom prst="rect">
          <a:avLst/>
        </a:prstGeom>
        <a:ln>
          <a:solidFill>
            <a:schemeClr val="tx1"/>
          </a:solidFill>
        </a:ln>
      </xdr:spPr>
    </xdr:pic>
    <xdr:clientData/>
  </xdr:twoCellAnchor>
  <xdr:twoCellAnchor>
    <xdr:from>
      <xdr:col>0</xdr:col>
      <xdr:colOff>1836159</xdr:colOff>
      <xdr:row>362</xdr:row>
      <xdr:rowOff>154185</xdr:rowOff>
    </xdr:from>
    <xdr:to>
      <xdr:col>7</xdr:col>
      <xdr:colOff>1561302</xdr:colOff>
      <xdr:row>375</xdr:row>
      <xdr:rowOff>257050</xdr:rowOff>
    </xdr:to>
    <xdr:pic>
      <xdr:nvPicPr>
        <xdr:cNvPr id="17" name="Picture 16"/>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836159" y="99087185"/>
          <a:ext cx="7200000" cy="3522794"/>
        </a:xfrm>
        <a:prstGeom prst="rect">
          <a:avLst/>
        </a:prstGeom>
        <a:ln>
          <a:solidFill>
            <a:schemeClr val="tx1"/>
          </a:solidFill>
        </a:ln>
      </xdr:spPr>
    </xdr:pic>
    <xdr:clientData/>
  </xdr:twoCellAnchor>
  <xdr:twoCellAnchor>
    <xdr:from>
      <xdr:col>4</xdr:col>
      <xdr:colOff>1459823</xdr:colOff>
      <xdr:row>365</xdr:row>
      <xdr:rowOff>169713</xdr:rowOff>
    </xdr:from>
    <xdr:to>
      <xdr:col>5</xdr:col>
      <xdr:colOff>1143283</xdr:colOff>
      <xdr:row>371</xdr:row>
      <xdr:rowOff>67922</xdr:rowOff>
    </xdr:to>
    <xdr:sp macro="" textlink="">
      <xdr:nvSpPr>
        <xdr:cNvPr id="18" name="Rectangle 17"/>
        <xdr:cNvSpPr/>
      </xdr:nvSpPr>
      <xdr:spPr>
        <a:xfrm rot="21092556">
          <a:off x="5043037" y="99891927"/>
          <a:ext cx="1579389" cy="1476638"/>
        </a:xfrm>
        <a:prstGeom prst="rect">
          <a:avLst/>
        </a:prstGeom>
        <a:noFill/>
        <a:ln w="762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530679</xdr:colOff>
      <xdr:row>301</xdr:row>
      <xdr:rowOff>204108</xdr:rowOff>
    </xdr:from>
    <xdr:to>
      <xdr:col>8</xdr:col>
      <xdr:colOff>1172937</xdr:colOff>
      <xdr:row>323</xdr:row>
      <xdr:rowOff>133350</xdr:rowOff>
    </xdr:to>
    <xdr:grpSp>
      <xdr:nvGrpSpPr>
        <xdr:cNvPr id="8" name="Group 7"/>
        <xdr:cNvGrpSpPr/>
      </xdr:nvGrpSpPr>
      <xdr:grpSpPr>
        <a:xfrm>
          <a:off x="530679" y="85194322"/>
          <a:ext cx="9822544" cy="5716814"/>
          <a:chOff x="489857" y="85779429"/>
          <a:chExt cx="9405258" cy="5617028"/>
        </a:xfrm>
      </xdr:grpSpPr>
      <xdr:pic>
        <xdr:nvPicPr>
          <xdr:cNvPr id="36" name="Picture 35"/>
          <xdr:cNvPicPr>
            <a:picLocks noChangeAspect="1"/>
          </xdr:cNvPicPr>
        </xdr:nvPicPr>
        <xdr:blipFill rotWithShape="1">
          <a:blip xmlns:r="http://schemas.openxmlformats.org/officeDocument/2006/relationships" r:embed="rId4"/>
          <a:srcRect l="11263" t="11310" r="16451" b="11904"/>
          <a:stretch/>
        </xdr:blipFill>
        <xdr:spPr>
          <a:xfrm>
            <a:off x="489857" y="85779429"/>
            <a:ext cx="9405258" cy="5617028"/>
          </a:xfrm>
          <a:prstGeom prst="rect">
            <a:avLst/>
          </a:prstGeom>
          <a:ln>
            <a:solidFill>
              <a:schemeClr val="tx1"/>
            </a:solidFill>
          </a:ln>
        </xdr:spPr>
      </xdr:pic>
      <xdr:sp macro="" textlink="">
        <xdr:nvSpPr>
          <xdr:cNvPr id="37" name="TextBox 2"/>
          <xdr:cNvSpPr txBox="1"/>
        </xdr:nvSpPr>
        <xdr:spPr>
          <a:xfrm>
            <a:off x="4307114" y="87942057"/>
            <a:ext cx="1843315" cy="1219200"/>
          </a:xfrm>
          <a:prstGeom prst="rect">
            <a:avLst/>
          </a:prstGeom>
          <a:noFill/>
          <a:ln w="57150">
            <a:solidFill>
              <a:srgbClr val="92D05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38" name="Rectangle 37"/>
          <xdr:cNvSpPr/>
        </xdr:nvSpPr>
        <xdr:spPr>
          <a:xfrm>
            <a:off x="6434606" y="88182325"/>
            <a:ext cx="1761188"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Building Type C1</a:t>
            </a:r>
            <a:endParaRPr lang="en-IN"/>
          </a:p>
        </xdr:txBody>
      </xdr:sp>
      <xdr:sp macro="" textlink="">
        <xdr:nvSpPr>
          <xdr:cNvPr id="39" name="TextBox 4"/>
          <xdr:cNvSpPr txBox="1"/>
        </xdr:nvSpPr>
        <xdr:spPr>
          <a:xfrm>
            <a:off x="6352479" y="88754857"/>
            <a:ext cx="1843315" cy="1219200"/>
          </a:xfrm>
          <a:prstGeom prst="rect">
            <a:avLst/>
          </a:prstGeom>
          <a:noFill/>
          <a:ln w="57150">
            <a:solidFill>
              <a:srgbClr val="92D05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0" name="TextBox 5"/>
          <xdr:cNvSpPr txBox="1"/>
        </xdr:nvSpPr>
        <xdr:spPr>
          <a:xfrm>
            <a:off x="1934028" y="87535658"/>
            <a:ext cx="1843315" cy="1219199"/>
          </a:xfrm>
          <a:prstGeom prst="rect">
            <a:avLst/>
          </a:prstGeom>
          <a:noFill/>
          <a:ln w="57150">
            <a:solidFill>
              <a:srgbClr val="92D05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sp macro="" textlink="">
        <xdr:nvSpPr>
          <xdr:cNvPr id="41" name="Rectangle 40"/>
          <xdr:cNvSpPr/>
        </xdr:nvSpPr>
        <xdr:spPr>
          <a:xfrm>
            <a:off x="2025252" y="87046190"/>
            <a:ext cx="1778820"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Building Type A1</a:t>
            </a:r>
            <a:endParaRPr lang="en-IN"/>
          </a:p>
        </xdr:txBody>
      </xdr:sp>
      <xdr:sp macro="" textlink="">
        <xdr:nvSpPr>
          <xdr:cNvPr id="42" name="Rectangle 41"/>
          <xdr:cNvSpPr/>
        </xdr:nvSpPr>
        <xdr:spPr>
          <a:xfrm>
            <a:off x="4307885" y="87535658"/>
            <a:ext cx="1769202" cy="3693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Building Type B1</a:t>
            </a:r>
            <a:endParaRPr lang="en-IN"/>
          </a:p>
        </xdr:txBody>
      </xdr:sp>
    </xdr:grpSp>
    <xdr:clientData/>
  </xdr:twoCellAnchor>
  <xdr:twoCellAnchor>
    <xdr:from>
      <xdr:col>10</xdr:col>
      <xdr:colOff>0</xdr:colOff>
      <xdr:row>250</xdr:row>
      <xdr:rowOff>147613</xdr:rowOff>
    </xdr:from>
    <xdr:to>
      <xdr:col>10</xdr:col>
      <xdr:colOff>567924</xdr:colOff>
      <xdr:row>252</xdr:row>
      <xdr:rowOff>91108</xdr:rowOff>
    </xdr:to>
    <xdr:sp macro="" textlink="">
      <xdr:nvSpPr>
        <xdr:cNvPr id="24" name="TextBox 33"/>
        <xdr:cNvSpPr txBox="1"/>
      </xdr:nvSpPr>
      <xdr:spPr>
        <a:xfrm>
          <a:off x="13244286" y="74950613"/>
          <a:ext cx="567924" cy="46963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1A</a:t>
          </a:r>
        </a:p>
      </xdr:txBody>
    </xdr:sp>
    <xdr:clientData/>
  </xdr:twoCellAnchor>
  <xdr:twoCellAnchor>
    <xdr:from>
      <xdr:col>11</xdr:col>
      <xdr:colOff>121540</xdr:colOff>
      <xdr:row>248</xdr:row>
      <xdr:rowOff>0</xdr:rowOff>
    </xdr:from>
    <xdr:to>
      <xdr:col>11</xdr:col>
      <xdr:colOff>689464</xdr:colOff>
      <xdr:row>249</xdr:row>
      <xdr:rowOff>122200</xdr:rowOff>
    </xdr:to>
    <xdr:sp macro="" textlink="">
      <xdr:nvSpPr>
        <xdr:cNvPr id="25" name="Rectangle 24"/>
        <xdr:cNvSpPr/>
      </xdr:nvSpPr>
      <xdr:spPr>
        <a:xfrm>
          <a:off x="14009897" y="74285929"/>
          <a:ext cx="567924" cy="3762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1B</a:t>
          </a:r>
        </a:p>
      </xdr:txBody>
    </xdr:sp>
    <xdr:clientData/>
  </xdr:twoCellAnchor>
  <xdr:twoCellAnchor>
    <xdr:from>
      <xdr:col>12</xdr:col>
      <xdr:colOff>387279</xdr:colOff>
      <xdr:row>255</xdr:row>
      <xdr:rowOff>25919</xdr:rowOff>
    </xdr:from>
    <xdr:to>
      <xdr:col>12</xdr:col>
      <xdr:colOff>835510</xdr:colOff>
      <xdr:row>256</xdr:row>
      <xdr:rowOff>139047</xdr:rowOff>
    </xdr:to>
    <xdr:sp macro="" textlink="">
      <xdr:nvSpPr>
        <xdr:cNvPr id="26" name="Rectangle 25"/>
        <xdr:cNvSpPr/>
      </xdr:nvSpPr>
      <xdr:spPr>
        <a:xfrm>
          <a:off x="15473065" y="76144276"/>
          <a:ext cx="448231" cy="3762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1C</a:t>
          </a:r>
        </a:p>
      </xdr:txBody>
    </xdr:sp>
    <xdr:clientData/>
  </xdr:twoCellAnchor>
  <xdr:twoCellAnchor>
    <xdr:from>
      <xdr:col>0</xdr:col>
      <xdr:colOff>1714509</xdr:colOff>
      <xdr:row>250</xdr:row>
      <xdr:rowOff>54428</xdr:rowOff>
    </xdr:from>
    <xdr:to>
      <xdr:col>8</xdr:col>
      <xdr:colOff>225782</xdr:colOff>
      <xdr:row>281</xdr:row>
      <xdr:rowOff>19509</xdr:rowOff>
    </xdr:to>
    <xdr:grpSp>
      <xdr:nvGrpSpPr>
        <xdr:cNvPr id="3" name="Group 2"/>
        <xdr:cNvGrpSpPr/>
      </xdr:nvGrpSpPr>
      <xdr:grpSpPr>
        <a:xfrm>
          <a:off x="1714509" y="74857428"/>
          <a:ext cx="7691559" cy="8093081"/>
          <a:chOff x="1714509" y="74857428"/>
          <a:chExt cx="7691559" cy="8093081"/>
        </a:xfrm>
      </xdr:grpSpPr>
      <xdr:pic>
        <xdr:nvPicPr>
          <xdr:cNvPr id="27" name="Picture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454376" y="80070509"/>
            <a:ext cx="2157751" cy="288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714509" y="74857428"/>
            <a:ext cx="3776064" cy="504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630004" y="74857428"/>
            <a:ext cx="3776064" cy="5040000"/>
          </a:xfrm>
          <a:prstGeom prst="rect">
            <a:avLst/>
          </a:prstGeom>
          <a:ln>
            <a:solidFill>
              <a:schemeClr val="tx1"/>
            </a:solidFill>
          </a:ln>
        </xdr:spPr>
      </xdr:pic>
      <xdr:sp macro="" textlink="">
        <xdr:nvSpPr>
          <xdr:cNvPr id="30" name="TextBox 33"/>
          <xdr:cNvSpPr txBox="1"/>
        </xdr:nvSpPr>
        <xdr:spPr>
          <a:xfrm>
            <a:off x="3029866" y="75673856"/>
            <a:ext cx="567924" cy="46963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1A</a:t>
            </a:r>
          </a:p>
        </xdr:txBody>
      </xdr:sp>
      <xdr:sp macro="" textlink="">
        <xdr:nvSpPr>
          <xdr:cNvPr id="31" name="Rectangle 30"/>
          <xdr:cNvSpPr/>
        </xdr:nvSpPr>
        <xdr:spPr>
          <a:xfrm>
            <a:off x="3683009" y="75229357"/>
            <a:ext cx="567924" cy="3762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solidFill>
                  <a:srgbClr val="FF0000"/>
                </a:solidFill>
              </a:rPr>
              <a:t>1B</a:t>
            </a:r>
          </a:p>
        </xdr:txBody>
      </xdr:sp>
      <xdr:sp macro="" textlink="">
        <xdr:nvSpPr>
          <xdr:cNvPr id="32" name="Rectangle 31"/>
          <xdr:cNvSpPr/>
        </xdr:nvSpPr>
        <xdr:spPr>
          <a:xfrm>
            <a:off x="4590152" y="76481214"/>
            <a:ext cx="448231" cy="3762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1C</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897yVqAXnvB4dkEv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96"/>
  <sheetViews>
    <sheetView tabSelected="1" view="pageBreakPreview" topLeftCell="A277" zoomScale="70" zoomScaleNormal="85" zoomScaleSheetLayoutView="70" zoomScalePageLayoutView="70" workbookViewId="0">
      <selection activeCell="A299" sqref="A299:I347"/>
    </sheetView>
  </sheetViews>
  <sheetFormatPr defaultColWidth="9.1796875" defaultRowHeight="17.149999999999999" customHeight="1" x14ac:dyDescent="0.35"/>
  <cols>
    <col min="1" max="1" width="31.1796875" style="1" customWidth="1"/>
    <col min="2" max="2" width="1.26953125" style="1" customWidth="1"/>
    <col min="3" max="3" width="17.453125" style="1" customWidth="1"/>
    <col min="4" max="4" width="1.453125" style="14" customWidth="1"/>
    <col min="5" max="6" width="27.1796875" style="1" customWidth="1"/>
    <col min="7" max="7" width="1.453125" style="1" customWidth="1"/>
    <col min="8" max="8" width="24.453125" style="1" customWidth="1"/>
    <col min="9" max="9" width="24.453125" style="14" customWidth="1"/>
    <col min="10" max="10" width="33.81640625" style="1" customWidth="1"/>
    <col min="11" max="11" width="9.1796875" style="1"/>
    <col min="12" max="13" width="17.1796875" style="1" bestFit="1" customWidth="1"/>
    <col min="14" max="20" width="9.1796875" style="1"/>
    <col min="21" max="23" width="0" style="1" hidden="1" customWidth="1"/>
    <col min="24" max="26" width="9.1796875" style="1"/>
    <col min="27" max="27" width="7.81640625" style="1" customWidth="1"/>
    <col min="28" max="16384" width="9.1796875" style="1"/>
  </cols>
  <sheetData>
    <row r="1" spans="1:10" ht="20.5" x14ac:dyDescent="0.35">
      <c r="A1" s="98" t="s">
        <v>43</v>
      </c>
      <c r="B1" s="99"/>
      <c r="C1" s="99"/>
      <c r="D1" s="99"/>
      <c r="E1" s="99"/>
      <c r="F1" s="99"/>
      <c r="G1" s="99"/>
      <c r="H1" s="99"/>
      <c r="I1" s="100"/>
    </row>
    <row r="2" spans="1:10" ht="42" customHeight="1" x14ac:dyDescent="0.35">
      <c r="A2" s="140" t="s">
        <v>11</v>
      </c>
      <c r="B2" s="140"/>
      <c r="C2" s="140"/>
      <c r="D2" s="4" t="s">
        <v>4</v>
      </c>
      <c r="E2" s="141" t="s">
        <v>97</v>
      </c>
      <c r="F2" s="141"/>
      <c r="G2" s="101" t="s">
        <v>15</v>
      </c>
      <c r="H2" s="101"/>
      <c r="I2" s="53">
        <v>45840</v>
      </c>
    </row>
    <row r="3" spans="1:10" ht="42.75" customHeight="1" x14ac:dyDescent="0.35">
      <c r="A3" s="94" t="s">
        <v>44</v>
      </c>
      <c r="B3" s="95"/>
      <c r="C3" s="96"/>
      <c r="D3" s="21" t="s">
        <v>4</v>
      </c>
      <c r="E3" s="145" t="s">
        <v>244</v>
      </c>
      <c r="F3" s="146"/>
      <c r="G3" s="101" t="s">
        <v>191</v>
      </c>
      <c r="H3" s="101"/>
      <c r="I3" s="58" t="s">
        <v>264</v>
      </c>
    </row>
    <row r="4" spans="1:10" ht="43.5" customHeight="1" x14ac:dyDescent="0.35">
      <c r="A4" s="94" t="s">
        <v>41</v>
      </c>
      <c r="B4" s="95"/>
      <c r="C4" s="96"/>
      <c r="D4" s="27" t="s">
        <v>4</v>
      </c>
      <c r="E4" s="102" t="s">
        <v>265</v>
      </c>
      <c r="F4" s="103"/>
      <c r="G4" s="101" t="s">
        <v>38</v>
      </c>
      <c r="H4" s="101"/>
      <c r="I4" s="63" t="str">
        <f ca="1">TEXT(TODAY(),"DD/MM/YYYY")</f>
        <v>06/07/2025</v>
      </c>
      <c r="J4" s="1" t="s">
        <v>263</v>
      </c>
    </row>
    <row r="5" spans="1:10" ht="20.5" x14ac:dyDescent="0.35">
      <c r="A5" s="81" t="s">
        <v>45</v>
      </c>
      <c r="B5" s="81"/>
      <c r="C5" s="81"/>
      <c r="D5" s="81"/>
      <c r="E5" s="81"/>
      <c r="F5" s="81"/>
      <c r="G5" s="81"/>
      <c r="H5" s="81"/>
      <c r="I5" s="147"/>
    </row>
    <row r="6" spans="1:10" ht="43.5" customHeight="1" x14ac:dyDescent="0.35">
      <c r="A6" s="142" t="s">
        <v>34</v>
      </c>
      <c r="B6" s="142"/>
      <c r="C6" s="142"/>
      <c r="D6" s="2" t="s">
        <v>4</v>
      </c>
      <c r="E6" s="22" t="s">
        <v>108</v>
      </c>
      <c r="F6" s="21" t="s">
        <v>40</v>
      </c>
      <c r="G6" s="2" t="s">
        <v>4</v>
      </c>
      <c r="H6" s="97" t="s">
        <v>198</v>
      </c>
      <c r="I6" s="97"/>
    </row>
    <row r="7" spans="1:10" ht="44.25" customHeight="1" x14ac:dyDescent="0.35">
      <c r="A7" s="142" t="s">
        <v>47</v>
      </c>
      <c r="B7" s="142"/>
      <c r="C7" s="142"/>
      <c r="D7" s="2" t="s">
        <v>4</v>
      </c>
      <c r="E7" s="5" t="s">
        <v>195</v>
      </c>
      <c r="F7" s="21" t="s">
        <v>48</v>
      </c>
      <c r="G7" s="2" t="s">
        <v>4</v>
      </c>
      <c r="H7" s="102" t="s">
        <v>195</v>
      </c>
      <c r="I7" s="103"/>
    </row>
    <row r="8" spans="1:10" ht="45" customHeight="1" x14ac:dyDescent="0.35">
      <c r="A8" s="142" t="s">
        <v>49</v>
      </c>
      <c r="B8" s="142"/>
      <c r="C8" s="142"/>
      <c r="D8" s="2" t="s">
        <v>4</v>
      </c>
      <c r="E8" s="143" t="s">
        <v>196</v>
      </c>
      <c r="F8" s="143"/>
      <c r="G8" s="143"/>
      <c r="H8" s="143"/>
      <c r="I8" s="143"/>
    </row>
    <row r="9" spans="1:10" ht="45" customHeight="1" x14ac:dyDescent="0.35">
      <c r="A9" s="101" t="s">
        <v>181</v>
      </c>
      <c r="B9" s="21" t="s">
        <v>4</v>
      </c>
      <c r="C9" s="21" t="s">
        <v>46</v>
      </c>
      <c r="D9" s="2" t="s">
        <v>4</v>
      </c>
      <c r="E9" s="102" t="s">
        <v>197</v>
      </c>
      <c r="F9" s="122"/>
      <c r="G9" s="122"/>
      <c r="H9" s="122"/>
      <c r="I9" s="103"/>
    </row>
    <row r="10" spans="1:10" ht="45.75" customHeight="1" x14ac:dyDescent="0.35">
      <c r="A10" s="101"/>
      <c r="B10" s="21" t="s">
        <v>4</v>
      </c>
      <c r="C10" s="21" t="s">
        <v>14</v>
      </c>
      <c r="D10" s="2" t="s">
        <v>4</v>
      </c>
      <c r="E10" s="102" t="s">
        <v>200</v>
      </c>
      <c r="F10" s="122"/>
      <c r="G10" s="122"/>
      <c r="H10" s="122"/>
      <c r="I10" s="103"/>
    </row>
    <row r="11" spans="1:10" ht="42" customHeight="1" x14ac:dyDescent="0.35">
      <c r="A11" s="101"/>
      <c r="B11" s="21" t="s">
        <v>4</v>
      </c>
      <c r="C11" s="21" t="s">
        <v>5</v>
      </c>
      <c r="D11" s="2" t="s">
        <v>4</v>
      </c>
      <c r="E11" s="102" t="s">
        <v>199</v>
      </c>
      <c r="F11" s="122"/>
      <c r="G11" s="122"/>
      <c r="H11" s="122"/>
      <c r="I11" s="103"/>
    </row>
    <row r="12" spans="1:10" ht="27" customHeight="1" x14ac:dyDescent="0.35">
      <c r="A12" s="101" t="s">
        <v>39</v>
      </c>
      <c r="B12" s="101"/>
      <c r="C12" s="101"/>
      <c r="D12" s="2" t="s">
        <v>4</v>
      </c>
      <c r="E12" s="97" t="s">
        <v>201</v>
      </c>
      <c r="F12" s="97"/>
      <c r="G12" s="97"/>
      <c r="H12" s="97"/>
      <c r="I12" s="97"/>
    </row>
    <row r="13" spans="1:10" ht="20.149999999999999" customHeight="1" x14ac:dyDescent="0.35">
      <c r="A13" s="81" t="s">
        <v>50</v>
      </c>
      <c r="B13" s="81"/>
      <c r="C13" s="81"/>
      <c r="D13" s="81"/>
      <c r="E13" s="81"/>
      <c r="F13" s="81"/>
      <c r="G13" s="81"/>
      <c r="H13" s="81"/>
      <c r="I13" s="81"/>
    </row>
    <row r="14" spans="1:10" ht="61.5" x14ac:dyDescent="0.35">
      <c r="A14" s="21" t="s">
        <v>32</v>
      </c>
      <c r="B14" s="2" t="s">
        <v>4</v>
      </c>
      <c r="C14" s="112" t="s">
        <v>98</v>
      </c>
      <c r="D14" s="153"/>
      <c r="E14" s="113"/>
      <c r="F14" s="17" t="s">
        <v>51</v>
      </c>
      <c r="G14" s="2" t="s">
        <v>4</v>
      </c>
      <c r="H14" s="97" t="s">
        <v>202</v>
      </c>
      <c r="I14" s="97"/>
    </row>
    <row r="15" spans="1:10" ht="66" customHeight="1" x14ac:dyDescent="0.35">
      <c r="A15" s="21" t="s">
        <v>52</v>
      </c>
      <c r="B15" s="2" t="s">
        <v>4</v>
      </c>
      <c r="C15" s="112" t="s">
        <v>253</v>
      </c>
      <c r="D15" s="153"/>
      <c r="E15" s="113"/>
      <c r="F15" s="21" t="s">
        <v>53</v>
      </c>
      <c r="G15" s="2" t="s">
        <v>4</v>
      </c>
      <c r="H15" s="111">
        <v>47483</v>
      </c>
      <c r="I15" s="111"/>
    </row>
    <row r="16" spans="1:10" ht="41" x14ac:dyDescent="0.35">
      <c r="A16" s="48" t="s">
        <v>54</v>
      </c>
      <c r="B16" s="2" t="s">
        <v>4</v>
      </c>
      <c r="C16" s="154">
        <v>44917</v>
      </c>
      <c r="D16" s="153"/>
      <c r="E16" s="113"/>
      <c r="F16" s="21" t="s">
        <v>55</v>
      </c>
      <c r="G16" s="2" t="s">
        <v>4</v>
      </c>
      <c r="H16" s="110">
        <v>44986</v>
      </c>
      <c r="I16" s="103"/>
    </row>
    <row r="17" spans="1:12" ht="61.5" x14ac:dyDescent="0.35">
      <c r="A17" s="48" t="s">
        <v>56</v>
      </c>
      <c r="B17" s="2" t="s">
        <v>4</v>
      </c>
      <c r="C17" s="154" t="s">
        <v>254</v>
      </c>
      <c r="D17" s="153"/>
      <c r="E17" s="113"/>
      <c r="F17" s="21" t="s">
        <v>57</v>
      </c>
      <c r="G17" s="2" t="s">
        <v>4</v>
      </c>
      <c r="H17" s="102" t="s">
        <v>203</v>
      </c>
      <c r="I17" s="103"/>
    </row>
    <row r="18" spans="1:12" ht="41" x14ac:dyDescent="0.35">
      <c r="A18" s="48" t="s">
        <v>58</v>
      </c>
      <c r="B18" s="2" t="s">
        <v>4</v>
      </c>
      <c r="C18" s="112" t="s">
        <v>204</v>
      </c>
      <c r="D18" s="153"/>
      <c r="E18" s="113"/>
      <c r="F18" s="21" t="s">
        <v>111</v>
      </c>
      <c r="G18" s="2" t="s">
        <v>4</v>
      </c>
      <c r="H18" s="97">
        <v>49701.66</v>
      </c>
      <c r="I18" s="97"/>
    </row>
    <row r="19" spans="1:12" ht="41" x14ac:dyDescent="0.35">
      <c r="A19" s="21" t="s">
        <v>59</v>
      </c>
      <c r="B19" s="2" t="s">
        <v>4</v>
      </c>
      <c r="C19" s="112">
        <v>1.1000000000000001</v>
      </c>
      <c r="D19" s="153"/>
      <c r="E19" s="113"/>
      <c r="F19" s="21" t="s">
        <v>110</v>
      </c>
      <c r="G19" s="2" t="s">
        <v>4</v>
      </c>
      <c r="H19" s="97">
        <f>39855+33243.03</f>
        <v>73098.03</v>
      </c>
      <c r="I19" s="97"/>
      <c r="J19" s="1">
        <f>54671.83/49701.66</f>
        <v>1.1000000804802093</v>
      </c>
    </row>
    <row r="20" spans="1:12" ht="41" x14ac:dyDescent="0.35">
      <c r="A20" s="21" t="s">
        <v>109</v>
      </c>
      <c r="B20" s="2" t="s">
        <v>4</v>
      </c>
      <c r="C20" s="112">
        <f>39855+33243.03</f>
        <v>73098.03</v>
      </c>
      <c r="D20" s="153"/>
      <c r="E20" s="113"/>
      <c r="F20" s="6" t="s">
        <v>60</v>
      </c>
      <c r="G20" s="2" t="s">
        <v>4</v>
      </c>
      <c r="H20" s="102" t="s">
        <v>252</v>
      </c>
      <c r="I20" s="103"/>
      <c r="L20" s="1">
        <f>100+50+100+90+50+100+50+50</f>
        <v>590</v>
      </c>
    </row>
    <row r="21" spans="1:12" ht="41" x14ac:dyDescent="0.35">
      <c r="A21" s="21" t="s">
        <v>61</v>
      </c>
      <c r="B21" s="2" t="s">
        <v>4</v>
      </c>
      <c r="C21" s="112" t="s">
        <v>251</v>
      </c>
      <c r="D21" s="153"/>
      <c r="E21" s="113"/>
      <c r="F21" s="21" t="s">
        <v>62</v>
      </c>
      <c r="G21" s="2" t="s">
        <v>4</v>
      </c>
      <c r="H21" s="97" t="s">
        <v>112</v>
      </c>
      <c r="I21" s="97"/>
      <c r="L21" s="1">
        <f>110+110+100</f>
        <v>320</v>
      </c>
    </row>
    <row r="22" spans="1:12" ht="20.5" x14ac:dyDescent="0.35">
      <c r="A22" s="48" t="s">
        <v>27</v>
      </c>
      <c r="B22" s="2" t="s">
        <v>4</v>
      </c>
      <c r="C22" s="112">
        <v>19.233262</v>
      </c>
      <c r="D22" s="153"/>
      <c r="E22" s="113"/>
      <c r="F22" s="28" t="s">
        <v>28</v>
      </c>
      <c r="G22" s="28" t="s">
        <v>4</v>
      </c>
      <c r="H22" s="112">
        <v>72.977671999999998</v>
      </c>
      <c r="I22" s="113"/>
      <c r="L22" s="1">
        <f>110+210+110+110</f>
        <v>540</v>
      </c>
    </row>
    <row r="23" spans="1:12" ht="23.25" customHeight="1" x14ac:dyDescent="0.35">
      <c r="A23" s="48" t="s">
        <v>193</v>
      </c>
      <c r="B23" s="2" t="s">
        <v>4</v>
      </c>
      <c r="C23" s="116" t="s">
        <v>223</v>
      </c>
      <c r="D23" s="117"/>
      <c r="E23" s="117"/>
      <c r="F23" s="117"/>
      <c r="G23" s="117"/>
      <c r="H23" s="117"/>
      <c r="I23" s="118"/>
      <c r="L23" s="1">
        <f>L20+L21+L22</f>
        <v>1450</v>
      </c>
    </row>
    <row r="24" spans="1:12" ht="246.75" customHeight="1" x14ac:dyDescent="0.35">
      <c r="A24" s="66" t="s">
        <v>30</v>
      </c>
      <c r="B24" s="52" t="s">
        <v>4</v>
      </c>
      <c r="C24" s="97" t="s">
        <v>222</v>
      </c>
      <c r="D24" s="97"/>
      <c r="E24" s="97"/>
      <c r="F24" s="97"/>
      <c r="G24" s="97"/>
      <c r="H24" s="97"/>
      <c r="I24" s="97"/>
    </row>
    <row r="25" spans="1:12" ht="24" customHeight="1" x14ac:dyDescent="0.35">
      <c r="A25" s="81" t="s">
        <v>23</v>
      </c>
      <c r="B25" s="81"/>
      <c r="C25" s="81"/>
      <c r="D25" s="81"/>
      <c r="E25" s="81"/>
      <c r="F25" s="81"/>
      <c r="G25" s="81"/>
      <c r="H25" s="81"/>
      <c r="I25" s="81"/>
    </row>
    <row r="26" spans="1:12" ht="20.5" x14ac:dyDescent="0.35">
      <c r="A26" s="66" t="s">
        <v>31</v>
      </c>
      <c r="B26" s="52" t="s">
        <v>4</v>
      </c>
      <c r="C26" s="97" t="s">
        <v>99</v>
      </c>
      <c r="D26" s="97"/>
      <c r="E26" s="97"/>
      <c r="F26" s="66" t="s">
        <v>16</v>
      </c>
      <c r="G26" s="52" t="s">
        <v>4</v>
      </c>
      <c r="H26" s="97" t="s">
        <v>239</v>
      </c>
      <c r="I26" s="97"/>
    </row>
    <row r="27" spans="1:12" ht="20.5" x14ac:dyDescent="0.35">
      <c r="A27" s="66" t="s">
        <v>17</v>
      </c>
      <c r="B27" s="52" t="s">
        <v>4</v>
      </c>
      <c r="C27" s="97" t="s">
        <v>114</v>
      </c>
      <c r="D27" s="97"/>
      <c r="E27" s="97"/>
      <c r="F27" s="66" t="s">
        <v>182</v>
      </c>
      <c r="G27" s="52" t="s">
        <v>4</v>
      </c>
      <c r="H27" s="97" t="s">
        <v>180</v>
      </c>
      <c r="I27" s="97"/>
    </row>
    <row r="28" spans="1:12" ht="41" x14ac:dyDescent="0.35">
      <c r="A28" s="66" t="s">
        <v>26</v>
      </c>
      <c r="B28" s="52" t="s">
        <v>4</v>
      </c>
      <c r="C28" s="97" t="s">
        <v>113</v>
      </c>
      <c r="D28" s="97"/>
      <c r="E28" s="97"/>
      <c r="F28" s="66" t="s">
        <v>19</v>
      </c>
      <c r="G28" s="52" t="s">
        <v>4</v>
      </c>
      <c r="H28" s="97" t="s">
        <v>209</v>
      </c>
      <c r="I28" s="97"/>
    </row>
    <row r="29" spans="1:12" ht="41" x14ac:dyDescent="0.35">
      <c r="A29" s="48" t="s">
        <v>135</v>
      </c>
      <c r="B29" s="2" t="s">
        <v>4</v>
      </c>
      <c r="C29" s="97" t="s">
        <v>207</v>
      </c>
      <c r="D29" s="97"/>
      <c r="E29" s="97"/>
      <c r="F29" s="51" t="s">
        <v>136</v>
      </c>
      <c r="G29" s="52" t="s">
        <v>4</v>
      </c>
      <c r="H29" s="102" t="s">
        <v>206</v>
      </c>
      <c r="I29" s="103"/>
    </row>
    <row r="30" spans="1:12" ht="84" customHeight="1" x14ac:dyDescent="0.35">
      <c r="A30" s="21" t="s">
        <v>20</v>
      </c>
      <c r="B30" s="2" t="s">
        <v>4</v>
      </c>
      <c r="C30" s="97" t="s">
        <v>208</v>
      </c>
      <c r="D30" s="97"/>
      <c r="E30" s="97"/>
      <c r="F30" s="51" t="s">
        <v>18</v>
      </c>
      <c r="G30" s="52" t="s">
        <v>4</v>
      </c>
      <c r="H30" s="97" t="s">
        <v>205</v>
      </c>
      <c r="I30" s="97"/>
    </row>
    <row r="31" spans="1:12" ht="21.75" customHeight="1" x14ac:dyDescent="0.35">
      <c r="A31" s="48" t="s">
        <v>141</v>
      </c>
      <c r="B31" s="2" t="s">
        <v>4</v>
      </c>
      <c r="C31" s="97" t="s">
        <v>142</v>
      </c>
      <c r="D31" s="97"/>
      <c r="E31" s="97"/>
      <c r="F31" s="21" t="s">
        <v>143</v>
      </c>
      <c r="G31" s="2" t="s">
        <v>4</v>
      </c>
      <c r="H31" s="102" t="s">
        <v>142</v>
      </c>
      <c r="I31" s="103"/>
    </row>
    <row r="32" spans="1:12" ht="21.75" customHeight="1" x14ac:dyDescent="0.35">
      <c r="A32" s="48" t="s">
        <v>144</v>
      </c>
      <c r="B32" s="2" t="s">
        <v>4</v>
      </c>
      <c r="C32" s="102" t="s">
        <v>142</v>
      </c>
      <c r="D32" s="122"/>
      <c r="E32" s="122"/>
      <c r="F32" s="122"/>
      <c r="G32" s="122"/>
      <c r="H32" s="122"/>
      <c r="I32" s="103"/>
    </row>
    <row r="33" spans="1:9" ht="20.5" x14ac:dyDescent="0.35">
      <c r="A33" s="148" t="s">
        <v>42</v>
      </c>
      <c r="B33" s="149"/>
      <c r="C33" s="149"/>
      <c r="D33" s="149"/>
      <c r="E33" s="149"/>
      <c r="F33" s="149"/>
      <c r="G33" s="149"/>
      <c r="H33" s="149"/>
      <c r="I33" s="150"/>
    </row>
    <row r="34" spans="1:9" ht="41" x14ac:dyDescent="0.35">
      <c r="A34" s="94" t="s">
        <v>21</v>
      </c>
      <c r="B34" s="95"/>
      <c r="C34" s="96"/>
      <c r="D34" s="2" t="s">
        <v>4</v>
      </c>
      <c r="E34" s="22" t="s">
        <v>115</v>
      </c>
      <c r="F34" s="21" t="s">
        <v>22</v>
      </c>
      <c r="G34" s="7" t="s">
        <v>4</v>
      </c>
      <c r="H34" s="102" t="s">
        <v>116</v>
      </c>
      <c r="I34" s="103"/>
    </row>
    <row r="35" spans="1:9" ht="41" x14ac:dyDescent="0.35">
      <c r="A35" s="94" t="s">
        <v>25</v>
      </c>
      <c r="B35" s="95"/>
      <c r="C35" s="96"/>
      <c r="D35" s="2" t="s">
        <v>4</v>
      </c>
      <c r="E35" s="22" t="s">
        <v>116</v>
      </c>
      <c r="F35" s="8" t="s">
        <v>37</v>
      </c>
      <c r="G35" s="2" t="s">
        <v>4</v>
      </c>
      <c r="H35" s="102" t="s">
        <v>116</v>
      </c>
      <c r="I35" s="103"/>
    </row>
    <row r="36" spans="1:9" ht="41" x14ac:dyDescent="0.35">
      <c r="A36" s="94" t="s">
        <v>36</v>
      </c>
      <c r="B36" s="95"/>
      <c r="C36" s="96"/>
      <c r="D36" s="2" t="s">
        <v>4</v>
      </c>
      <c r="E36" s="5" t="s">
        <v>117</v>
      </c>
      <c r="F36" s="21" t="s">
        <v>24</v>
      </c>
      <c r="G36" s="23" t="s">
        <v>4</v>
      </c>
      <c r="H36" s="102" t="s">
        <v>118</v>
      </c>
      <c r="I36" s="103"/>
    </row>
    <row r="37" spans="1:9" ht="20.5" x14ac:dyDescent="0.35">
      <c r="A37" s="98" t="s">
        <v>0</v>
      </c>
      <c r="B37" s="99"/>
      <c r="C37" s="99"/>
      <c r="D37" s="99"/>
      <c r="E37" s="99"/>
      <c r="F37" s="99"/>
      <c r="G37" s="99"/>
      <c r="H37" s="99"/>
      <c r="I37" s="100"/>
    </row>
    <row r="38" spans="1:9" ht="20.5" x14ac:dyDescent="0.35">
      <c r="A38" s="155" t="s">
        <v>0</v>
      </c>
      <c r="B38" s="157"/>
      <c r="C38" s="156"/>
      <c r="D38" s="2" t="s">
        <v>4</v>
      </c>
      <c r="E38" s="9" t="s">
        <v>1</v>
      </c>
      <c r="F38" s="9" t="s">
        <v>6</v>
      </c>
      <c r="G38" s="155" t="s">
        <v>2</v>
      </c>
      <c r="H38" s="156"/>
      <c r="I38" s="9" t="s">
        <v>3</v>
      </c>
    </row>
    <row r="39" spans="1:9" ht="20.5" x14ac:dyDescent="0.35">
      <c r="A39" s="94" t="s">
        <v>7</v>
      </c>
      <c r="B39" s="95"/>
      <c r="C39" s="96"/>
      <c r="D39" s="2" t="s">
        <v>4</v>
      </c>
      <c r="E39" s="54" t="s">
        <v>219</v>
      </c>
      <c r="F39" s="54" t="s">
        <v>220</v>
      </c>
      <c r="G39" s="114" t="s">
        <v>219</v>
      </c>
      <c r="H39" s="115"/>
      <c r="I39" s="54" t="s">
        <v>218</v>
      </c>
    </row>
    <row r="40" spans="1:9" ht="43.5" customHeight="1" x14ac:dyDescent="0.35">
      <c r="A40" s="94" t="s">
        <v>8</v>
      </c>
      <c r="B40" s="95"/>
      <c r="C40" s="96"/>
      <c r="D40" s="2" t="s">
        <v>4</v>
      </c>
      <c r="E40" s="54" t="s">
        <v>215</v>
      </c>
      <c r="F40" s="54" t="s">
        <v>216</v>
      </c>
      <c r="G40" s="114" t="s">
        <v>217</v>
      </c>
      <c r="H40" s="115"/>
      <c r="I40" s="54" t="s">
        <v>218</v>
      </c>
    </row>
    <row r="41" spans="1:9" ht="20.25" customHeight="1" x14ac:dyDescent="0.35">
      <c r="A41" s="94" t="s">
        <v>12</v>
      </c>
      <c r="B41" s="95"/>
      <c r="C41" s="96"/>
      <c r="D41" s="2" t="s">
        <v>4</v>
      </c>
      <c r="E41" s="18" t="s">
        <v>113</v>
      </c>
      <c r="F41" s="21" t="s">
        <v>13</v>
      </c>
      <c r="G41" s="2" t="s">
        <v>4</v>
      </c>
      <c r="H41" s="102" t="s">
        <v>112</v>
      </c>
      <c r="I41" s="103"/>
    </row>
    <row r="42" spans="1:9" ht="20.5" x14ac:dyDescent="0.35">
      <c r="A42" s="98" t="s">
        <v>63</v>
      </c>
      <c r="B42" s="99"/>
      <c r="C42" s="99"/>
      <c r="D42" s="99"/>
      <c r="E42" s="99"/>
      <c r="F42" s="99"/>
      <c r="G42" s="99"/>
      <c r="H42" s="99"/>
      <c r="I42" s="100"/>
    </row>
    <row r="43" spans="1:9" ht="21" customHeight="1" x14ac:dyDescent="0.35">
      <c r="A43" s="144" t="s">
        <v>64</v>
      </c>
      <c r="B43" s="144"/>
      <c r="C43" s="144" t="s">
        <v>65</v>
      </c>
      <c r="D43" s="144"/>
      <c r="E43" s="144" t="s">
        <v>179</v>
      </c>
      <c r="F43" s="144"/>
      <c r="G43" s="144"/>
      <c r="H43" s="144" t="s">
        <v>66</v>
      </c>
      <c r="I43" s="144"/>
    </row>
    <row r="44" spans="1:9" ht="40.5" customHeight="1" x14ac:dyDescent="0.35">
      <c r="A44" s="151" t="s">
        <v>246</v>
      </c>
      <c r="B44" s="151"/>
      <c r="C44" s="152" t="s">
        <v>100</v>
      </c>
      <c r="D44" s="152"/>
      <c r="E44" s="152" t="s">
        <v>242</v>
      </c>
      <c r="F44" s="152"/>
      <c r="G44" s="152"/>
      <c r="H44" s="114" t="s">
        <v>242</v>
      </c>
      <c r="I44" s="115"/>
    </row>
    <row r="45" spans="1:9" ht="40.5" customHeight="1" x14ac:dyDescent="0.35">
      <c r="A45" s="151" t="s">
        <v>235</v>
      </c>
      <c r="B45" s="151"/>
      <c r="C45" s="152" t="s">
        <v>100</v>
      </c>
      <c r="D45" s="152"/>
      <c r="E45" s="152" t="s">
        <v>241</v>
      </c>
      <c r="F45" s="152"/>
      <c r="G45" s="152"/>
      <c r="H45" s="114" t="s">
        <v>242</v>
      </c>
      <c r="I45" s="115"/>
    </row>
    <row r="46" spans="1:9" ht="39" customHeight="1" x14ac:dyDescent="0.35">
      <c r="A46" s="151" t="s">
        <v>236</v>
      </c>
      <c r="B46" s="151"/>
      <c r="C46" s="152" t="s">
        <v>100</v>
      </c>
      <c r="D46" s="152"/>
      <c r="E46" s="152" t="s">
        <v>241</v>
      </c>
      <c r="F46" s="152"/>
      <c r="G46" s="152"/>
      <c r="H46" s="114" t="s">
        <v>242</v>
      </c>
      <c r="I46" s="115"/>
    </row>
    <row r="47" spans="1:9" ht="20.5" x14ac:dyDescent="0.35">
      <c r="A47" s="81" t="s">
        <v>67</v>
      </c>
      <c r="B47" s="81"/>
      <c r="C47" s="81"/>
      <c r="D47" s="81"/>
      <c r="E47" s="81"/>
      <c r="F47" s="81"/>
      <c r="G47" s="81"/>
      <c r="H47" s="81"/>
      <c r="I47" s="81"/>
    </row>
    <row r="48" spans="1:9" ht="66" customHeight="1" x14ac:dyDescent="0.35">
      <c r="A48" s="17" t="s">
        <v>68</v>
      </c>
      <c r="B48" s="17" t="s">
        <v>4</v>
      </c>
      <c r="C48" s="97" t="s">
        <v>113</v>
      </c>
      <c r="D48" s="97"/>
      <c r="E48" s="97"/>
      <c r="F48" s="17" t="s">
        <v>69</v>
      </c>
      <c r="G48" s="17" t="s">
        <v>4</v>
      </c>
      <c r="H48" s="97" t="s">
        <v>247</v>
      </c>
      <c r="I48" s="135"/>
    </row>
    <row r="49" spans="1:11" ht="145.5" customHeight="1" x14ac:dyDescent="0.35">
      <c r="A49" s="17" t="s">
        <v>101</v>
      </c>
      <c r="B49" s="17" t="s">
        <v>4</v>
      </c>
      <c r="C49" s="97" t="s">
        <v>245</v>
      </c>
      <c r="D49" s="97"/>
      <c r="E49" s="97"/>
      <c r="F49" s="17" t="s">
        <v>70</v>
      </c>
      <c r="G49" s="17" t="s">
        <v>4</v>
      </c>
      <c r="H49" s="97" t="s">
        <v>248</v>
      </c>
      <c r="I49" s="97"/>
    </row>
    <row r="50" spans="1:11" ht="46.5" hidden="1" customHeight="1" x14ac:dyDescent="0.35">
      <c r="A50" s="17" t="s">
        <v>71</v>
      </c>
      <c r="B50" s="17" t="s">
        <v>4</v>
      </c>
      <c r="C50" s="97" t="s">
        <v>238</v>
      </c>
      <c r="D50" s="97"/>
      <c r="E50" s="97"/>
      <c r="F50" s="17" t="s">
        <v>72</v>
      </c>
      <c r="G50" s="17" t="s">
        <v>4</v>
      </c>
      <c r="H50" s="97" t="s">
        <v>238</v>
      </c>
      <c r="I50" s="97"/>
    </row>
    <row r="51" spans="1:11" ht="105" customHeight="1" x14ac:dyDescent="0.35">
      <c r="A51" s="64" t="s">
        <v>101</v>
      </c>
      <c r="B51" s="64" t="s">
        <v>4</v>
      </c>
      <c r="C51" s="102" t="s">
        <v>262</v>
      </c>
      <c r="D51" s="122"/>
      <c r="E51" s="122"/>
      <c r="F51" s="122"/>
      <c r="G51" s="122"/>
      <c r="H51" s="122"/>
      <c r="I51" s="103"/>
    </row>
    <row r="52" spans="1:11" ht="40.5" customHeight="1" x14ac:dyDescent="0.35">
      <c r="A52" s="17" t="s">
        <v>73</v>
      </c>
      <c r="B52" s="17" t="s">
        <v>4</v>
      </c>
      <c r="C52" s="97" t="s">
        <v>112</v>
      </c>
      <c r="D52" s="97"/>
      <c r="E52" s="97"/>
      <c r="F52" s="17" t="s">
        <v>74</v>
      </c>
      <c r="G52" s="17" t="s">
        <v>4</v>
      </c>
      <c r="H52" s="97" t="s">
        <v>112</v>
      </c>
      <c r="I52" s="97"/>
    </row>
    <row r="53" spans="1:11" ht="21" thickBot="1" x14ac:dyDescent="0.4">
      <c r="A53" s="81" t="s">
        <v>75</v>
      </c>
      <c r="B53" s="81"/>
      <c r="C53" s="81"/>
      <c r="D53" s="81"/>
      <c r="E53" s="81"/>
      <c r="F53" s="81"/>
      <c r="G53" s="81"/>
      <c r="H53" s="81"/>
      <c r="I53" s="81"/>
    </row>
    <row r="54" spans="1:11" ht="20.25" customHeight="1" x14ac:dyDescent="0.45">
      <c r="A54" s="82" t="s">
        <v>255</v>
      </c>
      <c r="B54" s="82"/>
      <c r="C54" s="82"/>
      <c r="D54" s="83" t="s">
        <v>4</v>
      </c>
      <c r="E54" s="60" t="s">
        <v>145</v>
      </c>
      <c r="F54" s="76" t="s">
        <v>131</v>
      </c>
      <c r="G54" s="76"/>
      <c r="H54" s="60" t="s">
        <v>146</v>
      </c>
      <c r="I54" s="60" t="s">
        <v>147</v>
      </c>
      <c r="J54" s="35"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upto 18 Slab, Brickwork upto 13 Floor, Internal Plaster upto 10.4 Floor, External Plaster upto 10.4 Floor Completed</v>
      </c>
      <c r="K54" s="37"/>
    </row>
    <row r="55" spans="1:11" ht="20.5" x14ac:dyDescent="0.45">
      <c r="A55" s="82"/>
      <c r="B55" s="82"/>
      <c r="C55" s="82"/>
      <c r="D55" s="83"/>
      <c r="E55" s="60">
        <v>2</v>
      </c>
      <c r="F55" s="76">
        <v>1</v>
      </c>
      <c r="G55" s="76"/>
      <c r="H55" s="60">
        <v>3</v>
      </c>
      <c r="I55" s="60">
        <f ca="1">--TRIM(RIGHT(SUBSTITUTE(LEFT(A54,_xlfn.AGGREGATE(16,6,FIND({0,1,2,3,4,5,6,7,8,9},A54,ROW(INDIRECT("1:"&amp;LEN(A54)))),1))," ",REPT(" ",LEN(A54))),LEN(A54)))</f>
        <v>50</v>
      </c>
      <c r="J55" s="36" t="s">
        <v>151</v>
      </c>
      <c r="K55" s="37"/>
    </row>
    <row r="56" spans="1:11" ht="20.25" customHeight="1" x14ac:dyDescent="0.45">
      <c r="A56" s="77" t="s">
        <v>149</v>
      </c>
      <c r="B56" s="77"/>
      <c r="C56" s="77" t="s">
        <v>163</v>
      </c>
      <c r="D56" s="77"/>
      <c r="E56" s="61" t="s">
        <v>164</v>
      </c>
      <c r="F56" s="77" t="s">
        <v>150</v>
      </c>
      <c r="G56" s="77"/>
      <c r="H56" s="47" t="s">
        <v>148</v>
      </c>
      <c r="I56" s="47"/>
      <c r="J56" s="39" t="s">
        <v>165</v>
      </c>
      <c r="K56" s="38">
        <f ca="1">I55*25%</f>
        <v>12.5</v>
      </c>
    </row>
    <row r="57" spans="1:11" ht="20.25" customHeight="1" x14ac:dyDescent="0.45">
      <c r="A57" s="75" t="s">
        <v>166</v>
      </c>
      <c r="B57" s="75"/>
      <c r="C57" s="76">
        <f ca="1">K58</f>
        <v>50</v>
      </c>
      <c r="D57" s="76"/>
      <c r="E57" s="62">
        <f ca="1">((100/I55)*C57)/100</f>
        <v>1</v>
      </c>
      <c r="F57" s="75">
        <f ca="1">(((C57/I55*5)+(C58/I55*20)+(25/(F55+H55+I55)*C59)+(5/(I55)*C60)+(2.5/(I55)*C61)+(2.5/(I55)*C62)+(5/I55*C63)+(10/I55*C64)+(2.5/I55*C65)+(2.5/I55*C66)+(10/I55*C67)+(10/I55*C68))/100)</f>
        <v>0.3567333333333334</v>
      </c>
      <c r="G57" s="75"/>
      <c r="H57" s="75" t="str">
        <f ca="1">J54</f>
        <v>Excavation work Completed. Plinth work completed, RCC upto 18 Slab, Brickwork upto 13 Floor, Internal Plaster upto 10.4 Floor, External Plaster upto 10.4 Floor Completed</v>
      </c>
      <c r="I57" s="75"/>
      <c r="J57" s="39" t="s">
        <v>152</v>
      </c>
      <c r="K57" s="43">
        <f ca="1">I55*50%</f>
        <v>25</v>
      </c>
    </row>
    <row r="58" spans="1:11" ht="20.5" x14ac:dyDescent="0.45">
      <c r="A58" s="75" t="s">
        <v>132</v>
      </c>
      <c r="B58" s="75"/>
      <c r="C58" s="78">
        <f ca="1">K66</f>
        <v>50</v>
      </c>
      <c r="D58" s="76"/>
      <c r="E58" s="62">
        <f ca="1">((100/I55)*C58)/100</f>
        <v>1</v>
      </c>
      <c r="F58" s="75"/>
      <c r="G58" s="75"/>
      <c r="H58" s="75"/>
      <c r="I58" s="75"/>
      <c r="J58" s="39" t="s">
        <v>153</v>
      </c>
      <c r="K58" s="43">
        <f ca="1">I55</f>
        <v>50</v>
      </c>
    </row>
    <row r="59" spans="1:11" ht="21" customHeight="1" x14ac:dyDescent="0.5">
      <c r="A59" s="75" t="s">
        <v>167</v>
      </c>
      <c r="B59" s="75"/>
      <c r="C59" s="76">
        <f>F55+H55+14</f>
        <v>18</v>
      </c>
      <c r="D59" s="76"/>
      <c r="E59" s="62">
        <f ca="1">((100/(F55+H55+I55))*C59)/100</f>
        <v>0.33333333333333337</v>
      </c>
      <c r="F59" s="75"/>
      <c r="G59" s="75"/>
      <c r="H59" s="75"/>
      <c r="I59" s="75"/>
      <c r="J59" s="39" t="s">
        <v>154</v>
      </c>
      <c r="K59" s="44">
        <f ca="1">(IF(E55&gt;1,(I55/(E55+2)),I55/4))</f>
        <v>12.5</v>
      </c>
    </row>
    <row r="60" spans="1:11" ht="21" customHeight="1" x14ac:dyDescent="0.5">
      <c r="A60" s="75" t="s">
        <v>168</v>
      </c>
      <c r="B60" s="75"/>
      <c r="C60" s="76">
        <f>C59-H55-F55-1</f>
        <v>13</v>
      </c>
      <c r="D60" s="76"/>
      <c r="E60" s="62">
        <f ca="1">((100/I55)*C60)/100</f>
        <v>0.26</v>
      </c>
      <c r="F60" s="75"/>
      <c r="G60" s="75"/>
      <c r="H60" s="75"/>
      <c r="I60" s="75"/>
      <c r="J60" s="39" t="s">
        <v>155</v>
      </c>
      <c r="K60" s="44">
        <f ca="1">(IF(E55&gt;1,(I55/(E55+2)+K59),I55/4+K59))</f>
        <v>25</v>
      </c>
    </row>
    <row r="61" spans="1:11" ht="21" customHeight="1" x14ac:dyDescent="0.5">
      <c r="A61" s="79" t="s">
        <v>169</v>
      </c>
      <c r="B61" s="80"/>
      <c r="C61" s="78">
        <f>C60*0.8</f>
        <v>10.4</v>
      </c>
      <c r="D61" s="78"/>
      <c r="E61" s="62">
        <f ca="1">((100/I55)*C61)/100</f>
        <v>0.20800000000000002</v>
      </c>
      <c r="F61" s="75"/>
      <c r="G61" s="75"/>
      <c r="H61" s="75"/>
      <c r="I61" s="75"/>
      <c r="J61" s="39" t="s">
        <v>170</v>
      </c>
      <c r="K61" s="44">
        <f ca="1">(IF(E55&gt;1,(I55/(E55+2)+K60),0))</f>
        <v>37.5</v>
      </c>
    </row>
    <row r="62" spans="1:11" ht="21" customHeight="1" x14ac:dyDescent="0.5">
      <c r="A62" s="79" t="s">
        <v>257</v>
      </c>
      <c r="B62" s="80"/>
      <c r="C62" s="78">
        <f>C61</f>
        <v>10.4</v>
      </c>
      <c r="D62" s="78"/>
      <c r="E62" s="62">
        <f ca="1">((100/I55)*C62)/100</f>
        <v>0.20800000000000002</v>
      </c>
      <c r="F62" s="75"/>
      <c r="G62" s="75"/>
      <c r="H62" s="75"/>
      <c r="I62" s="75"/>
      <c r="J62" s="39" t="s">
        <v>171</v>
      </c>
      <c r="K62" s="44">
        <f>(IF(E55&gt;2,(I55/(E55+2)+K61),0))</f>
        <v>0</v>
      </c>
    </row>
    <row r="63" spans="1:11" ht="39.75" customHeight="1" x14ac:dyDescent="0.5">
      <c r="A63" s="79" t="s">
        <v>258</v>
      </c>
      <c r="B63" s="80"/>
      <c r="C63" s="76">
        <v>0</v>
      </c>
      <c r="D63" s="76"/>
      <c r="E63" s="62">
        <f ca="1">((100/(I55))*C63)/100</f>
        <v>0</v>
      </c>
      <c r="F63" s="75"/>
      <c r="G63" s="75"/>
      <c r="H63" s="75"/>
      <c r="I63" s="75"/>
      <c r="J63" s="39" t="s">
        <v>173</v>
      </c>
      <c r="K63" s="45">
        <f>(IF(E55&gt;3,(I55/(E55+2)+K62),0))</f>
        <v>0</v>
      </c>
    </row>
    <row r="64" spans="1:11" ht="21" x14ac:dyDescent="0.5">
      <c r="A64" s="75" t="s">
        <v>172</v>
      </c>
      <c r="B64" s="75"/>
      <c r="C64" s="76">
        <v>0</v>
      </c>
      <c r="D64" s="76"/>
      <c r="E64" s="62">
        <f ca="1">((100/(I55))*C64)/100</f>
        <v>0</v>
      </c>
      <c r="F64" s="75"/>
      <c r="G64" s="75"/>
      <c r="H64" s="75"/>
      <c r="I64" s="75"/>
      <c r="J64" s="39" t="s">
        <v>174</v>
      </c>
      <c r="K64" s="44">
        <f>(IF(E55&gt;4,(I55/(E55+2)+K63),0))</f>
        <v>0</v>
      </c>
    </row>
    <row r="65" spans="1:13" ht="21" customHeight="1" x14ac:dyDescent="0.5">
      <c r="A65" s="75" t="s">
        <v>259</v>
      </c>
      <c r="B65" s="75"/>
      <c r="C65" s="76">
        <v>0</v>
      </c>
      <c r="D65" s="76"/>
      <c r="E65" s="62">
        <f ca="1">((100/I55)*C65)/100</f>
        <v>0</v>
      </c>
      <c r="F65" s="75"/>
      <c r="G65" s="75"/>
      <c r="H65" s="75"/>
      <c r="I65" s="75"/>
      <c r="J65" s="39" t="s">
        <v>156</v>
      </c>
      <c r="K65" s="44">
        <f>(IF(E55=1,(I55/(E55+3)+K60),IF(E55=0,(I55/4+K60),IF(E55&gt;1,0))))</f>
        <v>0</v>
      </c>
    </row>
    <row r="66" spans="1:13" ht="42.75" customHeight="1" thickBot="1" x14ac:dyDescent="0.55000000000000004">
      <c r="A66" s="75" t="s">
        <v>260</v>
      </c>
      <c r="B66" s="75"/>
      <c r="C66" s="76">
        <v>0</v>
      </c>
      <c r="D66" s="76"/>
      <c r="E66" s="62">
        <f ca="1">((100/I55)*C66)/100</f>
        <v>0</v>
      </c>
      <c r="F66" s="75"/>
      <c r="G66" s="75"/>
      <c r="H66" s="75"/>
      <c r="I66" s="75"/>
      <c r="J66" s="41" t="s">
        <v>157</v>
      </c>
      <c r="K66" s="46">
        <f ca="1">(IF(E55&gt;1.5,(I55/(E55+2)+K59+MAX(0,K60-K59)+MAX(0,K61-K60)+MAX(0,K62-K61)+MAX(0,K63-K62)+MAX(0,K64-K63)),IF(E55=1,(I55/(E55+3)+K65),IF(E55=0,I55/4+K65))))</f>
        <v>50</v>
      </c>
      <c r="M66" s="1" t="e">
        <f>(IF(D54&gt;1.5,(H54/(D54+2)+J59+MAX(0,J60-J59)+MAX(0,J61-J60)+MAX(0,J62-J61)+MAX(0,J63-J62)+MAX(0,J64-J63)),IF(D54=1,(H54/(D54+3)+J64),IF(D54=0,H54*0.3+J64))))</f>
        <v>#VALUE!</v>
      </c>
    </row>
    <row r="67" spans="1:13" ht="20.5" x14ac:dyDescent="0.35">
      <c r="A67" s="75" t="s">
        <v>175</v>
      </c>
      <c r="B67" s="75"/>
      <c r="C67" s="76">
        <v>0</v>
      </c>
      <c r="D67" s="76"/>
      <c r="E67" s="62">
        <f ca="1">((100/(I55))*C67)/100</f>
        <v>0</v>
      </c>
      <c r="F67" s="75"/>
      <c r="G67" s="75"/>
      <c r="H67" s="75"/>
      <c r="I67" s="75"/>
    </row>
    <row r="68" spans="1:13" ht="20.5" x14ac:dyDescent="0.35">
      <c r="A68" s="75" t="s">
        <v>176</v>
      </c>
      <c r="B68" s="75"/>
      <c r="C68" s="76">
        <v>0</v>
      </c>
      <c r="D68" s="76"/>
      <c r="E68" s="62">
        <f ca="1">((100/(I55))*C68)/100</f>
        <v>0</v>
      </c>
      <c r="F68" s="75"/>
      <c r="G68" s="75"/>
      <c r="H68" s="75"/>
      <c r="I68" s="75"/>
    </row>
    <row r="69" spans="1:13" ht="21" thickBot="1" x14ac:dyDescent="0.4">
      <c r="A69" s="81" t="s">
        <v>75</v>
      </c>
      <c r="B69" s="81"/>
      <c r="C69" s="81"/>
      <c r="D69" s="81"/>
      <c r="E69" s="81"/>
      <c r="F69" s="81"/>
      <c r="G69" s="81"/>
      <c r="H69" s="81"/>
      <c r="I69" s="81"/>
    </row>
    <row r="70" spans="1:13" ht="20.25" customHeight="1" x14ac:dyDescent="0.45">
      <c r="A70" s="82" t="s">
        <v>256</v>
      </c>
      <c r="B70" s="82"/>
      <c r="C70" s="82"/>
      <c r="D70" s="83" t="s">
        <v>4</v>
      </c>
      <c r="E70" s="60" t="s">
        <v>145</v>
      </c>
      <c r="F70" s="76" t="s">
        <v>131</v>
      </c>
      <c r="G70" s="76"/>
      <c r="H70" s="60" t="s">
        <v>146</v>
      </c>
      <c r="I70" s="60" t="s">
        <v>147</v>
      </c>
      <c r="J70" s="35"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upto 46 Slab, Brickwork upto 41 Floor, Internal Plaster upto 32.8 Floor, External Plaster upto 32.8 Floor Completed</v>
      </c>
      <c r="K70" s="37"/>
    </row>
    <row r="71" spans="1:13" ht="23.25" customHeight="1" x14ac:dyDescent="0.45">
      <c r="A71" s="82"/>
      <c r="B71" s="82"/>
      <c r="C71" s="82"/>
      <c r="D71" s="83"/>
      <c r="E71" s="60">
        <v>2</v>
      </c>
      <c r="F71" s="76">
        <v>1</v>
      </c>
      <c r="G71" s="76"/>
      <c r="H71" s="60">
        <v>3</v>
      </c>
      <c r="I71" s="60">
        <f ca="1">--TRIM(RIGHT(SUBSTITUTE(LEFT(A70,_xlfn.AGGREGATE(16,6,FIND({0,1,2,3,4,5,6,7,8,9},A70,ROW(INDIRECT("1:"&amp;LEN(A70)))),1))," ",REPT(" ",LEN(A70))),LEN(A70)))</f>
        <v>55</v>
      </c>
      <c r="J71" s="36" t="s">
        <v>151</v>
      </c>
      <c r="K71" s="37"/>
    </row>
    <row r="72" spans="1:13" ht="20.25" customHeight="1" x14ac:dyDescent="0.45">
      <c r="A72" s="77" t="s">
        <v>149</v>
      </c>
      <c r="B72" s="77"/>
      <c r="C72" s="77" t="s">
        <v>163</v>
      </c>
      <c r="D72" s="77"/>
      <c r="E72" s="61" t="s">
        <v>164</v>
      </c>
      <c r="F72" s="77" t="s">
        <v>150</v>
      </c>
      <c r="G72" s="77"/>
      <c r="H72" s="47" t="s">
        <v>148</v>
      </c>
      <c r="I72" s="47"/>
      <c r="J72" s="39" t="s">
        <v>165</v>
      </c>
      <c r="K72" s="38">
        <f ca="1">I71*25%</f>
        <v>13.75</v>
      </c>
    </row>
    <row r="73" spans="1:13" ht="20.25" customHeight="1" x14ac:dyDescent="0.45">
      <c r="A73" s="75" t="s">
        <v>166</v>
      </c>
      <c r="B73" s="75"/>
      <c r="C73" s="76">
        <f ca="1">K74</f>
        <v>55</v>
      </c>
      <c r="D73" s="76"/>
      <c r="E73" s="70">
        <f ca="1">((100/I71)*C73)/100</f>
        <v>1</v>
      </c>
      <c r="F73" s="75">
        <f ca="1">(((C73/I71*5)+(C74/I71*20)+(25/(F71+H71+I71)*C75)+(5/(I71)*C76)+(2.5/(I71)*C77)+(2.5/(I71)*C78)+(5/I71*C79)+(10/I71*C80)+(2.5/I71*C81)+(2.5/I71*C82)+(10/I71*C83)+(10/I71*C84))/100)</f>
        <v>0.51200616332819726</v>
      </c>
      <c r="G73" s="75"/>
      <c r="H73" s="75" t="str">
        <f ca="1">J70</f>
        <v>Excavation work Completed. Plinth work completed, RCC upto 46 Slab, Brickwork upto 41 Floor, Internal Plaster upto 32.8 Floor, External Plaster upto 32.8 Floor Completed</v>
      </c>
      <c r="I73" s="75"/>
      <c r="J73" s="39" t="s">
        <v>152</v>
      </c>
      <c r="K73" s="43">
        <f ca="1">I71*50%</f>
        <v>27.5</v>
      </c>
    </row>
    <row r="74" spans="1:13" ht="20.5" x14ac:dyDescent="0.45">
      <c r="A74" s="75" t="s">
        <v>132</v>
      </c>
      <c r="B74" s="75"/>
      <c r="C74" s="78">
        <f ca="1">K82</f>
        <v>55</v>
      </c>
      <c r="D74" s="76"/>
      <c r="E74" s="70">
        <f ca="1">((100/I71)*C74)/100</f>
        <v>1</v>
      </c>
      <c r="F74" s="75"/>
      <c r="G74" s="75"/>
      <c r="H74" s="75"/>
      <c r="I74" s="75"/>
      <c r="J74" s="39" t="s">
        <v>153</v>
      </c>
      <c r="K74" s="43">
        <f ca="1">I71</f>
        <v>55</v>
      </c>
    </row>
    <row r="75" spans="1:13" ht="21" customHeight="1" x14ac:dyDescent="0.5">
      <c r="A75" s="75" t="s">
        <v>167</v>
      </c>
      <c r="B75" s="75"/>
      <c r="C75" s="76">
        <f>F71+H71+42</f>
        <v>46</v>
      </c>
      <c r="D75" s="76"/>
      <c r="E75" s="70">
        <f ca="1">((100/(F71+H71+I71))*C75)/100</f>
        <v>0.77966101694915257</v>
      </c>
      <c r="F75" s="75"/>
      <c r="G75" s="75"/>
      <c r="H75" s="75"/>
      <c r="I75" s="75"/>
      <c r="J75" s="39" t="s">
        <v>154</v>
      </c>
      <c r="K75" s="44">
        <f ca="1">(IF(E71&gt;1,(I71/(E71+2)),I71/4))</f>
        <v>13.75</v>
      </c>
    </row>
    <row r="76" spans="1:13" ht="21" customHeight="1" x14ac:dyDescent="0.5">
      <c r="A76" s="75" t="s">
        <v>168</v>
      </c>
      <c r="B76" s="75"/>
      <c r="C76" s="76">
        <f>C75-H71-F71-1</f>
        <v>41</v>
      </c>
      <c r="D76" s="76"/>
      <c r="E76" s="70">
        <f ca="1">((100/I71)*C76)/100</f>
        <v>0.74545454545454548</v>
      </c>
      <c r="F76" s="75"/>
      <c r="G76" s="75"/>
      <c r="H76" s="75"/>
      <c r="I76" s="75"/>
      <c r="J76" s="39" t="s">
        <v>155</v>
      </c>
      <c r="K76" s="44">
        <f ca="1">(IF(E71&gt;1,(I71/(E71+2)+K75),I71/4+K75))</f>
        <v>27.5</v>
      </c>
    </row>
    <row r="77" spans="1:13" ht="21" customHeight="1" x14ac:dyDescent="0.5">
      <c r="A77" s="75" t="s">
        <v>169</v>
      </c>
      <c r="B77" s="75"/>
      <c r="C77" s="78">
        <f>C76*0.8</f>
        <v>32.800000000000004</v>
      </c>
      <c r="D77" s="78"/>
      <c r="E77" s="70">
        <f ca="1">((100/I71)*C77)/100</f>
        <v>0.59636363636363643</v>
      </c>
      <c r="F77" s="75"/>
      <c r="G77" s="75"/>
      <c r="H77" s="75"/>
      <c r="I77" s="75"/>
      <c r="J77" s="39" t="s">
        <v>170</v>
      </c>
      <c r="K77" s="44">
        <f ca="1">(IF(E71&gt;1,(I71/(E71+2)+K76),0))</f>
        <v>41.25</v>
      </c>
    </row>
    <row r="78" spans="1:13" ht="21" customHeight="1" x14ac:dyDescent="0.5">
      <c r="A78" s="75" t="s">
        <v>257</v>
      </c>
      <c r="B78" s="75"/>
      <c r="C78" s="78">
        <f>C77</f>
        <v>32.800000000000004</v>
      </c>
      <c r="D78" s="78"/>
      <c r="E78" s="70">
        <f ca="1">((100/I71)*C78)/100</f>
        <v>0.59636363636363643</v>
      </c>
      <c r="F78" s="75"/>
      <c r="G78" s="75"/>
      <c r="H78" s="75"/>
      <c r="I78" s="75"/>
      <c r="J78" s="39" t="s">
        <v>171</v>
      </c>
      <c r="K78" s="44">
        <f>(IF(E71&gt;2,(I71/(E71+2)+K77),0))</f>
        <v>0</v>
      </c>
    </row>
    <row r="79" spans="1:13" ht="39" customHeight="1" x14ac:dyDescent="0.5">
      <c r="A79" s="75" t="s">
        <v>258</v>
      </c>
      <c r="B79" s="75"/>
      <c r="C79" s="76">
        <v>0</v>
      </c>
      <c r="D79" s="76"/>
      <c r="E79" s="70">
        <f ca="1">((100/(I71))*C79)/100</f>
        <v>0</v>
      </c>
      <c r="F79" s="75"/>
      <c r="G79" s="75"/>
      <c r="H79" s="75"/>
      <c r="I79" s="75"/>
      <c r="J79" s="39" t="s">
        <v>173</v>
      </c>
      <c r="K79" s="45">
        <f>(IF(E71&gt;3,(I71/(E71+2)+K78),0))</f>
        <v>0</v>
      </c>
    </row>
    <row r="80" spans="1:13" ht="21" x14ac:dyDescent="0.5">
      <c r="A80" s="75" t="s">
        <v>172</v>
      </c>
      <c r="B80" s="75"/>
      <c r="C80" s="76">
        <v>0</v>
      </c>
      <c r="D80" s="76"/>
      <c r="E80" s="70">
        <f ca="1">((100/(I71))*C80)/100</f>
        <v>0</v>
      </c>
      <c r="F80" s="75"/>
      <c r="G80" s="75"/>
      <c r="H80" s="75"/>
      <c r="I80" s="75"/>
      <c r="J80" s="39" t="s">
        <v>174</v>
      </c>
      <c r="K80" s="44">
        <f>(IF(E71&gt;4,(I71/(E71+2)+K79),0))</f>
        <v>0</v>
      </c>
    </row>
    <row r="81" spans="1:13" ht="21" customHeight="1" x14ac:dyDescent="0.5">
      <c r="A81" s="75" t="s">
        <v>259</v>
      </c>
      <c r="B81" s="75"/>
      <c r="C81" s="76">
        <v>0</v>
      </c>
      <c r="D81" s="76"/>
      <c r="E81" s="70">
        <f ca="1">((100/I71)*C81)/100</f>
        <v>0</v>
      </c>
      <c r="F81" s="75"/>
      <c r="G81" s="75"/>
      <c r="H81" s="75"/>
      <c r="I81" s="75"/>
      <c r="J81" s="39" t="s">
        <v>156</v>
      </c>
      <c r="K81" s="44">
        <f>(IF(E71=1,(I71/(E71+3)+K76),IF(E71=0,(I71/4+K76),IF(E71&gt;1,0))))</f>
        <v>0</v>
      </c>
    </row>
    <row r="82" spans="1:13" ht="41.25" customHeight="1" thickBot="1" x14ac:dyDescent="0.55000000000000004">
      <c r="A82" s="75" t="s">
        <v>260</v>
      </c>
      <c r="B82" s="75"/>
      <c r="C82" s="76">
        <v>0</v>
      </c>
      <c r="D82" s="76"/>
      <c r="E82" s="70">
        <f ca="1">((100/I71)*C82)/100</f>
        <v>0</v>
      </c>
      <c r="F82" s="75"/>
      <c r="G82" s="75"/>
      <c r="H82" s="75"/>
      <c r="I82" s="75"/>
      <c r="J82" s="41" t="s">
        <v>157</v>
      </c>
      <c r="K82" s="46">
        <f ca="1">(IF(E71&gt;1.5,(I71/(E71+2)+K75+MAX(0,K76-K75)+MAX(0,K77-K76)+MAX(0,K78-K77)+MAX(0,K79-K78)+MAX(0,K80-K79)),IF(E71=1,(I71/(E71+3)+K81),IF(E71=0,I71/4+K81))))</f>
        <v>55</v>
      </c>
      <c r="M82" s="1" t="e">
        <f>(IF(D70&gt;1.5,(H70/(D70+2)+J75+MAX(0,J76-J75)+MAX(0,J77-J76)+MAX(0,J78-J77)+MAX(0,J79-J78)+MAX(0,J80-J79)),IF(D70=1,(H70/(D70+3)+J80),IF(D70=0,H70*0.3+J80))))</f>
        <v>#VALUE!</v>
      </c>
    </row>
    <row r="83" spans="1:13" ht="20.5" x14ac:dyDescent="0.35">
      <c r="A83" s="75" t="s">
        <v>175</v>
      </c>
      <c r="B83" s="75"/>
      <c r="C83" s="76">
        <v>0</v>
      </c>
      <c r="D83" s="76"/>
      <c r="E83" s="70">
        <f ca="1">((100/(I71))*C83)/100</f>
        <v>0</v>
      </c>
      <c r="F83" s="75"/>
      <c r="G83" s="75"/>
      <c r="H83" s="75"/>
      <c r="I83" s="75"/>
    </row>
    <row r="84" spans="1:13" ht="20.5" x14ac:dyDescent="0.35">
      <c r="A84" s="75" t="s">
        <v>176</v>
      </c>
      <c r="B84" s="75"/>
      <c r="C84" s="76">
        <v>0</v>
      </c>
      <c r="D84" s="76"/>
      <c r="E84" s="70">
        <f ca="1">((100/(I71))*C84)/100</f>
        <v>0</v>
      </c>
      <c r="F84" s="75"/>
      <c r="G84" s="75"/>
      <c r="H84" s="75"/>
      <c r="I84" s="75"/>
    </row>
    <row r="85" spans="1:13" ht="21" thickBot="1" x14ac:dyDescent="0.4">
      <c r="A85" s="81" t="s">
        <v>75</v>
      </c>
      <c r="B85" s="81"/>
      <c r="C85" s="81"/>
      <c r="D85" s="81"/>
      <c r="E85" s="81"/>
      <c r="F85" s="81"/>
      <c r="G85" s="81"/>
      <c r="H85" s="81"/>
      <c r="I85" s="81"/>
    </row>
    <row r="86" spans="1:13" ht="20.25" customHeight="1" x14ac:dyDescent="0.45">
      <c r="A86" s="82" t="s">
        <v>261</v>
      </c>
      <c r="B86" s="82"/>
      <c r="C86" s="82"/>
      <c r="D86" s="83" t="s">
        <v>4</v>
      </c>
      <c r="E86" s="68" t="s">
        <v>145</v>
      </c>
      <c r="F86" s="76" t="s">
        <v>131</v>
      </c>
      <c r="G86" s="76"/>
      <c r="H86" s="68" t="s">
        <v>146</v>
      </c>
      <c r="I86" s="68" t="s">
        <v>147</v>
      </c>
      <c r="J86" s="35"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upto 33 Slab, Brickwork upto 29 Floor, Internal Plaster upto 23.2 Floor, External Plaster upto 23.2 Floor Completed</v>
      </c>
      <c r="K86" s="37"/>
    </row>
    <row r="87" spans="1:13" ht="20.5" x14ac:dyDescent="0.45">
      <c r="A87" s="82"/>
      <c r="B87" s="82"/>
      <c r="C87" s="82"/>
      <c r="D87" s="83"/>
      <c r="E87" s="68">
        <v>2</v>
      </c>
      <c r="F87" s="76">
        <v>1</v>
      </c>
      <c r="G87" s="76"/>
      <c r="H87" s="68">
        <v>3</v>
      </c>
      <c r="I87" s="68">
        <f ca="1">--TRIM(RIGHT(SUBSTITUTE(LEFT(A86,_xlfn.AGGREGATE(16,6,FIND({0,1,2,3,4,5,6,7,8,9},A86,ROW(INDIRECT("1:"&amp;LEN(A86)))),1))," ",REPT(" ",LEN(A86))),LEN(A86)))</f>
        <v>55</v>
      </c>
      <c r="J87" s="36" t="s">
        <v>151</v>
      </c>
      <c r="K87" s="37"/>
    </row>
    <row r="88" spans="1:13" ht="20.25" customHeight="1" x14ac:dyDescent="0.45">
      <c r="A88" s="77" t="s">
        <v>149</v>
      </c>
      <c r="B88" s="77"/>
      <c r="C88" s="77" t="s">
        <v>163</v>
      </c>
      <c r="D88" s="77"/>
      <c r="E88" s="69" t="s">
        <v>164</v>
      </c>
      <c r="F88" s="77" t="s">
        <v>150</v>
      </c>
      <c r="G88" s="77"/>
      <c r="H88" s="47" t="s">
        <v>148</v>
      </c>
      <c r="I88" s="47"/>
      <c r="J88" s="39" t="s">
        <v>165</v>
      </c>
      <c r="K88" s="38">
        <f ca="1">I87*25%</f>
        <v>13.75</v>
      </c>
    </row>
    <row r="89" spans="1:13" ht="20.25" customHeight="1" x14ac:dyDescent="0.45">
      <c r="A89" s="75" t="s">
        <v>166</v>
      </c>
      <c r="B89" s="75"/>
      <c r="C89" s="76">
        <f ca="1">K90</f>
        <v>55</v>
      </c>
      <c r="D89" s="76"/>
      <c r="E89" s="70">
        <f ca="1">((100/I87)*C89)/100</f>
        <v>1</v>
      </c>
      <c r="F89" s="75">
        <f ca="1">(((C89/I87*5)+(C90/I87*20)+(25/(F87+H87+I87)*C91)+(5/(I87)*C92)+(2.5/(I87)*C93)+(2.5/(I87)*C94)+(5/I87*C95)+(10/I87*C96)+(2.5/I87*C97)+(2.5/I87*C98)+(10/I87*C99)+(10/I87*C100))/100)</f>
        <v>0.4372850539291217</v>
      </c>
      <c r="G89" s="75"/>
      <c r="H89" s="75" t="str">
        <f ca="1">J86</f>
        <v>Excavation work Completed. Plinth work completed, RCC upto 33 Slab, Brickwork upto 29 Floor, Internal Plaster upto 23.2 Floor, External Plaster upto 23.2 Floor Completed</v>
      </c>
      <c r="I89" s="75"/>
      <c r="J89" s="39" t="s">
        <v>152</v>
      </c>
      <c r="K89" s="43">
        <f ca="1">I87*50%</f>
        <v>27.5</v>
      </c>
    </row>
    <row r="90" spans="1:13" ht="20.5" x14ac:dyDescent="0.45">
      <c r="A90" s="75" t="s">
        <v>132</v>
      </c>
      <c r="B90" s="75"/>
      <c r="C90" s="78">
        <f ca="1">K98</f>
        <v>55</v>
      </c>
      <c r="D90" s="76"/>
      <c r="E90" s="70">
        <f ca="1">((100/I87)*C90)/100</f>
        <v>1</v>
      </c>
      <c r="F90" s="75"/>
      <c r="G90" s="75"/>
      <c r="H90" s="75"/>
      <c r="I90" s="75"/>
      <c r="J90" s="39" t="s">
        <v>153</v>
      </c>
      <c r="K90" s="43">
        <f ca="1">I87</f>
        <v>55</v>
      </c>
    </row>
    <row r="91" spans="1:13" ht="21" customHeight="1" x14ac:dyDescent="0.5">
      <c r="A91" s="75" t="s">
        <v>167</v>
      </c>
      <c r="B91" s="75"/>
      <c r="C91" s="76">
        <f>F87+H87+29</f>
        <v>33</v>
      </c>
      <c r="D91" s="76"/>
      <c r="E91" s="70">
        <f ca="1">((100/(F87+H87+I87))*C91)/100</f>
        <v>0.55932203389830504</v>
      </c>
      <c r="F91" s="75"/>
      <c r="G91" s="75"/>
      <c r="H91" s="75"/>
      <c r="I91" s="75"/>
      <c r="J91" s="39" t="s">
        <v>154</v>
      </c>
      <c r="K91" s="44">
        <f ca="1">(IF(E87&gt;1,(I87/(E87+2)),I87/4))</f>
        <v>13.75</v>
      </c>
    </row>
    <row r="92" spans="1:13" ht="21" customHeight="1" x14ac:dyDescent="0.5">
      <c r="A92" s="75" t="s">
        <v>168</v>
      </c>
      <c r="B92" s="75"/>
      <c r="C92" s="76">
        <f>C91-F87-H87</f>
        <v>29</v>
      </c>
      <c r="D92" s="76"/>
      <c r="E92" s="70">
        <f ca="1">((100/I87)*C92)/100</f>
        <v>0.52727272727272723</v>
      </c>
      <c r="F92" s="75"/>
      <c r="G92" s="75"/>
      <c r="H92" s="75"/>
      <c r="I92" s="75"/>
      <c r="J92" s="39" t="s">
        <v>155</v>
      </c>
      <c r="K92" s="44">
        <f ca="1">(IF(E87&gt;1,(I87/(E87+2)+K91),I87/4+K91))</f>
        <v>27.5</v>
      </c>
    </row>
    <row r="93" spans="1:13" ht="21" customHeight="1" x14ac:dyDescent="0.5">
      <c r="A93" s="75" t="s">
        <v>169</v>
      </c>
      <c r="B93" s="75"/>
      <c r="C93" s="78">
        <f>C92*0.8</f>
        <v>23.200000000000003</v>
      </c>
      <c r="D93" s="78"/>
      <c r="E93" s="70">
        <f ca="1">((100/I87)*C93)/100</f>
        <v>0.42181818181818187</v>
      </c>
      <c r="F93" s="75"/>
      <c r="G93" s="75"/>
      <c r="H93" s="75"/>
      <c r="I93" s="75"/>
      <c r="J93" s="39" t="s">
        <v>170</v>
      </c>
      <c r="K93" s="44">
        <f ca="1">(IF(E87&gt;1,(I87/(E87+2)+K92),0))</f>
        <v>41.25</v>
      </c>
    </row>
    <row r="94" spans="1:13" ht="21" customHeight="1" x14ac:dyDescent="0.5">
      <c r="A94" s="75" t="s">
        <v>257</v>
      </c>
      <c r="B94" s="75"/>
      <c r="C94" s="78">
        <f>C92*0.8</f>
        <v>23.200000000000003</v>
      </c>
      <c r="D94" s="78"/>
      <c r="E94" s="70">
        <f ca="1">((100/I87)*C94)/100</f>
        <v>0.42181818181818187</v>
      </c>
      <c r="F94" s="75"/>
      <c r="G94" s="75"/>
      <c r="H94" s="75"/>
      <c r="I94" s="75"/>
      <c r="J94" s="39" t="s">
        <v>171</v>
      </c>
      <c r="K94" s="44">
        <f>(IF(E87&gt;2,(I87/(E87+2)+K93),0))</f>
        <v>0</v>
      </c>
    </row>
    <row r="95" spans="1:13" ht="38.25" customHeight="1" x14ac:dyDescent="0.5">
      <c r="A95" s="75" t="s">
        <v>258</v>
      </c>
      <c r="B95" s="75"/>
      <c r="C95" s="76">
        <v>0</v>
      </c>
      <c r="D95" s="76"/>
      <c r="E95" s="70">
        <f ca="1">((100/(I87))*C95)/100</f>
        <v>0</v>
      </c>
      <c r="F95" s="75"/>
      <c r="G95" s="75"/>
      <c r="H95" s="75"/>
      <c r="I95" s="75"/>
      <c r="J95" s="39" t="s">
        <v>173</v>
      </c>
      <c r="K95" s="45">
        <f>(IF(E87&gt;3,(I87/(E87+2)+K94),0))</f>
        <v>0</v>
      </c>
    </row>
    <row r="96" spans="1:13" ht="21" x14ac:dyDescent="0.5">
      <c r="A96" s="75" t="s">
        <v>172</v>
      </c>
      <c r="B96" s="75"/>
      <c r="C96" s="76">
        <v>0</v>
      </c>
      <c r="D96" s="76"/>
      <c r="E96" s="70">
        <f ca="1">((100/(I87))*C96)/100</f>
        <v>0</v>
      </c>
      <c r="F96" s="75"/>
      <c r="G96" s="75"/>
      <c r="H96" s="75"/>
      <c r="I96" s="75"/>
      <c r="J96" s="39" t="s">
        <v>174</v>
      </c>
      <c r="K96" s="44">
        <f>(IF(E87&gt;4,(I87/(E87+2)+K95),0))</f>
        <v>0</v>
      </c>
    </row>
    <row r="97" spans="1:13" ht="21" customHeight="1" x14ac:dyDescent="0.5">
      <c r="A97" s="75" t="s">
        <v>259</v>
      </c>
      <c r="B97" s="75"/>
      <c r="C97" s="76">
        <v>0</v>
      </c>
      <c r="D97" s="76"/>
      <c r="E97" s="70">
        <f ca="1">((100/I87)*C97)/100</f>
        <v>0</v>
      </c>
      <c r="F97" s="75"/>
      <c r="G97" s="75"/>
      <c r="H97" s="75"/>
      <c r="I97" s="75"/>
      <c r="J97" s="39" t="s">
        <v>156</v>
      </c>
      <c r="K97" s="44">
        <f>(IF(E87=1,(I87/(E87+3)+K92),IF(E87=0,(I87/4+K92),IF(E87&gt;1,0))))</f>
        <v>0</v>
      </c>
    </row>
    <row r="98" spans="1:13" ht="45" customHeight="1" thickBot="1" x14ac:dyDescent="0.55000000000000004">
      <c r="A98" s="75" t="s">
        <v>260</v>
      </c>
      <c r="B98" s="75"/>
      <c r="C98" s="76">
        <v>0</v>
      </c>
      <c r="D98" s="76"/>
      <c r="E98" s="70">
        <f ca="1">((100/I87)*C98)/100</f>
        <v>0</v>
      </c>
      <c r="F98" s="75"/>
      <c r="G98" s="75"/>
      <c r="H98" s="75"/>
      <c r="I98" s="75"/>
      <c r="J98" s="41" t="s">
        <v>157</v>
      </c>
      <c r="K98" s="46">
        <f ca="1">(IF(E87&gt;1.5,(I87/(E87+2)+K91+MAX(0,K92-K91)+MAX(0,K93-K92)+MAX(0,K94-K93)+MAX(0,K95-K94)+MAX(0,K96-K95)),IF(E87=1,(I87/(E87+3)+K97),IF(E87=0,I87/4+K97))))</f>
        <v>55</v>
      </c>
      <c r="M98" s="1" t="e">
        <f>(IF(D86&gt;1.5,(H86/(D86+2)+J91+MAX(0,J92-J91)+MAX(0,J93-J92)+MAX(0,J94-J93)+MAX(0,J95-J94)+MAX(0,J96-J95)),IF(D86=1,(H86/(D86+3)+J96),IF(D86=0,H86*0.3+J96))))</f>
        <v>#VALUE!</v>
      </c>
    </row>
    <row r="99" spans="1:13" ht="20.5" x14ac:dyDescent="0.35">
      <c r="A99" s="75" t="s">
        <v>175</v>
      </c>
      <c r="B99" s="75"/>
      <c r="C99" s="76">
        <v>0</v>
      </c>
      <c r="D99" s="76"/>
      <c r="E99" s="70">
        <f ca="1">((100/(I87))*C99)/100</f>
        <v>0</v>
      </c>
      <c r="F99" s="75"/>
      <c r="G99" s="75"/>
      <c r="H99" s="75"/>
      <c r="I99" s="75"/>
    </row>
    <row r="100" spans="1:13" ht="20.5" x14ac:dyDescent="0.35">
      <c r="A100" s="75" t="s">
        <v>176</v>
      </c>
      <c r="B100" s="75"/>
      <c r="C100" s="76">
        <v>0</v>
      </c>
      <c r="D100" s="76"/>
      <c r="E100" s="70">
        <f ca="1">((100/(I87))*C100)/100</f>
        <v>0</v>
      </c>
      <c r="F100" s="75"/>
      <c r="G100" s="75"/>
      <c r="H100" s="75"/>
      <c r="I100" s="75"/>
    </row>
    <row r="101" spans="1:13" ht="36.75" customHeight="1" x14ac:dyDescent="0.45">
      <c r="A101" s="71" t="s">
        <v>158</v>
      </c>
      <c r="B101" s="72"/>
      <c r="C101" s="72"/>
      <c r="D101" s="72"/>
      <c r="E101" s="72"/>
      <c r="F101" s="72"/>
      <c r="G101" s="72"/>
      <c r="H101" s="73">
        <f ca="1">AVERAGE(F89,F73,F57)</f>
        <v>0.43534151686355077</v>
      </c>
      <c r="I101" s="74"/>
      <c r="J101" s="39"/>
      <c r="K101" s="40"/>
      <c r="L101" s="40"/>
    </row>
    <row r="102" spans="1:13" ht="20.5" x14ac:dyDescent="0.35">
      <c r="A102" s="98" t="s">
        <v>79</v>
      </c>
      <c r="B102" s="99"/>
      <c r="C102" s="99"/>
      <c r="D102" s="99"/>
      <c r="E102" s="99"/>
      <c r="F102" s="99"/>
      <c r="G102" s="99"/>
      <c r="H102" s="99"/>
      <c r="I102" s="100"/>
    </row>
    <row r="103" spans="1:13" ht="41" x14ac:dyDescent="0.35">
      <c r="A103" s="101" t="s">
        <v>80</v>
      </c>
      <c r="B103" s="101"/>
      <c r="C103" s="101"/>
      <c r="D103" s="3" t="s">
        <v>4</v>
      </c>
      <c r="E103" s="15" t="s">
        <v>137</v>
      </c>
      <c r="F103" s="21" t="s">
        <v>177</v>
      </c>
      <c r="G103" s="3" t="s">
        <v>4</v>
      </c>
      <c r="H103" s="135" t="s">
        <v>192</v>
      </c>
      <c r="I103" s="135"/>
    </row>
    <row r="104" spans="1:13" ht="41" x14ac:dyDescent="0.35">
      <c r="A104" s="101" t="s">
        <v>190</v>
      </c>
      <c r="B104" s="101"/>
      <c r="C104" s="101"/>
      <c r="D104" s="2" t="s">
        <v>133</v>
      </c>
      <c r="E104" s="18" t="s">
        <v>240</v>
      </c>
      <c r="F104" s="21" t="s">
        <v>225</v>
      </c>
      <c r="G104" s="2" t="s">
        <v>4</v>
      </c>
      <c r="H104" s="97" t="s">
        <v>178</v>
      </c>
      <c r="I104" s="97"/>
    </row>
    <row r="105" spans="1:13" ht="26.25" customHeight="1" x14ac:dyDescent="0.35">
      <c r="A105" s="105" t="s">
        <v>83</v>
      </c>
      <c r="B105" s="105"/>
      <c r="C105" s="105"/>
      <c r="D105" s="3" t="s">
        <v>4</v>
      </c>
      <c r="E105" s="18" t="s">
        <v>224</v>
      </c>
      <c r="F105" s="3" t="s">
        <v>130</v>
      </c>
      <c r="G105" s="3" t="s">
        <v>4</v>
      </c>
      <c r="H105" s="108" t="s">
        <v>138</v>
      </c>
      <c r="I105" s="109"/>
    </row>
    <row r="106" spans="1:13" ht="20.5" hidden="1" x14ac:dyDescent="0.35">
      <c r="A106" s="101" t="s">
        <v>120</v>
      </c>
      <c r="B106" s="101"/>
      <c r="C106" s="101"/>
      <c r="D106" s="2" t="s">
        <v>4</v>
      </c>
      <c r="E106" s="18" t="s">
        <v>121</v>
      </c>
      <c r="F106" s="21" t="s">
        <v>122</v>
      </c>
      <c r="G106" s="2" t="s">
        <v>4</v>
      </c>
      <c r="H106" s="97" t="s">
        <v>102</v>
      </c>
      <c r="I106" s="97"/>
    </row>
    <row r="107" spans="1:13" ht="61.5" hidden="1" x14ac:dyDescent="0.35">
      <c r="A107" s="101" t="s">
        <v>123</v>
      </c>
      <c r="B107" s="101"/>
      <c r="C107" s="101"/>
      <c r="D107" s="2" t="s">
        <v>4</v>
      </c>
      <c r="E107" s="18" t="s">
        <v>124</v>
      </c>
      <c r="F107" s="21" t="s">
        <v>125</v>
      </c>
      <c r="G107" s="2" t="s">
        <v>4</v>
      </c>
      <c r="H107" s="97" t="s">
        <v>126</v>
      </c>
      <c r="I107" s="97"/>
    </row>
    <row r="108" spans="1:13" ht="20.5" hidden="1" x14ac:dyDescent="0.35">
      <c r="A108" s="101" t="s">
        <v>82</v>
      </c>
      <c r="B108" s="101"/>
      <c r="C108" s="101"/>
      <c r="D108" s="2" t="s">
        <v>4</v>
      </c>
      <c r="E108" s="18" t="s">
        <v>104</v>
      </c>
      <c r="F108" s="21" t="s">
        <v>81</v>
      </c>
      <c r="G108" s="2" t="s">
        <v>4</v>
      </c>
      <c r="H108" s="102" t="s">
        <v>104</v>
      </c>
      <c r="I108" s="103"/>
    </row>
    <row r="109" spans="1:13" ht="20.5" hidden="1" x14ac:dyDescent="0.35">
      <c r="A109" s="101" t="s">
        <v>127</v>
      </c>
      <c r="B109" s="101"/>
      <c r="C109" s="101"/>
      <c r="D109" s="2" t="s">
        <v>4</v>
      </c>
      <c r="E109" s="18" t="s">
        <v>103</v>
      </c>
      <c r="F109" s="21" t="s">
        <v>83</v>
      </c>
      <c r="G109" s="2" t="s">
        <v>4</v>
      </c>
      <c r="H109" s="97" t="s">
        <v>119</v>
      </c>
      <c r="I109" s="97"/>
    </row>
    <row r="110" spans="1:13" ht="20.5" hidden="1" x14ac:dyDescent="0.35">
      <c r="A110" s="101" t="s">
        <v>128</v>
      </c>
      <c r="B110" s="101"/>
      <c r="C110" s="101"/>
      <c r="D110" s="2" t="s">
        <v>4</v>
      </c>
      <c r="E110" s="19" t="s">
        <v>112</v>
      </c>
      <c r="F110" s="21" t="s">
        <v>129</v>
      </c>
      <c r="G110" s="2" t="s">
        <v>4</v>
      </c>
      <c r="H110" s="104" t="s">
        <v>112</v>
      </c>
      <c r="I110" s="104"/>
    </row>
    <row r="111" spans="1:13" ht="18" hidden="1" customHeight="1" x14ac:dyDescent="0.35">
      <c r="A111" s="105" t="s">
        <v>130</v>
      </c>
      <c r="B111" s="105"/>
      <c r="C111" s="105"/>
      <c r="D111" s="3" t="s">
        <v>4</v>
      </c>
      <c r="E111" s="10"/>
      <c r="F111" s="3" t="s">
        <v>130</v>
      </c>
      <c r="G111" s="3" t="s">
        <v>4</v>
      </c>
      <c r="H111" s="106" t="s">
        <v>112</v>
      </c>
      <c r="I111" s="107"/>
    </row>
    <row r="112" spans="1:13" ht="20.5" x14ac:dyDescent="0.35">
      <c r="A112" s="98" t="s">
        <v>78</v>
      </c>
      <c r="B112" s="99"/>
      <c r="C112" s="99"/>
      <c r="D112" s="99"/>
      <c r="E112" s="99"/>
      <c r="F112" s="99"/>
      <c r="G112" s="99"/>
      <c r="H112" s="99"/>
      <c r="I112" s="100"/>
    </row>
    <row r="113" spans="1:151 16227:16384" ht="20.5" x14ac:dyDescent="0.35">
      <c r="A113" s="94" t="s">
        <v>9</v>
      </c>
      <c r="B113" s="95"/>
      <c r="C113" s="95"/>
      <c r="D113" s="95"/>
      <c r="E113" s="95"/>
      <c r="F113" s="96"/>
      <c r="G113" s="2" t="s">
        <v>4</v>
      </c>
      <c r="H113" s="160">
        <f>44900/10.764</f>
        <v>4171.3117800074324</v>
      </c>
      <c r="I113" s="161"/>
    </row>
    <row r="114" spans="1:151 16227:16384" ht="20.5" x14ac:dyDescent="0.35">
      <c r="A114" s="94" t="s">
        <v>33</v>
      </c>
      <c r="B114" s="95"/>
      <c r="C114" s="95"/>
      <c r="D114" s="95"/>
      <c r="E114" s="95"/>
      <c r="F114" s="96"/>
      <c r="G114" s="2" t="s">
        <v>4</v>
      </c>
      <c r="H114" s="139">
        <f>128100/10.764</f>
        <v>11900.780379041249</v>
      </c>
      <c r="I114" s="139"/>
    </row>
    <row r="115" spans="1:151 16227:16384" ht="20.5" x14ac:dyDescent="0.35">
      <c r="A115" s="94" t="s">
        <v>139</v>
      </c>
      <c r="B115" s="95"/>
      <c r="C115" s="95"/>
      <c r="D115" s="95"/>
      <c r="E115" s="95"/>
      <c r="F115" s="96"/>
      <c r="G115" s="2" t="s">
        <v>4</v>
      </c>
      <c r="H115" s="139">
        <f>H113*0.8</f>
        <v>3337.0494240059461</v>
      </c>
      <c r="I115" s="139"/>
    </row>
    <row r="116" spans="1:151 16227:16384" ht="20.5" x14ac:dyDescent="0.35">
      <c r="A116" s="136" t="s">
        <v>87</v>
      </c>
      <c r="B116" s="137"/>
      <c r="C116" s="137"/>
      <c r="D116" s="137"/>
      <c r="E116" s="137"/>
      <c r="F116" s="137"/>
      <c r="G116" s="137"/>
      <c r="H116" s="137"/>
      <c r="I116" s="138"/>
    </row>
    <row r="117" spans="1:151 16227:16384" s="11" customFormat="1" ht="40" x14ac:dyDescent="0.35">
      <c r="A117" s="158" t="s">
        <v>186</v>
      </c>
      <c r="B117" s="159"/>
      <c r="C117" s="158" t="s">
        <v>187</v>
      </c>
      <c r="D117" s="159"/>
      <c r="E117" s="49" t="s">
        <v>188</v>
      </c>
      <c r="F117" s="158" t="s">
        <v>185</v>
      </c>
      <c r="G117" s="159"/>
      <c r="H117" s="158" t="s">
        <v>184</v>
      </c>
      <c r="I117" s="159"/>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40.5" customHeight="1" x14ac:dyDescent="0.35">
      <c r="A118" s="91" t="s">
        <v>246</v>
      </c>
      <c r="B118" s="92"/>
      <c r="C118" s="91" t="s">
        <v>100</v>
      </c>
      <c r="D118" s="92"/>
      <c r="E118" s="59" t="s">
        <v>214</v>
      </c>
      <c r="F118" s="91">
        <f>COUNT(I131:I142)*40+COUNT(I144:I149,I151:I155)*10</f>
        <v>590</v>
      </c>
      <c r="G118" s="92"/>
      <c r="H118" s="91">
        <f>SUM(I131:I142)*40+SUM(I144:I149,I151:I155)*10</f>
        <v>283685.70400000003</v>
      </c>
      <c r="I118" s="9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40.5" customHeight="1" x14ac:dyDescent="0.35">
      <c r="A119" s="91" t="s">
        <v>235</v>
      </c>
      <c r="B119" s="92"/>
      <c r="C119" s="91" t="s">
        <v>100</v>
      </c>
      <c r="D119" s="92"/>
      <c r="E119" s="50" t="s">
        <v>214</v>
      </c>
      <c r="F119" s="91">
        <f>COUNT(I162:I171)*40+COUNT(I173:I178,I180:I182)*10</f>
        <v>490</v>
      </c>
      <c r="G119" s="92"/>
      <c r="H119" s="91">
        <f>SUM(I162:I171)*40+SUM(I173:I178,I180:I182)*10</f>
        <v>296998.59600000002</v>
      </c>
      <c r="I119" s="9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40.5" customHeight="1" x14ac:dyDescent="0.35">
      <c r="A120" s="91" t="s">
        <v>236</v>
      </c>
      <c r="B120" s="92"/>
      <c r="C120" s="91" t="s">
        <v>100</v>
      </c>
      <c r="D120" s="92"/>
      <c r="E120" s="50" t="s">
        <v>214</v>
      </c>
      <c r="F120" s="91">
        <f>COUNT(I189:I194)*40+COUNT(I196:I198,I199:I201)*10</f>
        <v>300</v>
      </c>
      <c r="G120" s="92"/>
      <c r="H120" s="91">
        <f>SUM(I189:I194)*40+SUM(I196:I198,I199:I201)*10</f>
        <v>253538.4718</v>
      </c>
      <c r="I120" s="9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5" x14ac:dyDescent="0.35">
      <c r="A121" s="158" t="s">
        <v>189</v>
      </c>
      <c r="B121" s="159"/>
      <c r="C121" s="158"/>
      <c r="D121" s="159"/>
      <c r="E121" s="49"/>
      <c r="F121" s="158">
        <f>SUM(F118:F120)</f>
        <v>1380</v>
      </c>
      <c r="G121" s="159"/>
      <c r="H121" s="158">
        <f>SUM(H118:H120)</f>
        <v>834222.77179999999</v>
      </c>
      <c r="I121" s="159"/>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ht="20.5" x14ac:dyDescent="0.35">
      <c r="A122" s="148" t="s">
        <v>183</v>
      </c>
      <c r="B122" s="149"/>
      <c r="C122" s="149"/>
      <c r="D122" s="149"/>
      <c r="E122" s="149"/>
      <c r="F122" s="149"/>
      <c r="G122" s="149"/>
      <c r="H122" s="149"/>
      <c r="I122" s="138"/>
    </row>
    <row r="123" spans="1:151 16227:16384" ht="44.25" customHeight="1" x14ac:dyDescent="0.35">
      <c r="A123" s="93" t="s">
        <v>105</v>
      </c>
      <c r="B123" s="93"/>
      <c r="C123" s="93" t="s">
        <v>106</v>
      </c>
      <c r="D123" s="93"/>
      <c r="E123" s="93" t="s">
        <v>226</v>
      </c>
      <c r="F123" s="93" t="s">
        <v>227</v>
      </c>
      <c r="G123" s="93"/>
      <c r="H123" s="93" t="s">
        <v>107</v>
      </c>
      <c r="I123" s="56" t="s">
        <v>228</v>
      </c>
    </row>
    <row r="124" spans="1:151 16227:16384" s="11" customFormat="1" ht="20.5" hidden="1" x14ac:dyDescent="0.35">
      <c r="A124" s="93"/>
      <c r="B124" s="93"/>
      <c r="C124" s="93"/>
      <c r="D124" s="93"/>
      <c r="E124" s="93"/>
      <c r="F124" s="93"/>
      <c r="G124" s="93"/>
      <c r="H124" s="93"/>
      <c r="I124" s="34">
        <v>0.5</v>
      </c>
      <c r="J124" s="1"/>
      <c r="K124" s="1">
        <f>41*6-7</f>
        <v>239</v>
      </c>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5" x14ac:dyDescent="0.35">
      <c r="A125" s="87" t="s">
        <v>246</v>
      </c>
      <c r="B125" s="88"/>
      <c r="C125" s="88"/>
      <c r="D125" s="88"/>
      <c r="E125" s="88"/>
      <c r="F125" s="88"/>
      <c r="G125" s="88"/>
      <c r="H125" s="88"/>
      <c r="I125" s="89"/>
      <c r="J125" s="1"/>
      <c r="K125" s="1">
        <f>35*8-6</f>
        <v>274</v>
      </c>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5" x14ac:dyDescent="0.35">
      <c r="A126" s="87" t="s">
        <v>229</v>
      </c>
      <c r="B126" s="88"/>
      <c r="C126" s="88"/>
      <c r="D126" s="88"/>
      <c r="E126" s="88"/>
      <c r="F126" s="88"/>
      <c r="G126" s="88"/>
      <c r="H126" s="88"/>
      <c r="I126" s="89"/>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39.75" customHeight="1" x14ac:dyDescent="0.35">
      <c r="A127" s="87" t="s">
        <v>249</v>
      </c>
      <c r="B127" s="88"/>
      <c r="C127" s="88"/>
      <c r="D127" s="88"/>
      <c r="E127" s="88"/>
      <c r="F127" s="88"/>
      <c r="G127" s="88"/>
      <c r="H127" s="88"/>
      <c r="I127" s="89"/>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5" x14ac:dyDescent="0.35">
      <c r="A128" s="162" t="s">
        <v>231</v>
      </c>
      <c r="B128" s="163"/>
      <c r="C128" s="163"/>
      <c r="D128" s="163"/>
      <c r="E128" s="163"/>
      <c r="F128" s="163"/>
      <c r="G128" s="163"/>
      <c r="H128" s="163"/>
      <c r="I128" s="164"/>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customHeight="1" x14ac:dyDescent="0.35">
      <c r="A129" s="162" t="s">
        <v>250</v>
      </c>
      <c r="B129" s="163"/>
      <c r="C129" s="163"/>
      <c r="D129" s="163"/>
      <c r="E129" s="163"/>
      <c r="F129" s="163"/>
      <c r="G129" s="163"/>
      <c r="H129" s="163"/>
      <c r="I129" s="164"/>
      <c r="J129" s="165">
        <v>10.76</v>
      </c>
      <c r="K129" s="16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51" customHeight="1" x14ac:dyDescent="0.35">
      <c r="A130" s="87" t="s">
        <v>233</v>
      </c>
      <c r="B130" s="88"/>
      <c r="C130" s="88"/>
      <c r="D130" s="88"/>
      <c r="E130" s="88"/>
      <c r="F130" s="88"/>
      <c r="G130" s="88"/>
      <c r="H130" s="88"/>
      <c r="I130" s="90"/>
      <c r="J130" s="1"/>
      <c r="K130" s="167"/>
      <c r="L130" s="168"/>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35">
      <c r="A131" s="91">
        <v>1</v>
      </c>
      <c r="B131" s="92"/>
      <c r="C131" s="57" t="s">
        <v>211</v>
      </c>
      <c r="D131" s="85">
        <f>(38.3)*10.76</f>
        <v>412.10799999999995</v>
      </c>
      <c r="E131" s="86"/>
      <c r="F131" s="85">
        <f>(3.27)*10.76</f>
        <v>35.185200000000002</v>
      </c>
      <c r="G131" s="86"/>
      <c r="H131" s="59">
        <v>0</v>
      </c>
      <c r="I131" s="59">
        <f>D131+F131+H131</f>
        <v>447.29319999999996</v>
      </c>
      <c r="J131" s="1">
        <f>3.05*5.55+2.75*2.1+2.75*3.05+3.05*4.1+2.15*1.3+2.15*1.3+1.35*2.45+2.9*0.9</f>
        <v>55.102499999999999</v>
      </c>
      <c r="K131" s="1">
        <f>3.05*1.1</f>
        <v>3.355</v>
      </c>
      <c r="L131" s="1"/>
      <c r="M131" s="1">
        <f>(D131+F131)/10.764</f>
        <v>41.554552211073947</v>
      </c>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35">
      <c r="A132" s="91">
        <f>A131+1</f>
        <v>2</v>
      </c>
      <c r="B132" s="92"/>
      <c r="C132" s="57" t="s">
        <v>210</v>
      </c>
      <c r="D132" s="85">
        <f>(45.67)*10.76</f>
        <v>491.4092</v>
      </c>
      <c r="E132" s="86"/>
      <c r="F132" s="85">
        <v>0</v>
      </c>
      <c r="G132" s="86"/>
      <c r="H132" s="59">
        <v>0</v>
      </c>
      <c r="I132" s="59">
        <f>D132+F132+H132</f>
        <v>491.4092</v>
      </c>
      <c r="J132" s="1"/>
      <c r="K132" s="1">
        <f>J131+K131</f>
        <v>58.457499999999996</v>
      </c>
      <c r="L132" s="1">
        <f>K132*10.764</f>
        <v>629.2365299999999</v>
      </c>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35">
      <c r="A133" s="84">
        <f t="shared" ref="A133:A142" si="0">A132+1</f>
        <v>3</v>
      </c>
      <c r="B133" s="84"/>
      <c r="C133" s="57" t="s">
        <v>211</v>
      </c>
      <c r="D133" s="85">
        <f>(41.65)*10.76</f>
        <v>448.154</v>
      </c>
      <c r="E133" s="86"/>
      <c r="F133" s="85">
        <f>(3.83)*10.764</f>
        <v>41.226120000000002</v>
      </c>
      <c r="G133" s="86"/>
      <c r="H133" s="59">
        <v>0</v>
      </c>
      <c r="I133" s="59">
        <f t="shared" ref="I133:I140" si="1">D133+F133+H133</f>
        <v>489.38011999999998</v>
      </c>
      <c r="J133" s="1"/>
      <c r="K133" s="1"/>
      <c r="L133" s="1">
        <f>L132*18500</f>
        <v>11640875.804999998</v>
      </c>
      <c r="M133" s="1">
        <f>I131*18500</f>
        <v>8274924.1999999993</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35">
      <c r="A134" s="84">
        <f t="shared" si="0"/>
        <v>4</v>
      </c>
      <c r="B134" s="84"/>
      <c r="C134" s="57" t="s">
        <v>211</v>
      </c>
      <c r="D134" s="85">
        <f>(41.64)*10.76</f>
        <v>448.04640000000001</v>
      </c>
      <c r="E134" s="86"/>
      <c r="F134" s="85">
        <f>(3.83)*10.764</f>
        <v>41.226120000000002</v>
      </c>
      <c r="G134" s="86"/>
      <c r="H134" s="59">
        <v>0</v>
      </c>
      <c r="I134" s="59">
        <f t="shared" si="1"/>
        <v>489.27251999999999</v>
      </c>
      <c r="J134" s="1">
        <f>3.05*3.9+2.1*2.75+2.75*3.15+3.05*3.35+1.35*2.15+2.2*1.3+2.5*0.7+1.15*1.2+4.1*0.9</f>
        <v>49.1325</v>
      </c>
      <c r="K134" s="1"/>
      <c r="L134" s="1">
        <f>M133-L133</f>
        <v>-3365951.6049999986</v>
      </c>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35">
      <c r="A135" s="84">
        <f t="shared" si="0"/>
        <v>5</v>
      </c>
      <c r="B135" s="84"/>
      <c r="C135" s="57" t="s">
        <v>210</v>
      </c>
      <c r="D135" s="85">
        <f>(49.34)*10.76</f>
        <v>530.89840000000004</v>
      </c>
      <c r="E135" s="86"/>
      <c r="F135" s="85">
        <v>0</v>
      </c>
      <c r="G135" s="86"/>
      <c r="H135" s="59">
        <v>0</v>
      </c>
      <c r="I135" s="59">
        <f t="shared" si="1"/>
        <v>530.89840000000004</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35">
      <c r="A136" s="84">
        <f t="shared" si="0"/>
        <v>6</v>
      </c>
      <c r="B136" s="84"/>
      <c r="C136" s="57" t="s">
        <v>211</v>
      </c>
      <c r="D136" s="85">
        <f>(40.13)*10.76</f>
        <v>431.79880000000003</v>
      </c>
      <c r="E136" s="86"/>
      <c r="F136" s="85">
        <v>0</v>
      </c>
      <c r="G136" s="86"/>
      <c r="H136" s="59">
        <v>0</v>
      </c>
      <c r="I136" s="59">
        <f t="shared" si="1"/>
        <v>431.79880000000003</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5">
      <c r="A137" s="84">
        <f t="shared" si="0"/>
        <v>7</v>
      </c>
      <c r="B137" s="84"/>
      <c r="C137" s="57" t="s">
        <v>211</v>
      </c>
      <c r="D137" s="85">
        <f>(40.13)*10.76</f>
        <v>431.79880000000003</v>
      </c>
      <c r="E137" s="86"/>
      <c r="F137" s="85">
        <v>0</v>
      </c>
      <c r="G137" s="86"/>
      <c r="H137" s="59">
        <v>0</v>
      </c>
      <c r="I137" s="59">
        <f t="shared" si="1"/>
        <v>431.79880000000003</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5">
      <c r="A138" s="84">
        <f t="shared" si="0"/>
        <v>8</v>
      </c>
      <c r="B138" s="84"/>
      <c r="C138" s="57" t="s">
        <v>210</v>
      </c>
      <c r="D138" s="85">
        <f>(49.34)*10.76</f>
        <v>530.89840000000004</v>
      </c>
      <c r="E138" s="86"/>
      <c r="F138" s="85">
        <v>0</v>
      </c>
      <c r="G138" s="86"/>
      <c r="H138" s="59">
        <v>0</v>
      </c>
      <c r="I138" s="59">
        <f t="shared" si="1"/>
        <v>530.89840000000004</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35">
      <c r="A139" s="84">
        <f t="shared" si="0"/>
        <v>9</v>
      </c>
      <c r="B139" s="84"/>
      <c r="C139" s="57" t="s">
        <v>211</v>
      </c>
      <c r="D139" s="85">
        <f>(41.64)*10.76</f>
        <v>448.04640000000001</v>
      </c>
      <c r="E139" s="86"/>
      <c r="F139" s="85">
        <f>(3.83)*10.76</f>
        <v>41.210799999999999</v>
      </c>
      <c r="G139" s="86"/>
      <c r="H139" s="59">
        <v>0</v>
      </c>
      <c r="I139" s="59">
        <f t="shared" si="1"/>
        <v>489.25720000000001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35">
      <c r="A140" s="84">
        <f t="shared" si="0"/>
        <v>10</v>
      </c>
      <c r="B140" s="84"/>
      <c r="C140" s="57" t="s">
        <v>211</v>
      </c>
      <c r="D140" s="85">
        <f>(41.65)*10.76</f>
        <v>448.154</v>
      </c>
      <c r="E140" s="86"/>
      <c r="F140" s="85">
        <f>(3.83)*10.76</f>
        <v>41.210799999999999</v>
      </c>
      <c r="G140" s="86"/>
      <c r="H140" s="59">
        <v>0</v>
      </c>
      <c r="I140" s="59">
        <f t="shared" si="1"/>
        <v>489.3648</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35">
      <c r="A141" s="84">
        <f t="shared" si="0"/>
        <v>11</v>
      </c>
      <c r="B141" s="84"/>
      <c r="C141" s="57" t="s">
        <v>210</v>
      </c>
      <c r="D141" s="85">
        <f>(45.67)*10.76</f>
        <v>491.4092</v>
      </c>
      <c r="E141" s="86"/>
      <c r="F141" s="85">
        <v>0</v>
      </c>
      <c r="G141" s="86"/>
      <c r="H141" s="59">
        <v>0</v>
      </c>
      <c r="I141" s="59">
        <f t="shared" ref="I141:I142" si="2">D141+F141+H141</f>
        <v>491.4092</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5">
      <c r="A142" s="84">
        <f t="shared" si="0"/>
        <v>12</v>
      </c>
      <c r="B142" s="84"/>
      <c r="C142" s="57" t="s">
        <v>211</v>
      </c>
      <c r="D142" s="85">
        <f>(38.3)*10.76</f>
        <v>412.10799999999995</v>
      </c>
      <c r="E142" s="86"/>
      <c r="F142" s="85">
        <f>(3.27)*10.76</f>
        <v>35.185200000000002</v>
      </c>
      <c r="G142" s="86"/>
      <c r="H142" s="59">
        <v>0</v>
      </c>
      <c r="I142" s="59">
        <f t="shared" si="2"/>
        <v>447.29319999999996</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5" x14ac:dyDescent="0.35">
      <c r="A143" s="87" t="s">
        <v>234</v>
      </c>
      <c r="B143" s="88"/>
      <c r="C143" s="88"/>
      <c r="D143" s="88"/>
      <c r="E143" s="88"/>
      <c r="F143" s="88"/>
      <c r="G143" s="88"/>
      <c r="H143" s="88"/>
      <c r="I143" s="90"/>
      <c r="J143" s="1"/>
      <c r="K143" s="167"/>
      <c r="L143" s="168"/>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5">
      <c r="A144" s="91">
        <v>1</v>
      </c>
      <c r="B144" s="92"/>
      <c r="C144" s="57" t="s">
        <v>211</v>
      </c>
      <c r="D144" s="85">
        <f>(38.3)*10.76</f>
        <v>412.10799999999995</v>
      </c>
      <c r="E144" s="86"/>
      <c r="F144" s="85">
        <f>(3.27)*10.76</f>
        <v>35.185200000000002</v>
      </c>
      <c r="G144" s="86"/>
      <c r="H144" s="59">
        <v>0</v>
      </c>
      <c r="I144" s="59">
        <f>D144+F144+H144</f>
        <v>447.29319999999996</v>
      </c>
      <c r="J144" s="1">
        <f>3.05*5.55+2.75*2.1+2.75*3.05+3.05*4.1+2.15*1.3+2.15*1.3+1.35*2.45+2.9*0.9</f>
        <v>55.102499999999999</v>
      </c>
      <c r="K144" s="1">
        <f>3.05*1.1</f>
        <v>3.355</v>
      </c>
      <c r="L144" s="1"/>
      <c r="M144" s="1">
        <f>(D144+F144)/10.764</f>
        <v>41.554552211073947</v>
      </c>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35">
      <c r="A145" s="91">
        <f>A144+1</f>
        <v>2</v>
      </c>
      <c r="B145" s="92"/>
      <c r="C145" s="57" t="s">
        <v>210</v>
      </c>
      <c r="D145" s="85">
        <f>(45.67)*10.76</f>
        <v>491.4092</v>
      </c>
      <c r="E145" s="86"/>
      <c r="F145" s="85">
        <v>0</v>
      </c>
      <c r="G145" s="86"/>
      <c r="H145" s="59">
        <v>0</v>
      </c>
      <c r="I145" s="59">
        <f>D145+F145+H145</f>
        <v>491.4092</v>
      </c>
      <c r="J145" s="1"/>
      <c r="K145" s="1">
        <f>J144+K144</f>
        <v>58.457499999999996</v>
      </c>
      <c r="L145" s="1">
        <f>K145*10.764</f>
        <v>629.2365299999999</v>
      </c>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35">
      <c r="A146" s="84">
        <f t="shared" ref="A146:A155" si="3">A145+1</f>
        <v>3</v>
      </c>
      <c r="B146" s="84"/>
      <c r="C146" s="57" t="s">
        <v>211</v>
      </c>
      <c r="D146" s="85">
        <f>(41.65)*10.76</f>
        <v>448.154</v>
      </c>
      <c r="E146" s="86"/>
      <c r="F146" s="85">
        <f>(3.83)*10.764</f>
        <v>41.226120000000002</v>
      </c>
      <c r="G146" s="86"/>
      <c r="H146" s="59">
        <v>0</v>
      </c>
      <c r="I146" s="59">
        <f t="shared" ref="I146:I155" si="4">D146+F146+H146</f>
        <v>489.38011999999998</v>
      </c>
      <c r="J146" s="1"/>
      <c r="K146" s="1"/>
      <c r="L146" s="1">
        <f>L145*18500</f>
        <v>11640875.804999998</v>
      </c>
      <c r="M146" s="1">
        <f>I144*18500</f>
        <v>8274924.1999999993</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5">
      <c r="A147" s="84">
        <f t="shared" si="3"/>
        <v>4</v>
      </c>
      <c r="B147" s="84"/>
      <c r="C147" s="57" t="s">
        <v>211</v>
      </c>
      <c r="D147" s="85">
        <f>(41.64)*10.76</f>
        <v>448.04640000000001</v>
      </c>
      <c r="E147" s="86"/>
      <c r="F147" s="85">
        <f>(3.83)*10.764</f>
        <v>41.226120000000002</v>
      </c>
      <c r="G147" s="86"/>
      <c r="H147" s="59">
        <v>0</v>
      </c>
      <c r="I147" s="59">
        <f t="shared" si="4"/>
        <v>489.27251999999999</v>
      </c>
      <c r="J147" s="1">
        <f>3.05*3.9+2.1*2.75+2.75*3.15+3.05*3.35+1.35*2.15+2.2*1.3+2.5*0.7+1.15*1.2+4.1*0.9</f>
        <v>49.1325</v>
      </c>
      <c r="K147" s="1"/>
      <c r="L147" s="1">
        <f>M146-L146</f>
        <v>-3365951.6049999986</v>
      </c>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5">
      <c r="A148" s="84">
        <f t="shared" si="3"/>
        <v>5</v>
      </c>
      <c r="B148" s="84"/>
      <c r="C148" s="57" t="s">
        <v>210</v>
      </c>
      <c r="D148" s="85">
        <f>(49.34)*10.76</f>
        <v>530.89840000000004</v>
      </c>
      <c r="E148" s="86"/>
      <c r="F148" s="85">
        <v>0</v>
      </c>
      <c r="G148" s="86"/>
      <c r="H148" s="59">
        <v>0</v>
      </c>
      <c r="I148" s="59">
        <f t="shared" si="4"/>
        <v>530.89840000000004</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5">
      <c r="A149" s="84">
        <f t="shared" si="3"/>
        <v>6</v>
      </c>
      <c r="B149" s="84"/>
      <c r="C149" s="57" t="s">
        <v>211</v>
      </c>
      <c r="D149" s="85">
        <f>(40.13)*10.76</f>
        <v>431.79880000000003</v>
      </c>
      <c r="E149" s="86"/>
      <c r="F149" s="85">
        <v>0</v>
      </c>
      <c r="G149" s="86"/>
      <c r="H149" s="59">
        <v>0</v>
      </c>
      <c r="I149" s="59">
        <f t="shared" si="4"/>
        <v>431.79880000000003</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5">
      <c r="A150" s="84">
        <f t="shared" si="3"/>
        <v>7</v>
      </c>
      <c r="B150" s="84"/>
      <c r="C150" s="85" t="s">
        <v>212</v>
      </c>
      <c r="D150" s="169"/>
      <c r="E150" s="169"/>
      <c r="F150" s="169"/>
      <c r="G150" s="169"/>
      <c r="H150" s="169"/>
      <c r="I150" s="86"/>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5">
      <c r="A151" s="84">
        <v>8</v>
      </c>
      <c r="B151" s="84"/>
      <c r="C151" s="57" t="s">
        <v>210</v>
      </c>
      <c r="D151" s="85">
        <f>(49.34)*10.76</f>
        <v>530.89840000000004</v>
      </c>
      <c r="E151" s="86"/>
      <c r="F151" s="85">
        <v>0</v>
      </c>
      <c r="G151" s="86"/>
      <c r="H151" s="59">
        <v>0</v>
      </c>
      <c r="I151" s="59">
        <f t="shared" si="4"/>
        <v>530.89840000000004</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35">
      <c r="A152" s="84">
        <f t="shared" si="3"/>
        <v>9</v>
      </c>
      <c r="B152" s="84"/>
      <c r="C152" s="57" t="s">
        <v>211</v>
      </c>
      <c r="D152" s="85">
        <f>(41.64)*10.76</f>
        <v>448.04640000000001</v>
      </c>
      <c r="E152" s="86"/>
      <c r="F152" s="85">
        <f>(3.83)*10.76</f>
        <v>41.210799999999999</v>
      </c>
      <c r="G152" s="86"/>
      <c r="H152" s="59">
        <v>0</v>
      </c>
      <c r="I152" s="59">
        <f t="shared" si="4"/>
        <v>489.25720000000001</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5">
      <c r="A153" s="84">
        <f t="shared" si="3"/>
        <v>10</v>
      </c>
      <c r="B153" s="84"/>
      <c r="C153" s="57" t="s">
        <v>211</v>
      </c>
      <c r="D153" s="85">
        <f>(41.65)*10.76</f>
        <v>448.154</v>
      </c>
      <c r="E153" s="86"/>
      <c r="F153" s="85">
        <f>(3.83)*10.76</f>
        <v>41.210799999999999</v>
      </c>
      <c r="G153" s="86"/>
      <c r="H153" s="59">
        <v>0</v>
      </c>
      <c r="I153" s="59">
        <f t="shared" si="4"/>
        <v>489.3648</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5">
      <c r="A154" s="84">
        <f t="shared" si="3"/>
        <v>11</v>
      </c>
      <c r="B154" s="84"/>
      <c r="C154" s="57" t="s">
        <v>210</v>
      </c>
      <c r="D154" s="85">
        <f>(45.67)*10.76</f>
        <v>491.4092</v>
      </c>
      <c r="E154" s="86"/>
      <c r="F154" s="85">
        <v>0</v>
      </c>
      <c r="G154" s="86"/>
      <c r="H154" s="59">
        <v>0</v>
      </c>
      <c r="I154" s="59">
        <f t="shared" si="4"/>
        <v>491.4092</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5">
      <c r="A155" s="84">
        <f t="shared" si="3"/>
        <v>12</v>
      </c>
      <c r="B155" s="84"/>
      <c r="C155" s="57" t="s">
        <v>211</v>
      </c>
      <c r="D155" s="85">
        <f>(38.3)*10.76</f>
        <v>412.10799999999995</v>
      </c>
      <c r="E155" s="86"/>
      <c r="F155" s="85">
        <f>(3.27)*10.76</f>
        <v>35.185200000000002</v>
      </c>
      <c r="G155" s="86"/>
      <c r="H155" s="59">
        <v>0</v>
      </c>
      <c r="I155" s="59">
        <f t="shared" si="4"/>
        <v>447.29319999999996</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5" x14ac:dyDescent="0.35">
      <c r="A156" s="87" t="s">
        <v>235</v>
      </c>
      <c r="B156" s="88"/>
      <c r="C156" s="88"/>
      <c r="D156" s="88"/>
      <c r="E156" s="88"/>
      <c r="F156" s="88"/>
      <c r="G156" s="88"/>
      <c r="H156" s="88"/>
      <c r="I156" s="89"/>
      <c r="J156" s="1"/>
      <c r="K156" s="1">
        <f>35*8-6</f>
        <v>274</v>
      </c>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5" x14ac:dyDescent="0.35">
      <c r="A157" s="87" t="s">
        <v>229</v>
      </c>
      <c r="B157" s="88"/>
      <c r="C157" s="88"/>
      <c r="D157" s="88"/>
      <c r="E157" s="88"/>
      <c r="F157" s="88"/>
      <c r="G157" s="88"/>
      <c r="H157" s="88"/>
      <c r="I157" s="89"/>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5" x14ac:dyDescent="0.35">
      <c r="A158" s="87" t="s">
        <v>230</v>
      </c>
      <c r="B158" s="88"/>
      <c r="C158" s="88"/>
      <c r="D158" s="88"/>
      <c r="E158" s="88"/>
      <c r="F158" s="88"/>
      <c r="G158" s="88"/>
      <c r="H158" s="88"/>
      <c r="I158" s="89"/>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5" x14ac:dyDescent="0.35">
      <c r="A159" s="162" t="s">
        <v>231</v>
      </c>
      <c r="B159" s="163"/>
      <c r="C159" s="163"/>
      <c r="D159" s="163"/>
      <c r="E159" s="163"/>
      <c r="F159" s="163"/>
      <c r="G159" s="163"/>
      <c r="H159" s="163"/>
      <c r="I159" s="164"/>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5">
      <c r="A160" s="162" t="s">
        <v>250</v>
      </c>
      <c r="B160" s="163"/>
      <c r="C160" s="163"/>
      <c r="D160" s="163"/>
      <c r="E160" s="163"/>
      <c r="F160" s="163"/>
      <c r="G160" s="163"/>
      <c r="H160" s="163"/>
      <c r="I160" s="164"/>
      <c r="J160" s="165">
        <v>10.76</v>
      </c>
      <c r="K160" s="16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51" customHeight="1" x14ac:dyDescent="0.35">
      <c r="A161" s="87" t="s">
        <v>233</v>
      </c>
      <c r="B161" s="88"/>
      <c r="C161" s="88"/>
      <c r="D161" s="88"/>
      <c r="E161" s="88"/>
      <c r="F161" s="88"/>
      <c r="G161" s="88"/>
      <c r="H161" s="88"/>
      <c r="I161" s="90"/>
      <c r="J161" s="1"/>
      <c r="K161" s="167"/>
      <c r="L161" s="16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5">
      <c r="A162" s="91">
        <v>1</v>
      </c>
      <c r="B162" s="92"/>
      <c r="C162" s="57" t="s">
        <v>210</v>
      </c>
      <c r="D162" s="85">
        <f>(58.7)*10.76</f>
        <v>631.61199999999997</v>
      </c>
      <c r="E162" s="86"/>
      <c r="F162" s="85">
        <f>(2.75)*10.76</f>
        <v>29.59</v>
      </c>
      <c r="G162" s="86"/>
      <c r="H162" s="55">
        <v>0</v>
      </c>
      <c r="I162" s="55">
        <f>D162+F162+H162</f>
        <v>661.202</v>
      </c>
      <c r="J162" s="1">
        <f>3.05*5.55+2.75*2.1+2.75*3.05+3.05*4.1+2.15*1.3+2.15*1.3+1.35*2.45+2.9*0.9</f>
        <v>55.102499999999999</v>
      </c>
      <c r="K162" s="1">
        <f>3.05*1.1</f>
        <v>3.355</v>
      </c>
      <c r="L162" s="1"/>
      <c r="M162" s="1">
        <f>(D162+F162)/10.764</f>
        <v>61.427164622816804</v>
      </c>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5">
      <c r="A163" s="91">
        <f>A162+1</f>
        <v>2</v>
      </c>
      <c r="B163" s="92"/>
      <c r="C163" s="57" t="s">
        <v>210</v>
      </c>
      <c r="D163" s="85">
        <f>(58.7)*10.76</f>
        <v>631.61199999999997</v>
      </c>
      <c r="E163" s="86"/>
      <c r="F163" s="85">
        <f>(2.75)*10.76</f>
        <v>29.59</v>
      </c>
      <c r="G163" s="86"/>
      <c r="H163" s="55">
        <v>0</v>
      </c>
      <c r="I163" s="55">
        <f>D163+F163+H163</f>
        <v>661.202</v>
      </c>
      <c r="J163" s="1"/>
      <c r="K163" s="1">
        <f>J162+K162</f>
        <v>58.457499999999996</v>
      </c>
      <c r="L163" s="1">
        <f>K163*10.764</f>
        <v>629.2365299999999</v>
      </c>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5">
      <c r="A164" s="84">
        <f t="shared" ref="A164:A171" si="5">A163+1</f>
        <v>3</v>
      </c>
      <c r="B164" s="84"/>
      <c r="C164" s="57" t="s">
        <v>210</v>
      </c>
      <c r="D164" s="85">
        <f>(56.8)*10.76</f>
        <v>611.16800000000001</v>
      </c>
      <c r="E164" s="86"/>
      <c r="F164" s="85">
        <v>0</v>
      </c>
      <c r="G164" s="86"/>
      <c r="H164" s="50">
        <v>0</v>
      </c>
      <c r="I164" s="55">
        <f t="shared" ref="I164:I169" si="6">D164+F164+H164</f>
        <v>611.16800000000001</v>
      </c>
      <c r="J164" s="1"/>
      <c r="K164" s="1"/>
      <c r="L164" s="1">
        <f>L163*18500</f>
        <v>11640875.804999998</v>
      </c>
      <c r="M164" s="1">
        <f>I162*18500</f>
        <v>12232237</v>
      </c>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5">
      <c r="A165" s="84">
        <f t="shared" si="5"/>
        <v>4</v>
      </c>
      <c r="B165" s="84"/>
      <c r="C165" s="57" t="s">
        <v>210</v>
      </c>
      <c r="D165" s="85">
        <f>(52.5)*10.76</f>
        <v>564.9</v>
      </c>
      <c r="E165" s="86"/>
      <c r="F165" s="85">
        <v>0</v>
      </c>
      <c r="G165" s="86"/>
      <c r="H165" s="50">
        <v>0</v>
      </c>
      <c r="I165" s="55">
        <f t="shared" si="6"/>
        <v>564.9</v>
      </c>
      <c r="J165" s="1">
        <f>3.05*3.9+2.1*2.75+2.75*3.15+3.05*3.35+1.35*2.15+2.2*1.3+2.5*0.7+1.15*1.2+4.1*0.9</f>
        <v>49.1325</v>
      </c>
      <c r="K165" s="1"/>
      <c r="L165" s="1">
        <f>M164-L164</f>
        <v>591361.19500000216</v>
      </c>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35">
      <c r="A166" s="84">
        <f t="shared" si="5"/>
        <v>5</v>
      </c>
      <c r="B166" s="84"/>
      <c r="C166" s="57" t="s">
        <v>210</v>
      </c>
      <c r="D166" s="85">
        <f>(52.5)*10.76</f>
        <v>564.9</v>
      </c>
      <c r="E166" s="86"/>
      <c r="F166" s="85">
        <v>0</v>
      </c>
      <c r="G166" s="86"/>
      <c r="H166" s="50">
        <v>0</v>
      </c>
      <c r="I166" s="55">
        <f t="shared" si="6"/>
        <v>564.9</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5">
      <c r="A167" s="84">
        <f t="shared" si="5"/>
        <v>6</v>
      </c>
      <c r="B167" s="84"/>
      <c r="C167" s="57" t="s">
        <v>210</v>
      </c>
      <c r="D167" s="85">
        <f>(52.49)*10.76</f>
        <v>564.79240000000004</v>
      </c>
      <c r="E167" s="86"/>
      <c r="F167" s="85">
        <v>0</v>
      </c>
      <c r="G167" s="86"/>
      <c r="H167" s="50">
        <v>0</v>
      </c>
      <c r="I167" s="55">
        <f t="shared" si="6"/>
        <v>564.79240000000004</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5">
      <c r="A168" s="84">
        <f t="shared" si="5"/>
        <v>7</v>
      </c>
      <c r="B168" s="84"/>
      <c r="C168" s="57" t="s">
        <v>210</v>
      </c>
      <c r="D168" s="85">
        <f>(52.49)*10.76</f>
        <v>564.79240000000004</v>
      </c>
      <c r="E168" s="86"/>
      <c r="F168" s="85">
        <v>0</v>
      </c>
      <c r="G168" s="86"/>
      <c r="H168" s="50">
        <v>0</v>
      </c>
      <c r="I168" s="55">
        <f t="shared" si="6"/>
        <v>564.79240000000004</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5">
      <c r="A169" s="84">
        <f t="shared" si="5"/>
        <v>8</v>
      </c>
      <c r="B169" s="84"/>
      <c r="C169" s="57" t="s">
        <v>210</v>
      </c>
      <c r="D169" s="85">
        <f>(56.8)*10.76</f>
        <v>611.16800000000001</v>
      </c>
      <c r="E169" s="86"/>
      <c r="F169" s="85">
        <v>0</v>
      </c>
      <c r="G169" s="86"/>
      <c r="H169" s="50">
        <v>0</v>
      </c>
      <c r="I169" s="55">
        <f t="shared" si="6"/>
        <v>611.16800000000001</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5">
      <c r="A170" s="84">
        <f t="shared" si="5"/>
        <v>9</v>
      </c>
      <c r="B170" s="84"/>
      <c r="C170" s="57" t="s">
        <v>210</v>
      </c>
      <c r="D170" s="85">
        <f>(55.28)*10.76</f>
        <v>594.81280000000004</v>
      </c>
      <c r="E170" s="86"/>
      <c r="F170" s="85">
        <f>(2.75)*10.76</f>
        <v>29.59</v>
      </c>
      <c r="G170" s="86"/>
      <c r="H170" s="55">
        <v>0</v>
      </c>
      <c r="I170" s="55">
        <f t="shared" ref="I170:I171" si="7">D170+F170+H170</f>
        <v>624.40280000000007</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5">
      <c r="A171" s="84">
        <f t="shared" si="5"/>
        <v>10</v>
      </c>
      <c r="B171" s="84"/>
      <c r="C171" s="57" t="s">
        <v>210</v>
      </c>
      <c r="D171" s="85">
        <f>(55.28)*10.76</f>
        <v>594.81280000000004</v>
      </c>
      <c r="E171" s="86"/>
      <c r="F171" s="85">
        <f>(2.75)*10.76</f>
        <v>29.59</v>
      </c>
      <c r="G171" s="86"/>
      <c r="H171" s="55">
        <v>0</v>
      </c>
      <c r="I171" s="55">
        <f t="shared" si="7"/>
        <v>624.40280000000007</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5" x14ac:dyDescent="0.35">
      <c r="A172" s="87" t="s">
        <v>234</v>
      </c>
      <c r="B172" s="88"/>
      <c r="C172" s="88"/>
      <c r="D172" s="88"/>
      <c r="E172" s="88"/>
      <c r="F172" s="88"/>
      <c r="G172" s="88"/>
      <c r="H172" s="88"/>
      <c r="I172" s="90"/>
      <c r="J172" s="1"/>
      <c r="K172" s="167"/>
      <c r="L172" s="168"/>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5">
      <c r="A173" s="91">
        <v>1</v>
      </c>
      <c r="B173" s="92"/>
      <c r="C173" s="57" t="s">
        <v>210</v>
      </c>
      <c r="D173" s="85">
        <f>(58.7)*10.76</f>
        <v>631.61199999999997</v>
      </c>
      <c r="E173" s="86"/>
      <c r="F173" s="85">
        <f>(2.75)*10.76</f>
        <v>29.59</v>
      </c>
      <c r="G173" s="86"/>
      <c r="H173" s="55">
        <v>0</v>
      </c>
      <c r="I173" s="55">
        <f>D173+F173+H173</f>
        <v>661.202</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5">
      <c r="A174" s="91">
        <f>A173+1</f>
        <v>2</v>
      </c>
      <c r="B174" s="92"/>
      <c r="C174" s="57" t="s">
        <v>210</v>
      </c>
      <c r="D174" s="85">
        <f>(58.7)*10.76</f>
        <v>631.61199999999997</v>
      </c>
      <c r="E174" s="86"/>
      <c r="F174" s="85">
        <f>(2.75)*10.76</f>
        <v>29.59</v>
      </c>
      <c r="G174" s="86"/>
      <c r="H174" s="55">
        <v>0</v>
      </c>
      <c r="I174" s="55">
        <f>D174+F174+H174</f>
        <v>661.202</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5">
      <c r="A175" s="84">
        <f t="shared" ref="A175:A182" si="8">A174+1</f>
        <v>3</v>
      </c>
      <c r="B175" s="84"/>
      <c r="C175" s="57" t="s">
        <v>210</v>
      </c>
      <c r="D175" s="85">
        <f>(56.8)*10.76</f>
        <v>611.16800000000001</v>
      </c>
      <c r="E175" s="86"/>
      <c r="F175" s="85">
        <v>0</v>
      </c>
      <c r="G175" s="86"/>
      <c r="H175" s="55">
        <v>0</v>
      </c>
      <c r="I175" s="55">
        <f t="shared" ref="I175:I182" si="9">D175+F175+H175</f>
        <v>611.16800000000001</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5">
      <c r="A176" s="84">
        <f t="shared" si="8"/>
        <v>4</v>
      </c>
      <c r="B176" s="84"/>
      <c r="C176" s="57" t="s">
        <v>210</v>
      </c>
      <c r="D176" s="85">
        <f>(52.5)*10.76</f>
        <v>564.9</v>
      </c>
      <c r="E176" s="86"/>
      <c r="F176" s="85">
        <v>0</v>
      </c>
      <c r="G176" s="86"/>
      <c r="H176" s="55">
        <v>0</v>
      </c>
      <c r="I176" s="55">
        <f t="shared" si="9"/>
        <v>564.9</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5">
      <c r="A177" s="84">
        <f t="shared" si="8"/>
        <v>5</v>
      </c>
      <c r="B177" s="84"/>
      <c r="C177" s="57" t="s">
        <v>210</v>
      </c>
      <c r="D177" s="85">
        <f>(52.5)*10.76</f>
        <v>564.9</v>
      </c>
      <c r="E177" s="86"/>
      <c r="F177" s="85">
        <v>0</v>
      </c>
      <c r="G177" s="86"/>
      <c r="H177" s="55">
        <v>0</v>
      </c>
      <c r="I177" s="55">
        <f t="shared" si="9"/>
        <v>564.9</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5">
      <c r="A178" s="84">
        <f t="shared" si="8"/>
        <v>6</v>
      </c>
      <c r="B178" s="84"/>
      <c r="C178" s="57" t="s">
        <v>210</v>
      </c>
      <c r="D178" s="85">
        <f>(52.49)*10.76</f>
        <v>564.79240000000004</v>
      </c>
      <c r="E178" s="86"/>
      <c r="F178" s="85">
        <v>0</v>
      </c>
      <c r="G178" s="86"/>
      <c r="H178" s="55">
        <v>0</v>
      </c>
      <c r="I178" s="55">
        <f t="shared" si="9"/>
        <v>564.79240000000004</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5">
      <c r="A179" s="84">
        <f t="shared" si="8"/>
        <v>7</v>
      </c>
      <c r="B179" s="84"/>
      <c r="C179" s="85" t="s">
        <v>212</v>
      </c>
      <c r="D179" s="169"/>
      <c r="E179" s="169"/>
      <c r="F179" s="169"/>
      <c r="G179" s="169"/>
      <c r="H179" s="169"/>
      <c r="I179" s="86"/>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5">
      <c r="A180" s="84">
        <f t="shared" si="8"/>
        <v>8</v>
      </c>
      <c r="B180" s="84"/>
      <c r="C180" s="57" t="s">
        <v>210</v>
      </c>
      <c r="D180" s="85">
        <f>(56.8)*10.76</f>
        <v>611.16800000000001</v>
      </c>
      <c r="E180" s="86"/>
      <c r="F180" s="85">
        <v>0</v>
      </c>
      <c r="G180" s="86"/>
      <c r="H180" s="55">
        <v>0</v>
      </c>
      <c r="I180" s="55">
        <f t="shared" si="9"/>
        <v>611.16800000000001</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5">
      <c r="A181" s="84">
        <f t="shared" si="8"/>
        <v>9</v>
      </c>
      <c r="B181" s="84"/>
      <c r="C181" s="57" t="s">
        <v>210</v>
      </c>
      <c r="D181" s="85">
        <f>(55.28)*10.76</f>
        <v>594.81280000000004</v>
      </c>
      <c r="E181" s="86"/>
      <c r="F181" s="85">
        <f>(2.75)*10.76</f>
        <v>29.59</v>
      </c>
      <c r="G181" s="86"/>
      <c r="H181" s="55">
        <v>0</v>
      </c>
      <c r="I181" s="55">
        <f t="shared" si="9"/>
        <v>624.40280000000007</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5">
      <c r="A182" s="84">
        <f t="shared" si="8"/>
        <v>10</v>
      </c>
      <c r="B182" s="84"/>
      <c r="C182" s="57" t="s">
        <v>210</v>
      </c>
      <c r="D182" s="85">
        <f>(55.28)*10.76</f>
        <v>594.81280000000004</v>
      </c>
      <c r="E182" s="86"/>
      <c r="F182" s="85">
        <f>(2.75)*10.76</f>
        <v>29.59</v>
      </c>
      <c r="G182" s="86"/>
      <c r="H182" s="55">
        <v>0</v>
      </c>
      <c r="I182" s="55">
        <f t="shared" si="9"/>
        <v>624.40280000000007</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5" x14ac:dyDescent="0.35">
      <c r="A183" s="87" t="s">
        <v>236</v>
      </c>
      <c r="B183" s="88"/>
      <c r="C183" s="88"/>
      <c r="D183" s="88"/>
      <c r="E183" s="88"/>
      <c r="F183" s="88"/>
      <c r="G183" s="88"/>
      <c r="H183" s="88"/>
      <c r="I183" s="89"/>
      <c r="J183" s="1"/>
      <c r="K183" s="1">
        <f>35*8-6</f>
        <v>274</v>
      </c>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5" x14ac:dyDescent="0.35">
      <c r="A184" s="87" t="s">
        <v>243</v>
      </c>
      <c r="B184" s="88"/>
      <c r="C184" s="88"/>
      <c r="D184" s="88"/>
      <c r="E184" s="88"/>
      <c r="F184" s="88"/>
      <c r="G184" s="88"/>
      <c r="H184" s="88"/>
      <c r="I184" s="8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5" x14ac:dyDescent="0.35">
      <c r="A185" s="87" t="s">
        <v>237</v>
      </c>
      <c r="B185" s="88"/>
      <c r="C185" s="88"/>
      <c r="D185" s="88"/>
      <c r="E185" s="88"/>
      <c r="F185" s="88"/>
      <c r="G185" s="88"/>
      <c r="H185" s="88"/>
      <c r="I185" s="8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5" x14ac:dyDescent="0.35">
      <c r="A186" s="162" t="s">
        <v>231</v>
      </c>
      <c r="B186" s="163"/>
      <c r="C186" s="163"/>
      <c r="D186" s="163"/>
      <c r="E186" s="163"/>
      <c r="F186" s="163"/>
      <c r="G186" s="163"/>
      <c r="H186" s="163"/>
      <c r="I186" s="164"/>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5">
      <c r="A187" s="162" t="s">
        <v>232</v>
      </c>
      <c r="B187" s="163"/>
      <c r="C187" s="163"/>
      <c r="D187" s="163"/>
      <c r="E187" s="163"/>
      <c r="F187" s="163"/>
      <c r="G187" s="163"/>
      <c r="H187" s="163"/>
      <c r="I187" s="164"/>
      <c r="J187" s="85">
        <v>10.76</v>
      </c>
      <c r="K187" s="8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51" customHeight="1" x14ac:dyDescent="0.35">
      <c r="A188" s="87" t="s">
        <v>233</v>
      </c>
      <c r="B188" s="88"/>
      <c r="C188" s="88"/>
      <c r="D188" s="88"/>
      <c r="E188" s="88"/>
      <c r="F188" s="88"/>
      <c r="G188" s="88"/>
      <c r="H188" s="88"/>
      <c r="I188" s="90"/>
      <c r="J188" s="1"/>
      <c r="K188" s="167"/>
      <c r="L188" s="168"/>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5">
      <c r="A189" s="91">
        <v>1</v>
      </c>
      <c r="B189" s="92"/>
      <c r="C189" s="57" t="s">
        <v>213</v>
      </c>
      <c r="D189" s="85">
        <f>(83.96)*10.76</f>
        <v>903.40959999999995</v>
      </c>
      <c r="E189" s="86"/>
      <c r="F189" s="85">
        <f>(5.65)*10.76</f>
        <v>60.794000000000004</v>
      </c>
      <c r="G189" s="86"/>
      <c r="H189" s="55">
        <v>0</v>
      </c>
      <c r="I189" s="55">
        <f>D189+F189+H189</f>
        <v>964.20359999999994</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35">
      <c r="A190" s="91">
        <f>A189+1</f>
        <v>2</v>
      </c>
      <c r="B190" s="92"/>
      <c r="C190" s="57" t="s">
        <v>210</v>
      </c>
      <c r="D190" s="85">
        <f>(58.73)*10.76</f>
        <v>631.9348</v>
      </c>
      <c r="E190" s="86"/>
      <c r="F190" s="85">
        <f>(2.45)*10.76</f>
        <v>26.362000000000002</v>
      </c>
      <c r="G190" s="86"/>
      <c r="H190" s="55">
        <v>0</v>
      </c>
      <c r="I190" s="55">
        <f>D190+F190+H190</f>
        <v>658.29679999999996</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5">
      <c r="A191" s="84">
        <f t="shared" ref="A191:A194" si="10">A190+1</f>
        <v>3</v>
      </c>
      <c r="B191" s="84"/>
      <c r="C191" s="57" t="s">
        <v>213</v>
      </c>
      <c r="D191" s="85">
        <f>(84.22)*10.76</f>
        <v>906.20719999999994</v>
      </c>
      <c r="E191" s="86"/>
      <c r="F191" s="85">
        <f>(4.55)*10.76</f>
        <v>48.957999999999998</v>
      </c>
      <c r="G191" s="86"/>
      <c r="H191" s="55">
        <v>0</v>
      </c>
      <c r="I191" s="55">
        <f t="shared" ref="I191:I194" si="11">D191+F191+H191</f>
        <v>955.16519999999991</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35">
      <c r="A192" s="84">
        <f t="shared" si="10"/>
        <v>4</v>
      </c>
      <c r="B192" s="84"/>
      <c r="C192" s="57" t="s">
        <v>213</v>
      </c>
      <c r="D192" s="85">
        <f>(84.22)*10.76</f>
        <v>906.20719999999994</v>
      </c>
      <c r="E192" s="86"/>
      <c r="F192" s="85">
        <f>(4.55)*10.76</f>
        <v>48.957999999999998</v>
      </c>
      <c r="G192" s="86"/>
      <c r="H192" s="55">
        <v>0</v>
      </c>
      <c r="I192" s="55">
        <f t="shared" si="11"/>
        <v>955.16519999999991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35">
      <c r="A193" s="84">
        <f t="shared" si="10"/>
        <v>5</v>
      </c>
      <c r="B193" s="84"/>
      <c r="C193" s="57" t="s">
        <v>210</v>
      </c>
      <c r="D193" s="85">
        <f>(58.73)*10.76</f>
        <v>631.9348</v>
      </c>
      <c r="E193" s="86"/>
      <c r="F193" s="85">
        <f>(2.45)*10.76</f>
        <v>26.362000000000002</v>
      </c>
      <c r="G193" s="86"/>
      <c r="H193" s="55">
        <v>0</v>
      </c>
      <c r="I193" s="55">
        <f t="shared" si="11"/>
        <v>658.29679999999996</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5">
      <c r="A194" s="84">
        <f t="shared" si="10"/>
        <v>6</v>
      </c>
      <c r="B194" s="84"/>
      <c r="C194" s="57" t="s">
        <v>213</v>
      </c>
      <c r="D194" s="85">
        <f>(83.96)*10.76</f>
        <v>903.40959999999995</v>
      </c>
      <c r="E194" s="86"/>
      <c r="F194" s="85">
        <f>(5.65)*10.76</f>
        <v>60.794000000000004</v>
      </c>
      <c r="G194" s="86"/>
      <c r="H194" s="55">
        <v>0</v>
      </c>
      <c r="I194" s="55">
        <f t="shared" si="11"/>
        <v>964.20359999999994</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5" x14ac:dyDescent="0.35">
      <c r="A195" s="87" t="s">
        <v>234</v>
      </c>
      <c r="B195" s="88"/>
      <c r="C195" s="88"/>
      <c r="D195" s="88"/>
      <c r="E195" s="88"/>
      <c r="F195" s="88"/>
      <c r="G195" s="88"/>
      <c r="H195" s="88"/>
      <c r="I195" s="90"/>
      <c r="J195" s="1"/>
      <c r="K195" s="167"/>
      <c r="L195" s="168"/>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5">
      <c r="A196" s="91">
        <v>1</v>
      </c>
      <c r="B196" s="92"/>
      <c r="C196" s="57" t="s">
        <v>213</v>
      </c>
      <c r="D196" s="85">
        <f>(83.96)*10.76</f>
        <v>903.40959999999995</v>
      </c>
      <c r="E196" s="86"/>
      <c r="F196" s="85">
        <f>(5.65)*10.76</f>
        <v>60.794000000000004</v>
      </c>
      <c r="G196" s="86"/>
      <c r="H196" s="55">
        <v>0</v>
      </c>
      <c r="I196" s="55">
        <f>D196+F196+H196</f>
        <v>964.20359999999994</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5">
      <c r="A197" s="91">
        <f>A196+1</f>
        <v>2</v>
      </c>
      <c r="B197" s="92"/>
      <c r="C197" s="57" t="s">
        <v>210</v>
      </c>
      <c r="D197" s="85">
        <f>(58.73)*10.76</f>
        <v>631.9348</v>
      </c>
      <c r="E197" s="86"/>
      <c r="F197" s="85">
        <f>(2.45)*10.76</f>
        <v>26.362000000000002</v>
      </c>
      <c r="G197" s="86"/>
      <c r="H197" s="55">
        <v>0</v>
      </c>
      <c r="I197" s="55">
        <f>D197+F197+H197</f>
        <v>658.29679999999996</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5">
      <c r="A198" s="84">
        <f t="shared" ref="A198:A201" si="12">A197+1</f>
        <v>3</v>
      </c>
      <c r="B198" s="84"/>
      <c r="C198" s="57" t="s">
        <v>213</v>
      </c>
      <c r="D198" s="85">
        <f>(84.22)*10.76</f>
        <v>906.20719999999994</v>
      </c>
      <c r="E198" s="86"/>
      <c r="F198" s="85">
        <f>(4.55)*10.76</f>
        <v>48.957999999999998</v>
      </c>
      <c r="G198" s="86"/>
      <c r="H198" s="55">
        <v>0</v>
      </c>
      <c r="I198" s="55">
        <f t="shared" ref="I198:I200" si="13">D198+F198+H198</f>
        <v>955.16519999999991</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5">
      <c r="A199" s="84">
        <v>4</v>
      </c>
      <c r="B199" s="84"/>
      <c r="C199" s="57" t="s">
        <v>211</v>
      </c>
      <c r="D199" s="85">
        <f>(3.2*6.23+3.05*2.13+3.05*3.85+1.38*2.15+1.5*1.55+0.9*1.38)*10.76</f>
        <v>481.06884000000002</v>
      </c>
      <c r="E199" s="86"/>
      <c r="F199" s="85">
        <f>(3.05*0.93+1*1.93)*10.76</f>
        <v>51.287539999999993</v>
      </c>
      <c r="G199" s="86"/>
      <c r="H199" s="55">
        <v>0</v>
      </c>
      <c r="I199" s="55">
        <f t="shared" ref="I199" si="14">D199+F199+H199</f>
        <v>532.35638000000006</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5">
      <c r="A200" s="84">
        <f t="shared" si="12"/>
        <v>5</v>
      </c>
      <c r="B200" s="84"/>
      <c r="C200" s="57" t="s">
        <v>210</v>
      </c>
      <c r="D200" s="85">
        <f>(58.73)*10.76</f>
        <v>631.9348</v>
      </c>
      <c r="E200" s="86"/>
      <c r="F200" s="85">
        <f>(2.45)*10.76</f>
        <v>26.362000000000002</v>
      </c>
      <c r="G200" s="86"/>
      <c r="H200" s="55">
        <v>0</v>
      </c>
      <c r="I200" s="55">
        <f t="shared" si="13"/>
        <v>658.29679999999996</v>
      </c>
      <c r="J200" s="1">
        <f>5.5*3.05+2.75*2.13+3.05*3.05+4.1*3.2+2.45*1.29+2.45*1.3+0.9*3.05+1.55*1.1</f>
        <v>55.850499999999997</v>
      </c>
      <c r="K200" s="1">
        <f>0.93*2.65</f>
        <v>2.4645000000000001</v>
      </c>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5">
      <c r="A201" s="84">
        <f t="shared" si="12"/>
        <v>6</v>
      </c>
      <c r="B201" s="84"/>
      <c r="C201" s="57" t="s">
        <v>213</v>
      </c>
      <c r="D201" s="85">
        <f>(83.96)*10.76</f>
        <v>903.40959999999995</v>
      </c>
      <c r="E201" s="86"/>
      <c r="F201" s="85">
        <f>(5.65)*10.76</f>
        <v>60.794000000000004</v>
      </c>
      <c r="G201" s="86"/>
      <c r="H201" s="55">
        <v>0</v>
      </c>
      <c r="I201" s="55">
        <f t="shared" ref="I201" si="15">D201+F201+H201</f>
        <v>964.20359999999994</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5" hidden="1" x14ac:dyDescent="0.35">
      <c r="A202" s="87" t="s">
        <v>159</v>
      </c>
      <c r="B202" s="88"/>
      <c r="C202" s="88"/>
      <c r="D202" s="88"/>
      <c r="E202" s="88"/>
      <c r="F202" s="88"/>
      <c r="G202" s="88"/>
      <c r="H202" s="88"/>
      <c r="I202" s="8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5" hidden="1" x14ac:dyDescent="0.35">
      <c r="A203" s="84" t="str">
        <f>A202</f>
        <v>1st Floor</v>
      </c>
      <c r="B203" s="84"/>
      <c r="C203" s="84">
        <f>LEFT(A202,SUM(LEN(A202)-LEN(SUBSTITUTE(A202,{"0","1","2","3","4","5","6","7","8","9"},""))))*100+1</f>
        <v>101</v>
      </c>
      <c r="D203" s="84"/>
      <c r="E203" s="20"/>
      <c r="F203" s="91"/>
      <c r="G203" s="92"/>
      <c r="H203" s="20"/>
      <c r="I203" s="20">
        <f>F203*(($I$124)+1)+H203</f>
        <v>0</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5" hidden="1" x14ac:dyDescent="0.35">
      <c r="A204" s="84" t="str">
        <f t="shared" ref="A204:A210" si="16">A203</f>
        <v>1st Floor</v>
      </c>
      <c r="B204" s="84"/>
      <c r="C204" s="84">
        <f>C203+1</f>
        <v>102</v>
      </c>
      <c r="D204" s="84"/>
      <c r="E204" s="20"/>
      <c r="F204" s="91"/>
      <c r="G204" s="92"/>
      <c r="H204" s="20"/>
      <c r="I204" s="20">
        <f t="shared" ref="I204:I221" si="17">F204*(($I$124)+1)+H204</f>
        <v>0</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5" hidden="1" x14ac:dyDescent="0.35">
      <c r="A205" s="84" t="str">
        <f t="shared" si="16"/>
        <v>1st Floor</v>
      </c>
      <c r="B205" s="84"/>
      <c r="C205" s="84">
        <f t="shared" ref="C205:C210" si="18">C204+1</f>
        <v>103</v>
      </c>
      <c r="D205" s="84"/>
      <c r="E205" s="20"/>
      <c r="F205" s="91"/>
      <c r="G205" s="92"/>
      <c r="H205" s="20"/>
      <c r="I205" s="20">
        <f t="shared" si="17"/>
        <v>0</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hidden="1" customHeight="1" x14ac:dyDescent="0.35">
      <c r="A206" s="84" t="str">
        <f t="shared" si="16"/>
        <v>1st Floor</v>
      </c>
      <c r="B206" s="84"/>
      <c r="C206" s="84">
        <f t="shared" si="18"/>
        <v>104</v>
      </c>
      <c r="D206" s="84"/>
      <c r="E206" s="20"/>
      <c r="F206" s="91"/>
      <c r="G206" s="92"/>
      <c r="H206" s="20"/>
      <c r="I206" s="20">
        <f t="shared" si="17"/>
        <v>0</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hidden="1" customHeight="1" x14ac:dyDescent="0.35">
      <c r="A207" s="84" t="str">
        <f t="shared" si="16"/>
        <v>1st Floor</v>
      </c>
      <c r="B207" s="84"/>
      <c r="C207" s="84">
        <f t="shared" si="18"/>
        <v>105</v>
      </c>
      <c r="D207" s="84"/>
      <c r="E207" s="20"/>
      <c r="F207" s="91"/>
      <c r="G207" s="92"/>
      <c r="H207" s="20"/>
      <c r="I207" s="20">
        <f t="shared" si="17"/>
        <v>0</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hidden="1" customHeight="1" x14ac:dyDescent="0.35">
      <c r="A208" s="84" t="str">
        <f t="shared" si="16"/>
        <v>1st Floor</v>
      </c>
      <c r="B208" s="84"/>
      <c r="C208" s="84">
        <f t="shared" si="18"/>
        <v>106</v>
      </c>
      <c r="D208" s="84"/>
      <c r="E208" s="20"/>
      <c r="F208" s="91"/>
      <c r="G208" s="92"/>
      <c r="H208" s="20"/>
      <c r="I208" s="20">
        <f t="shared" si="17"/>
        <v>0</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hidden="1" customHeight="1" x14ac:dyDescent="0.35">
      <c r="A209" s="84" t="str">
        <f t="shared" si="16"/>
        <v>1st Floor</v>
      </c>
      <c r="B209" s="84"/>
      <c r="C209" s="84">
        <f t="shared" si="18"/>
        <v>107</v>
      </c>
      <c r="D209" s="84"/>
      <c r="E209" s="20"/>
      <c r="F209" s="91"/>
      <c r="G209" s="92"/>
      <c r="H209" s="20"/>
      <c r="I209" s="20">
        <f t="shared" si="17"/>
        <v>0</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hidden="1" customHeight="1" x14ac:dyDescent="0.35">
      <c r="A210" s="84" t="str">
        <f t="shared" si="16"/>
        <v>1st Floor</v>
      </c>
      <c r="B210" s="84"/>
      <c r="C210" s="84">
        <f t="shared" si="18"/>
        <v>108</v>
      </c>
      <c r="D210" s="84"/>
      <c r="E210" s="20"/>
      <c r="F210" s="91"/>
      <c r="G210" s="92"/>
      <c r="H210" s="20"/>
      <c r="I210" s="20">
        <f t="shared" si="17"/>
        <v>0</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5" hidden="1" x14ac:dyDescent="0.35">
      <c r="A211" s="87" t="s">
        <v>160</v>
      </c>
      <c r="B211" s="88"/>
      <c r="C211" s="88"/>
      <c r="D211" s="88"/>
      <c r="E211" s="88"/>
      <c r="F211" s="88"/>
      <c r="G211" s="88"/>
      <c r="H211" s="88"/>
      <c r="I211" s="90"/>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hidden="1" customHeight="1" x14ac:dyDescent="0.35">
      <c r="A212" s="84" t="str">
        <f>A211</f>
        <v>2nd, 3rd, 4th, 6th, 8th, 7th, 9th Floor</v>
      </c>
      <c r="B212" s="84"/>
      <c r="C212" s="91" t="str">
        <f ca="1">U212</f>
        <v>201,..,901</v>
      </c>
      <c r="D212" s="92"/>
      <c r="E212" s="20"/>
      <c r="F212" s="91"/>
      <c r="G212" s="92"/>
      <c r="H212" s="20"/>
      <c r="I212" s="20">
        <f t="shared" si="17"/>
        <v>0</v>
      </c>
      <c r="J212" s="1"/>
      <c r="K212" s="1"/>
      <c r="L212" s="1"/>
      <c r="M212" s="1"/>
      <c r="N212" s="1"/>
      <c r="O212" s="1"/>
      <c r="P212" s="1"/>
      <c r="Q212" s="1"/>
      <c r="R212" s="1"/>
      <c r="S212" s="1"/>
      <c r="T212" s="1"/>
      <c r="U212" s="42" t="str">
        <f t="shared" ref="U212:U221" ca="1" si="19">V212&amp;""&amp;",..,"&amp;""&amp;W212</f>
        <v>201,..,901</v>
      </c>
      <c r="V212" s="42">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201</v>
      </c>
      <c r="W212" s="42">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901</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hidden="1" customHeight="1" x14ac:dyDescent="0.35">
      <c r="A213" s="84" t="str">
        <f t="shared" ref="A213:A221" si="20">A212</f>
        <v>2nd, 3rd, 4th, 6th, 8th, 7th, 9th Floor</v>
      </c>
      <c r="B213" s="84"/>
      <c r="C213" s="91" t="str">
        <f t="shared" ref="C213:C221" ca="1" si="21">U213</f>
        <v>202,..,902</v>
      </c>
      <c r="D213" s="92"/>
      <c r="E213" s="20"/>
      <c r="F213" s="91"/>
      <c r="G213" s="92"/>
      <c r="H213" s="20"/>
      <c r="I213" s="20">
        <f t="shared" si="17"/>
        <v>0</v>
      </c>
      <c r="J213" s="1"/>
      <c r="K213" s="1"/>
      <c r="L213" s="1"/>
      <c r="M213" s="1"/>
      <c r="N213" s="1"/>
      <c r="O213" s="1"/>
      <c r="P213" s="1"/>
      <c r="Q213" s="1"/>
      <c r="R213" s="1"/>
      <c r="S213" s="1"/>
      <c r="T213" s="1"/>
      <c r="U213" s="42" t="str">
        <f t="shared" ca="1" si="19"/>
        <v>202,..,902</v>
      </c>
      <c r="V213" s="42">
        <f ca="1">V212+1</f>
        <v>202</v>
      </c>
      <c r="W213" s="42">
        <f ca="1">W212+1</f>
        <v>902</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hidden="1" customHeight="1" x14ac:dyDescent="0.35">
      <c r="A214" s="84" t="str">
        <f t="shared" si="20"/>
        <v>2nd, 3rd, 4th, 6th, 8th, 7th, 9th Floor</v>
      </c>
      <c r="B214" s="84"/>
      <c r="C214" s="91" t="str">
        <f t="shared" ca="1" si="21"/>
        <v>203,..,903</v>
      </c>
      <c r="D214" s="92"/>
      <c r="E214" s="20"/>
      <c r="F214" s="91"/>
      <c r="G214" s="92"/>
      <c r="H214" s="20"/>
      <c r="I214" s="20">
        <f t="shared" si="17"/>
        <v>0</v>
      </c>
      <c r="J214" s="1"/>
      <c r="K214" s="1"/>
      <c r="L214" s="1"/>
      <c r="M214" s="1"/>
      <c r="N214" s="1"/>
      <c r="O214" s="1"/>
      <c r="P214" s="1"/>
      <c r="Q214" s="1"/>
      <c r="R214" s="1"/>
      <c r="S214" s="1"/>
      <c r="T214" s="1"/>
      <c r="U214" s="42" t="str">
        <f t="shared" ca="1" si="19"/>
        <v>203,..,903</v>
      </c>
      <c r="V214" s="42">
        <f t="shared" ref="V214:V221" ca="1" si="22">V213+1</f>
        <v>203</v>
      </c>
      <c r="W214" s="42">
        <f t="shared" ref="W214:W221" ca="1" si="23">W213+1</f>
        <v>903</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hidden="1" customHeight="1" x14ac:dyDescent="0.35">
      <c r="A215" s="84" t="str">
        <f t="shared" si="20"/>
        <v>2nd, 3rd, 4th, 6th, 8th, 7th, 9th Floor</v>
      </c>
      <c r="B215" s="84"/>
      <c r="C215" s="91" t="str">
        <f t="shared" ca="1" si="21"/>
        <v>204,..,904</v>
      </c>
      <c r="D215" s="92"/>
      <c r="E215" s="20"/>
      <c r="F215" s="91"/>
      <c r="G215" s="92"/>
      <c r="H215" s="20"/>
      <c r="I215" s="20">
        <f t="shared" si="17"/>
        <v>0</v>
      </c>
      <c r="J215" s="1"/>
      <c r="K215" s="1"/>
      <c r="L215" s="1"/>
      <c r="M215" s="1"/>
      <c r="N215" s="1"/>
      <c r="O215" s="1"/>
      <c r="P215" s="1"/>
      <c r="Q215" s="1"/>
      <c r="R215" s="1"/>
      <c r="S215" s="1"/>
      <c r="T215" s="1"/>
      <c r="U215" s="42" t="str">
        <f t="shared" ca="1" si="19"/>
        <v>204,..,904</v>
      </c>
      <c r="V215" s="42">
        <f t="shared" ca="1" si="22"/>
        <v>204</v>
      </c>
      <c r="W215" s="42">
        <f t="shared" ca="1" si="23"/>
        <v>904</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hidden="1" customHeight="1" x14ac:dyDescent="0.35">
      <c r="A216" s="84" t="str">
        <f t="shared" si="20"/>
        <v>2nd, 3rd, 4th, 6th, 8th, 7th, 9th Floor</v>
      </c>
      <c r="B216" s="84"/>
      <c r="C216" s="91" t="str">
        <f t="shared" ca="1" si="21"/>
        <v>205,..,905</v>
      </c>
      <c r="D216" s="92"/>
      <c r="E216" s="20"/>
      <c r="F216" s="91"/>
      <c r="G216" s="92"/>
      <c r="H216" s="20"/>
      <c r="I216" s="20">
        <f t="shared" si="17"/>
        <v>0</v>
      </c>
      <c r="J216" s="1"/>
      <c r="K216" s="1"/>
      <c r="L216" s="1"/>
      <c r="M216" s="1"/>
      <c r="N216" s="1"/>
      <c r="O216" s="1"/>
      <c r="P216" s="1"/>
      <c r="Q216" s="1"/>
      <c r="R216" s="1"/>
      <c r="S216" s="1"/>
      <c r="T216" s="1"/>
      <c r="U216" s="42" t="str">
        <f t="shared" ca="1" si="19"/>
        <v>205,..,905</v>
      </c>
      <c r="V216" s="42">
        <f t="shared" ca="1" si="22"/>
        <v>205</v>
      </c>
      <c r="W216" s="42">
        <f t="shared" ca="1" si="23"/>
        <v>905</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hidden="1" customHeight="1" x14ac:dyDescent="0.35">
      <c r="A217" s="84" t="str">
        <f t="shared" si="20"/>
        <v>2nd, 3rd, 4th, 6th, 8th, 7th, 9th Floor</v>
      </c>
      <c r="B217" s="84"/>
      <c r="C217" s="91" t="str">
        <f t="shared" ca="1" si="21"/>
        <v>206,..,906</v>
      </c>
      <c r="D217" s="92"/>
      <c r="E217" s="20"/>
      <c r="F217" s="91"/>
      <c r="G217" s="92"/>
      <c r="H217" s="20"/>
      <c r="I217" s="20">
        <f t="shared" si="17"/>
        <v>0</v>
      </c>
      <c r="J217" s="1"/>
      <c r="K217" s="1"/>
      <c r="L217" s="1"/>
      <c r="M217" s="1"/>
      <c r="N217" s="1"/>
      <c r="O217" s="1"/>
      <c r="P217" s="1"/>
      <c r="Q217" s="1"/>
      <c r="R217" s="1"/>
      <c r="S217" s="1"/>
      <c r="T217" s="1"/>
      <c r="U217" s="42" t="str">
        <f t="shared" ca="1" si="19"/>
        <v>206,..,906</v>
      </c>
      <c r="V217" s="42">
        <f t="shared" ca="1" si="22"/>
        <v>206</v>
      </c>
      <c r="W217" s="42">
        <f t="shared" ca="1" si="23"/>
        <v>906</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hidden="1" customHeight="1" x14ac:dyDescent="0.35">
      <c r="A218" s="84" t="str">
        <f t="shared" si="20"/>
        <v>2nd, 3rd, 4th, 6th, 8th, 7th, 9th Floor</v>
      </c>
      <c r="B218" s="84"/>
      <c r="C218" s="91" t="str">
        <f t="shared" ca="1" si="21"/>
        <v>207,..,907</v>
      </c>
      <c r="D218" s="92"/>
      <c r="E218" s="20"/>
      <c r="F218" s="91"/>
      <c r="G218" s="92"/>
      <c r="H218" s="20"/>
      <c r="I218" s="20">
        <f t="shared" si="17"/>
        <v>0</v>
      </c>
      <c r="J218" s="1"/>
      <c r="K218" s="1"/>
      <c r="L218" s="1"/>
      <c r="M218" s="1"/>
      <c r="N218" s="1"/>
      <c r="O218" s="1"/>
      <c r="P218" s="1"/>
      <c r="Q218" s="1"/>
      <c r="R218" s="1"/>
      <c r="S218" s="1"/>
      <c r="T218" s="1"/>
      <c r="U218" s="42" t="str">
        <f t="shared" ca="1" si="19"/>
        <v>207,..,907</v>
      </c>
      <c r="V218" s="42">
        <f t="shared" ca="1" si="22"/>
        <v>207</v>
      </c>
      <c r="W218" s="42">
        <f t="shared" ca="1" si="23"/>
        <v>907</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hidden="1" customHeight="1" x14ac:dyDescent="0.35">
      <c r="A219" s="84" t="str">
        <f t="shared" si="20"/>
        <v>2nd, 3rd, 4th, 6th, 8th, 7th, 9th Floor</v>
      </c>
      <c r="B219" s="84"/>
      <c r="C219" s="91" t="str">
        <f t="shared" ca="1" si="21"/>
        <v>208,..,908</v>
      </c>
      <c r="D219" s="92"/>
      <c r="E219" s="20"/>
      <c r="F219" s="91"/>
      <c r="G219" s="92"/>
      <c r="H219" s="20"/>
      <c r="I219" s="20">
        <f t="shared" si="17"/>
        <v>0</v>
      </c>
      <c r="J219" s="1"/>
      <c r="K219" s="1"/>
      <c r="L219" s="1"/>
      <c r="M219" s="1"/>
      <c r="N219" s="1"/>
      <c r="O219" s="1"/>
      <c r="P219" s="1"/>
      <c r="Q219" s="1"/>
      <c r="R219" s="1"/>
      <c r="S219" s="1"/>
      <c r="T219" s="1"/>
      <c r="U219" s="42" t="str">
        <f t="shared" ca="1" si="19"/>
        <v>208,..,908</v>
      </c>
      <c r="V219" s="42">
        <f t="shared" ca="1" si="22"/>
        <v>208</v>
      </c>
      <c r="W219" s="42">
        <f t="shared" ca="1" si="23"/>
        <v>908</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hidden="1" customHeight="1" x14ac:dyDescent="0.35">
      <c r="A220" s="84" t="str">
        <f t="shared" si="20"/>
        <v>2nd, 3rd, 4th, 6th, 8th, 7th, 9th Floor</v>
      </c>
      <c r="B220" s="84"/>
      <c r="C220" s="91" t="str">
        <f t="shared" ca="1" si="21"/>
        <v>209,..,909</v>
      </c>
      <c r="D220" s="92"/>
      <c r="E220" s="20"/>
      <c r="F220" s="91"/>
      <c r="G220" s="92"/>
      <c r="H220" s="20"/>
      <c r="I220" s="20">
        <f t="shared" si="17"/>
        <v>0</v>
      </c>
      <c r="J220" s="1"/>
      <c r="K220" s="1"/>
      <c r="L220" s="1"/>
      <c r="M220" s="1"/>
      <c r="N220" s="1"/>
      <c r="O220" s="1"/>
      <c r="P220" s="1"/>
      <c r="Q220" s="1"/>
      <c r="R220" s="1"/>
      <c r="S220" s="1"/>
      <c r="T220" s="1"/>
      <c r="U220" s="42" t="str">
        <f t="shared" ca="1" si="19"/>
        <v>209,..,909</v>
      </c>
      <c r="V220" s="42">
        <f t="shared" ca="1" si="22"/>
        <v>209</v>
      </c>
      <c r="W220" s="42">
        <f t="shared" ca="1" si="23"/>
        <v>909</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hidden="1" customHeight="1" x14ac:dyDescent="0.35">
      <c r="A221" s="84" t="str">
        <f t="shared" si="20"/>
        <v>2nd, 3rd, 4th, 6th, 8th, 7th, 9th Floor</v>
      </c>
      <c r="B221" s="84"/>
      <c r="C221" s="91" t="str">
        <f t="shared" ca="1" si="21"/>
        <v>210,..,910</v>
      </c>
      <c r="D221" s="92"/>
      <c r="E221" s="20"/>
      <c r="F221" s="91"/>
      <c r="G221" s="92"/>
      <c r="H221" s="20"/>
      <c r="I221" s="20">
        <f t="shared" si="17"/>
        <v>0</v>
      </c>
      <c r="J221" s="1"/>
      <c r="K221" s="1"/>
      <c r="L221" s="1"/>
      <c r="M221" s="1"/>
      <c r="N221" s="1"/>
      <c r="O221" s="1"/>
      <c r="P221" s="1"/>
      <c r="Q221" s="1"/>
      <c r="R221" s="1"/>
      <c r="S221" s="1"/>
      <c r="T221" s="1"/>
      <c r="U221" s="42" t="str">
        <f t="shared" ca="1" si="19"/>
        <v>210,..,910</v>
      </c>
      <c r="V221" s="42">
        <f t="shared" ca="1" si="22"/>
        <v>210</v>
      </c>
      <c r="W221" s="42">
        <f t="shared" ca="1" si="23"/>
        <v>910</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5" hidden="1" x14ac:dyDescent="0.35">
      <c r="A222" s="87" t="s">
        <v>161</v>
      </c>
      <c r="B222" s="88"/>
      <c r="C222" s="88"/>
      <c r="D222" s="88"/>
      <c r="E222" s="88"/>
      <c r="F222" s="88"/>
      <c r="G222" s="88"/>
      <c r="H222" s="88"/>
      <c r="I222" s="90"/>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hidden="1" customHeight="1" x14ac:dyDescent="0.35">
      <c r="A223" s="84" t="str">
        <f>A222</f>
        <v>2nd to 5th Floor</v>
      </c>
      <c r="B223" s="84"/>
      <c r="C223" s="91" t="str">
        <f ca="1">U223</f>
        <v>201 to 501</v>
      </c>
      <c r="D223" s="92"/>
      <c r="E223" s="20"/>
      <c r="F223" s="91"/>
      <c r="G223" s="92"/>
      <c r="H223" s="20"/>
      <c r="I223" s="20">
        <f t="shared" ref="I223:I232" si="24">F223*(($I$124)+1)+H223</f>
        <v>0</v>
      </c>
      <c r="J223" s="1"/>
      <c r="K223" s="1"/>
      <c r="L223" s="1"/>
      <c r="M223" s="1"/>
      <c r="N223" s="1"/>
      <c r="O223" s="1"/>
      <c r="P223" s="1"/>
      <c r="Q223" s="1"/>
      <c r="R223" s="1"/>
      <c r="S223" s="1"/>
      <c r="T223" s="1"/>
      <c r="U223" s="42" t="str">
        <f ca="1">V223&amp;""&amp;" to "&amp;""&amp;W223</f>
        <v>201 to 501</v>
      </c>
      <c r="V223" s="42">
        <f ca="1">(SUMPRODUCT(MID(0&amp;(LEFT(A222,SUM(LEN(A222)-LEN(SUBSTITUTE(A222,{"0","1","2","3"},""))))), LARGE(INDEX(ISNUMBER(--MID((LEFT(A222,SUM(LEN(A222)-LEN(SUBSTITUTE(A222,{"0","1","2","3"},""))))), ROW(INDIRECT("1:"&amp;LEN((LEFT(A222,SUM(LEN(A222)-LEN(SUBSTITUTE(A222,{"0","1","2","3"},"")))))))), 1)) * ROW(INDIRECT("1:"&amp;LEN((LEFT(A222,SUM(LEN(A222)-LEN(SUBSTITUTE(A222,{"0","1","2","3"},"")))))))), 0), ROW(INDIRECT("1:"&amp;LEN((LEFT(A222,SUM(LEN(A222)-LEN(SUBSTITUTE(A222,{"0","1","2","3"},"")))))))))+1, 1) * 10^ROW(INDIRECT("1:"&amp;LEN((LEFT(A222,SUM(LEN(A222)-LEN(SUBSTITUTE(A222,{"0","1","2","3"},""))))))))/10))*100+1</f>
        <v>201</v>
      </c>
      <c r="W223" s="42">
        <f ca="1">(SUMPRODUCT(MID(0&amp;(--TRIM(RIGHT(SUBSTITUTE(LEFT(A222,_xlfn.AGGREGATE(16,6,FIND({0,1,2,3,4,5,6,7,8,9},A222,ROW(INDIRECT("1:"&amp;LEN(A222)))),1)),"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",LEN(A222))),LEN(A222)))))))/10))*100+1</f>
        <v>501</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hidden="1" customHeight="1" x14ac:dyDescent="0.35">
      <c r="A224" s="84" t="str">
        <f t="shared" ref="A224:A232" si="25">A223</f>
        <v>2nd to 5th Floor</v>
      </c>
      <c r="B224" s="84"/>
      <c r="C224" s="91" t="str">
        <f t="shared" ref="C224:C232" ca="1" si="26">U224</f>
        <v>202 to 502</v>
      </c>
      <c r="D224" s="92"/>
      <c r="E224" s="20"/>
      <c r="F224" s="91"/>
      <c r="G224" s="92"/>
      <c r="H224" s="20"/>
      <c r="I224" s="20">
        <f t="shared" si="24"/>
        <v>0</v>
      </c>
      <c r="J224" s="1"/>
      <c r="K224" s="1"/>
      <c r="L224" s="1"/>
      <c r="M224" s="1"/>
      <c r="N224" s="1"/>
      <c r="O224" s="1"/>
      <c r="P224" s="1"/>
      <c r="Q224" s="1"/>
      <c r="R224" s="1"/>
      <c r="S224" s="1"/>
      <c r="T224" s="1"/>
      <c r="U224" s="42" t="str">
        <f t="shared" ref="U224:U232" ca="1" si="27">V224&amp;""&amp;" to "&amp;""&amp;W224</f>
        <v>202 to 502</v>
      </c>
      <c r="V224" s="42">
        <f ca="1">V223+1</f>
        <v>202</v>
      </c>
      <c r="W224" s="42">
        <f ca="1">W223+1</f>
        <v>502</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hidden="1" customHeight="1" x14ac:dyDescent="0.35">
      <c r="A225" s="84" t="str">
        <f t="shared" si="25"/>
        <v>2nd to 5th Floor</v>
      </c>
      <c r="B225" s="84"/>
      <c r="C225" s="91" t="str">
        <f t="shared" ca="1" si="26"/>
        <v>203 to 503</v>
      </c>
      <c r="D225" s="92"/>
      <c r="E225" s="20"/>
      <c r="F225" s="91"/>
      <c r="G225" s="92"/>
      <c r="H225" s="20"/>
      <c r="I225" s="20">
        <f t="shared" si="24"/>
        <v>0</v>
      </c>
      <c r="J225" s="1"/>
      <c r="K225" s="1"/>
      <c r="L225" s="1"/>
      <c r="M225" s="1"/>
      <c r="N225" s="1"/>
      <c r="O225" s="1"/>
      <c r="P225" s="1"/>
      <c r="Q225" s="1"/>
      <c r="R225" s="1"/>
      <c r="S225" s="1"/>
      <c r="T225" s="1"/>
      <c r="U225" s="42" t="str">
        <f t="shared" ca="1" si="27"/>
        <v>203 to 503</v>
      </c>
      <c r="V225" s="42">
        <f t="shared" ref="V225:V232" ca="1" si="28">V224+1</f>
        <v>203</v>
      </c>
      <c r="W225" s="42">
        <f t="shared" ref="W225:W232" ca="1" si="29">W224+1</f>
        <v>503</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hidden="1" customHeight="1" x14ac:dyDescent="0.35">
      <c r="A226" s="84" t="str">
        <f t="shared" si="25"/>
        <v>2nd to 5th Floor</v>
      </c>
      <c r="B226" s="84"/>
      <c r="C226" s="91" t="str">
        <f t="shared" ca="1" si="26"/>
        <v>204 to 504</v>
      </c>
      <c r="D226" s="92"/>
      <c r="E226" s="20"/>
      <c r="F226" s="91"/>
      <c r="G226" s="92"/>
      <c r="H226" s="20"/>
      <c r="I226" s="20">
        <f t="shared" si="24"/>
        <v>0</v>
      </c>
      <c r="J226" s="1"/>
      <c r="K226" s="1"/>
      <c r="L226" s="1"/>
      <c r="M226" s="1"/>
      <c r="N226" s="1"/>
      <c r="O226" s="1"/>
      <c r="P226" s="1"/>
      <c r="Q226" s="1"/>
      <c r="R226" s="1"/>
      <c r="S226" s="1"/>
      <c r="T226" s="1"/>
      <c r="U226" s="42" t="str">
        <f t="shared" ca="1" si="27"/>
        <v>204 to 504</v>
      </c>
      <c r="V226" s="42">
        <f t="shared" ca="1" si="28"/>
        <v>204</v>
      </c>
      <c r="W226" s="42">
        <f t="shared" ca="1" si="29"/>
        <v>504</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hidden="1" customHeight="1" x14ac:dyDescent="0.35">
      <c r="A227" s="84" t="str">
        <f t="shared" si="25"/>
        <v>2nd to 5th Floor</v>
      </c>
      <c r="B227" s="84"/>
      <c r="C227" s="91" t="str">
        <f t="shared" ca="1" si="26"/>
        <v>205 to 505</v>
      </c>
      <c r="D227" s="92"/>
      <c r="E227" s="20"/>
      <c r="F227" s="91"/>
      <c r="G227" s="92"/>
      <c r="H227" s="20"/>
      <c r="I227" s="20">
        <f t="shared" si="24"/>
        <v>0</v>
      </c>
      <c r="J227" s="1"/>
      <c r="K227" s="1"/>
      <c r="L227" s="1"/>
      <c r="M227" s="1"/>
      <c r="N227" s="1"/>
      <c r="O227" s="1"/>
      <c r="P227" s="1"/>
      <c r="Q227" s="1"/>
      <c r="R227" s="1"/>
      <c r="S227" s="1"/>
      <c r="T227" s="1"/>
      <c r="U227" s="42" t="str">
        <f t="shared" ca="1" si="27"/>
        <v>205 to 505</v>
      </c>
      <c r="V227" s="42">
        <f t="shared" ca="1" si="28"/>
        <v>205</v>
      </c>
      <c r="W227" s="42">
        <f t="shared" ca="1" si="29"/>
        <v>505</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hidden="1" customHeight="1" x14ac:dyDescent="0.35">
      <c r="A228" s="84" t="str">
        <f t="shared" si="25"/>
        <v>2nd to 5th Floor</v>
      </c>
      <c r="B228" s="84"/>
      <c r="C228" s="91" t="str">
        <f t="shared" ca="1" si="26"/>
        <v>206 to 506</v>
      </c>
      <c r="D228" s="92"/>
      <c r="E228" s="20"/>
      <c r="F228" s="91"/>
      <c r="G228" s="92"/>
      <c r="H228" s="20"/>
      <c r="I228" s="20">
        <f t="shared" si="24"/>
        <v>0</v>
      </c>
      <c r="J228" s="1"/>
      <c r="K228" s="1"/>
      <c r="L228" s="1"/>
      <c r="M228" s="1"/>
      <c r="N228" s="1"/>
      <c r="O228" s="1"/>
      <c r="P228" s="1"/>
      <c r="Q228" s="1"/>
      <c r="R228" s="1"/>
      <c r="S228" s="1"/>
      <c r="T228" s="1"/>
      <c r="U228" s="42" t="str">
        <f t="shared" ca="1" si="27"/>
        <v>206 to 506</v>
      </c>
      <c r="V228" s="42">
        <f t="shared" ca="1" si="28"/>
        <v>206</v>
      </c>
      <c r="W228" s="42">
        <f t="shared" ca="1" si="29"/>
        <v>506</v>
      </c>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hidden="1" customHeight="1" x14ac:dyDescent="0.35">
      <c r="A229" s="84" t="str">
        <f t="shared" si="25"/>
        <v>2nd to 5th Floor</v>
      </c>
      <c r="B229" s="84"/>
      <c r="C229" s="91" t="str">
        <f t="shared" ca="1" si="26"/>
        <v>207 to 507</v>
      </c>
      <c r="D229" s="92"/>
      <c r="E229" s="20"/>
      <c r="F229" s="91"/>
      <c r="G229" s="92"/>
      <c r="H229" s="20"/>
      <c r="I229" s="20">
        <f t="shared" si="24"/>
        <v>0</v>
      </c>
      <c r="J229" s="1"/>
      <c r="K229" s="1"/>
      <c r="L229" s="1"/>
      <c r="M229" s="1"/>
      <c r="N229" s="1"/>
      <c r="O229" s="1"/>
      <c r="P229" s="1"/>
      <c r="Q229" s="1"/>
      <c r="R229" s="1"/>
      <c r="S229" s="1"/>
      <c r="T229" s="1"/>
      <c r="U229" s="42" t="str">
        <f t="shared" ca="1" si="27"/>
        <v>207 to 507</v>
      </c>
      <c r="V229" s="42">
        <f t="shared" ca="1" si="28"/>
        <v>207</v>
      </c>
      <c r="W229" s="42">
        <f t="shared" ca="1" si="29"/>
        <v>507</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hidden="1" customHeight="1" x14ac:dyDescent="0.35">
      <c r="A230" s="84" t="str">
        <f t="shared" si="25"/>
        <v>2nd to 5th Floor</v>
      </c>
      <c r="B230" s="84"/>
      <c r="C230" s="91" t="str">
        <f t="shared" ca="1" si="26"/>
        <v>208 to 508</v>
      </c>
      <c r="D230" s="92"/>
      <c r="E230" s="20"/>
      <c r="F230" s="91"/>
      <c r="G230" s="92"/>
      <c r="H230" s="20"/>
      <c r="I230" s="20">
        <f t="shared" si="24"/>
        <v>0</v>
      </c>
      <c r="J230" s="1"/>
      <c r="K230" s="1"/>
      <c r="L230" s="1"/>
      <c r="M230" s="1"/>
      <c r="N230" s="1"/>
      <c r="O230" s="1"/>
      <c r="P230" s="1"/>
      <c r="Q230" s="1"/>
      <c r="R230" s="1"/>
      <c r="S230" s="1"/>
      <c r="T230" s="1"/>
      <c r="U230" s="42" t="str">
        <f t="shared" ca="1" si="27"/>
        <v>208 to 508</v>
      </c>
      <c r="V230" s="42">
        <f t="shared" ca="1" si="28"/>
        <v>208</v>
      </c>
      <c r="W230" s="42">
        <f t="shared" ca="1" si="29"/>
        <v>508</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hidden="1" customHeight="1" x14ac:dyDescent="0.35">
      <c r="A231" s="84" t="str">
        <f t="shared" si="25"/>
        <v>2nd to 5th Floor</v>
      </c>
      <c r="B231" s="84"/>
      <c r="C231" s="91" t="str">
        <f t="shared" ca="1" si="26"/>
        <v>209 to 509</v>
      </c>
      <c r="D231" s="92"/>
      <c r="E231" s="20"/>
      <c r="F231" s="91"/>
      <c r="G231" s="92"/>
      <c r="H231" s="20"/>
      <c r="I231" s="20">
        <f t="shared" si="24"/>
        <v>0</v>
      </c>
      <c r="J231" s="1"/>
      <c r="K231" s="1"/>
      <c r="L231" s="1"/>
      <c r="M231" s="1"/>
      <c r="N231" s="1"/>
      <c r="O231" s="1"/>
      <c r="P231" s="1"/>
      <c r="Q231" s="1"/>
      <c r="R231" s="1"/>
      <c r="S231" s="1"/>
      <c r="T231" s="1"/>
      <c r="U231" s="42" t="str">
        <f t="shared" ca="1" si="27"/>
        <v>209 to 509</v>
      </c>
      <c r="V231" s="42">
        <f t="shared" ca="1" si="28"/>
        <v>209</v>
      </c>
      <c r="W231" s="42">
        <f t="shared" ca="1" si="29"/>
        <v>509</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hidden="1" customHeight="1" x14ac:dyDescent="0.35">
      <c r="A232" s="84" t="str">
        <f t="shared" si="25"/>
        <v>2nd to 5th Floor</v>
      </c>
      <c r="B232" s="84"/>
      <c r="C232" s="91" t="str">
        <f t="shared" ca="1" si="26"/>
        <v>210 to 510</v>
      </c>
      <c r="D232" s="92"/>
      <c r="E232" s="20"/>
      <c r="F232" s="91"/>
      <c r="G232" s="92"/>
      <c r="H232" s="20"/>
      <c r="I232" s="20">
        <f t="shared" si="24"/>
        <v>0</v>
      </c>
      <c r="J232" s="1"/>
      <c r="K232" s="1"/>
      <c r="L232" s="1"/>
      <c r="M232" s="1"/>
      <c r="N232" s="1"/>
      <c r="O232" s="1"/>
      <c r="P232" s="1"/>
      <c r="Q232" s="1"/>
      <c r="R232" s="1"/>
      <c r="S232" s="1"/>
      <c r="T232" s="1"/>
      <c r="U232" s="42" t="str">
        <f t="shared" ca="1" si="27"/>
        <v>210 to 510</v>
      </c>
      <c r="V232" s="42">
        <f t="shared" ca="1" si="28"/>
        <v>210</v>
      </c>
      <c r="W232" s="42">
        <f t="shared" ca="1" si="29"/>
        <v>510</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5" hidden="1" x14ac:dyDescent="0.35">
      <c r="A233" s="87" t="s">
        <v>162</v>
      </c>
      <c r="B233" s="88"/>
      <c r="C233" s="88"/>
      <c r="D233" s="88"/>
      <c r="E233" s="88"/>
      <c r="F233" s="88"/>
      <c r="G233" s="88"/>
      <c r="H233" s="88"/>
      <c r="I233" s="90"/>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hidden="1" customHeight="1" x14ac:dyDescent="0.35">
      <c r="A234" s="84" t="str">
        <f>A233</f>
        <v>2nd &amp; 5th Floor</v>
      </c>
      <c r="B234" s="84"/>
      <c r="C234" s="91" t="str">
        <f ca="1">U234</f>
        <v>201 &amp; 501</v>
      </c>
      <c r="D234" s="92"/>
      <c r="E234" s="20"/>
      <c r="F234" s="91"/>
      <c r="G234" s="92"/>
      <c r="H234" s="20"/>
      <c r="I234" s="20">
        <f t="shared" ref="I234:I243" si="30">F234*(($I$124)+1)+H234</f>
        <v>0</v>
      </c>
      <c r="J234" s="1"/>
      <c r="K234" s="1"/>
      <c r="L234" s="1"/>
      <c r="M234" s="1"/>
      <c r="N234" s="1"/>
      <c r="O234" s="1"/>
      <c r="P234" s="1"/>
      <c r="Q234" s="1"/>
      <c r="R234" s="1"/>
      <c r="S234" s="1"/>
      <c r="T234" s="1"/>
      <c r="U234" s="42" t="str">
        <f ca="1">V234&amp;""&amp;" &amp; "&amp;""&amp;W234</f>
        <v>201 &amp; 501</v>
      </c>
      <c r="V234" s="42">
        <f ca="1">(SUMPRODUCT(MID(0&amp;(LEFT(A233,SUM(LEN(A233)-LEN(SUBSTITUTE(A233,{"0","1","2","3"},""))))), LARGE(INDEX(ISNUMBER(--MID((LEFT(A233,SUM(LEN(A233)-LEN(SUBSTITUTE(A233,{"0","1","2","3"},""))))), ROW(INDIRECT("1:"&amp;LEN((LEFT(A233,SUM(LEN(A233)-LEN(SUBSTITUTE(A233,{"0","1","2","3"},"")))))))), 1)) * ROW(INDIRECT("1:"&amp;LEN((LEFT(A233,SUM(LEN(A233)-LEN(SUBSTITUTE(A233,{"0","1","2","3"},"")))))))), 0), ROW(INDIRECT("1:"&amp;LEN((LEFT(A233,SUM(LEN(A233)-LEN(SUBSTITUTE(A233,{"0","1","2","3"},"")))))))))+1, 1) * 10^ROW(INDIRECT("1:"&amp;LEN((LEFT(A233,SUM(LEN(A233)-LEN(SUBSTITUTE(A233,{"0","1","2","3"},""))))))))/10))*100+1</f>
        <v>201</v>
      </c>
      <c r="W234" s="42">
        <f ca="1">(SUMPRODUCT(MID(0&amp;(--TRIM(RIGHT(SUBSTITUTE(LEFT(A233,_xlfn.AGGREGATE(16,6,FIND({0,1,2,3,4,5,6,7,8,9},A233,ROW(INDIRECT("1:"&amp;LEN(A233)))),1)),"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501</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hidden="1" customHeight="1" x14ac:dyDescent="0.35">
      <c r="A235" s="84" t="str">
        <f t="shared" ref="A235:A243" si="31">A234</f>
        <v>2nd &amp; 5th Floor</v>
      </c>
      <c r="B235" s="84"/>
      <c r="C235" s="91" t="str">
        <f t="shared" ref="C235:C243" ca="1" si="32">U235</f>
        <v>202 &amp; 502</v>
      </c>
      <c r="D235" s="92"/>
      <c r="E235" s="20"/>
      <c r="F235" s="91"/>
      <c r="G235" s="92"/>
      <c r="H235" s="20"/>
      <c r="I235" s="20">
        <f t="shared" si="30"/>
        <v>0</v>
      </c>
      <c r="J235" s="1"/>
      <c r="K235" s="1"/>
      <c r="L235" s="1"/>
      <c r="M235" s="1"/>
      <c r="N235" s="1"/>
      <c r="O235" s="1"/>
      <c r="P235" s="1"/>
      <c r="Q235" s="1"/>
      <c r="R235" s="1"/>
      <c r="S235" s="1"/>
      <c r="T235" s="1"/>
      <c r="U235" s="42" t="str">
        <f t="shared" ref="U235:U243" ca="1" si="33">V235&amp;""&amp;" &amp; "&amp;""&amp;W235</f>
        <v>202 &amp; 502</v>
      </c>
      <c r="V235" s="42">
        <f ca="1">V234+1</f>
        <v>202</v>
      </c>
      <c r="W235" s="42">
        <f ca="1">W234+1</f>
        <v>502</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hidden="1" customHeight="1" x14ac:dyDescent="0.35">
      <c r="A236" s="84" t="str">
        <f t="shared" si="31"/>
        <v>2nd &amp; 5th Floor</v>
      </c>
      <c r="B236" s="84"/>
      <c r="C236" s="91" t="str">
        <f t="shared" ca="1" si="32"/>
        <v>203 &amp; 503</v>
      </c>
      <c r="D236" s="92"/>
      <c r="E236" s="20"/>
      <c r="F236" s="91"/>
      <c r="G236" s="92"/>
      <c r="H236" s="20"/>
      <c r="I236" s="20">
        <f t="shared" si="30"/>
        <v>0</v>
      </c>
      <c r="J236" s="1"/>
      <c r="K236" s="1"/>
      <c r="L236" s="1"/>
      <c r="M236" s="1"/>
      <c r="N236" s="1"/>
      <c r="O236" s="1"/>
      <c r="P236" s="1"/>
      <c r="Q236" s="1"/>
      <c r="R236" s="1"/>
      <c r="S236" s="1"/>
      <c r="T236" s="1"/>
      <c r="U236" s="42" t="str">
        <f t="shared" ca="1" si="33"/>
        <v>203 &amp; 503</v>
      </c>
      <c r="V236" s="42">
        <f t="shared" ref="V236:V243" ca="1" si="34">V235+1</f>
        <v>203</v>
      </c>
      <c r="W236" s="42">
        <f t="shared" ref="W236:W243" ca="1" si="35">W235+1</f>
        <v>503</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hidden="1" customHeight="1" x14ac:dyDescent="0.35">
      <c r="A237" s="84" t="str">
        <f t="shared" si="31"/>
        <v>2nd &amp; 5th Floor</v>
      </c>
      <c r="B237" s="84"/>
      <c r="C237" s="91" t="str">
        <f t="shared" ca="1" si="32"/>
        <v>204 &amp; 504</v>
      </c>
      <c r="D237" s="92"/>
      <c r="E237" s="20"/>
      <c r="F237" s="91"/>
      <c r="G237" s="92"/>
      <c r="H237" s="20"/>
      <c r="I237" s="20">
        <f t="shared" si="30"/>
        <v>0</v>
      </c>
      <c r="J237" s="1"/>
      <c r="K237" s="1"/>
      <c r="L237" s="1"/>
      <c r="M237" s="1"/>
      <c r="N237" s="1"/>
      <c r="O237" s="1"/>
      <c r="P237" s="1"/>
      <c r="Q237" s="1"/>
      <c r="R237" s="1"/>
      <c r="S237" s="1"/>
      <c r="T237" s="1"/>
      <c r="U237" s="42" t="str">
        <f t="shared" ca="1" si="33"/>
        <v>204 &amp; 504</v>
      </c>
      <c r="V237" s="42">
        <f t="shared" ca="1" si="34"/>
        <v>204</v>
      </c>
      <c r="W237" s="42">
        <f t="shared" ca="1" si="35"/>
        <v>504</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hidden="1" customHeight="1" x14ac:dyDescent="0.35">
      <c r="A238" s="84" t="str">
        <f t="shared" si="31"/>
        <v>2nd &amp; 5th Floor</v>
      </c>
      <c r="B238" s="84"/>
      <c r="C238" s="91" t="str">
        <f t="shared" ca="1" si="32"/>
        <v>205 &amp; 505</v>
      </c>
      <c r="D238" s="92"/>
      <c r="E238" s="20"/>
      <c r="F238" s="91"/>
      <c r="G238" s="92"/>
      <c r="H238" s="20"/>
      <c r="I238" s="20">
        <f t="shared" si="30"/>
        <v>0</v>
      </c>
      <c r="J238" s="1"/>
      <c r="K238" s="1"/>
      <c r="L238" s="1"/>
      <c r="M238" s="1"/>
      <c r="N238" s="1"/>
      <c r="O238" s="1"/>
      <c r="P238" s="1"/>
      <c r="Q238" s="1"/>
      <c r="R238" s="1"/>
      <c r="S238" s="1"/>
      <c r="T238" s="1"/>
      <c r="U238" s="42" t="str">
        <f t="shared" ca="1" si="33"/>
        <v>205 &amp; 505</v>
      </c>
      <c r="V238" s="42">
        <f t="shared" ca="1" si="34"/>
        <v>205</v>
      </c>
      <c r="W238" s="42">
        <f t="shared" ca="1" si="35"/>
        <v>505</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hidden="1" customHeight="1" x14ac:dyDescent="0.35">
      <c r="A239" s="84" t="str">
        <f t="shared" si="31"/>
        <v>2nd &amp; 5th Floor</v>
      </c>
      <c r="B239" s="84"/>
      <c r="C239" s="91" t="str">
        <f t="shared" ca="1" si="32"/>
        <v>206 &amp; 506</v>
      </c>
      <c r="D239" s="92"/>
      <c r="E239" s="20"/>
      <c r="F239" s="91"/>
      <c r="G239" s="92"/>
      <c r="H239" s="20"/>
      <c r="I239" s="20">
        <f t="shared" si="30"/>
        <v>0</v>
      </c>
      <c r="J239" s="1"/>
      <c r="K239" s="1"/>
      <c r="L239" s="1"/>
      <c r="M239" s="1"/>
      <c r="N239" s="1"/>
      <c r="O239" s="1"/>
      <c r="P239" s="1"/>
      <c r="Q239" s="1"/>
      <c r="R239" s="1"/>
      <c r="S239" s="1"/>
      <c r="T239" s="1"/>
      <c r="U239" s="42" t="str">
        <f t="shared" ca="1" si="33"/>
        <v>206 &amp; 506</v>
      </c>
      <c r="V239" s="42">
        <f t="shared" ca="1" si="34"/>
        <v>206</v>
      </c>
      <c r="W239" s="42">
        <f t="shared" ca="1" si="35"/>
        <v>506</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hidden="1" customHeight="1" x14ac:dyDescent="0.35">
      <c r="A240" s="84" t="str">
        <f t="shared" si="31"/>
        <v>2nd &amp; 5th Floor</v>
      </c>
      <c r="B240" s="84"/>
      <c r="C240" s="91" t="str">
        <f t="shared" ca="1" si="32"/>
        <v>207 &amp; 507</v>
      </c>
      <c r="D240" s="92"/>
      <c r="E240" s="20"/>
      <c r="F240" s="91"/>
      <c r="G240" s="92"/>
      <c r="H240" s="20"/>
      <c r="I240" s="20">
        <f t="shared" si="30"/>
        <v>0</v>
      </c>
      <c r="J240" s="1"/>
      <c r="K240" s="1"/>
      <c r="L240" s="1"/>
      <c r="M240" s="1"/>
      <c r="N240" s="1"/>
      <c r="O240" s="1"/>
      <c r="P240" s="1"/>
      <c r="Q240" s="1"/>
      <c r="R240" s="1"/>
      <c r="S240" s="1"/>
      <c r="T240" s="1"/>
      <c r="U240" s="42" t="str">
        <f t="shared" ca="1" si="33"/>
        <v>207 &amp; 507</v>
      </c>
      <c r="V240" s="42">
        <f t="shared" ca="1" si="34"/>
        <v>207</v>
      </c>
      <c r="W240" s="42">
        <f t="shared" ca="1" si="35"/>
        <v>507</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hidden="1" customHeight="1" x14ac:dyDescent="0.35">
      <c r="A241" s="84" t="str">
        <f t="shared" si="31"/>
        <v>2nd &amp; 5th Floor</v>
      </c>
      <c r="B241" s="84"/>
      <c r="C241" s="91" t="str">
        <f t="shared" ca="1" si="32"/>
        <v>208 &amp; 508</v>
      </c>
      <c r="D241" s="92"/>
      <c r="E241" s="20"/>
      <c r="F241" s="91"/>
      <c r="G241" s="92"/>
      <c r="H241" s="20"/>
      <c r="I241" s="20">
        <f t="shared" si="30"/>
        <v>0</v>
      </c>
      <c r="J241" s="1"/>
      <c r="K241" s="1"/>
      <c r="L241" s="1"/>
      <c r="M241" s="1"/>
      <c r="N241" s="1"/>
      <c r="O241" s="1"/>
      <c r="P241" s="1"/>
      <c r="Q241" s="1"/>
      <c r="R241" s="1"/>
      <c r="S241" s="1"/>
      <c r="T241" s="1"/>
      <c r="U241" s="42" t="str">
        <f t="shared" ca="1" si="33"/>
        <v>208 &amp; 508</v>
      </c>
      <c r="V241" s="42">
        <f t="shared" ca="1" si="34"/>
        <v>208</v>
      </c>
      <c r="W241" s="42">
        <f t="shared" ca="1" si="35"/>
        <v>508</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hidden="1" customHeight="1" x14ac:dyDescent="0.35">
      <c r="A242" s="84" t="str">
        <f t="shared" si="31"/>
        <v>2nd &amp; 5th Floor</v>
      </c>
      <c r="B242" s="84"/>
      <c r="C242" s="91" t="str">
        <f t="shared" ca="1" si="32"/>
        <v>209 &amp; 509</v>
      </c>
      <c r="D242" s="92"/>
      <c r="E242" s="20"/>
      <c r="F242" s="91"/>
      <c r="G242" s="92"/>
      <c r="H242" s="20"/>
      <c r="I242" s="20">
        <f t="shared" si="30"/>
        <v>0</v>
      </c>
      <c r="J242" s="1"/>
      <c r="K242" s="1"/>
      <c r="L242" s="1"/>
      <c r="M242" s="1"/>
      <c r="N242" s="1"/>
      <c r="O242" s="1"/>
      <c r="P242" s="1"/>
      <c r="Q242" s="1"/>
      <c r="R242" s="1"/>
      <c r="S242" s="1"/>
      <c r="T242" s="1"/>
      <c r="U242" s="42" t="str">
        <f t="shared" ca="1" si="33"/>
        <v>209 &amp; 509</v>
      </c>
      <c r="V242" s="42">
        <f t="shared" ca="1" si="34"/>
        <v>209</v>
      </c>
      <c r="W242" s="42">
        <f t="shared" ca="1" si="35"/>
        <v>509</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hidden="1" customHeight="1" x14ac:dyDescent="0.35">
      <c r="A243" s="84" t="str">
        <f t="shared" si="31"/>
        <v>2nd &amp; 5th Floor</v>
      </c>
      <c r="B243" s="84"/>
      <c r="C243" s="91" t="str">
        <f t="shared" ca="1" si="32"/>
        <v>210 &amp; 510</v>
      </c>
      <c r="D243" s="92"/>
      <c r="E243" s="20"/>
      <c r="F243" s="91"/>
      <c r="G243" s="92"/>
      <c r="H243" s="20"/>
      <c r="I243" s="20">
        <f t="shared" si="30"/>
        <v>0</v>
      </c>
      <c r="J243" s="1"/>
      <c r="K243" s="1"/>
      <c r="L243" s="1"/>
      <c r="M243" s="1"/>
      <c r="N243" s="1"/>
      <c r="O243" s="1"/>
      <c r="P243" s="1"/>
      <c r="Q243" s="1"/>
      <c r="R243" s="1"/>
      <c r="S243" s="1"/>
      <c r="T243" s="1"/>
      <c r="U243" s="42" t="str">
        <f t="shared" ca="1" si="33"/>
        <v>210 &amp; 510</v>
      </c>
      <c r="V243" s="42">
        <f t="shared" ca="1" si="34"/>
        <v>210</v>
      </c>
      <c r="W243" s="42">
        <f t="shared" ca="1" si="35"/>
        <v>510</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ht="20.5" x14ac:dyDescent="0.35">
      <c r="A244" s="81" t="s">
        <v>76</v>
      </c>
      <c r="B244" s="81"/>
      <c r="C244" s="81"/>
      <c r="D244" s="81"/>
      <c r="E244" s="81"/>
      <c r="F244" s="81"/>
      <c r="G244" s="81"/>
      <c r="H244" s="81"/>
      <c r="I244" s="81"/>
    </row>
    <row r="245" spans="1:151 16227:16384" ht="211" customHeight="1" x14ac:dyDescent="0.35">
      <c r="A245" s="9" t="s">
        <v>84</v>
      </c>
      <c r="B245" s="12" t="s">
        <v>4</v>
      </c>
      <c r="C245" s="97" t="s">
        <v>266</v>
      </c>
      <c r="D245" s="97"/>
      <c r="E245" s="97"/>
      <c r="F245" s="97"/>
      <c r="G245" s="97"/>
      <c r="H245" s="97"/>
      <c r="I245" s="97"/>
    </row>
    <row r="246" spans="1:151 16227:16384" ht="20.5" x14ac:dyDescent="0.35">
      <c r="A246" s="121" t="s">
        <v>85</v>
      </c>
      <c r="B246" s="121"/>
      <c r="C246" s="121"/>
      <c r="D246" s="121"/>
      <c r="E246" s="121"/>
      <c r="F246" s="121"/>
      <c r="G246" s="121"/>
      <c r="H246" s="121"/>
      <c r="I246" s="121"/>
    </row>
    <row r="247" spans="1:151 16227:16384" ht="20.5" x14ac:dyDescent="0.35">
      <c r="A247" s="101" t="s">
        <v>77</v>
      </c>
      <c r="B247" s="101"/>
      <c r="C247" s="101"/>
      <c r="D247" s="52" t="s">
        <v>4</v>
      </c>
      <c r="E247" s="102" t="str">
        <f>E3</f>
        <v>25 Hourlife - Tower A1, B1 &amp; C1</v>
      </c>
      <c r="F247" s="122"/>
      <c r="G247" s="122"/>
      <c r="H247" s="122"/>
      <c r="I247" s="103"/>
    </row>
    <row r="248" spans="1:151 16227:16384" ht="40.5" customHeight="1" x14ac:dyDescent="0.35">
      <c r="A248" s="101" t="s">
        <v>134</v>
      </c>
      <c r="B248" s="101"/>
      <c r="C248" s="101"/>
      <c r="D248" s="52" t="s">
        <v>4</v>
      </c>
      <c r="E248" s="102" t="str">
        <f>E9</f>
        <v>25 hour life, Ghodbunder Rd, next to Rmall, Manpada, Thane West, Thane, Maharashtra 400607</v>
      </c>
      <c r="F248" s="122"/>
      <c r="G248" s="122"/>
      <c r="H248" s="122"/>
      <c r="I248" s="103"/>
    </row>
    <row r="249" spans="1:151 16227:16384" ht="20.25" customHeight="1" x14ac:dyDescent="0.35">
      <c r="A249" s="131" t="s">
        <v>140</v>
      </c>
      <c r="B249" s="131"/>
      <c r="C249" s="131"/>
      <c r="D249" s="16" t="s">
        <v>4</v>
      </c>
      <c r="E249" s="132" t="str">
        <f>I3</f>
        <v>03/07/2025 @ 12:40PM</v>
      </c>
      <c r="F249" s="133"/>
      <c r="G249" s="133"/>
      <c r="H249" s="133"/>
      <c r="I249" s="134"/>
    </row>
    <row r="250" spans="1:151 16227:16384" ht="20.5" x14ac:dyDescent="0.35">
      <c r="A250" s="29"/>
      <c r="B250" s="30"/>
      <c r="C250" s="30"/>
      <c r="D250" s="30"/>
      <c r="E250" s="30"/>
      <c r="F250" s="30"/>
      <c r="G250" s="30"/>
      <c r="H250" s="30"/>
      <c r="I250" s="24"/>
    </row>
    <row r="251" spans="1:151 16227:16384" ht="20.5" x14ac:dyDescent="0.35">
      <c r="A251" s="31"/>
      <c r="B251" s="65"/>
      <c r="C251" s="65"/>
      <c r="D251" s="65"/>
      <c r="E251" s="65"/>
      <c r="F251" s="65"/>
      <c r="G251" s="65"/>
      <c r="H251" s="65"/>
      <c r="I251" s="25"/>
    </row>
    <row r="252" spans="1:151 16227:16384" ht="20.5" x14ac:dyDescent="0.35">
      <c r="A252" s="31"/>
      <c r="B252" s="65"/>
      <c r="C252" s="65"/>
      <c r="D252" s="65"/>
      <c r="E252" s="65"/>
      <c r="F252" s="65"/>
      <c r="G252" s="65"/>
      <c r="H252" s="65"/>
      <c r="I252" s="25"/>
    </row>
    <row r="253" spans="1:151 16227:16384" ht="20.5" x14ac:dyDescent="0.35">
      <c r="A253" s="31"/>
      <c r="B253" s="65"/>
      <c r="C253" s="65"/>
      <c r="D253" s="65"/>
      <c r="E253" s="65"/>
      <c r="F253" s="65"/>
      <c r="G253" s="65"/>
      <c r="H253" s="65"/>
      <c r="I253" s="25"/>
    </row>
    <row r="254" spans="1:151 16227:16384" ht="20.5" x14ac:dyDescent="0.35">
      <c r="A254" s="31"/>
      <c r="B254" s="65"/>
      <c r="C254" s="65"/>
      <c r="D254" s="65"/>
      <c r="E254" s="65"/>
      <c r="F254" s="65"/>
      <c r="G254" s="65"/>
      <c r="H254" s="65"/>
      <c r="I254" s="25"/>
    </row>
    <row r="255" spans="1:151 16227:16384" ht="20.5" x14ac:dyDescent="0.35">
      <c r="A255" s="31"/>
      <c r="B255" s="65"/>
      <c r="C255" s="65"/>
      <c r="D255" s="65"/>
      <c r="E255" s="65"/>
      <c r="F255" s="65"/>
      <c r="G255" s="65"/>
      <c r="H255" s="65"/>
      <c r="I255" s="25"/>
    </row>
    <row r="256" spans="1:151 16227:16384" ht="20.5" x14ac:dyDescent="0.35">
      <c r="A256" s="31"/>
      <c r="B256" s="65"/>
      <c r="C256" s="65"/>
      <c r="D256" s="65"/>
      <c r="E256" s="65"/>
      <c r="F256" s="65"/>
      <c r="G256" s="65"/>
      <c r="H256" s="65"/>
      <c r="I256" s="25"/>
    </row>
    <row r="257" spans="1:9" ht="20.5" x14ac:dyDescent="0.35">
      <c r="A257" s="31"/>
      <c r="B257" s="65"/>
      <c r="C257" s="65"/>
      <c r="D257" s="65"/>
      <c r="E257" s="65"/>
      <c r="F257" s="65"/>
      <c r="G257" s="65"/>
      <c r="H257" s="65"/>
      <c r="I257" s="25"/>
    </row>
    <row r="258" spans="1:9" ht="20.5" x14ac:dyDescent="0.35">
      <c r="A258" s="31"/>
      <c r="B258" s="65"/>
      <c r="C258" s="65"/>
      <c r="D258" s="65"/>
      <c r="E258" s="65"/>
      <c r="F258" s="65"/>
      <c r="G258" s="65"/>
      <c r="H258" s="65"/>
      <c r="I258" s="25"/>
    </row>
    <row r="259" spans="1:9" ht="20.5" x14ac:dyDescent="0.35">
      <c r="A259" s="31"/>
      <c r="B259" s="65"/>
      <c r="C259" s="65"/>
      <c r="D259" s="65"/>
      <c r="E259" s="65"/>
      <c r="F259" s="65"/>
      <c r="G259" s="65"/>
      <c r="H259" s="65"/>
      <c r="I259" s="25"/>
    </row>
    <row r="260" spans="1:9" ht="20.5" x14ac:dyDescent="0.35">
      <c r="A260" s="31"/>
      <c r="B260" s="65"/>
      <c r="C260" s="65"/>
      <c r="D260" s="65"/>
      <c r="E260" s="65"/>
      <c r="F260" s="65"/>
      <c r="G260" s="65"/>
      <c r="H260" s="65"/>
      <c r="I260" s="25"/>
    </row>
    <row r="261" spans="1:9" ht="20.5" x14ac:dyDescent="0.35">
      <c r="A261" s="31"/>
      <c r="B261" s="65"/>
      <c r="C261" s="65"/>
      <c r="D261" s="65"/>
      <c r="E261" s="65"/>
      <c r="F261" s="65"/>
      <c r="G261" s="65"/>
      <c r="H261" s="65"/>
      <c r="I261" s="25"/>
    </row>
    <row r="262" spans="1:9" ht="20.5" x14ac:dyDescent="0.35">
      <c r="A262" s="31"/>
      <c r="B262" s="65"/>
      <c r="C262" s="65"/>
      <c r="D262" s="65"/>
      <c r="E262" s="65"/>
      <c r="F262" s="65"/>
      <c r="G262" s="65"/>
      <c r="H262" s="65"/>
      <c r="I262" s="25"/>
    </row>
    <row r="263" spans="1:9" ht="20.5" x14ac:dyDescent="0.35">
      <c r="A263" s="31"/>
      <c r="B263" s="65"/>
      <c r="C263" s="65"/>
      <c r="D263" s="65"/>
      <c r="E263" s="65"/>
      <c r="F263" s="65"/>
      <c r="G263" s="65"/>
      <c r="H263" s="65"/>
      <c r="I263" s="25"/>
    </row>
    <row r="264" spans="1:9" ht="20.5" x14ac:dyDescent="0.35">
      <c r="A264" s="31"/>
      <c r="B264" s="65"/>
      <c r="C264" s="65"/>
      <c r="D264" s="65"/>
      <c r="E264" s="65"/>
      <c r="F264" s="65"/>
      <c r="G264" s="65"/>
      <c r="H264" s="65"/>
      <c r="I264" s="25"/>
    </row>
    <row r="265" spans="1:9" ht="20.5" x14ac:dyDescent="0.35">
      <c r="A265" s="31"/>
      <c r="B265" s="65"/>
      <c r="C265" s="65"/>
      <c r="D265" s="65"/>
      <c r="E265" s="65"/>
      <c r="F265" s="65"/>
      <c r="G265" s="65"/>
      <c r="H265" s="65"/>
      <c r="I265" s="25"/>
    </row>
    <row r="266" spans="1:9" ht="20.5" x14ac:dyDescent="0.35">
      <c r="A266" s="31"/>
      <c r="B266" s="65"/>
      <c r="C266" s="65"/>
      <c r="D266" s="65"/>
      <c r="E266" s="65"/>
      <c r="F266" s="65"/>
      <c r="G266" s="65"/>
      <c r="H266" s="65"/>
      <c r="I266" s="25"/>
    </row>
    <row r="267" spans="1:9" ht="20.5" x14ac:dyDescent="0.35">
      <c r="A267" s="31"/>
      <c r="B267" s="65"/>
      <c r="C267" s="65"/>
      <c r="D267" s="65"/>
      <c r="E267" s="65"/>
      <c r="F267" s="65"/>
      <c r="G267" s="65"/>
      <c r="H267" s="65"/>
      <c r="I267" s="25"/>
    </row>
    <row r="268" spans="1:9" ht="20.5" x14ac:dyDescent="0.35">
      <c r="A268" s="31"/>
      <c r="B268" s="65"/>
      <c r="C268" s="65"/>
      <c r="D268" s="65"/>
      <c r="E268" s="65"/>
      <c r="F268" s="65"/>
      <c r="G268" s="65"/>
      <c r="H268" s="65"/>
      <c r="I268" s="25"/>
    </row>
    <row r="269" spans="1:9" ht="20.5" x14ac:dyDescent="0.35">
      <c r="A269" s="31"/>
      <c r="B269" s="65"/>
      <c r="C269" s="65"/>
      <c r="D269" s="65"/>
      <c r="E269" s="65"/>
      <c r="F269" s="65"/>
      <c r="G269" s="65"/>
      <c r="H269" s="65"/>
      <c r="I269" s="25"/>
    </row>
    <row r="270" spans="1:9" ht="20.5" x14ac:dyDescent="0.35">
      <c r="A270" s="31"/>
      <c r="B270" s="65"/>
      <c r="C270" s="65"/>
      <c r="D270" s="65"/>
      <c r="E270" s="65"/>
      <c r="F270" s="65"/>
      <c r="G270" s="65"/>
      <c r="H270" s="65"/>
      <c r="I270" s="25"/>
    </row>
    <row r="271" spans="1:9" ht="20.5" x14ac:dyDescent="0.35">
      <c r="A271" s="31"/>
      <c r="B271" s="65"/>
      <c r="C271" s="65"/>
      <c r="D271" s="65"/>
      <c r="E271" s="65"/>
      <c r="F271" s="65"/>
      <c r="G271" s="65"/>
      <c r="H271" s="65"/>
      <c r="I271" s="25"/>
    </row>
    <row r="272" spans="1:9" ht="20.5" x14ac:dyDescent="0.35">
      <c r="A272" s="31"/>
      <c r="B272" s="65"/>
      <c r="C272" s="65"/>
      <c r="D272" s="65"/>
      <c r="E272" s="65"/>
      <c r="F272" s="65"/>
      <c r="G272" s="65"/>
      <c r="H272" s="65"/>
      <c r="I272" s="25"/>
    </row>
    <row r="273" spans="1:9" ht="20.5" x14ac:dyDescent="0.35">
      <c r="A273" s="31"/>
      <c r="B273" s="65"/>
      <c r="C273" s="65"/>
      <c r="D273" s="65"/>
      <c r="E273" s="65"/>
      <c r="F273" s="65"/>
      <c r="G273" s="65"/>
      <c r="H273" s="65"/>
      <c r="I273" s="25"/>
    </row>
    <row r="274" spans="1:9" ht="20.5" x14ac:dyDescent="0.35">
      <c r="A274" s="31"/>
      <c r="B274" s="65"/>
      <c r="C274" s="65"/>
      <c r="D274" s="65"/>
      <c r="E274" s="65"/>
      <c r="F274" s="65"/>
      <c r="G274" s="65"/>
      <c r="H274" s="65"/>
      <c r="I274" s="25"/>
    </row>
    <row r="275" spans="1:9" ht="20.5" x14ac:dyDescent="0.35">
      <c r="A275" s="31"/>
      <c r="B275" s="65"/>
      <c r="C275" s="65"/>
      <c r="D275" s="65"/>
      <c r="E275" s="65"/>
      <c r="F275" s="65"/>
      <c r="G275" s="65"/>
      <c r="H275" s="65"/>
      <c r="I275" s="25"/>
    </row>
    <row r="276" spans="1:9" ht="20.5" x14ac:dyDescent="0.35">
      <c r="A276" s="31"/>
      <c r="B276" s="65"/>
      <c r="C276" s="65"/>
      <c r="D276" s="65"/>
      <c r="E276" s="65"/>
      <c r="F276" s="65"/>
      <c r="G276" s="65"/>
      <c r="H276" s="65"/>
      <c r="I276" s="25"/>
    </row>
    <row r="277" spans="1:9" ht="20.5" x14ac:dyDescent="0.35">
      <c r="A277" s="31"/>
      <c r="B277" s="65"/>
      <c r="C277" s="65"/>
      <c r="D277" s="65"/>
      <c r="E277" s="65"/>
      <c r="F277" s="65"/>
      <c r="G277" s="65"/>
      <c r="H277" s="65"/>
      <c r="I277" s="25"/>
    </row>
    <row r="278" spans="1:9" ht="20.5" x14ac:dyDescent="0.35">
      <c r="A278" s="31"/>
      <c r="B278" s="65"/>
      <c r="C278" s="65"/>
      <c r="D278" s="65"/>
      <c r="E278" s="65"/>
      <c r="F278" s="65"/>
      <c r="G278" s="65"/>
      <c r="H278" s="65"/>
      <c r="I278" s="25"/>
    </row>
    <row r="279" spans="1:9" ht="20.25" customHeight="1" x14ac:dyDescent="0.35">
      <c r="A279" s="31"/>
      <c r="B279" s="65"/>
      <c r="C279" s="65"/>
      <c r="D279" s="65"/>
      <c r="E279" s="65"/>
      <c r="F279" s="65"/>
      <c r="G279" s="65"/>
      <c r="H279" s="65"/>
      <c r="I279" s="25"/>
    </row>
    <row r="280" spans="1:9" ht="20.25" customHeight="1" x14ac:dyDescent="0.35">
      <c r="A280" s="31"/>
      <c r="B280" s="65"/>
      <c r="C280" s="65"/>
      <c r="D280" s="65"/>
      <c r="E280" s="65"/>
      <c r="F280" s="65"/>
      <c r="G280" s="65"/>
      <c r="H280" s="65"/>
      <c r="I280" s="25"/>
    </row>
    <row r="281" spans="1:9" ht="20.25" customHeight="1" x14ac:dyDescent="0.35">
      <c r="A281" s="31"/>
      <c r="B281" s="65"/>
      <c r="C281" s="65"/>
      <c r="D281" s="65"/>
      <c r="E281" s="65"/>
      <c r="F281" s="65"/>
      <c r="G281" s="65"/>
      <c r="H281" s="65"/>
      <c r="I281" s="25"/>
    </row>
    <row r="282" spans="1:9" ht="20.25" customHeight="1" x14ac:dyDescent="0.35">
      <c r="A282" s="31"/>
      <c r="B282" s="65"/>
      <c r="C282" s="65"/>
      <c r="D282" s="65"/>
      <c r="E282" s="65"/>
      <c r="F282" s="65"/>
      <c r="G282" s="65"/>
      <c r="H282" s="65"/>
      <c r="I282" s="25"/>
    </row>
    <row r="283" spans="1:9" ht="20.25" customHeight="1" x14ac:dyDescent="0.35">
      <c r="A283" s="31"/>
      <c r="B283" s="65"/>
      <c r="C283" s="65"/>
      <c r="D283" s="65"/>
      <c r="E283" s="65"/>
      <c r="F283" s="65"/>
      <c r="G283" s="65"/>
      <c r="H283" s="65"/>
      <c r="I283" s="25"/>
    </row>
    <row r="284" spans="1:9" ht="20.25" hidden="1" customHeight="1" x14ac:dyDescent="0.35">
      <c r="A284" s="31"/>
      <c r="B284" s="65"/>
      <c r="C284" s="65"/>
      <c r="D284" s="65"/>
      <c r="E284" s="65"/>
      <c r="F284" s="65"/>
      <c r="G284" s="65"/>
      <c r="H284" s="65"/>
      <c r="I284" s="25"/>
    </row>
    <row r="285" spans="1:9" ht="20.25" hidden="1" customHeight="1" x14ac:dyDescent="0.35">
      <c r="A285" s="31"/>
      <c r="B285" s="65"/>
      <c r="C285" s="65"/>
      <c r="D285" s="65"/>
      <c r="E285" s="65"/>
      <c r="F285" s="65"/>
      <c r="G285" s="65"/>
      <c r="H285" s="65"/>
      <c r="I285" s="25"/>
    </row>
    <row r="286" spans="1:9" ht="20.25" hidden="1" customHeight="1" x14ac:dyDescent="0.35">
      <c r="A286" s="31"/>
      <c r="B286" s="65"/>
      <c r="C286" s="65"/>
      <c r="D286" s="65"/>
      <c r="E286" s="65"/>
      <c r="F286" s="65"/>
      <c r="G286" s="65"/>
      <c r="H286" s="65"/>
      <c r="I286" s="25"/>
    </row>
    <row r="287" spans="1:9" ht="20.25" hidden="1" customHeight="1" x14ac:dyDescent="0.35">
      <c r="A287" s="31"/>
      <c r="B287" s="65"/>
      <c r="C287" s="65"/>
      <c r="D287" s="65"/>
      <c r="E287" s="65"/>
      <c r="F287" s="65"/>
      <c r="G287" s="65"/>
      <c r="H287" s="65"/>
      <c r="I287" s="25"/>
    </row>
    <row r="288" spans="1:9" ht="20.25" hidden="1" customHeight="1" x14ac:dyDescent="0.35">
      <c r="A288" s="31"/>
      <c r="B288" s="65"/>
      <c r="C288" s="65"/>
      <c r="D288" s="65"/>
      <c r="E288" s="65"/>
      <c r="F288" s="65"/>
      <c r="G288" s="65"/>
      <c r="H288" s="65"/>
      <c r="I288" s="25"/>
    </row>
    <row r="289" spans="1:9" ht="20.25" hidden="1" customHeight="1" x14ac:dyDescent="0.35">
      <c r="A289" s="31"/>
      <c r="B289" s="65"/>
      <c r="C289" s="65"/>
      <c r="D289" s="65"/>
      <c r="E289" s="65"/>
      <c r="F289" s="65"/>
      <c r="G289" s="65"/>
      <c r="H289" s="65"/>
      <c r="I289" s="25"/>
    </row>
    <row r="290" spans="1:9" ht="20.25" hidden="1" customHeight="1" x14ac:dyDescent="0.35">
      <c r="A290" s="31"/>
      <c r="B290" s="65"/>
      <c r="C290" s="65"/>
      <c r="D290" s="65"/>
      <c r="E290" s="65"/>
      <c r="F290" s="65"/>
      <c r="G290" s="65"/>
      <c r="H290" s="65"/>
      <c r="I290" s="25"/>
    </row>
    <row r="291" spans="1:9" ht="20.25" hidden="1" customHeight="1" x14ac:dyDescent="0.35">
      <c r="A291" s="31"/>
      <c r="B291" s="65"/>
      <c r="C291" s="65"/>
      <c r="D291" s="65"/>
      <c r="E291" s="65"/>
      <c r="F291" s="65"/>
      <c r="G291" s="65"/>
      <c r="H291" s="65"/>
      <c r="I291" s="25"/>
    </row>
    <row r="292" spans="1:9" ht="20.25" hidden="1" customHeight="1" x14ac:dyDescent="0.35">
      <c r="A292" s="31"/>
      <c r="B292" s="65"/>
      <c r="C292" s="65"/>
      <c r="D292" s="65"/>
      <c r="E292" s="65"/>
      <c r="F292" s="65"/>
      <c r="G292" s="65"/>
      <c r="H292" s="65"/>
      <c r="I292" s="25"/>
    </row>
    <row r="293" spans="1:9" ht="20.25" hidden="1" customHeight="1" x14ac:dyDescent="0.35">
      <c r="A293" s="31"/>
      <c r="B293" s="65"/>
      <c r="C293" s="65"/>
      <c r="D293" s="65"/>
      <c r="E293" s="65"/>
      <c r="F293" s="65"/>
      <c r="G293" s="65"/>
      <c r="H293" s="65"/>
      <c r="I293" s="25"/>
    </row>
    <row r="294" spans="1:9" ht="20.25" hidden="1" customHeight="1" x14ac:dyDescent="0.35">
      <c r="A294" s="31"/>
      <c r="B294" s="65"/>
      <c r="C294" s="65"/>
      <c r="D294" s="65"/>
      <c r="E294" s="65"/>
      <c r="F294" s="65"/>
      <c r="G294" s="65"/>
      <c r="H294" s="65"/>
      <c r="I294" s="25"/>
    </row>
    <row r="295" spans="1:9" ht="20.25" hidden="1" customHeight="1" x14ac:dyDescent="0.35">
      <c r="A295" s="31"/>
      <c r="B295" s="65"/>
      <c r="C295" s="65"/>
      <c r="D295" s="65"/>
      <c r="E295" s="65"/>
      <c r="F295" s="65"/>
      <c r="G295" s="65"/>
      <c r="H295" s="65"/>
      <c r="I295" s="25"/>
    </row>
    <row r="296" spans="1:9" ht="20.25" customHeight="1" x14ac:dyDescent="0.35">
      <c r="A296" s="31"/>
      <c r="B296" s="65"/>
      <c r="C296" s="65"/>
      <c r="D296" s="65"/>
      <c r="E296" s="65"/>
      <c r="F296" s="65"/>
      <c r="G296" s="65"/>
      <c r="H296" s="65"/>
      <c r="I296" s="25"/>
    </row>
    <row r="297" spans="1:9" ht="20.25" customHeight="1" x14ac:dyDescent="0.35">
      <c r="A297" s="31"/>
      <c r="B297" s="65"/>
      <c r="C297" s="65"/>
      <c r="D297" s="65"/>
      <c r="E297" s="65"/>
      <c r="F297" s="65"/>
      <c r="G297" s="65"/>
      <c r="H297" s="65"/>
      <c r="I297" s="25"/>
    </row>
    <row r="298" spans="1:9" ht="20.25" customHeight="1" x14ac:dyDescent="0.35">
      <c r="A298" s="32"/>
      <c r="B298" s="33"/>
      <c r="C298" s="33"/>
      <c r="D298" s="33"/>
      <c r="E298" s="33"/>
      <c r="F298" s="33"/>
      <c r="G298" s="33"/>
      <c r="H298" s="33"/>
      <c r="I298" s="26"/>
    </row>
    <row r="299" spans="1:9" ht="20.5" x14ac:dyDescent="0.35">
      <c r="A299" s="81" t="s">
        <v>194</v>
      </c>
      <c r="B299" s="81"/>
      <c r="C299" s="81"/>
      <c r="D299" s="81"/>
      <c r="E299" s="81"/>
      <c r="F299" s="81"/>
      <c r="G299" s="81"/>
      <c r="H299" s="81"/>
      <c r="I299" s="81"/>
    </row>
    <row r="300" spans="1:9" ht="20.5" x14ac:dyDescent="0.35">
      <c r="A300" s="29"/>
      <c r="B300" s="30"/>
      <c r="C300" s="30"/>
      <c r="D300" s="30"/>
      <c r="E300" s="30"/>
      <c r="F300" s="30"/>
      <c r="G300" s="30"/>
      <c r="H300" s="30"/>
      <c r="I300" s="24"/>
    </row>
    <row r="301" spans="1:9" ht="20.5" x14ac:dyDescent="0.35">
      <c r="A301" s="31"/>
      <c r="B301" s="65"/>
      <c r="C301" s="65"/>
      <c r="D301" s="65"/>
      <c r="E301" s="65"/>
      <c r="F301" s="65"/>
      <c r="G301" s="65"/>
      <c r="H301" s="65"/>
      <c r="I301" s="25"/>
    </row>
    <row r="302" spans="1:9" ht="20.5" x14ac:dyDescent="0.35">
      <c r="A302" s="31"/>
      <c r="B302" s="65"/>
      <c r="C302" s="65"/>
      <c r="D302" s="65"/>
      <c r="E302" s="65"/>
      <c r="F302" s="65"/>
      <c r="G302" s="65"/>
      <c r="H302" s="65"/>
      <c r="I302" s="25"/>
    </row>
    <row r="303" spans="1:9" ht="20.5" x14ac:dyDescent="0.35">
      <c r="A303" s="31"/>
      <c r="B303" s="65"/>
      <c r="C303" s="65"/>
      <c r="D303" s="65"/>
      <c r="E303" s="65"/>
      <c r="F303" s="65"/>
      <c r="G303" s="65"/>
      <c r="H303" s="65"/>
      <c r="I303" s="25"/>
    </row>
    <row r="304" spans="1:9" ht="20.5" x14ac:dyDescent="0.35">
      <c r="A304" s="31"/>
      <c r="B304" s="65"/>
      <c r="C304" s="65"/>
      <c r="D304" s="65"/>
      <c r="E304" s="65"/>
      <c r="F304" s="65"/>
      <c r="G304" s="65"/>
      <c r="H304" s="65"/>
      <c r="I304" s="25"/>
    </row>
    <row r="305" spans="1:9" ht="20.5" x14ac:dyDescent="0.35">
      <c r="A305" s="31"/>
      <c r="B305" s="65"/>
      <c r="C305" s="65"/>
      <c r="D305" s="65"/>
      <c r="E305" s="65"/>
      <c r="F305" s="65"/>
      <c r="G305" s="65"/>
      <c r="H305" s="65"/>
      <c r="I305" s="25"/>
    </row>
    <row r="306" spans="1:9" ht="20.5" x14ac:dyDescent="0.35">
      <c r="A306" s="31"/>
      <c r="B306" s="65"/>
      <c r="C306" s="65"/>
      <c r="D306" s="65"/>
      <c r="E306" s="65"/>
      <c r="F306" s="65"/>
      <c r="G306" s="65"/>
      <c r="H306" s="65"/>
      <c r="I306" s="25"/>
    </row>
    <row r="307" spans="1:9" ht="20.5" x14ac:dyDescent="0.35">
      <c r="A307" s="31"/>
      <c r="B307" s="65"/>
      <c r="C307" s="65"/>
      <c r="D307" s="65"/>
      <c r="E307" s="65"/>
      <c r="F307" s="65"/>
      <c r="G307" s="65"/>
      <c r="H307" s="65"/>
      <c r="I307" s="25"/>
    </row>
    <row r="308" spans="1:9" ht="20.5" x14ac:dyDescent="0.35">
      <c r="A308" s="31"/>
      <c r="B308" s="65"/>
      <c r="C308" s="65"/>
      <c r="D308" s="65"/>
      <c r="E308" s="65"/>
      <c r="F308" s="65"/>
      <c r="G308" s="65"/>
      <c r="H308" s="65"/>
      <c r="I308" s="25"/>
    </row>
    <row r="309" spans="1:9" ht="20.5" x14ac:dyDescent="0.35">
      <c r="A309" s="31"/>
      <c r="B309" s="65"/>
      <c r="C309" s="65"/>
      <c r="D309" s="65"/>
      <c r="E309" s="65"/>
      <c r="F309" s="65"/>
      <c r="G309" s="65"/>
      <c r="H309" s="65"/>
      <c r="I309" s="25"/>
    </row>
    <row r="310" spans="1:9" ht="20.5" x14ac:dyDescent="0.35">
      <c r="A310" s="31"/>
      <c r="B310" s="65"/>
      <c r="C310" s="65"/>
      <c r="D310" s="65"/>
      <c r="E310" s="65"/>
      <c r="F310" s="65"/>
      <c r="G310" s="65"/>
      <c r="H310" s="65"/>
      <c r="I310" s="25"/>
    </row>
    <row r="311" spans="1:9" ht="20.5" x14ac:dyDescent="0.35">
      <c r="A311" s="31"/>
      <c r="B311" s="65"/>
      <c r="C311" s="65"/>
      <c r="D311" s="65"/>
      <c r="E311" s="65"/>
      <c r="F311" s="65"/>
      <c r="G311" s="65"/>
      <c r="H311" s="65"/>
      <c r="I311" s="25"/>
    </row>
    <row r="312" spans="1:9" ht="20.5" x14ac:dyDescent="0.35">
      <c r="A312" s="31"/>
      <c r="B312" s="65"/>
      <c r="C312" s="65"/>
      <c r="D312" s="65"/>
      <c r="E312" s="65"/>
      <c r="F312" s="65"/>
      <c r="G312" s="65"/>
      <c r="H312" s="65"/>
      <c r="I312" s="25"/>
    </row>
    <row r="313" spans="1:9" ht="20.5" x14ac:dyDescent="0.35">
      <c r="A313" s="31"/>
      <c r="B313" s="65"/>
      <c r="C313" s="65"/>
      <c r="D313" s="65"/>
      <c r="E313" s="65"/>
      <c r="F313" s="65"/>
      <c r="G313" s="65"/>
      <c r="H313" s="65"/>
      <c r="I313" s="25"/>
    </row>
    <row r="314" spans="1:9" ht="20.5" x14ac:dyDescent="0.35">
      <c r="A314" s="31"/>
      <c r="B314" s="65"/>
      <c r="C314" s="65"/>
      <c r="D314" s="65"/>
      <c r="E314" s="65"/>
      <c r="F314" s="65"/>
      <c r="G314" s="65"/>
      <c r="H314" s="65"/>
      <c r="I314" s="25"/>
    </row>
    <row r="315" spans="1:9" ht="20.5" x14ac:dyDescent="0.35">
      <c r="A315" s="31"/>
      <c r="B315" s="65"/>
      <c r="C315" s="65"/>
      <c r="D315" s="65"/>
      <c r="E315" s="65"/>
      <c r="F315" s="65"/>
      <c r="G315" s="65"/>
      <c r="H315" s="65"/>
      <c r="I315" s="25"/>
    </row>
    <row r="316" spans="1:9" ht="20.5" x14ac:dyDescent="0.35">
      <c r="A316" s="31"/>
      <c r="B316" s="65"/>
      <c r="C316" s="65"/>
      <c r="D316" s="65"/>
      <c r="E316" s="65"/>
      <c r="F316" s="65"/>
      <c r="G316" s="65"/>
      <c r="H316" s="65"/>
      <c r="I316" s="25"/>
    </row>
    <row r="317" spans="1:9" ht="20.5" x14ac:dyDescent="0.35">
      <c r="A317" s="31"/>
      <c r="B317" s="65"/>
      <c r="C317" s="65"/>
      <c r="D317" s="65"/>
      <c r="E317" s="65"/>
      <c r="F317" s="65"/>
      <c r="G317" s="65"/>
      <c r="H317" s="65"/>
      <c r="I317" s="25"/>
    </row>
    <row r="318" spans="1:9" ht="20.5" x14ac:dyDescent="0.35">
      <c r="A318" s="31"/>
      <c r="B318" s="65"/>
      <c r="C318" s="65"/>
      <c r="D318" s="65"/>
      <c r="E318" s="65"/>
      <c r="F318" s="65"/>
      <c r="G318" s="65"/>
      <c r="H318" s="65"/>
      <c r="I318" s="25"/>
    </row>
    <row r="319" spans="1:9" ht="20.5" x14ac:dyDescent="0.35">
      <c r="A319" s="31"/>
      <c r="B319" s="65"/>
      <c r="C319" s="65"/>
      <c r="D319" s="65"/>
      <c r="E319" s="65"/>
      <c r="F319" s="65"/>
      <c r="G319" s="65"/>
      <c r="H319" s="65"/>
      <c r="I319" s="25"/>
    </row>
    <row r="320" spans="1:9" ht="20.5" x14ac:dyDescent="0.35">
      <c r="A320" s="31"/>
      <c r="B320" s="65"/>
      <c r="C320" s="65"/>
      <c r="D320" s="65"/>
      <c r="E320" s="65"/>
      <c r="F320" s="65"/>
      <c r="G320" s="65"/>
      <c r="H320" s="65"/>
      <c r="I320" s="25"/>
    </row>
    <row r="321" spans="1:9" ht="20.5" x14ac:dyDescent="0.35">
      <c r="A321" s="31"/>
      <c r="B321" s="65"/>
      <c r="C321" s="65"/>
      <c r="D321" s="65"/>
      <c r="E321" s="65"/>
      <c r="F321" s="65"/>
      <c r="G321" s="65"/>
      <c r="H321" s="65"/>
      <c r="I321" s="25"/>
    </row>
    <row r="322" spans="1:9" ht="20.5" x14ac:dyDescent="0.35">
      <c r="A322" s="31"/>
      <c r="B322" s="65"/>
      <c r="C322" s="65"/>
      <c r="D322" s="65"/>
      <c r="E322" s="65"/>
      <c r="F322" s="65"/>
      <c r="G322" s="65"/>
      <c r="H322" s="65"/>
      <c r="I322" s="25"/>
    </row>
    <row r="323" spans="1:9" ht="20.5" x14ac:dyDescent="0.35">
      <c r="A323" s="31"/>
      <c r="B323" s="65"/>
      <c r="C323" s="65"/>
      <c r="D323" s="65"/>
      <c r="E323" s="65"/>
      <c r="F323" s="65"/>
      <c r="G323" s="65"/>
      <c r="H323" s="65"/>
      <c r="I323" s="25"/>
    </row>
    <row r="324" spans="1:9" ht="20.5" x14ac:dyDescent="0.35">
      <c r="A324" s="31"/>
      <c r="B324" s="65"/>
      <c r="C324" s="65"/>
      <c r="D324" s="65"/>
      <c r="E324" s="65"/>
      <c r="F324" s="65"/>
      <c r="G324" s="65"/>
      <c r="H324" s="65"/>
      <c r="I324" s="25"/>
    </row>
    <row r="325" spans="1:9" ht="20.5" x14ac:dyDescent="0.35">
      <c r="A325" s="31"/>
      <c r="B325" s="65"/>
      <c r="C325" s="65"/>
      <c r="D325" s="65"/>
      <c r="E325" s="65"/>
      <c r="F325" s="65"/>
      <c r="G325" s="65"/>
      <c r="H325" s="65"/>
      <c r="I325" s="25"/>
    </row>
    <row r="326" spans="1:9" ht="20.5" x14ac:dyDescent="0.35">
      <c r="A326" s="31"/>
      <c r="B326" s="65"/>
      <c r="C326" s="65"/>
      <c r="D326" s="65"/>
      <c r="E326" s="65"/>
      <c r="F326" s="65"/>
      <c r="G326" s="65"/>
      <c r="H326" s="65"/>
      <c r="I326" s="25"/>
    </row>
    <row r="327" spans="1:9" ht="20.5" x14ac:dyDescent="0.35">
      <c r="A327" s="31"/>
      <c r="B327" s="65"/>
      <c r="C327" s="65"/>
      <c r="D327" s="65"/>
      <c r="E327" s="65"/>
      <c r="F327" s="65"/>
      <c r="G327" s="65"/>
      <c r="H327" s="65"/>
      <c r="I327" s="25"/>
    </row>
    <row r="328" spans="1:9" ht="20.5" x14ac:dyDescent="0.35">
      <c r="A328" s="31"/>
      <c r="B328" s="65"/>
      <c r="C328" s="65"/>
      <c r="D328" s="65"/>
      <c r="E328" s="65"/>
      <c r="F328" s="65"/>
      <c r="G328" s="65"/>
      <c r="H328" s="65"/>
      <c r="I328" s="25"/>
    </row>
    <row r="329" spans="1:9" ht="20.5" x14ac:dyDescent="0.35">
      <c r="A329" s="31"/>
      <c r="B329" s="65"/>
      <c r="C329" s="65"/>
      <c r="D329" s="65"/>
      <c r="E329" s="65"/>
      <c r="F329" s="65"/>
      <c r="G329" s="65"/>
      <c r="H329" s="65"/>
      <c r="I329" s="25"/>
    </row>
    <row r="330" spans="1:9" ht="20.5" x14ac:dyDescent="0.35">
      <c r="A330" s="31"/>
      <c r="B330" s="65"/>
      <c r="C330" s="65"/>
      <c r="D330" s="65"/>
      <c r="E330" s="65"/>
      <c r="F330" s="65"/>
      <c r="G330" s="65"/>
      <c r="H330" s="65"/>
      <c r="I330" s="25"/>
    </row>
    <row r="331" spans="1:9" ht="20.5" x14ac:dyDescent="0.35">
      <c r="A331" s="31"/>
      <c r="B331" s="65"/>
      <c r="C331" s="65"/>
      <c r="D331" s="65"/>
      <c r="E331" s="65"/>
      <c r="F331" s="65"/>
      <c r="G331" s="65"/>
      <c r="H331" s="65"/>
      <c r="I331" s="25"/>
    </row>
    <row r="332" spans="1:9" ht="20.5" x14ac:dyDescent="0.35">
      <c r="A332" s="31"/>
      <c r="B332" s="65"/>
      <c r="C332" s="65"/>
      <c r="D332" s="65"/>
      <c r="E332" s="65"/>
      <c r="F332" s="65"/>
      <c r="G332" s="65"/>
      <c r="H332" s="65"/>
      <c r="I332" s="25"/>
    </row>
    <row r="333" spans="1:9" ht="20.5" x14ac:dyDescent="0.35">
      <c r="A333" s="31"/>
      <c r="B333" s="65"/>
      <c r="C333" s="65"/>
      <c r="D333" s="65"/>
      <c r="E333" s="65"/>
      <c r="F333" s="65"/>
      <c r="G333" s="65"/>
      <c r="H333" s="65"/>
      <c r="I333" s="25"/>
    </row>
    <row r="334" spans="1:9" ht="20.5" hidden="1" x14ac:dyDescent="0.35">
      <c r="A334" s="31"/>
      <c r="B334" s="65"/>
      <c r="C334" s="65"/>
      <c r="D334" s="65"/>
      <c r="E334" s="65"/>
      <c r="F334" s="65"/>
      <c r="G334" s="65"/>
      <c r="H334" s="65"/>
      <c r="I334" s="25"/>
    </row>
    <row r="335" spans="1:9" ht="20.5" hidden="1" x14ac:dyDescent="0.35">
      <c r="A335" s="31"/>
      <c r="B335" s="65"/>
      <c r="C335" s="65"/>
      <c r="D335" s="65"/>
      <c r="E335" s="65"/>
      <c r="F335" s="65"/>
      <c r="G335" s="65"/>
      <c r="H335" s="65"/>
      <c r="I335" s="25"/>
    </row>
    <row r="336" spans="1:9" ht="20.5" hidden="1" x14ac:dyDescent="0.35">
      <c r="A336" s="31"/>
      <c r="B336" s="65"/>
      <c r="C336" s="65"/>
      <c r="D336" s="65"/>
      <c r="E336" s="65"/>
      <c r="F336" s="65"/>
      <c r="G336" s="65"/>
      <c r="H336" s="65"/>
      <c r="I336" s="25"/>
    </row>
    <row r="337" spans="1:9" ht="20.5" hidden="1" x14ac:dyDescent="0.35">
      <c r="A337" s="31"/>
      <c r="B337" s="65"/>
      <c r="C337" s="65"/>
      <c r="D337" s="65"/>
      <c r="E337" s="65"/>
      <c r="F337" s="65"/>
      <c r="G337" s="65"/>
      <c r="H337" s="65"/>
      <c r="I337" s="25"/>
    </row>
    <row r="338" spans="1:9" ht="20.5" hidden="1" x14ac:dyDescent="0.35">
      <c r="A338" s="31"/>
      <c r="B338" s="65"/>
      <c r="C338" s="65"/>
      <c r="D338" s="65"/>
      <c r="E338" s="65"/>
      <c r="F338" s="65"/>
      <c r="G338" s="65"/>
      <c r="H338" s="65"/>
      <c r="I338" s="25"/>
    </row>
    <row r="339" spans="1:9" ht="20.5" hidden="1" x14ac:dyDescent="0.35">
      <c r="A339" s="31"/>
      <c r="B339" s="65"/>
      <c r="C339" s="65"/>
      <c r="D339" s="65"/>
      <c r="E339" s="65"/>
      <c r="F339" s="65"/>
      <c r="G339" s="65"/>
      <c r="H339" s="65"/>
      <c r="I339" s="25"/>
    </row>
    <row r="340" spans="1:9" ht="20.5" hidden="1" x14ac:dyDescent="0.35">
      <c r="A340" s="31"/>
      <c r="B340" s="65"/>
      <c r="C340" s="65"/>
      <c r="D340" s="65"/>
      <c r="E340" s="65"/>
      <c r="F340" s="65"/>
      <c r="G340" s="65"/>
      <c r="H340" s="65"/>
      <c r="I340" s="25"/>
    </row>
    <row r="341" spans="1:9" ht="20.5" hidden="1" x14ac:dyDescent="0.35">
      <c r="A341" s="31"/>
      <c r="B341" s="65"/>
      <c r="C341" s="65"/>
      <c r="D341" s="65"/>
      <c r="E341" s="65"/>
      <c r="F341" s="65"/>
      <c r="G341" s="65"/>
      <c r="H341" s="65"/>
      <c r="I341" s="25"/>
    </row>
    <row r="342" spans="1:9" ht="20.5" x14ac:dyDescent="0.35">
      <c r="A342" s="31"/>
      <c r="B342" s="65"/>
      <c r="C342" s="65"/>
      <c r="D342" s="65"/>
      <c r="E342" s="65"/>
      <c r="F342" s="65"/>
      <c r="G342" s="65"/>
      <c r="H342" s="65"/>
      <c r="I342" s="25"/>
    </row>
    <row r="343" spans="1:9" ht="20.5" x14ac:dyDescent="0.35">
      <c r="A343" s="31"/>
      <c r="B343" s="65"/>
      <c r="C343" s="65"/>
      <c r="D343" s="65"/>
      <c r="E343" s="65"/>
      <c r="F343" s="65"/>
      <c r="G343" s="65"/>
      <c r="H343" s="65"/>
      <c r="I343" s="25"/>
    </row>
    <row r="344" spans="1:9" ht="20.5" x14ac:dyDescent="0.35">
      <c r="A344" s="31"/>
      <c r="B344" s="65"/>
      <c r="C344" s="65"/>
      <c r="D344" s="65"/>
      <c r="E344" s="65"/>
      <c r="F344" s="65"/>
      <c r="G344" s="65"/>
      <c r="H344" s="65"/>
      <c r="I344" s="25"/>
    </row>
    <row r="345" spans="1:9" ht="20.5" x14ac:dyDescent="0.35">
      <c r="A345" s="31"/>
      <c r="B345" s="65"/>
      <c r="C345" s="65"/>
      <c r="D345" s="65"/>
      <c r="E345" s="65"/>
      <c r="F345" s="65"/>
      <c r="G345" s="65"/>
      <c r="H345" s="65"/>
      <c r="I345" s="25"/>
    </row>
    <row r="346" spans="1:9" ht="20.5" x14ac:dyDescent="0.35">
      <c r="A346" s="31"/>
      <c r="B346" s="65"/>
      <c r="C346" s="65"/>
      <c r="D346" s="65"/>
      <c r="E346" s="65"/>
      <c r="F346" s="65"/>
      <c r="G346" s="65"/>
      <c r="H346" s="65"/>
      <c r="I346" s="25"/>
    </row>
    <row r="347" spans="1:9" ht="20.5" x14ac:dyDescent="0.35">
      <c r="A347" s="32"/>
      <c r="B347" s="33"/>
      <c r="C347" s="33"/>
      <c r="D347" s="33"/>
      <c r="E347" s="33"/>
      <c r="F347" s="33"/>
      <c r="G347" s="33"/>
      <c r="H347" s="33"/>
      <c r="I347" s="26"/>
    </row>
    <row r="348" spans="1:9" ht="20.5" x14ac:dyDescent="0.35">
      <c r="A348" s="98" t="s">
        <v>86</v>
      </c>
      <c r="B348" s="99"/>
      <c r="C348" s="99"/>
      <c r="D348" s="99"/>
      <c r="E348" s="99"/>
      <c r="F348" s="99"/>
      <c r="G348" s="99"/>
      <c r="H348" s="99"/>
      <c r="I348" s="100"/>
    </row>
    <row r="349" spans="1:9" ht="20.5" x14ac:dyDescent="0.35">
      <c r="A349" s="29"/>
      <c r="B349" s="30"/>
      <c r="C349" s="30"/>
      <c r="D349" s="30"/>
      <c r="E349" s="30"/>
      <c r="F349" s="30"/>
      <c r="G349" s="30"/>
      <c r="H349" s="30"/>
      <c r="I349" s="24"/>
    </row>
    <row r="350" spans="1:9" ht="20.5" x14ac:dyDescent="0.35">
      <c r="A350" s="31"/>
      <c r="B350" s="65"/>
      <c r="C350" s="65"/>
      <c r="D350" s="65"/>
      <c r="E350" s="65"/>
      <c r="F350" s="65"/>
      <c r="G350" s="65"/>
      <c r="H350" s="65"/>
      <c r="I350" s="25"/>
    </row>
    <row r="351" spans="1:9" ht="20.5" x14ac:dyDescent="0.35">
      <c r="A351" s="31"/>
      <c r="B351" s="65"/>
      <c r="C351" s="65"/>
      <c r="D351" s="65"/>
      <c r="E351" s="65"/>
      <c r="F351" s="65"/>
      <c r="G351" s="65"/>
      <c r="H351" s="65"/>
      <c r="I351" s="25"/>
    </row>
    <row r="352" spans="1:9" ht="20.5" x14ac:dyDescent="0.35">
      <c r="A352" s="31"/>
      <c r="B352" s="65"/>
      <c r="C352" s="65"/>
      <c r="D352" s="65"/>
      <c r="E352" s="65"/>
      <c r="F352" s="65"/>
      <c r="G352" s="65"/>
      <c r="H352" s="65"/>
      <c r="I352" s="25"/>
    </row>
    <row r="353" spans="1:9" ht="20.5" x14ac:dyDescent="0.35">
      <c r="A353" s="31"/>
      <c r="B353" s="65"/>
      <c r="C353" s="65"/>
      <c r="D353" s="65"/>
      <c r="E353" s="65"/>
      <c r="F353" s="65"/>
      <c r="G353" s="65"/>
      <c r="H353" s="65"/>
      <c r="I353" s="25"/>
    </row>
    <row r="354" spans="1:9" ht="20.5" x14ac:dyDescent="0.35">
      <c r="A354" s="31"/>
      <c r="B354" s="65"/>
      <c r="C354" s="65"/>
      <c r="D354" s="65"/>
      <c r="E354" s="65"/>
      <c r="F354" s="65"/>
      <c r="G354" s="65"/>
      <c r="H354" s="65"/>
      <c r="I354" s="25"/>
    </row>
    <row r="355" spans="1:9" ht="20.5" x14ac:dyDescent="0.35">
      <c r="A355" s="31"/>
      <c r="B355" s="65"/>
      <c r="C355" s="65"/>
      <c r="D355" s="65"/>
      <c r="E355" s="65"/>
      <c r="F355" s="65"/>
      <c r="G355" s="65"/>
      <c r="H355" s="65"/>
      <c r="I355" s="25"/>
    </row>
    <row r="356" spans="1:9" ht="20.5" x14ac:dyDescent="0.35">
      <c r="A356" s="31"/>
      <c r="B356" s="65"/>
      <c r="C356" s="65"/>
      <c r="D356" s="65"/>
      <c r="E356" s="65"/>
      <c r="F356" s="65"/>
      <c r="G356" s="65"/>
      <c r="H356" s="65"/>
      <c r="I356" s="25"/>
    </row>
    <row r="357" spans="1:9" ht="20.5" x14ac:dyDescent="0.35">
      <c r="A357" s="31"/>
      <c r="B357" s="65"/>
      <c r="C357" s="65"/>
      <c r="D357" s="65"/>
      <c r="E357" s="65"/>
      <c r="F357" s="65"/>
      <c r="G357" s="65"/>
      <c r="H357" s="65"/>
      <c r="I357" s="25"/>
    </row>
    <row r="358" spans="1:9" ht="20.5" x14ac:dyDescent="0.35">
      <c r="A358" s="31"/>
      <c r="B358" s="65"/>
      <c r="C358" s="65"/>
      <c r="D358" s="65"/>
      <c r="E358" s="65"/>
      <c r="F358" s="65"/>
      <c r="G358" s="65"/>
      <c r="H358" s="65"/>
      <c r="I358" s="25"/>
    </row>
    <row r="359" spans="1:9" ht="20.5" x14ac:dyDescent="0.35">
      <c r="A359" s="31"/>
      <c r="B359" s="65"/>
      <c r="C359" s="65"/>
      <c r="D359" s="65"/>
      <c r="E359" s="65"/>
      <c r="F359" s="65"/>
      <c r="G359" s="65"/>
      <c r="H359" s="65"/>
      <c r="I359" s="25"/>
    </row>
    <row r="360" spans="1:9" ht="20.5" x14ac:dyDescent="0.35">
      <c r="A360" s="31"/>
      <c r="B360" s="65"/>
      <c r="C360" s="65"/>
      <c r="D360" s="65"/>
      <c r="E360" s="65"/>
      <c r="F360" s="65"/>
      <c r="G360" s="65"/>
      <c r="H360" s="65"/>
      <c r="I360" s="25"/>
    </row>
    <row r="361" spans="1:9" ht="20.5" x14ac:dyDescent="0.35">
      <c r="A361" s="31"/>
      <c r="B361" s="65"/>
      <c r="C361" s="65"/>
      <c r="D361" s="65"/>
      <c r="E361" s="65"/>
      <c r="F361" s="65"/>
      <c r="G361" s="65"/>
      <c r="H361" s="65"/>
      <c r="I361" s="25"/>
    </row>
    <row r="362" spans="1:9" ht="20.5" x14ac:dyDescent="0.35">
      <c r="A362" s="31"/>
      <c r="B362" s="65"/>
      <c r="C362" s="65"/>
      <c r="D362" s="65"/>
      <c r="E362" s="65"/>
      <c r="F362" s="65"/>
      <c r="G362" s="65"/>
      <c r="H362" s="65"/>
      <c r="I362" s="25"/>
    </row>
    <row r="363" spans="1:9" ht="20.5" x14ac:dyDescent="0.35">
      <c r="A363" s="31"/>
      <c r="B363" s="65"/>
      <c r="C363" s="65"/>
      <c r="D363" s="65"/>
      <c r="E363" s="65"/>
      <c r="F363" s="65"/>
      <c r="G363" s="65"/>
      <c r="H363" s="65"/>
      <c r="I363" s="25"/>
    </row>
    <row r="364" spans="1:9" ht="20.5" x14ac:dyDescent="0.35">
      <c r="A364" s="31"/>
      <c r="B364" s="65"/>
      <c r="C364" s="65"/>
      <c r="D364" s="65"/>
      <c r="E364" s="65"/>
      <c r="F364" s="65"/>
      <c r="G364" s="65"/>
      <c r="H364" s="65"/>
      <c r="I364" s="25"/>
    </row>
    <row r="365" spans="1:9" ht="20.5" x14ac:dyDescent="0.35">
      <c r="A365" s="31"/>
      <c r="B365" s="65"/>
      <c r="C365" s="65"/>
      <c r="D365" s="65"/>
      <c r="E365" s="65"/>
      <c r="F365" s="65"/>
      <c r="G365" s="65"/>
      <c r="H365" s="65"/>
      <c r="I365" s="25"/>
    </row>
    <row r="366" spans="1:9" ht="20.5" x14ac:dyDescent="0.35">
      <c r="A366" s="31"/>
      <c r="B366" s="65"/>
      <c r="C366" s="65"/>
      <c r="D366" s="65"/>
      <c r="E366" s="65"/>
      <c r="F366" s="65"/>
      <c r="G366" s="65"/>
      <c r="H366" s="65"/>
      <c r="I366" s="25"/>
    </row>
    <row r="367" spans="1:9" ht="20.5" x14ac:dyDescent="0.35">
      <c r="A367" s="31"/>
      <c r="B367" s="65"/>
      <c r="C367" s="65"/>
      <c r="D367" s="65"/>
      <c r="E367" s="65"/>
      <c r="F367" s="65"/>
      <c r="G367" s="65"/>
      <c r="H367" s="65"/>
      <c r="I367" s="25"/>
    </row>
    <row r="368" spans="1:9" ht="20.5" x14ac:dyDescent="0.35">
      <c r="A368" s="31"/>
      <c r="B368" s="65"/>
      <c r="C368" s="65"/>
      <c r="D368" s="65"/>
      <c r="E368" s="65"/>
      <c r="F368" s="65"/>
      <c r="G368" s="65"/>
      <c r="H368" s="65"/>
      <c r="I368" s="25"/>
    </row>
    <row r="369" spans="1:9" ht="20.5" x14ac:dyDescent="0.35">
      <c r="A369" s="31"/>
      <c r="B369" s="65"/>
      <c r="C369" s="65"/>
      <c r="D369" s="65"/>
      <c r="E369" s="65"/>
      <c r="F369" s="65"/>
      <c r="G369" s="65"/>
      <c r="H369" s="65"/>
      <c r="I369" s="25"/>
    </row>
    <row r="370" spans="1:9" ht="20.5" x14ac:dyDescent="0.35">
      <c r="A370" s="31"/>
      <c r="B370" s="65"/>
      <c r="C370" s="65"/>
      <c r="D370" s="65"/>
      <c r="E370" s="65"/>
      <c r="F370" s="65"/>
      <c r="G370" s="65"/>
      <c r="H370" s="65"/>
      <c r="I370" s="25"/>
    </row>
    <row r="371" spans="1:9" ht="20.5" x14ac:dyDescent="0.35">
      <c r="A371" s="31"/>
      <c r="B371" s="65"/>
      <c r="C371" s="65"/>
      <c r="D371" s="65"/>
      <c r="E371" s="65"/>
      <c r="F371" s="65"/>
      <c r="G371" s="65"/>
      <c r="H371" s="65"/>
      <c r="I371" s="25"/>
    </row>
    <row r="372" spans="1:9" ht="20.5" x14ac:dyDescent="0.35">
      <c r="A372" s="31"/>
      <c r="B372" s="65"/>
      <c r="C372" s="65"/>
      <c r="D372" s="65"/>
      <c r="E372" s="65"/>
      <c r="F372" s="65"/>
      <c r="G372" s="65"/>
      <c r="H372" s="65"/>
      <c r="I372" s="25"/>
    </row>
    <row r="373" spans="1:9" ht="20.5" x14ac:dyDescent="0.35">
      <c r="A373" s="31"/>
      <c r="B373" s="65"/>
      <c r="C373" s="65"/>
      <c r="D373" s="65"/>
      <c r="E373" s="65"/>
      <c r="F373" s="65"/>
      <c r="G373" s="65"/>
      <c r="H373" s="65"/>
      <c r="I373" s="25"/>
    </row>
    <row r="374" spans="1:9" ht="20.5" x14ac:dyDescent="0.35">
      <c r="A374" s="31"/>
      <c r="B374" s="65"/>
      <c r="C374" s="65"/>
      <c r="D374" s="65"/>
      <c r="E374" s="65"/>
      <c r="F374" s="65"/>
      <c r="G374" s="65"/>
      <c r="H374" s="65"/>
      <c r="I374" s="25"/>
    </row>
    <row r="375" spans="1:9" ht="20.5" x14ac:dyDescent="0.35">
      <c r="A375" s="31"/>
      <c r="B375" s="65"/>
      <c r="C375" s="65"/>
      <c r="D375" s="65"/>
      <c r="E375" s="65"/>
      <c r="F375" s="65"/>
      <c r="G375" s="65"/>
      <c r="H375" s="65"/>
      <c r="I375" s="25"/>
    </row>
    <row r="376" spans="1:9" ht="20.5" x14ac:dyDescent="0.35">
      <c r="A376" s="31"/>
      <c r="B376" s="65"/>
      <c r="C376" s="65"/>
      <c r="D376" s="65"/>
      <c r="E376" s="65"/>
      <c r="F376" s="65"/>
      <c r="G376" s="65"/>
      <c r="H376" s="65"/>
      <c r="I376" s="25"/>
    </row>
    <row r="377" spans="1:9" ht="20.5" x14ac:dyDescent="0.35">
      <c r="A377" s="31"/>
      <c r="B377" s="65"/>
      <c r="C377" s="65"/>
      <c r="D377" s="65"/>
      <c r="E377" s="65"/>
      <c r="F377" s="65"/>
      <c r="G377" s="65"/>
      <c r="H377" s="65"/>
      <c r="I377" s="25"/>
    </row>
    <row r="378" spans="1:9" ht="20.5" x14ac:dyDescent="0.35">
      <c r="A378" s="31"/>
      <c r="B378" s="65"/>
      <c r="C378" s="65"/>
      <c r="D378" s="65"/>
      <c r="E378" s="65"/>
      <c r="F378" s="65"/>
      <c r="G378" s="65"/>
      <c r="H378" s="65"/>
      <c r="I378" s="25"/>
    </row>
    <row r="379" spans="1:9" ht="20.5" x14ac:dyDescent="0.35">
      <c r="A379" s="31"/>
      <c r="B379" s="65"/>
      <c r="C379" s="65"/>
      <c r="D379" s="65"/>
      <c r="E379" s="65"/>
      <c r="F379" s="65"/>
      <c r="G379" s="65"/>
      <c r="H379" s="65"/>
      <c r="I379" s="25"/>
    </row>
    <row r="380" spans="1:9" ht="20.5" x14ac:dyDescent="0.35">
      <c r="A380" s="31"/>
      <c r="B380" s="65"/>
      <c r="C380" s="65"/>
      <c r="D380" s="65"/>
      <c r="E380" s="65"/>
      <c r="F380" s="65"/>
      <c r="G380" s="65"/>
      <c r="H380" s="65"/>
      <c r="I380" s="25"/>
    </row>
    <row r="381" spans="1:9" ht="20.5" hidden="1" x14ac:dyDescent="0.35">
      <c r="A381" s="31"/>
      <c r="B381" s="65"/>
      <c r="C381" s="65"/>
      <c r="D381" s="65"/>
      <c r="E381" s="65"/>
      <c r="F381" s="65"/>
      <c r="G381" s="65"/>
      <c r="H381" s="65"/>
      <c r="I381" s="25"/>
    </row>
    <row r="382" spans="1:9" ht="20.5" hidden="1" x14ac:dyDescent="0.35">
      <c r="A382" s="31"/>
      <c r="B382" s="65"/>
      <c r="C382" s="65"/>
      <c r="D382" s="65"/>
      <c r="E382" s="65"/>
      <c r="F382" s="65"/>
      <c r="G382" s="65"/>
      <c r="H382" s="65"/>
      <c r="I382" s="25"/>
    </row>
    <row r="383" spans="1:9" ht="20.5" hidden="1" x14ac:dyDescent="0.35">
      <c r="A383" s="31"/>
      <c r="B383" s="65"/>
      <c r="C383" s="65"/>
      <c r="D383" s="65"/>
      <c r="E383" s="65"/>
      <c r="F383" s="65"/>
      <c r="G383" s="65"/>
      <c r="H383" s="65"/>
      <c r="I383" s="25"/>
    </row>
    <row r="384" spans="1:9" ht="20.5" hidden="1" x14ac:dyDescent="0.35">
      <c r="A384" s="31"/>
      <c r="B384" s="65"/>
      <c r="C384" s="65"/>
      <c r="D384" s="65"/>
      <c r="E384" s="65"/>
      <c r="F384" s="65"/>
      <c r="G384" s="65"/>
      <c r="H384" s="65"/>
      <c r="I384" s="25"/>
    </row>
    <row r="385" spans="1:9" ht="20.5" hidden="1" x14ac:dyDescent="0.35">
      <c r="A385" s="31"/>
      <c r="B385" s="65"/>
      <c r="C385" s="65"/>
      <c r="D385" s="65"/>
      <c r="E385" s="65"/>
      <c r="F385" s="65"/>
      <c r="G385" s="65"/>
      <c r="H385" s="65"/>
      <c r="I385" s="25"/>
    </row>
    <row r="386" spans="1:9" ht="20.5" x14ac:dyDescent="0.35">
      <c r="A386" s="81" t="s">
        <v>29</v>
      </c>
      <c r="B386" s="81"/>
      <c r="C386" s="81"/>
      <c r="D386" s="81"/>
      <c r="E386" s="81"/>
      <c r="F386" s="81"/>
      <c r="G386" s="81"/>
      <c r="H386" s="81"/>
      <c r="I386" s="81"/>
    </row>
    <row r="387" spans="1:9" ht="20.5" x14ac:dyDescent="0.35">
      <c r="A387" s="123" t="s">
        <v>88</v>
      </c>
      <c r="B387" s="124"/>
      <c r="C387" s="124"/>
      <c r="D387" s="124"/>
      <c r="E387" s="124"/>
      <c r="F387" s="124"/>
      <c r="G387" s="124"/>
      <c r="H387" s="124"/>
      <c r="I387" s="125"/>
    </row>
    <row r="388" spans="1:9" ht="20.5" x14ac:dyDescent="0.35">
      <c r="A388" s="126" t="s">
        <v>89</v>
      </c>
      <c r="B388" s="170"/>
      <c r="C388" s="170"/>
      <c r="D388" s="170"/>
      <c r="E388" s="170"/>
      <c r="F388" s="170"/>
      <c r="G388" s="170"/>
      <c r="H388" s="170"/>
      <c r="I388" s="127"/>
    </row>
    <row r="389" spans="1:9" ht="45" customHeight="1" x14ac:dyDescent="0.35">
      <c r="A389" s="126" t="s">
        <v>90</v>
      </c>
      <c r="B389" s="170"/>
      <c r="C389" s="170"/>
      <c r="D389" s="170"/>
      <c r="E389" s="170"/>
      <c r="F389" s="170"/>
      <c r="G389" s="170"/>
      <c r="H389" s="170"/>
      <c r="I389" s="127"/>
    </row>
    <row r="390" spans="1:9" ht="42.75" customHeight="1" x14ac:dyDescent="0.35">
      <c r="A390" s="126" t="s">
        <v>91</v>
      </c>
      <c r="B390" s="170"/>
      <c r="C390" s="170"/>
      <c r="D390" s="170"/>
      <c r="E390" s="170"/>
      <c r="F390" s="170"/>
      <c r="G390" s="170"/>
      <c r="H390" s="170"/>
      <c r="I390" s="127"/>
    </row>
    <row r="391" spans="1:9" ht="20.5" x14ac:dyDescent="0.35">
      <c r="A391" s="126" t="s">
        <v>92</v>
      </c>
      <c r="B391" s="170"/>
      <c r="C391" s="170"/>
      <c r="D391" s="170"/>
      <c r="E391" s="170"/>
      <c r="F391" s="170"/>
      <c r="G391" s="170"/>
      <c r="H391" s="170"/>
      <c r="I391" s="127"/>
    </row>
    <row r="392" spans="1:9" ht="20.5" x14ac:dyDescent="0.35">
      <c r="A392" s="126" t="s">
        <v>93</v>
      </c>
      <c r="B392" s="170"/>
      <c r="C392" s="170"/>
      <c r="D392" s="170"/>
      <c r="E392" s="170"/>
      <c r="F392" s="170"/>
      <c r="G392" s="170"/>
      <c r="H392" s="170"/>
      <c r="I392" s="127"/>
    </row>
    <row r="393" spans="1:9" ht="45" customHeight="1" x14ac:dyDescent="0.35">
      <c r="A393" s="126" t="s">
        <v>94</v>
      </c>
      <c r="B393" s="170"/>
      <c r="C393" s="170"/>
      <c r="D393" s="170"/>
      <c r="E393" s="170"/>
      <c r="F393" s="170"/>
      <c r="G393" s="170"/>
      <c r="H393" s="170"/>
      <c r="I393" s="127"/>
    </row>
    <row r="394" spans="1:9" ht="45" customHeight="1" x14ac:dyDescent="0.35">
      <c r="A394" s="126" t="s">
        <v>95</v>
      </c>
      <c r="B394" s="170"/>
      <c r="C394" s="170"/>
      <c r="D394" s="170"/>
      <c r="E394" s="170"/>
      <c r="F394" s="170"/>
      <c r="G394" s="170"/>
      <c r="H394" s="170"/>
      <c r="I394" s="127"/>
    </row>
    <row r="395" spans="1:9" ht="20.5" x14ac:dyDescent="0.35">
      <c r="A395" s="128" t="s">
        <v>96</v>
      </c>
      <c r="B395" s="129"/>
      <c r="C395" s="129"/>
      <c r="D395" s="129"/>
      <c r="E395" s="129"/>
      <c r="F395" s="129"/>
      <c r="G395" s="129"/>
      <c r="H395" s="129"/>
      <c r="I395" s="130"/>
    </row>
    <row r="396" spans="1:9" ht="61.5" customHeight="1" x14ac:dyDescent="0.35">
      <c r="A396" s="119" t="s">
        <v>35</v>
      </c>
      <c r="B396" s="119"/>
      <c r="C396" s="119"/>
      <c r="D396" s="52" t="s">
        <v>4</v>
      </c>
      <c r="E396" s="67" t="s">
        <v>221</v>
      </c>
      <c r="F396" s="13" t="s">
        <v>10</v>
      </c>
      <c r="G396" s="52" t="s">
        <v>4</v>
      </c>
      <c r="H396" s="120"/>
      <c r="I396" s="120"/>
    </row>
  </sheetData>
  <mergeCells count="595">
    <mergeCell ref="C51:I51"/>
    <mergeCell ref="A154:B154"/>
    <mergeCell ref="D154:E154"/>
    <mergeCell ref="F154:G154"/>
    <mergeCell ref="A155:B155"/>
    <mergeCell ref="D155:E155"/>
    <mergeCell ref="F155:G155"/>
    <mergeCell ref="A150:B150"/>
    <mergeCell ref="C150:I150"/>
    <mergeCell ref="A151:B151"/>
    <mergeCell ref="D151:E151"/>
    <mergeCell ref="F151:G151"/>
    <mergeCell ref="A152:B152"/>
    <mergeCell ref="D152:E152"/>
    <mergeCell ref="F152:G152"/>
    <mergeCell ref="A153:B153"/>
    <mergeCell ref="D153:E153"/>
    <mergeCell ref="F153:G153"/>
    <mergeCell ref="A149:B149"/>
    <mergeCell ref="D149:E149"/>
    <mergeCell ref="F149:G149"/>
    <mergeCell ref="A138:B138"/>
    <mergeCell ref="D138:E138"/>
    <mergeCell ref="F138:G138"/>
    <mergeCell ref="K143:L143"/>
    <mergeCell ref="A146:B146"/>
    <mergeCell ref="D146:E146"/>
    <mergeCell ref="F146:G146"/>
    <mergeCell ref="A147:B147"/>
    <mergeCell ref="D147:E147"/>
    <mergeCell ref="F147:G147"/>
    <mergeCell ref="A148:B148"/>
    <mergeCell ref="D148:E148"/>
    <mergeCell ref="F148:G148"/>
    <mergeCell ref="A144:B144"/>
    <mergeCell ref="D144:E144"/>
    <mergeCell ref="F144:G144"/>
    <mergeCell ref="A145:B145"/>
    <mergeCell ref="D145:E145"/>
    <mergeCell ref="F145:G145"/>
    <mergeCell ref="A143:I143"/>
    <mergeCell ref="A142:B142"/>
    <mergeCell ref="D142:E142"/>
    <mergeCell ref="F142:G142"/>
    <mergeCell ref="A135:B135"/>
    <mergeCell ref="D135:E135"/>
    <mergeCell ref="F135:G135"/>
    <mergeCell ref="A136:B136"/>
    <mergeCell ref="D136:E136"/>
    <mergeCell ref="F136:G136"/>
    <mergeCell ref="A137:B137"/>
    <mergeCell ref="D137:E137"/>
    <mergeCell ref="F137:G137"/>
    <mergeCell ref="A139:B139"/>
    <mergeCell ref="D139:E139"/>
    <mergeCell ref="F139:G139"/>
    <mergeCell ref="A140:B140"/>
    <mergeCell ref="D140:E140"/>
    <mergeCell ref="F140:G140"/>
    <mergeCell ref="A141:B141"/>
    <mergeCell ref="D141:E141"/>
    <mergeCell ref="F141:G141"/>
    <mergeCell ref="J129:K129"/>
    <mergeCell ref="A130:I130"/>
    <mergeCell ref="K130:L130"/>
    <mergeCell ref="A131:B131"/>
    <mergeCell ref="D131:E131"/>
    <mergeCell ref="F131:G131"/>
    <mergeCell ref="A132:B132"/>
    <mergeCell ref="D132:E132"/>
    <mergeCell ref="F132:G132"/>
    <mergeCell ref="D201:E201"/>
    <mergeCell ref="F201:G201"/>
    <mergeCell ref="A200:B200"/>
    <mergeCell ref="D200:E200"/>
    <mergeCell ref="F200:G200"/>
    <mergeCell ref="A201:B201"/>
    <mergeCell ref="A197:B197"/>
    <mergeCell ref="D197:E197"/>
    <mergeCell ref="F197:G197"/>
    <mergeCell ref="A198:B198"/>
    <mergeCell ref="D198:E198"/>
    <mergeCell ref="F198:G198"/>
    <mergeCell ref="A199:B199"/>
    <mergeCell ref="D199:E199"/>
    <mergeCell ref="F199:G199"/>
    <mergeCell ref="K195:L195"/>
    <mergeCell ref="A196:B196"/>
    <mergeCell ref="D196:E196"/>
    <mergeCell ref="F196:G196"/>
    <mergeCell ref="A194:B194"/>
    <mergeCell ref="D194:E194"/>
    <mergeCell ref="F194:G194"/>
    <mergeCell ref="A191:B191"/>
    <mergeCell ref="D191:E191"/>
    <mergeCell ref="F191:G191"/>
    <mergeCell ref="A192:B192"/>
    <mergeCell ref="D192:E192"/>
    <mergeCell ref="F192:G192"/>
    <mergeCell ref="A193:B193"/>
    <mergeCell ref="D193:E193"/>
    <mergeCell ref="F193:G193"/>
    <mergeCell ref="A195:I195"/>
    <mergeCell ref="J187:K187"/>
    <mergeCell ref="A188:I188"/>
    <mergeCell ref="K188:L188"/>
    <mergeCell ref="A189:B189"/>
    <mergeCell ref="D189:E189"/>
    <mergeCell ref="F189:G189"/>
    <mergeCell ref="A190:B190"/>
    <mergeCell ref="D190:E190"/>
    <mergeCell ref="F190:G190"/>
    <mergeCell ref="A187:I187"/>
    <mergeCell ref="A183:I183"/>
    <mergeCell ref="A184:I184"/>
    <mergeCell ref="A185:I185"/>
    <mergeCell ref="A186:I186"/>
    <mergeCell ref="D178:E178"/>
    <mergeCell ref="F178:G178"/>
    <mergeCell ref="A179:B179"/>
    <mergeCell ref="A180:B180"/>
    <mergeCell ref="D180:E180"/>
    <mergeCell ref="F180:G180"/>
    <mergeCell ref="A181:B181"/>
    <mergeCell ref="D181:E181"/>
    <mergeCell ref="F181:G181"/>
    <mergeCell ref="A178:B178"/>
    <mergeCell ref="C179:I179"/>
    <mergeCell ref="A182:B182"/>
    <mergeCell ref="D182:E182"/>
    <mergeCell ref="F182:G182"/>
    <mergeCell ref="J160:K160"/>
    <mergeCell ref="A172:I172"/>
    <mergeCell ref="K172:L172"/>
    <mergeCell ref="A173:B173"/>
    <mergeCell ref="D173:E173"/>
    <mergeCell ref="F173:G173"/>
    <mergeCell ref="A174:B174"/>
    <mergeCell ref="D174:E174"/>
    <mergeCell ref="F174:G174"/>
    <mergeCell ref="A169:B169"/>
    <mergeCell ref="D169:E169"/>
    <mergeCell ref="A164:B164"/>
    <mergeCell ref="A165:B165"/>
    <mergeCell ref="A166:B166"/>
    <mergeCell ref="K161:L161"/>
    <mergeCell ref="A171:B171"/>
    <mergeCell ref="D171:E171"/>
    <mergeCell ref="F171:G171"/>
    <mergeCell ref="D162:E162"/>
    <mergeCell ref="D163:E163"/>
    <mergeCell ref="D164:E164"/>
    <mergeCell ref="D165:E165"/>
    <mergeCell ref="D166:E166"/>
    <mergeCell ref="F162:G162"/>
    <mergeCell ref="F163:G163"/>
    <mergeCell ref="F164:G164"/>
    <mergeCell ref="F165:G165"/>
    <mergeCell ref="F166:G166"/>
    <mergeCell ref="F167:G167"/>
    <mergeCell ref="F168:G168"/>
    <mergeCell ref="F169:G169"/>
    <mergeCell ref="A168:B168"/>
    <mergeCell ref="D168:E168"/>
    <mergeCell ref="A115:F115"/>
    <mergeCell ref="H115:I115"/>
    <mergeCell ref="H113:I113"/>
    <mergeCell ref="A105:C105"/>
    <mergeCell ref="A157:I157"/>
    <mergeCell ref="A160:I160"/>
    <mergeCell ref="A159:I159"/>
    <mergeCell ref="A170:B170"/>
    <mergeCell ref="D170:E170"/>
    <mergeCell ref="F170:G170"/>
    <mergeCell ref="H119:I119"/>
    <mergeCell ref="H120:I120"/>
    <mergeCell ref="H121:I121"/>
    <mergeCell ref="A125:I125"/>
    <mergeCell ref="A126:I126"/>
    <mergeCell ref="A127:I127"/>
    <mergeCell ref="A128:I128"/>
    <mergeCell ref="A129:I129"/>
    <mergeCell ref="A133:B133"/>
    <mergeCell ref="D133:E133"/>
    <mergeCell ref="F133:G133"/>
    <mergeCell ref="A134:B134"/>
    <mergeCell ref="D134:E134"/>
    <mergeCell ref="F134:G134"/>
    <mergeCell ref="A122:I122"/>
    <mergeCell ref="F117:G117"/>
    <mergeCell ref="F119:G119"/>
    <mergeCell ref="F120:G120"/>
    <mergeCell ref="F121:G121"/>
    <mergeCell ref="A117:B117"/>
    <mergeCell ref="C117:D117"/>
    <mergeCell ref="A119:B119"/>
    <mergeCell ref="C119:D119"/>
    <mergeCell ref="A120:B120"/>
    <mergeCell ref="C120:D120"/>
    <mergeCell ref="A121:B121"/>
    <mergeCell ref="C121:D121"/>
    <mergeCell ref="H118:I118"/>
    <mergeCell ref="H117:I117"/>
    <mergeCell ref="A118:B118"/>
    <mergeCell ref="C118:D118"/>
    <mergeCell ref="F118:G118"/>
    <mergeCell ref="H45:I45"/>
    <mergeCell ref="C14:E14"/>
    <mergeCell ref="C15:E15"/>
    <mergeCell ref="C16:E16"/>
    <mergeCell ref="C17:E17"/>
    <mergeCell ref="C18:E18"/>
    <mergeCell ref="C19:E19"/>
    <mergeCell ref="C20:E20"/>
    <mergeCell ref="C21:E21"/>
    <mergeCell ref="C22:E22"/>
    <mergeCell ref="C28:E28"/>
    <mergeCell ref="C29:E29"/>
    <mergeCell ref="C30:E30"/>
    <mergeCell ref="C31:E31"/>
    <mergeCell ref="C32:I32"/>
    <mergeCell ref="C44:D44"/>
    <mergeCell ref="E44:G44"/>
    <mergeCell ref="H44:I44"/>
    <mergeCell ref="H14:I14"/>
    <mergeCell ref="G38:H38"/>
    <mergeCell ref="A39:C39"/>
    <mergeCell ref="A35:C35"/>
    <mergeCell ref="A40:C40"/>
    <mergeCell ref="A38:C38"/>
    <mergeCell ref="A43:B43"/>
    <mergeCell ref="A45:B45"/>
    <mergeCell ref="A46:B46"/>
    <mergeCell ref="E45:G45"/>
    <mergeCell ref="E43:G43"/>
    <mergeCell ref="E46:G46"/>
    <mergeCell ref="C43:D43"/>
    <mergeCell ref="C45:D45"/>
    <mergeCell ref="C46:D46"/>
    <mergeCell ref="A44:B44"/>
    <mergeCell ref="C245:I245"/>
    <mergeCell ref="A244:I244"/>
    <mergeCell ref="A102:I102"/>
    <mergeCell ref="A103:C103"/>
    <mergeCell ref="H103:I103"/>
    <mergeCell ref="H36:I36"/>
    <mergeCell ref="A36:C36"/>
    <mergeCell ref="H35:I35"/>
    <mergeCell ref="A213:B213"/>
    <mergeCell ref="C213:D213"/>
    <mergeCell ref="A211:I211"/>
    <mergeCell ref="A212:B212"/>
    <mergeCell ref="C212:D212"/>
    <mergeCell ref="F212:G212"/>
    <mergeCell ref="C206:D206"/>
    <mergeCell ref="F206:G206"/>
    <mergeCell ref="C207:D207"/>
    <mergeCell ref="F207:G207"/>
    <mergeCell ref="A202:I202"/>
    <mergeCell ref="C210:D210"/>
    <mergeCell ref="C48:E48"/>
    <mergeCell ref="C49:E49"/>
    <mergeCell ref="C50:E50"/>
    <mergeCell ref="C52:E52"/>
    <mergeCell ref="G2:H2"/>
    <mergeCell ref="G3:H3"/>
    <mergeCell ref="G4:H4"/>
    <mergeCell ref="H46:I46"/>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A1:I1"/>
    <mergeCell ref="A4:C4"/>
    <mergeCell ref="A247:C247"/>
    <mergeCell ref="H27:I27"/>
    <mergeCell ref="H28:I28"/>
    <mergeCell ref="A37:I37"/>
    <mergeCell ref="H48:I48"/>
    <mergeCell ref="H50:I50"/>
    <mergeCell ref="A42:I42"/>
    <mergeCell ref="A47:I47"/>
    <mergeCell ref="A116:I116"/>
    <mergeCell ref="H114:I114"/>
    <mergeCell ref="A2:C2"/>
    <mergeCell ref="E2:F2"/>
    <mergeCell ref="A41:C41"/>
    <mergeCell ref="H41:I41"/>
    <mergeCell ref="E4:F4"/>
    <mergeCell ref="E12:I12"/>
    <mergeCell ref="A6:C6"/>
    <mergeCell ref="A7:C7"/>
    <mergeCell ref="A8:C8"/>
    <mergeCell ref="E8:I8"/>
    <mergeCell ref="H7:I7"/>
    <mergeCell ref="E9:I9"/>
    <mergeCell ref="A396:C396"/>
    <mergeCell ref="H396:I396"/>
    <mergeCell ref="A246:I246"/>
    <mergeCell ref="E248:I248"/>
    <mergeCell ref="A387:I387"/>
    <mergeCell ref="A393:I393"/>
    <mergeCell ref="A394:I394"/>
    <mergeCell ref="A395:I395"/>
    <mergeCell ref="A388:I388"/>
    <mergeCell ref="A389:I389"/>
    <mergeCell ref="A390:I390"/>
    <mergeCell ref="A391:I391"/>
    <mergeCell ref="A248:C248"/>
    <mergeCell ref="A386:I386"/>
    <mergeCell ref="A392:I392"/>
    <mergeCell ref="A348:I348"/>
    <mergeCell ref="E247:I247"/>
    <mergeCell ref="A249:C249"/>
    <mergeCell ref="E249:I249"/>
    <mergeCell ref="A299:I299"/>
    <mergeCell ref="F210:G210"/>
    <mergeCell ref="A204:B204"/>
    <mergeCell ref="A205:B205"/>
    <mergeCell ref="A206:B206"/>
    <mergeCell ref="A207:B207"/>
    <mergeCell ref="A208:B208"/>
    <mergeCell ref="A209:B209"/>
    <mergeCell ref="A210:B210"/>
    <mergeCell ref="A203:B203"/>
    <mergeCell ref="H16:I16"/>
    <mergeCell ref="H17:I17"/>
    <mergeCell ref="H15:I15"/>
    <mergeCell ref="H18:I18"/>
    <mergeCell ref="H19:I19"/>
    <mergeCell ref="H31:I31"/>
    <mergeCell ref="H22:I22"/>
    <mergeCell ref="G39:H39"/>
    <mergeCell ref="C24:I24"/>
    <mergeCell ref="C23:I23"/>
    <mergeCell ref="A34:C34"/>
    <mergeCell ref="H34:I34"/>
    <mergeCell ref="A114:F114"/>
    <mergeCell ref="A113:F113"/>
    <mergeCell ref="H52:I52"/>
    <mergeCell ref="H49:I49"/>
    <mergeCell ref="A112:I112"/>
    <mergeCell ref="A108:C108"/>
    <mergeCell ref="H108:I108"/>
    <mergeCell ref="A109:C109"/>
    <mergeCell ref="H109:I109"/>
    <mergeCell ref="A110:C110"/>
    <mergeCell ref="H110:I110"/>
    <mergeCell ref="A111:C111"/>
    <mergeCell ref="H111:I111"/>
    <mergeCell ref="A104:C104"/>
    <mergeCell ref="H104:I104"/>
    <mergeCell ref="A106:C106"/>
    <mergeCell ref="H106:I106"/>
    <mergeCell ref="A107:C107"/>
    <mergeCell ref="H107:I107"/>
    <mergeCell ref="H105:I105"/>
    <mergeCell ref="A53:I53"/>
    <mergeCell ref="A54:C55"/>
    <mergeCell ref="D54:D55"/>
    <mergeCell ref="F54:G54"/>
    <mergeCell ref="A220:B220"/>
    <mergeCell ref="C220:D220"/>
    <mergeCell ref="F220:G220"/>
    <mergeCell ref="A221:B221"/>
    <mergeCell ref="C221:D221"/>
    <mergeCell ref="F221:G221"/>
    <mergeCell ref="A222:I222"/>
    <mergeCell ref="A223:B223"/>
    <mergeCell ref="C223:D223"/>
    <mergeCell ref="F213:G213"/>
    <mergeCell ref="A216:B216"/>
    <mergeCell ref="C216:D216"/>
    <mergeCell ref="F216:G216"/>
    <mergeCell ref="A218:B218"/>
    <mergeCell ref="C218:D218"/>
    <mergeCell ref="F218:G218"/>
    <mergeCell ref="A219:B219"/>
    <mergeCell ref="C219:D219"/>
    <mergeCell ref="F219:G219"/>
    <mergeCell ref="A214:B214"/>
    <mergeCell ref="H123:H124"/>
    <mergeCell ref="F123:G124"/>
    <mergeCell ref="E123:E124"/>
    <mergeCell ref="C123:D124"/>
    <mergeCell ref="A123:B124"/>
    <mergeCell ref="A217:B217"/>
    <mergeCell ref="C217:D217"/>
    <mergeCell ref="F217:G217"/>
    <mergeCell ref="F223:G223"/>
    <mergeCell ref="A215:B215"/>
    <mergeCell ref="C215:D215"/>
    <mergeCell ref="F215:G215"/>
    <mergeCell ref="C214:D214"/>
    <mergeCell ref="F214:G214"/>
    <mergeCell ref="F205:G205"/>
    <mergeCell ref="C203:D203"/>
    <mergeCell ref="F203:G203"/>
    <mergeCell ref="C204:D204"/>
    <mergeCell ref="F204:G204"/>
    <mergeCell ref="C205:D205"/>
    <mergeCell ref="C208:D208"/>
    <mergeCell ref="F208:G208"/>
    <mergeCell ref="C209:D209"/>
    <mergeCell ref="F209:G209"/>
    <mergeCell ref="A224:B224"/>
    <mergeCell ref="C224:D224"/>
    <mergeCell ref="F224:G224"/>
    <mergeCell ref="A225:B225"/>
    <mergeCell ref="C225:D225"/>
    <mergeCell ref="F225:G225"/>
    <mergeCell ref="A226:B226"/>
    <mergeCell ref="C226:D226"/>
    <mergeCell ref="F226:G226"/>
    <mergeCell ref="A227:B227"/>
    <mergeCell ref="C227:D227"/>
    <mergeCell ref="F227:G227"/>
    <mergeCell ref="A228:B228"/>
    <mergeCell ref="C228:D228"/>
    <mergeCell ref="F228:G228"/>
    <mergeCell ref="A229:B229"/>
    <mergeCell ref="C229:D229"/>
    <mergeCell ref="F229:G229"/>
    <mergeCell ref="A230:B230"/>
    <mergeCell ref="C230:D230"/>
    <mergeCell ref="F230:G230"/>
    <mergeCell ref="A231:B231"/>
    <mergeCell ref="C231:D231"/>
    <mergeCell ref="F231:G231"/>
    <mergeCell ref="A232:B232"/>
    <mergeCell ref="C232:D232"/>
    <mergeCell ref="F232:G232"/>
    <mergeCell ref="F238:G238"/>
    <mergeCell ref="A239:B239"/>
    <mergeCell ref="C239:D239"/>
    <mergeCell ref="F239:G239"/>
    <mergeCell ref="A233:I233"/>
    <mergeCell ref="A234:B234"/>
    <mergeCell ref="C234:D234"/>
    <mergeCell ref="F234:G234"/>
    <mergeCell ref="A235:B235"/>
    <mergeCell ref="C235:D235"/>
    <mergeCell ref="F235:G235"/>
    <mergeCell ref="A236:B236"/>
    <mergeCell ref="C236:D236"/>
    <mergeCell ref="F236:G236"/>
    <mergeCell ref="A156:I156"/>
    <mergeCell ref="A158:I158"/>
    <mergeCell ref="A161:I161"/>
    <mergeCell ref="A162:B162"/>
    <mergeCell ref="A163:B163"/>
    <mergeCell ref="A243:B243"/>
    <mergeCell ref="C243:D243"/>
    <mergeCell ref="F243:G243"/>
    <mergeCell ref="A240:B240"/>
    <mergeCell ref="C240:D240"/>
    <mergeCell ref="F240:G240"/>
    <mergeCell ref="A241:B241"/>
    <mergeCell ref="C241:D241"/>
    <mergeCell ref="F241:G241"/>
    <mergeCell ref="A242:B242"/>
    <mergeCell ref="C242:D242"/>
    <mergeCell ref="F242:G242"/>
    <mergeCell ref="A237:B237"/>
    <mergeCell ref="C237:D237"/>
    <mergeCell ref="F237:G237"/>
    <mergeCell ref="A238:B238"/>
    <mergeCell ref="C238:D238"/>
    <mergeCell ref="A167:B167"/>
    <mergeCell ref="D167:E167"/>
    <mergeCell ref="A175:B175"/>
    <mergeCell ref="D175:E175"/>
    <mergeCell ref="F175:G175"/>
    <mergeCell ref="A176:B176"/>
    <mergeCell ref="D176:E176"/>
    <mergeCell ref="F176:G176"/>
    <mergeCell ref="A177:B177"/>
    <mergeCell ref="D177:E177"/>
    <mergeCell ref="F177:G177"/>
    <mergeCell ref="F55:G55"/>
    <mergeCell ref="A56:B56"/>
    <mergeCell ref="C56:D56"/>
    <mergeCell ref="F56:G56"/>
    <mergeCell ref="A57:B57"/>
    <mergeCell ref="C57:D57"/>
    <mergeCell ref="F57:G68"/>
    <mergeCell ref="H57:I68"/>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I85"/>
    <mergeCell ref="A86:C87"/>
    <mergeCell ref="D86:D87"/>
    <mergeCell ref="F86:G86"/>
    <mergeCell ref="F87:G87"/>
    <mergeCell ref="A88:B88"/>
    <mergeCell ref="C88:D88"/>
    <mergeCell ref="F88:G88"/>
    <mergeCell ref="A89:B89"/>
    <mergeCell ref="C89:D89"/>
    <mergeCell ref="F89:G100"/>
    <mergeCell ref="H89:I100"/>
    <mergeCell ref="A90:B90"/>
    <mergeCell ref="C90:D90"/>
    <mergeCell ref="A91:B91"/>
    <mergeCell ref="C91:D91"/>
    <mergeCell ref="A92:B92"/>
    <mergeCell ref="C92:D92"/>
    <mergeCell ref="A93:B93"/>
    <mergeCell ref="C93:D93"/>
    <mergeCell ref="A94:B94"/>
    <mergeCell ref="C94:D94"/>
    <mergeCell ref="A95:B95"/>
    <mergeCell ref="C95:D95"/>
    <mergeCell ref="A101:G101"/>
    <mergeCell ref="H101:I101"/>
    <mergeCell ref="A96:B96"/>
    <mergeCell ref="C96:D96"/>
    <mergeCell ref="A97:B97"/>
    <mergeCell ref="C97:D97"/>
    <mergeCell ref="A98:B98"/>
    <mergeCell ref="C98:D98"/>
    <mergeCell ref="A99:B99"/>
    <mergeCell ref="C99:D99"/>
    <mergeCell ref="A100:B100"/>
    <mergeCell ref="C100:D100"/>
  </mergeCells>
  <hyperlinks>
    <hyperlink ref="C23" r:id="rId1"/>
  </hyperlinks>
  <printOptions horizontalCentered="1"/>
  <pageMargins left="0.27559055118110237" right="0.27559055118110237" top="0.70866141732283472" bottom="0.47244094488188981" header="0.15748031496062992" footer="0.15748031496062992"/>
  <pageSetup paperSize="9" scale="62" fitToHeight="0" orientation="portrait" r:id="rId2"/>
  <headerFooter>
    <oddHeader>&amp;C&amp;25&amp;G</oddHeader>
    <oddFooter>&amp;L&amp;"Times New Roman,Bold"&amp;16Ref No: &amp;F&amp;R&amp;"Times New Roman,Bold"&amp;16&amp;P</oddFooter>
  </headerFooter>
  <rowBreaks count="4" manualBreakCount="4">
    <brk id="84" max="16383" man="1"/>
    <brk id="245" max="8" man="1"/>
    <brk id="298" max="16383" man="1"/>
    <brk id="34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2025-07-06T15:50:25Z</cp:lastPrinted>
  <dcterms:created xsi:type="dcterms:W3CDTF">2010-11-23T11:42:48Z</dcterms:created>
  <dcterms:modified xsi:type="dcterms:W3CDTF">2025-07-06T15:51:47Z</dcterms:modified>
</cp:coreProperties>
</file>