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
    </mc:Choice>
  </mc:AlternateContent>
  <bookViews>
    <workbookView xWindow="0" yWindow="0" windowWidth="20490" windowHeight="6555"/>
  </bookViews>
  <sheets>
    <sheet name="Report" sheetId="3" r:id="rId1"/>
  </sheets>
  <definedNames>
    <definedName name="_xlnm.Print_Area" localSheetId="0">Report!$A$1:$I$406</definedName>
  </definedNames>
  <calcPr calcId="152511"/>
</workbook>
</file>

<file path=xl/calcChain.xml><?xml version="1.0" encoding="utf-8"?>
<calcChain xmlns="http://schemas.openxmlformats.org/spreadsheetml/2006/main">
  <c r="E267" i="3" l="1"/>
  <c r="C80" i="3"/>
  <c r="C81" i="3" s="1"/>
  <c r="C82" i="3" s="1"/>
  <c r="C64" i="3"/>
  <c r="C65" i="3" s="1"/>
  <c r="C66" i="3" s="1"/>
  <c r="A58" i="3"/>
  <c r="A74" i="3"/>
  <c r="A90" i="3"/>
  <c r="A106" i="3"/>
  <c r="A122" i="3"/>
  <c r="M134" i="3"/>
  <c r="K132" i="3"/>
  <c r="K131" i="3"/>
  <c r="K130" i="3"/>
  <c r="K129" i="3"/>
  <c r="M118" i="3"/>
  <c r="K116" i="3"/>
  <c r="K115" i="3"/>
  <c r="K114" i="3"/>
  <c r="K113" i="3"/>
  <c r="M102" i="3"/>
  <c r="K100" i="3"/>
  <c r="K99" i="3"/>
  <c r="K98" i="3"/>
  <c r="K97" i="3"/>
  <c r="M86" i="3"/>
  <c r="K84" i="3"/>
  <c r="K83" i="3"/>
  <c r="K82" i="3"/>
  <c r="K81" i="3"/>
  <c r="M70" i="3"/>
  <c r="K68" i="3"/>
  <c r="K67" i="3"/>
  <c r="K66" i="3"/>
  <c r="K65" i="3"/>
  <c r="I107" i="3"/>
  <c r="I75" i="3"/>
  <c r="I59" i="3"/>
  <c r="I91" i="3"/>
  <c r="I123" i="3"/>
  <c r="E136" i="3" l="1"/>
  <c r="E132" i="3"/>
  <c r="E128" i="3"/>
  <c r="E127" i="3"/>
  <c r="E135" i="3"/>
  <c r="K127" i="3"/>
  <c r="K128" i="3" s="1"/>
  <c r="E131" i="3"/>
  <c r="K124" i="3"/>
  <c r="K126" i="3"/>
  <c r="E134" i="3"/>
  <c r="E130" i="3"/>
  <c r="K125" i="3"/>
  <c r="E133" i="3"/>
  <c r="E129" i="3"/>
  <c r="E120" i="3"/>
  <c r="E116" i="3"/>
  <c r="E112" i="3"/>
  <c r="E115" i="3"/>
  <c r="E111" i="3"/>
  <c r="K108" i="3"/>
  <c r="E119" i="3"/>
  <c r="K111" i="3"/>
  <c r="K110" i="3"/>
  <c r="C109" i="3" s="1"/>
  <c r="E118" i="3"/>
  <c r="E114" i="3"/>
  <c r="K109" i="3"/>
  <c r="E117" i="3"/>
  <c r="E113" i="3"/>
  <c r="E103" i="3"/>
  <c r="K95" i="3"/>
  <c r="K96" i="3" s="1"/>
  <c r="K101" i="3" s="1"/>
  <c r="K102" i="3" s="1"/>
  <c r="C94" i="3" s="1"/>
  <c r="E94" i="3" s="1"/>
  <c r="E99" i="3"/>
  <c r="E95" i="3"/>
  <c r="K92" i="3"/>
  <c r="E102" i="3"/>
  <c r="E98" i="3"/>
  <c r="K94" i="3"/>
  <c r="K93" i="3"/>
  <c r="E100" i="3"/>
  <c r="E96" i="3"/>
  <c r="E101" i="3"/>
  <c r="E97" i="3"/>
  <c r="E104" i="3"/>
  <c r="E87" i="3"/>
  <c r="K79" i="3"/>
  <c r="K80" i="3" s="1"/>
  <c r="K85" i="3" s="1"/>
  <c r="K86" i="3" s="1"/>
  <c r="C78" i="3" s="1"/>
  <c r="E78" i="3" s="1"/>
  <c r="E83" i="3"/>
  <c r="E79" i="3"/>
  <c r="K76" i="3"/>
  <c r="E86" i="3"/>
  <c r="K77" i="3"/>
  <c r="E88" i="3"/>
  <c r="E80" i="3"/>
  <c r="K78" i="3"/>
  <c r="E82" i="3"/>
  <c r="E85" i="3"/>
  <c r="E81" i="3"/>
  <c r="E84" i="3"/>
  <c r="K62" i="3"/>
  <c r="E70" i="3"/>
  <c r="E66" i="3"/>
  <c r="K61" i="3"/>
  <c r="E64" i="3"/>
  <c r="E63" i="3"/>
  <c r="E69" i="3"/>
  <c r="E65" i="3"/>
  <c r="E72" i="3"/>
  <c r="E68" i="3"/>
  <c r="E71" i="3"/>
  <c r="K63" i="3"/>
  <c r="K64" i="3" s="1"/>
  <c r="K69" i="3" s="1"/>
  <c r="K70" i="3" s="1"/>
  <c r="C62" i="3" s="1"/>
  <c r="E62" i="3" s="1"/>
  <c r="E67" i="3"/>
  <c r="K60" i="3"/>
  <c r="K112" i="3" l="1"/>
  <c r="C110" i="3" s="1"/>
  <c r="C93" i="3"/>
  <c r="F93" i="3" s="1"/>
  <c r="K133" i="3"/>
  <c r="K134" i="3" s="1"/>
  <c r="C126" i="3" s="1"/>
  <c r="C125" i="3"/>
  <c r="C61" i="3"/>
  <c r="F61" i="3" s="1"/>
  <c r="C77" i="3"/>
  <c r="F77" i="3" s="1"/>
  <c r="K117" i="3" l="1"/>
  <c r="E126" i="3"/>
  <c r="E109" i="3"/>
  <c r="E93" i="3"/>
  <c r="J90" i="3" s="1"/>
  <c r="H93" i="3" s="1"/>
  <c r="F125" i="3"/>
  <c r="E125" i="3"/>
  <c r="E77" i="3"/>
  <c r="J74" i="3" s="1"/>
  <c r="H77" i="3" s="1"/>
  <c r="E61" i="3"/>
  <c r="J58" i="3" s="1"/>
  <c r="H61" i="3" s="1"/>
  <c r="K118" i="3" l="1"/>
  <c r="E110" i="3"/>
  <c r="J122" i="3"/>
  <c r="H125" i="3" s="1"/>
  <c r="F261" i="3"/>
  <c r="F260" i="3"/>
  <c r="F259" i="3"/>
  <c r="F258" i="3"/>
  <c r="F256" i="3"/>
  <c r="F254" i="3"/>
  <c r="F253" i="3"/>
  <c r="F252" i="3"/>
  <c r="F251" i="3"/>
  <c r="F250" i="3"/>
  <c r="F249" i="3"/>
  <c r="E261" i="3"/>
  <c r="E260" i="3"/>
  <c r="E259" i="3"/>
  <c r="E258" i="3"/>
  <c r="E256" i="3"/>
  <c r="E254" i="3"/>
  <c r="E253" i="3"/>
  <c r="E252" i="3"/>
  <c r="E251" i="3"/>
  <c r="E250" i="3"/>
  <c r="E249" i="3"/>
  <c r="J248" i="3"/>
  <c r="K251" i="3"/>
  <c r="J251" i="3"/>
  <c r="C259" i="3"/>
  <c r="C260" i="3" s="1"/>
  <c r="C261" i="3" s="1"/>
  <c r="C250" i="3"/>
  <c r="C251" i="3" s="1"/>
  <c r="C252" i="3" s="1"/>
  <c r="C253" i="3" s="1"/>
  <c r="C254" i="3" s="1"/>
  <c r="J227" i="3"/>
  <c r="K227" i="3"/>
  <c r="F243" i="3"/>
  <c r="E243" i="3"/>
  <c r="F242" i="3"/>
  <c r="E242" i="3"/>
  <c r="F241" i="3"/>
  <c r="E241" i="3"/>
  <c r="F240" i="3"/>
  <c r="E240" i="3"/>
  <c r="F239" i="3"/>
  <c r="E239" i="3"/>
  <c r="F238" i="3"/>
  <c r="E238" i="3"/>
  <c r="I238" i="3" s="1"/>
  <c r="F237" i="3"/>
  <c r="E237" i="3"/>
  <c r="F236" i="3"/>
  <c r="E236" i="3"/>
  <c r="F234" i="3"/>
  <c r="F233" i="3"/>
  <c r="F232" i="3"/>
  <c r="F231" i="3"/>
  <c r="F230" i="3"/>
  <c r="F229" i="3"/>
  <c r="F228" i="3"/>
  <c r="F227" i="3"/>
  <c r="E234" i="3"/>
  <c r="I234" i="3" s="1"/>
  <c r="E233" i="3"/>
  <c r="I233" i="3" s="1"/>
  <c r="E232" i="3"/>
  <c r="I232" i="3" s="1"/>
  <c r="E231" i="3"/>
  <c r="I231" i="3" s="1"/>
  <c r="E230" i="3"/>
  <c r="I230" i="3" s="1"/>
  <c r="E229" i="3"/>
  <c r="E228" i="3"/>
  <c r="I228" i="3" s="1"/>
  <c r="E227" i="3"/>
  <c r="I227" i="3" s="1"/>
  <c r="C237" i="3"/>
  <c r="C238" i="3" s="1"/>
  <c r="C239" i="3" s="1"/>
  <c r="C240" i="3" s="1"/>
  <c r="C241" i="3" s="1"/>
  <c r="C242" i="3" s="1"/>
  <c r="C243" i="3" s="1"/>
  <c r="C228" i="3"/>
  <c r="C229" i="3" s="1"/>
  <c r="C230" i="3" s="1"/>
  <c r="C231" i="3" s="1"/>
  <c r="C232" i="3" s="1"/>
  <c r="C233" i="3" s="1"/>
  <c r="C234" i="3" s="1"/>
  <c r="J226" i="3"/>
  <c r="J17" i="3"/>
  <c r="C19" i="3"/>
  <c r="N19" i="3"/>
  <c r="I250" i="3" l="1"/>
  <c r="I260" i="3"/>
  <c r="I258" i="3"/>
  <c r="I253" i="3"/>
  <c r="I229" i="3"/>
  <c r="I261" i="3"/>
  <c r="I256" i="3"/>
  <c r="F109" i="3"/>
  <c r="H137" i="3" s="1"/>
  <c r="I242" i="3"/>
  <c r="I254" i="3"/>
  <c r="I251" i="3"/>
  <c r="F158" i="3"/>
  <c r="I237" i="3"/>
  <c r="I241" i="3"/>
  <c r="I249" i="3"/>
  <c r="I259" i="3"/>
  <c r="I239" i="3"/>
  <c r="I243" i="3"/>
  <c r="I236" i="3"/>
  <c r="I240" i="3"/>
  <c r="F157" i="3"/>
  <c r="I252" i="3"/>
  <c r="J211" i="3"/>
  <c r="E219" i="3"/>
  <c r="E217" i="3"/>
  <c r="F221" i="3"/>
  <c r="E221" i="3"/>
  <c r="F220" i="3"/>
  <c r="E220" i="3"/>
  <c r="I220" i="3" s="1"/>
  <c r="F219" i="3"/>
  <c r="C219" i="3"/>
  <c r="C220" i="3" s="1"/>
  <c r="C221" i="3" s="1"/>
  <c r="F217" i="3"/>
  <c r="J212" i="3"/>
  <c r="F215" i="3"/>
  <c r="F214" i="3"/>
  <c r="F213" i="3"/>
  <c r="F212" i="3"/>
  <c r="E215" i="3"/>
  <c r="E214" i="3"/>
  <c r="E213" i="3"/>
  <c r="E212" i="3"/>
  <c r="C213" i="3"/>
  <c r="C214" i="3" s="1"/>
  <c r="C215" i="3" s="1"/>
  <c r="J190" i="3"/>
  <c r="J106" i="3" l="1"/>
  <c r="H109" i="3" s="1"/>
  <c r="H157" i="3"/>
  <c r="H158" i="3"/>
  <c r="I221" i="3"/>
  <c r="I215" i="3"/>
  <c r="I212" i="3"/>
  <c r="I219" i="3"/>
  <c r="I214" i="3"/>
  <c r="I217" i="3"/>
  <c r="I213" i="3"/>
  <c r="F156" i="3" l="1"/>
  <c r="H156" i="3"/>
  <c r="H206" i="3"/>
  <c r="F206" i="3"/>
  <c r="E206" i="3"/>
  <c r="H205" i="3"/>
  <c r="F205" i="3"/>
  <c r="E205" i="3"/>
  <c r="H204" i="3"/>
  <c r="F204" i="3"/>
  <c r="E204" i="3"/>
  <c r="H202" i="3"/>
  <c r="F202" i="3"/>
  <c r="E202" i="3"/>
  <c r="H201" i="3"/>
  <c r="F201" i="3"/>
  <c r="E201" i="3"/>
  <c r="H200" i="3"/>
  <c r="F200" i="3"/>
  <c r="E200" i="3"/>
  <c r="H199" i="3"/>
  <c r="F199" i="3"/>
  <c r="E199" i="3"/>
  <c r="H197" i="3"/>
  <c r="F197" i="3"/>
  <c r="E197" i="3"/>
  <c r="H196" i="3"/>
  <c r="F196" i="3"/>
  <c r="E196" i="3"/>
  <c r="H195" i="3"/>
  <c r="F195" i="3"/>
  <c r="E195" i="3"/>
  <c r="H194" i="3"/>
  <c r="F194" i="3"/>
  <c r="E194" i="3"/>
  <c r="H193" i="3"/>
  <c r="F193" i="3"/>
  <c r="E193" i="3"/>
  <c r="H192" i="3"/>
  <c r="F192" i="3"/>
  <c r="E192" i="3"/>
  <c r="H191" i="3"/>
  <c r="F191" i="3"/>
  <c r="E191" i="3"/>
  <c r="H190" i="3"/>
  <c r="F190" i="3"/>
  <c r="E190" i="3"/>
  <c r="M197" i="3"/>
  <c r="K197" i="3"/>
  <c r="J197" i="3"/>
  <c r="M196" i="3"/>
  <c r="K196" i="3"/>
  <c r="J196" i="3"/>
  <c r="M195" i="3"/>
  <c r="K195" i="3"/>
  <c r="J195" i="3"/>
  <c r="M194" i="3"/>
  <c r="K194" i="3"/>
  <c r="J194" i="3"/>
  <c r="M193" i="3"/>
  <c r="K193" i="3"/>
  <c r="J193" i="3"/>
  <c r="M192" i="3"/>
  <c r="K192" i="3"/>
  <c r="J192" i="3"/>
  <c r="M191" i="3"/>
  <c r="K191" i="3"/>
  <c r="J191" i="3"/>
  <c r="M190" i="3"/>
  <c r="K190" i="3"/>
  <c r="I205" i="3" l="1"/>
  <c r="I204" i="3"/>
  <c r="I206" i="3"/>
  <c r="I202" i="3"/>
  <c r="I201" i="3"/>
  <c r="I200" i="3"/>
  <c r="C200" i="3"/>
  <c r="C201" i="3" s="1"/>
  <c r="C202" i="3" s="1"/>
  <c r="C203" i="3" s="1"/>
  <c r="C204" i="3" s="1"/>
  <c r="C205" i="3" s="1"/>
  <c r="C206" i="3" s="1"/>
  <c r="I199" i="3"/>
  <c r="I197" i="3"/>
  <c r="I196" i="3"/>
  <c r="I195" i="3"/>
  <c r="I194" i="3"/>
  <c r="I193" i="3"/>
  <c r="I192" i="3"/>
  <c r="I191" i="3"/>
  <c r="C191" i="3"/>
  <c r="C192" i="3" s="1"/>
  <c r="C193" i="3" s="1"/>
  <c r="C194" i="3" s="1"/>
  <c r="C195" i="3" s="1"/>
  <c r="C196" i="3" s="1"/>
  <c r="C197" i="3" s="1"/>
  <c r="I190" i="3"/>
  <c r="F155" i="3" l="1"/>
  <c r="H155" i="3"/>
  <c r="H181" i="3"/>
  <c r="F181" i="3"/>
  <c r="E181" i="3"/>
  <c r="H184" i="3"/>
  <c r="F184" i="3"/>
  <c r="E184" i="3"/>
  <c r="H183" i="3"/>
  <c r="F183" i="3"/>
  <c r="E183" i="3"/>
  <c r="H180" i="3"/>
  <c r="F180" i="3"/>
  <c r="E180" i="3"/>
  <c r="H179" i="3"/>
  <c r="F179" i="3"/>
  <c r="E179" i="3"/>
  <c r="H175" i="3"/>
  <c r="F175" i="3"/>
  <c r="E175" i="3"/>
  <c r="H174" i="3"/>
  <c r="F174" i="3"/>
  <c r="E174" i="3"/>
  <c r="H171" i="3"/>
  <c r="F171" i="3"/>
  <c r="E171" i="3"/>
  <c r="H178" i="3"/>
  <c r="F178" i="3"/>
  <c r="E178" i="3"/>
  <c r="H177" i="3"/>
  <c r="F177" i="3"/>
  <c r="E177" i="3"/>
  <c r="H173" i="3"/>
  <c r="F173" i="3"/>
  <c r="E173" i="3"/>
  <c r="H172" i="3"/>
  <c r="F172" i="3"/>
  <c r="E172" i="3"/>
  <c r="H169" i="3"/>
  <c r="F169" i="3"/>
  <c r="E169" i="3"/>
  <c r="H170" i="3"/>
  <c r="F170" i="3"/>
  <c r="H168" i="3"/>
  <c r="F168" i="3"/>
  <c r="E170" i="3"/>
  <c r="E168" i="3"/>
  <c r="F154" i="3" l="1"/>
  <c r="F159" i="3" s="1"/>
  <c r="I181" i="3"/>
  <c r="I183" i="3"/>
  <c r="I180" i="3"/>
  <c r="I178" i="3"/>
  <c r="C178" i="3"/>
  <c r="C179" i="3" s="1"/>
  <c r="C180" i="3" s="1"/>
  <c r="C181" i="3" s="1"/>
  <c r="C182" i="3" s="1"/>
  <c r="C183" i="3" s="1"/>
  <c r="C184" i="3" s="1"/>
  <c r="I177" i="3" l="1"/>
  <c r="I179" i="3"/>
  <c r="I184" i="3"/>
  <c r="I169" i="3"/>
  <c r="I170" i="3"/>
  <c r="I171" i="3"/>
  <c r="I172" i="3"/>
  <c r="I173" i="3"/>
  <c r="I174" i="3"/>
  <c r="I175" i="3"/>
  <c r="I168" i="3"/>
  <c r="H154" i="3" l="1"/>
  <c r="H159" i="3" s="1"/>
  <c r="I4" i="3"/>
  <c r="C169" i="3" l="1"/>
  <c r="C170" i="3" s="1"/>
  <c r="C171" i="3" s="1"/>
  <c r="C172" i="3" s="1"/>
  <c r="C173" i="3" s="1"/>
  <c r="C174" i="3" s="1"/>
  <c r="C175" i="3" s="1"/>
  <c r="E266" i="3" l="1"/>
  <c r="E265" i="3"/>
  <c r="H151" i="3"/>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8"/>
            <color indexed="81"/>
            <rFont val="Tahoma"/>
            <family val="2"/>
          </rPr>
          <t>Plan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A39" authorId="0" shapeId="0">
      <text>
        <r>
          <rPr>
            <b/>
            <sz val="16"/>
            <color indexed="81"/>
            <rFont val="Tahoma"/>
            <family val="2"/>
          </rPr>
          <t>As per Layout</t>
        </r>
      </text>
    </comment>
    <comment ref="H149" authorId="0" shapeId="0">
      <text>
        <r>
          <rPr>
            <b/>
            <sz val="16"/>
            <color indexed="81"/>
            <rFont val="Tahoma"/>
            <family val="2"/>
          </rPr>
          <t>Ready Recknor</t>
        </r>
      </text>
    </comment>
  </commentList>
</comments>
</file>

<file path=xl/sharedStrings.xml><?xml version="1.0" encoding="utf-8"?>
<sst xmlns="http://schemas.openxmlformats.org/spreadsheetml/2006/main" count="659" uniqueCount="281">
  <si>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</si>
  <si>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</si>
  <si>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</si>
  <si>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</si>
  <si>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</si>
  <si>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</si>
  <si>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</si>
  <si>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</si>
  <si>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</si>
  <si>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</si>
  <si>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</si>
  <si>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</si>
  <si>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</si>
  <si>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</si>
  <si>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</si>
  <si>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</si>
  <si>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</si>
  <si>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</si>
  <si>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</si>
  <si>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</si>
  <si>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</si>
  <si>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</si>
  <si>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</si>
  <si>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</si>
  <si>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</si>
  <si>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</si>
  <si>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</si>
  <si>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</si>
  <si>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</si>
  <si>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</si>
  <si>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</si>
  <si>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</si>
  <si>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</si>
  <si>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</si>
  <si>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</si>
  <si>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</si>
  <si>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</si>
  <si>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</si>
  <si>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</si>
  <si>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</si>
  <si>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</si>
  <si>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</si>
  <si>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</si>
  <si>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</si>
  <si>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</si>
  <si>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</si>
  <si>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</si>
  <si>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</si>
  <si>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</si>
  <si>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</si>
  <si>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</si>
  <si>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</si>
  <si>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</si>
  <si>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</si>
  <si>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</si>
  <si>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</si>
  <si>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</si>
  <si>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</si>
  <si>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</si>
  <si>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</si>
  <si>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</si>
  <si>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</si>
  <si>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</si>
  <si>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</si>
  <si>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</si>
  <si>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</si>
  <si>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</si>
  <si>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</si>
  <si>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</si>
  <si>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</si>
  <si>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</si>
  <si>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</si>
  <si>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</si>
  <si>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</si>
  <si>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</si>
  <si>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</si>
  <si>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</si>
  <si>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</si>
  <si>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</si>
  <si>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</si>
  <si>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</si>
  <si>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</si>
  <si>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</si>
  <si>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</si>
  <si>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</si>
  <si>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</si>
  <si>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</si>
  <si>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</si>
  <si>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</si>
  <si>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</si>
  <si>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</si>
  <si>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</si>
  <si>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</si>
  <si>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</si>
  <si>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</si>
  <si>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</si>
  <si>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</si>
  <si>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150000/-</t>
  </si>
  <si>
    <t>75000/-</t>
  </si>
  <si>
    <t>25000/-</t>
  </si>
  <si>
    <t>Flat/Shop No.</t>
  </si>
  <si>
    <t>Description</t>
  </si>
  <si>
    <t>Gross Carpet area</t>
  </si>
  <si>
    <t>Godrej One, Vikhroli East, Mumbai</t>
  </si>
  <si>
    <t>Permissible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</si>
  <si>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</si>
  <si>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</si>
  <si>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</si>
  <si>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</si>
  <si>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</si>
  <si>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</si>
  <si>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</si>
  <si>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</si>
  <si>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</si>
  <si>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</si>
  <si>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</si>
  <si>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</si>
  <si>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</si>
  <si>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</si>
  <si>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</si>
  <si>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</si>
  <si>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</si>
  <si>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</si>
  <si>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</si>
  <si>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</si>
  <si>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</si>
  <si>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</si>
  <si>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</si>
  <si>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</si>
  <si>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</si>
  <si>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</si>
  <si>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</si>
  <si>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</si>
  <si>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</si>
  <si>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</si>
  <si>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</si>
  <si>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</si>
  <si>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</si>
  <si>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</si>
  <si>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</si>
  <si>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</si>
  <si>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</si>
  <si>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</si>
  <si>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</si>
  <si>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</si>
  <si>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</si>
  <si>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</si>
  <si>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</si>
  <si>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</si>
  <si>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</si>
  <si>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</si>
  <si>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</si>
  <si>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</si>
  <si>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</si>
  <si>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</si>
  <si>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</si>
  <si>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</si>
  <si>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</si>
  <si>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</si>
  <si>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</si>
  <si>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</si>
  <si>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</si>
  <si>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</si>
  <si>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</si>
  <si>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</si>
  <si>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</si>
  <si>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</si>
  <si>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</si>
  <si>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</si>
  <si>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</si>
  <si>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</si>
  <si>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</si>
  <si>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</si>
  <si>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</si>
  <si>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</si>
  <si>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</si>
  <si>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Flats/ Shops/ Offices</t>
  </si>
  <si>
    <t>Total</t>
  </si>
  <si>
    <t>Floor Rise Per Sq. Ft.
(on Carpet area)</t>
  </si>
  <si>
    <t>Date &amp; Time of Site Visit</t>
  </si>
  <si>
    <t>On Carpet area</t>
  </si>
  <si>
    <t xml:space="preserve">
Date:</t>
  </si>
  <si>
    <t>Location Link</t>
  </si>
  <si>
    <t xml:space="preserve">Layout </t>
  </si>
  <si>
    <t>Latitude, Longitude</t>
  </si>
  <si>
    <t>Landmark</t>
  </si>
  <si>
    <t>M/s.Persipina Developers Private Limited</t>
  </si>
  <si>
    <t>Olympia, 1st Floor, Central Avenue, Hiranandani Business Park, Powai, Mumbai - 400076.</t>
  </si>
  <si>
    <t>Acacia, Plot Bearing / CTS / Survey / Final Plot No.:  60/1 (Part) at Bhokarpada, Panvel, Raigarh, 410221</t>
  </si>
  <si>
    <t>Maharashtra State Road Development Corporation Limited (MSRDC)</t>
  </si>
  <si>
    <t>Hiranandani Fortune City</t>
  </si>
  <si>
    <t>Residential</t>
  </si>
  <si>
    <t>Approved Layout &amp; Floor Plans, CC, RERA certificate,</t>
  </si>
  <si>
    <t>Middle</t>
  </si>
  <si>
    <t>About 0.600KM from Hiranandani Trust School</t>
  </si>
  <si>
    <t>About 14Km form Gandhi Superspeciality Hospital.</t>
  </si>
  <si>
    <t>Approx. 12KM from dmart</t>
  </si>
  <si>
    <t>Hiranandani Fortune City buildings</t>
  </si>
  <si>
    <t>Open plot</t>
  </si>
  <si>
    <t>Acacia</t>
  </si>
  <si>
    <t>Stilt + 2P + 3rd to 38th Floor</t>
  </si>
  <si>
    <t>Open Balcony</t>
  </si>
  <si>
    <t>Utility Area</t>
  </si>
  <si>
    <t>Carpet area</t>
  </si>
  <si>
    <t>Stilt Floor For Parking, Telecom Room &amp; Meter Room</t>
  </si>
  <si>
    <t>1st Podium Floor Parking &amp; Entrance  Lobby</t>
  </si>
  <si>
    <t>2nd Podium Floor Parking, Entrance  Lobby &amp; Fitness Center</t>
  </si>
  <si>
    <t>2BHK</t>
  </si>
  <si>
    <t>6th, 11th, 16th, 21st, 26th, 31st &amp; 36th Floor (Part Refuge Area)</t>
  </si>
  <si>
    <t>Refuge Area</t>
  </si>
  <si>
    <t>12500 to 13200</t>
  </si>
  <si>
    <t>Rate of Flat Per Sq. Ft. 
(on Gross Carpet area)</t>
  </si>
  <si>
    <t>Flats</t>
  </si>
  <si>
    <t>Total Gross  Carpet Area</t>
  </si>
  <si>
    <t>Building Acacia</t>
  </si>
  <si>
    <t>1BHK</t>
  </si>
  <si>
    <t>Orchid</t>
  </si>
  <si>
    <t>Building Orchid</t>
  </si>
  <si>
    <t>acacia</t>
  </si>
  <si>
    <t>orchid</t>
  </si>
  <si>
    <t>mayflower</t>
  </si>
  <si>
    <t>Hiranandani Fortune City Golden Willows bearing Plot No.RZ-02 on Gut No. 24/1/2 (Old Survey No. 58/1A Part, 58/1/B Part, 59 Part, 60/1 Part, 60/2 Part, 60/3, 60/4 Part, 61/2 Part, 62/1 Part, 62/2 Part), Near NMMC Water Treatment Plant Bhokarpada, Old Mumbai Pune Road, At village Bhokarpada Taluka Panvel Dist. Raigad- 410206.</t>
  </si>
  <si>
    <t>60M</t>
  </si>
  <si>
    <t>18.910902,73.196788</t>
  </si>
  <si>
    <t>https://maps.app.goo.gl/NuP1q6Um1N6h4R548</t>
  </si>
  <si>
    <t>Mayflower</t>
  </si>
  <si>
    <t>CC Details For Acacia &amp; Orchid</t>
  </si>
  <si>
    <t>Approved Plan Details For Acacia &amp; Orchid</t>
  </si>
  <si>
    <t>MSRDC/SPA/TP-1/RZ02/CC/
2023/333
Date: 21/02/2023
Valid Up to: 205820.102 Sqm</t>
  </si>
  <si>
    <t>MSRDC/SPA/TP-1/RZ-02/CC/
2023/333
Date: 21/02/2023</t>
  </si>
  <si>
    <t>MSRDC/SPA/ITP-1/RZ-02/RevisedCC/
2024/149
Date: 25/01/2024</t>
  </si>
  <si>
    <t>MSRDC/SPA/ITP-1/RZ-02/
RevisedCC/2024/149
Date: 25/01/2024
Valid Up to: 226384.321 Sqm</t>
  </si>
  <si>
    <t>External Plaster</t>
  </si>
  <si>
    <t>External Plumbing, Elevation and Waterproofing</t>
  </si>
  <si>
    <t>Wooden Work</t>
  </si>
  <si>
    <t>Electrical &amp; Sanitary fittings</t>
  </si>
  <si>
    <t>Building Mayflower</t>
  </si>
  <si>
    <t>1st Podium Floor Parking &amp; Lobby</t>
  </si>
  <si>
    <t>2nd Podium Floor Parking, Entrance  Lobby, Creche &amp; Fitness Center</t>
  </si>
  <si>
    <t>Stilt Floor For Parking, Lobby &amp; Meter Room</t>
  </si>
  <si>
    <t>Proposed Built up Area (In Sq.Mt) For Acacia, Orchid &amp; Mayflower</t>
  </si>
  <si>
    <t>Proposed Total Built up Area (In Sq.Mt)</t>
  </si>
  <si>
    <t>3BHK</t>
  </si>
  <si>
    <t>3rd to 5th, 7th to 10th, 12th to 15th, 17th to 20th, 22nd to 25th, 27th to 30th, 
32nd to 35th, 37th &amp; 38th Floor For Residential</t>
  </si>
  <si>
    <t>Mr. Nitesh patil</t>
  </si>
  <si>
    <t>15.70 KM from Panvel Railway Station</t>
  </si>
  <si>
    <t>Internal Road/ Hiranandani Fortune City buildings</t>
  </si>
  <si>
    <t>20.00 M. Wide Road</t>
  </si>
  <si>
    <t>Other Plot</t>
  </si>
  <si>
    <t>15.00 M. Wide Road</t>
  </si>
  <si>
    <t>Entrance, Drop-off points, Open Party, Lawn, Zen Garden, Jogging Track, Pet Zone, Amphitheatre, Senior Citizen's Area, Reflexology pathway, Outdoor Activity Lawn, Chlorine-free infinity Pool, Chlorine-free Kid's Pool, Kids Play Area, Barbeque corner, Seating Promenade, Clubhouse, Cafe, Gym, Basketball Court, Futsal Court, Cricket pitch, Sunken Seating with Planters, Canopy covered Walkway, Spa, Reading Room, Yoga/Aerobics Room, Indoor games.</t>
  </si>
  <si>
    <t>1.90 KM from M.J.P. Office Bus Stop</t>
  </si>
  <si>
    <t>Hiranandani Fortune City - Golden Willows 
(Acacia, Orchid, Mayflower, Lavender &amp; Marigold)</t>
  </si>
  <si>
    <t>Acacia = P52000050196
Orchid = P52000050193
Mayflower = P52000054617
Lavender = P52000054615
Marigold = P52000054616</t>
  </si>
  <si>
    <t>Acacia &amp; Orchid = 21/03/2023
Mayflower, Lavender &amp; Marigold = 02/02/2024</t>
  </si>
  <si>
    <t>Acacia &amp; Orchid = 31/12/2028
Mayflower, Lavender &amp; Marigold = 31/12/2029</t>
  </si>
  <si>
    <t>Axis Bank Limited
IFSC Code = UTIB0000246</t>
  </si>
  <si>
    <t xml:space="preserve">Lavender </t>
  </si>
  <si>
    <t>Marigold</t>
  </si>
  <si>
    <t>As per RERA, Flats = 1203</t>
  </si>
  <si>
    <t>Lavender</t>
  </si>
  <si>
    <t>MSRDC/SPA/ITP-1/RZ02/
RevisedCC/2024/149
Date: 25/01/2024</t>
  </si>
  <si>
    <t>CC Details For 
Marigold</t>
  </si>
  <si>
    <t>Approved Plan Details For Lavender</t>
  </si>
  <si>
    <t>Approved Plan Details For Marigold</t>
  </si>
  <si>
    <t xml:space="preserve">CC Details For Lavender &amp; Marigold </t>
  </si>
  <si>
    <t xml:space="preserve">CC Details For Mayflower, Lavender &amp; Marigold </t>
  </si>
  <si>
    <t xml:space="preserve">Approved Plan Details For Mayflower, Lavender &amp; Marigold </t>
  </si>
  <si>
    <t>Building Lavender</t>
  </si>
  <si>
    <t>Building Marigold</t>
  </si>
  <si>
    <t>1st Podium Floor Parking, Divers Room &amp; Lobby</t>
  </si>
  <si>
    <t>2nd Podium Floor Parking, Society Office, Entrance Lobby, Creche &amp; Fitness Center</t>
  </si>
  <si>
    <t>4BHK</t>
  </si>
  <si>
    <t>Flats = 1203</t>
  </si>
  <si>
    <t>6th, 11th, 16th, 21st, 26th, 31st &amp; 36th Floor (Refuge Balcony at midlanding of Staircase)</t>
  </si>
  <si>
    <t>1. Construction work is in process at the time of Visit.(Internal visit was not allowed).
2. We considered  Saleable area as per our calculation.
3. We considered Carpet area as per Approved Plan.
4. We considered Gross carpet area = Net carpet + Open balcony + Utility Area.
5. We have considered rate by verifying it from market inquire.
6. Car parking is subjected to authentic documentation.
7. We have updated revised plans &amp; CC of Building Orchid (on 01/12/2023).
8. We have updated revised plans &amp; CC of Building Mayflower (on 27/03/2024).
9. We have updated revised plans &amp; CC of Building Lavender &amp; Marigold (on 03/05/2024).
10. We have refered approved plan &amp; CC of Building Lavender &amp; Marigold from RERA.</t>
  </si>
  <si>
    <t>Acacia &amp; Orchid = 31/12/2028</t>
  </si>
  <si>
    <t>Mayflower, Lavender &amp; Marigold</t>
  </si>
  <si>
    <t>Mr. Anand : 8104964611</t>
  </si>
  <si>
    <t>04/07/2025   @12:24 PM</t>
  </si>
  <si>
    <t>Mr. Suraj</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</si>
</sst>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b/>
      <sz val="12"/>
      <color indexed="81"/>
      <name val="Tahoma"/>
      <family val="2"/>
    </font>
    <font>
      <u/>
      <sz val="11"/>
      <color theme="10"/>
      <name val="Calibri"/>
      <family val="2"/>
    </font>
    <font>
      <u/>
      <sz val="16"/>
      <color theme="10"/>
      <name val="Calibri"/>
      <family val="2"/>
    </font>
    <font>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180">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0" borderId="1" xfId="0" applyFont="1" applyBorder="1" applyAlignment="1">
      <alignment vertical="top" wrapText="1"/>
    </xf>
    <xf numFmtId="0" fontId="4"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9" fontId="5" fillId="0" borderId="1" xfId="1" applyNumberFormat="1" applyFont="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0" fontId="4" fillId="0" borderId="6" xfId="0" applyFont="1" applyBorder="1" applyAlignment="1">
      <alignment horizontal="left" vertical="top"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0" borderId="6" xfId="0" applyFont="1" applyBorder="1" applyAlignment="1">
      <alignment horizontal="left" vertical="top" wrapText="1"/>
    </xf>
    <xf numFmtId="1" fontId="6" fillId="4" borderId="1" xfId="1" applyNumberFormat="1" applyFont="1" applyFill="1" applyBorder="1" applyAlignment="1">
      <alignment horizontal="center" vertical="center" wrapText="1"/>
    </xf>
    <xf numFmtId="0" fontId="4" fillId="4" borderId="1"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0" fontId="4" fillId="4" borderId="1" xfId="0" applyFont="1" applyFill="1" applyBorder="1" applyAlignment="1">
      <alignment vertical="top" wrapText="1"/>
    </xf>
    <xf numFmtId="0" fontId="4" fillId="0" borderId="6" xfId="0" applyFont="1" applyBorder="1" applyAlignment="1">
      <alignment horizontal="left" vertical="top" wrapText="1"/>
    </xf>
    <xf numFmtId="0" fontId="17" fillId="0" borderId="6" xfId="0" applyFont="1" applyBorder="1" applyAlignment="1">
      <alignment horizontal="left"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0" xfId="0" applyFont="1" applyFill="1" applyBorder="1" applyAlignment="1">
      <alignment vertical="top"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2" fontId="4" fillId="4" borderId="1" xfId="0" applyNumberFormat="1" applyFont="1" applyFill="1" applyBorder="1" applyAlignment="1">
      <alignment horizontal="left" vertical="top" wrapText="1"/>
    </xf>
    <xf numFmtId="0" fontId="4" fillId="0" borderId="1"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2" borderId="1" xfId="0" applyFont="1" applyFill="1" applyBorder="1" applyAlignment="1">
      <alignment horizontal="center" vertical="top"/>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top" wrapText="1"/>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9" fontId="2" fillId="4" borderId="22" xfId="1" applyNumberFormat="1" applyFont="1" applyFill="1" applyBorder="1" applyAlignment="1" applyProtection="1">
      <alignment horizontal="center" vertical="center" wrapText="1"/>
      <protection hidden="1"/>
    </xf>
    <xf numFmtId="9" fontId="2" fillId="4" borderId="23" xfId="1" applyNumberFormat="1" applyFont="1" applyFill="1" applyBorder="1" applyAlignment="1" applyProtection="1">
      <alignment horizontal="center" vertical="center" wrapText="1"/>
      <protection hidden="1"/>
    </xf>
    <xf numFmtId="14" fontId="4" fillId="4" borderId="7" xfId="0" applyNumberFormat="1"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7" xfId="0" applyFont="1" applyFill="1" applyBorder="1" applyAlignment="1">
      <alignment horizontal="left" vertical="top" wrapText="1"/>
    </xf>
    <xf numFmtId="0" fontId="2" fillId="4" borderId="7"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2" borderId="14" xfId="0" applyFont="1" applyFill="1" applyBorder="1" applyAlignment="1">
      <alignment horizontal="center" vertical="top"/>
    </xf>
    <xf numFmtId="0" fontId="2" fillId="2" borderId="9" xfId="0" applyFont="1" applyFill="1" applyBorder="1" applyAlignment="1">
      <alignment horizontal="center" vertical="top"/>
    </xf>
    <xf numFmtId="0" fontId="2" fillId="2" borderId="15" xfId="0" applyFont="1" applyFill="1" applyBorder="1" applyAlignment="1">
      <alignment horizontal="center" vertical="top"/>
    </xf>
    <xf numFmtId="0" fontId="4" fillId="4" borderId="1" xfId="0" applyFont="1" applyFill="1" applyBorder="1" applyAlignment="1">
      <alignment horizontal="left" vertical="top"/>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11" xfId="0" applyFont="1" applyFill="1" applyBorder="1" applyAlignment="1">
      <alignment horizontal="center" vertical="top" wrapText="1"/>
    </xf>
    <xf numFmtId="0" fontId="4"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2" fillId="2" borderId="5" xfId="0" applyFont="1" applyFill="1" applyBorder="1" applyAlignment="1">
      <alignment horizontal="center" vertical="top" wrapText="1"/>
    </xf>
    <xf numFmtId="0" fontId="16" fillId="4" borderId="2" xfId="2"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6" xfId="0" applyFont="1" applyFill="1" applyBorder="1" applyAlignment="1">
      <alignment horizontal="left" vertical="top" wrapText="1"/>
    </xf>
    <xf numFmtId="0" fontId="4" fillId="4" borderId="6" xfId="0" applyFont="1" applyFill="1" applyBorder="1" applyAlignment="1">
      <alignment horizontal="left" vertical="top"/>
    </xf>
    <xf numFmtId="0" fontId="17" fillId="4" borderId="6" xfId="0" applyFont="1" applyFill="1" applyBorder="1" applyAlignment="1">
      <alignment horizontal="left" vertical="top" wrapText="1"/>
    </xf>
    <xf numFmtId="0" fontId="17" fillId="4" borderId="6" xfId="0" applyFont="1" applyFill="1" applyBorder="1" applyAlignment="1">
      <alignment horizontal="left" vertical="top"/>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2" fillId="0" borderId="3" xfId="0" applyFont="1" applyBorder="1" applyAlignment="1">
      <alignment horizontal="center"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xf>
    <xf numFmtId="14" fontId="4" fillId="4" borderId="3" xfId="0" applyNumberFormat="1" applyFont="1" applyFill="1" applyBorder="1" applyAlignment="1">
      <alignment horizontal="left" vertical="top"/>
    </xf>
    <xf numFmtId="14" fontId="4" fillId="4" borderId="5" xfId="0" applyNumberFormat="1" applyFont="1" applyFill="1" applyBorder="1" applyAlignment="1">
      <alignment horizontal="left" vertical="top"/>
    </xf>
    <xf numFmtId="0" fontId="2" fillId="2" borderId="2" xfId="0" applyFont="1" applyFill="1" applyBorder="1" applyAlignment="1">
      <alignment horizontal="left" vertical="top"/>
    </xf>
    <xf numFmtId="0" fontId="2" fillId="2" borderId="3" xfId="0" applyFont="1" applyFill="1" applyBorder="1" applyAlignment="1">
      <alignment horizontal="left" vertical="top"/>
    </xf>
    <xf numFmtId="0" fontId="2" fillId="2" borderId="5" xfId="0" applyFont="1" applyFill="1" applyBorder="1" applyAlignment="1">
      <alignment horizontal="left"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1" fontId="5" fillId="0" borderId="1" xfId="1" applyNumberFormat="1" applyFont="1" applyBorder="1" applyAlignment="1">
      <alignment horizontal="center" vertical="top" wrapText="1"/>
    </xf>
    <xf numFmtId="0" fontId="4" fillId="4" borderId="2" xfId="1" applyFont="1" applyFill="1" applyBorder="1" applyAlignment="1" applyProtection="1">
      <alignment horizontal="center" vertical="center" wrapText="1"/>
      <protection hidden="1"/>
    </xf>
    <xf numFmtId="0" fontId="4" fillId="4" borderId="5" xfId="1" applyFont="1" applyFill="1" applyBorder="1" applyAlignment="1" applyProtection="1">
      <alignment horizontal="center" vertical="center" wrapText="1"/>
      <protection hidden="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2</xdr:col>
      <xdr:colOff>58066</xdr:colOff>
      <xdr:row>362</xdr:row>
      <xdr:rowOff>143977</xdr:rowOff>
    </xdr:from>
    <xdr:to>
      <xdr:col>7</xdr:col>
      <xdr:colOff>956125</xdr:colOff>
      <xdr:row>374</xdr:row>
      <xdr:rowOff>104490</xdr:rowOff>
    </xdr:to>
    <xdr:pic>
      <xdr:nvPicPr>
        <xdr:cNvPr id="37" name="Picture 36"/>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329125" y="116080036"/>
          <a:ext cx="6120000" cy="3098160"/>
        </a:xfrm>
        <a:prstGeom prst="rect">
          <a:avLst/>
        </a:prstGeom>
        <a:ln>
          <a:solidFill>
            <a:schemeClr val="tx1"/>
          </a:solidFill>
        </a:ln>
      </xdr:spPr>
    </xdr:pic>
    <xdr:clientData/>
  </xdr:twoCellAnchor>
  <xdr:twoCellAnchor>
    <xdr:from>
      <xdr:col>0</xdr:col>
      <xdr:colOff>2112478</xdr:colOff>
      <xdr:row>374</xdr:row>
      <xdr:rowOff>218228</xdr:rowOff>
    </xdr:from>
    <xdr:to>
      <xdr:col>7</xdr:col>
      <xdr:colOff>1099478</xdr:colOff>
      <xdr:row>392</xdr:row>
      <xdr:rowOff>106083</xdr:rowOff>
    </xdr:to>
    <xdr:grpSp>
      <xdr:nvGrpSpPr>
        <xdr:cNvPr id="38" name="Group 37"/>
        <xdr:cNvGrpSpPr/>
      </xdr:nvGrpSpPr>
      <xdr:grpSpPr>
        <a:xfrm>
          <a:off x="2074378" y="119079022"/>
          <a:ext cx="6185659" cy="4527090"/>
          <a:chOff x="759126" y="2536167"/>
          <a:chExt cx="5745192" cy="4226942"/>
        </a:xfrm>
      </xdr:grpSpPr>
      <xdr:pic>
        <xdr:nvPicPr>
          <xdr:cNvPr id="39" name="Picture 38"/>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759126" y="2536167"/>
            <a:ext cx="5745192" cy="4226942"/>
          </a:xfrm>
          <a:prstGeom prst="rect">
            <a:avLst/>
          </a:prstGeom>
          <a:ln>
            <a:solidFill>
              <a:schemeClr val="tx1"/>
            </a:solidFill>
          </a:ln>
        </xdr:spPr>
      </xdr:pic>
      <xdr:sp macro="" textlink="">
        <xdr:nvSpPr>
          <xdr:cNvPr id="40" name="Freeform 39"/>
          <xdr:cNvSpPr/>
        </xdr:nvSpPr>
        <xdr:spPr>
          <a:xfrm>
            <a:off x="3108500" y="3977296"/>
            <a:ext cx="1474702" cy="2152100"/>
          </a:xfrm>
          <a:custGeom>
            <a:avLst/>
            <a:gdLst>
              <a:gd name="connsiteX0" fmla="*/ 729761 w 1453915"/>
              <a:gd name="connsiteY0" fmla="*/ 95953 h 2291545"/>
              <a:gd name="connsiteX1" fmla="*/ 1453661 w 1453915"/>
              <a:gd name="connsiteY1" fmla="*/ 1543753 h 2291545"/>
              <a:gd name="connsiteX2" fmla="*/ 644036 w 1453915"/>
              <a:gd name="connsiteY2" fmla="*/ 2286703 h 2291545"/>
              <a:gd name="connsiteX3" fmla="*/ 34436 w 1453915"/>
              <a:gd name="connsiteY3" fmla="*/ 1210378 h 2291545"/>
              <a:gd name="connsiteX4" fmla="*/ 129686 w 1453915"/>
              <a:gd name="connsiteY4" fmla="*/ 810328 h 2291545"/>
              <a:gd name="connsiteX5" fmla="*/ 577361 w 1453915"/>
              <a:gd name="connsiteY5" fmla="*/ 210253 h 2291545"/>
              <a:gd name="connsiteX6" fmla="*/ 729761 w 1453915"/>
              <a:gd name="connsiteY6" fmla="*/ 95953 h 2291545"/>
              <a:gd name="connsiteX0" fmla="*/ 729761 w 1453924"/>
              <a:gd name="connsiteY0" fmla="*/ 89157 h 2284749"/>
              <a:gd name="connsiteX1" fmla="*/ 1453661 w 1453924"/>
              <a:gd name="connsiteY1" fmla="*/ 1536957 h 2284749"/>
              <a:gd name="connsiteX2" fmla="*/ 644036 w 1453924"/>
              <a:gd name="connsiteY2" fmla="*/ 2279907 h 2284749"/>
              <a:gd name="connsiteX3" fmla="*/ 34436 w 1453924"/>
              <a:gd name="connsiteY3" fmla="*/ 1203582 h 2284749"/>
              <a:gd name="connsiteX4" fmla="*/ 129686 w 1453924"/>
              <a:gd name="connsiteY4" fmla="*/ 803532 h 2284749"/>
              <a:gd name="connsiteX5" fmla="*/ 453536 w 1453924"/>
              <a:gd name="connsiteY5" fmla="*/ 226587 h 2284749"/>
              <a:gd name="connsiteX6" fmla="*/ 729761 w 1453924"/>
              <a:gd name="connsiteY6" fmla="*/ 89157 h 2284749"/>
              <a:gd name="connsiteX0" fmla="*/ 749126 w 1473289"/>
              <a:gd name="connsiteY0" fmla="*/ 88354 h 2283946"/>
              <a:gd name="connsiteX1" fmla="*/ 1473026 w 1473289"/>
              <a:gd name="connsiteY1" fmla="*/ 1536154 h 2283946"/>
              <a:gd name="connsiteX2" fmla="*/ 663401 w 1473289"/>
              <a:gd name="connsiteY2" fmla="*/ 2279104 h 2283946"/>
              <a:gd name="connsiteX3" fmla="*/ 53801 w 1473289"/>
              <a:gd name="connsiteY3" fmla="*/ 1202779 h 2283946"/>
              <a:gd name="connsiteX4" fmla="*/ 91901 w 1473289"/>
              <a:gd name="connsiteY4" fmla="*/ 776296 h 2283946"/>
              <a:gd name="connsiteX5" fmla="*/ 472901 w 1473289"/>
              <a:gd name="connsiteY5" fmla="*/ 225784 h 2283946"/>
              <a:gd name="connsiteX6" fmla="*/ 749126 w 1473289"/>
              <a:gd name="connsiteY6" fmla="*/ 88354 h 2283946"/>
              <a:gd name="connsiteX0" fmla="*/ 863426 w 1474691"/>
              <a:gd name="connsiteY0" fmla="*/ 90737 h 2273092"/>
              <a:gd name="connsiteX1" fmla="*/ 1473026 w 1474691"/>
              <a:gd name="connsiteY1" fmla="*/ 1525320 h 2273092"/>
              <a:gd name="connsiteX2" fmla="*/ 663401 w 1474691"/>
              <a:gd name="connsiteY2" fmla="*/ 2268270 h 2273092"/>
              <a:gd name="connsiteX3" fmla="*/ 53801 w 1474691"/>
              <a:gd name="connsiteY3" fmla="*/ 1191945 h 2273092"/>
              <a:gd name="connsiteX4" fmla="*/ 91901 w 1474691"/>
              <a:gd name="connsiteY4" fmla="*/ 765462 h 2273092"/>
              <a:gd name="connsiteX5" fmla="*/ 472901 w 1474691"/>
              <a:gd name="connsiteY5" fmla="*/ 214950 h 2273092"/>
              <a:gd name="connsiteX6" fmla="*/ 863426 w 1474691"/>
              <a:gd name="connsiteY6" fmla="*/ 90737 h 2273092"/>
              <a:gd name="connsiteX0" fmla="*/ 863426 w 1474702"/>
              <a:gd name="connsiteY0" fmla="*/ 57321 h 2239675"/>
              <a:gd name="connsiteX1" fmla="*/ 1473026 w 1474702"/>
              <a:gd name="connsiteY1" fmla="*/ 1491904 h 2239675"/>
              <a:gd name="connsiteX2" fmla="*/ 663401 w 1474702"/>
              <a:gd name="connsiteY2" fmla="*/ 2234854 h 2239675"/>
              <a:gd name="connsiteX3" fmla="*/ 53801 w 1474702"/>
              <a:gd name="connsiteY3" fmla="*/ 1158529 h 2239675"/>
              <a:gd name="connsiteX4" fmla="*/ 91901 w 1474702"/>
              <a:gd name="connsiteY4" fmla="*/ 732046 h 2239675"/>
              <a:gd name="connsiteX5" fmla="*/ 472901 w 1474702"/>
              <a:gd name="connsiteY5" fmla="*/ 181534 h 2239675"/>
              <a:gd name="connsiteX6" fmla="*/ 863426 w 1474702"/>
              <a:gd name="connsiteY6" fmla="*/ 57321 h 2239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474702" h="2239675">
                <a:moveTo>
                  <a:pt x="863426" y="57321"/>
                </a:moveTo>
                <a:cubicBezTo>
                  <a:pt x="1033288" y="199719"/>
                  <a:pt x="1506363" y="1128982"/>
                  <a:pt x="1473026" y="1491904"/>
                </a:cubicBezTo>
                <a:cubicBezTo>
                  <a:pt x="1439689" y="1854826"/>
                  <a:pt x="899938" y="2290416"/>
                  <a:pt x="663401" y="2234854"/>
                </a:cubicBezTo>
                <a:cubicBezTo>
                  <a:pt x="426864" y="2179292"/>
                  <a:pt x="149051" y="1408997"/>
                  <a:pt x="53801" y="1158529"/>
                </a:cubicBezTo>
                <a:cubicBezTo>
                  <a:pt x="-41449" y="908061"/>
                  <a:pt x="1414" y="898733"/>
                  <a:pt x="91901" y="732046"/>
                </a:cubicBezTo>
                <a:cubicBezTo>
                  <a:pt x="182388" y="565359"/>
                  <a:pt x="344314" y="293988"/>
                  <a:pt x="472901" y="181534"/>
                </a:cubicBezTo>
                <a:cubicBezTo>
                  <a:pt x="601489" y="69080"/>
                  <a:pt x="693564" y="-85077"/>
                  <a:pt x="863426" y="57321"/>
                </a:cubicBezTo>
                <a:close/>
              </a:path>
            </a:pathLst>
          </a:cu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277091</xdr:colOff>
      <xdr:row>316</xdr:row>
      <xdr:rowOff>51955</xdr:rowOff>
    </xdr:from>
    <xdr:to>
      <xdr:col>8</xdr:col>
      <xdr:colOff>1472044</xdr:colOff>
      <xdr:row>352</xdr:row>
      <xdr:rowOff>86592</xdr:rowOff>
    </xdr:to>
    <xdr:grpSp>
      <xdr:nvGrpSpPr>
        <xdr:cNvPr id="18" name="Group 17"/>
        <xdr:cNvGrpSpPr/>
      </xdr:nvGrpSpPr>
      <xdr:grpSpPr>
        <a:xfrm>
          <a:off x="277091" y="103964102"/>
          <a:ext cx="9980365" cy="9313108"/>
          <a:chOff x="-342000" y="1655762"/>
          <a:chExt cx="7200000" cy="6751601"/>
        </a:xfrm>
      </xdr:grpSpPr>
      <xdr:pic>
        <xdr:nvPicPr>
          <xdr:cNvPr id="19" name="Picture 18"/>
          <xdr:cNvPicPr>
            <a:picLocks noChangeAspect="1"/>
          </xdr:cNvPicPr>
        </xdr:nvPicPr>
        <xdr:blipFill>
          <a:blip xmlns:r="http://schemas.openxmlformats.org/officeDocument/2006/relationships" r:embed="rId3"/>
          <a:stretch>
            <a:fillRect/>
          </a:stretch>
        </xdr:blipFill>
        <xdr:spPr>
          <a:xfrm>
            <a:off x="-342000" y="1655762"/>
            <a:ext cx="7200000" cy="6751601"/>
          </a:xfrm>
          <a:prstGeom prst="rect">
            <a:avLst/>
          </a:prstGeom>
          <a:ln>
            <a:solidFill>
              <a:schemeClr val="tx1"/>
            </a:solidFill>
          </a:ln>
        </xdr:spPr>
      </xdr:pic>
      <xdr:sp macro="" textlink="">
        <xdr:nvSpPr>
          <xdr:cNvPr id="20" name="Rectangle 19"/>
          <xdr:cNvSpPr/>
        </xdr:nvSpPr>
        <xdr:spPr>
          <a:xfrm rot="18005107">
            <a:off x="476249" y="3786481"/>
            <a:ext cx="1171575" cy="98343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1" name="Rectangle 20"/>
          <xdr:cNvSpPr/>
        </xdr:nvSpPr>
        <xdr:spPr>
          <a:xfrm rot="14942946">
            <a:off x="3073561" y="4126149"/>
            <a:ext cx="1103772" cy="8548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Rectangle 21"/>
          <xdr:cNvSpPr/>
        </xdr:nvSpPr>
        <xdr:spPr>
          <a:xfrm rot="14942946">
            <a:off x="2609221" y="3021249"/>
            <a:ext cx="1103772" cy="85483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Rectangle 25"/>
          <xdr:cNvSpPr/>
        </xdr:nvSpPr>
        <xdr:spPr>
          <a:xfrm rot="18626643">
            <a:off x="976058" y="2732860"/>
            <a:ext cx="1103772" cy="75404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TextBox 7"/>
          <xdr:cNvSpPr txBox="1"/>
        </xdr:nvSpPr>
        <xdr:spPr>
          <a:xfrm rot="4041842">
            <a:off x="3443606" y="3051837"/>
            <a:ext cx="627992"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FF0000"/>
                </a:solidFill>
              </a:rPr>
              <a:t>ACACIA</a:t>
            </a:r>
          </a:p>
        </xdr:txBody>
      </xdr:sp>
      <xdr:sp macro="" textlink="">
        <xdr:nvSpPr>
          <xdr:cNvPr id="28" name="TextBox 8"/>
          <xdr:cNvSpPr txBox="1"/>
        </xdr:nvSpPr>
        <xdr:spPr>
          <a:xfrm rot="18689007">
            <a:off x="913557" y="2613060"/>
            <a:ext cx="406073"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FF0000"/>
                </a:solidFill>
              </a:rPr>
              <a:t>IRIS</a:t>
            </a:r>
          </a:p>
        </xdr:txBody>
      </xdr:sp>
      <xdr:sp macro="" textlink="">
        <xdr:nvSpPr>
          <xdr:cNvPr id="29" name="TextBox 9"/>
          <xdr:cNvSpPr txBox="1"/>
        </xdr:nvSpPr>
        <xdr:spPr>
          <a:xfrm rot="17959373">
            <a:off x="154076" y="3797894"/>
            <a:ext cx="64973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FF0000"/>
                </a:solidFill>
              </a:rPr>
              <a:t>ORCHID</a:t>
            </a:r>
          </a:p>
        </xdr:txBody>
      </xdr:sp>
      <xdr:sp macro="" textlink="">
        <xdr:nvSpPr>
          <xdr:cNvPr id="30" name="TextBox 11"/>
          <xdr:cNvSpPr txBox="1"/>
        </xdr:nvSpPr>
        <xdr:spPr>
          <a:xfrm rot="4041842">
            <a:off x="2686255" y="4659323"/>
            <a:ext cx="825867" cy="26161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100" b="1">
                <a:solidFill>
                  <a:srgbClr val="FF0000"/>
                </a:solidFill>
              </a:rPr>
              <a:t>Mayflower</a:t>
            </a:r>
          </a:p>
        </xdr:txBody>
      </xdr:sp>
    </xdr:grpSp>
    <xdr:clientData/>
  </xdr:twoCellAnchor>
  <xdr:twoCellAnchor editAs="oneCell">
    <xdr:from>
      <xdr:col>9</xdr:col>
      <xdr:colOff>201707</xdr:colOff>
      <xdr:row>17</xdr:row>
      <xdr:rowOff>257743</xdr:rowOff>
    </xdr:from>
    <xdr:to>
      <xdr:col>12</xdr:col>
      <xdr:colOff>318090</xdr:colOff>
      <xdr:row>20</xdr:row>
      <xdr:rowOff>175701</xdr:rowOff>
    </xdr:to>
    <xdr:pic>
      <xdr:nvPicPr>
        <xdr:cNvPr id="2" name="Picture 1"/>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0611972" y="12617831"/>
          <a:ext cx="3960000" cy="1722105"/>
        </a:xfrm>
        <a:prstGeom prst="rect">
          <a:avLst/>
        </a:prstGeom>
        <a:ln>
          <a:solidFill>
            <a:sysClr val="windowText" lastClr="000000"/>
          </a:solidFill>
        </a:ln>
      </xdr:spPr>
    </xdr:pic>
    <xdr:clientData/>
  </xdr:twoCellAnchor>
  <xdr:twoCellAnchor editAs="oneCell">
    <xdr:from>
      <xdr:col>9</xdr:col>
      <xdr:colOff>78441</xdr:colOff>
      <xdr:row>43</xdr:row>
      <xdr:rowOff>67236</xdr:rowOff>
    </xdr:from>
    <xdr:to>
      <xdr:col>11</xdr:col>
      <xdr:colOff>259941</xdr:colOff>
      <xdr:row>50</xdr:row>
      <xdr:rowOff>8244</xdr:rowOff>
    </xdr:to>
    <xdr:pic>
      <xdr:nvPicPr>
        <xdr:cNvPr id="3" name="Picture 2"/>
        <xdr:cNvPicPr>
          <a:picLocks noChangeAspect="1"/>
        </xdr:cNvPicPr>
      </xdr:nvPicPr>
      <xdr:blipFill>
        <a:blip xmlns:r="http://schemas.openxmlformats.org/officeDocument/2006/relationships" r:embed="rId5"/>
        <a:stretch>
          <a:fillRect/>
        </a:stretch>
      </xdr:blipFill>
      <xdr:spPr>
        <a:xfrm>
          <a:off x="10488706" y="24697765"/>
          <a:ext cx="3420000" cy="2339066"/>
        </a:xfrm>
        <a:prstGeom prst="rect">
          <a:avLst/>
        </a:prstGeom>
      </xdr:spPr>
    </xdr:pic>
    <xdr:clientData/>
  </xdr:twoCellAnchor>
  <xdr:twoCellAnchor>
    <xdr:from>
      <xdr:col>0</xdr:col>
      <xdr:colOff>1332449</xdr:colOff>
      <xdr:row>333</xdr:row>
      <xdr:rowOff>35643</xdr:rowOff>
    </xdr:from>
    <xdr:to>
      <xdr:col>2</xdr:col>
      <xdr:colOff>150941</xdr:colOff>
      <xdr:row>339</xdr:row>
      <xdr:rowOff>2</xdr:rowOff>
    </xdr:to>
    <xdr:sp macro="" textlink="">
      <xdr:nvSpPr>
        <xdr:cNvPr id="4" name="Rectangle 3"/>
        <xdr:cNvSpPr/>
      </xdr:nvSpPr>
      <xdr:spPr>
        <a:xfrm rot="20382544">
          <a:off x="1332449" y="106872525"/>
          <a:ext cx="981227" cy="15107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437029</xdr:colOff>
      <xdr:row>334</xdr:row>
      <xdr:rowOff>246529</xdr:rowOff>
    </xdr:from>
    <xdr:to>
      <xdr:col>5</xdr:col>
      <xdr:colOff>1423147</xdr:colOff>
      <xdr:row>340</xdr:row>
      <xdr:rowOff>33618</xdr:rowOff>
    </xdr:to>
    <xdr:sp macro="" textlink="">
      <xdr:nvSpPr>
        <xdr:cNvPr id="5" name="Rectangle 4"/>
        <xdr:cNvSpPr/>
      </xdr:nvSpPr>
      <xdr:spPr>
        <a:xfrm rot="21400793">
          <a:off x="5681382" y="107341147"/>
          <a:ext cx="986118" cy="1333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0</xdr:col>
      <xdr:colOff>1047933</xdr:colOff>
      <xdr:row>335</xdr:row>
      <xdr:rowOff>128686</xdr:rowOff>
    </xdr:from>
    <xdr:ext cx="264560" cy="724365"/>
    <xdr:sp macro="" textlink="">
      <xdr:nvSpPr>
        <xdr:cNvPr id="6" name="TextBox 5"/>
        <xdr:cNvSpPr txBox="1"/>
      </xdr:nvSpPr>
      <xdr:spPr>
        <a:xfrm rot="15124672">
          <a:off x="818030" y="107710942"/>
          <a:ext cx="7243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Lavender</a:t>
          </a:r>
        </a:p>
      </xdr:txBody>
    </xdr:sp>
    <xdr:clientData/>
  </xdr:oneCellAnchor>
  <xdr:oneCellAnchor>
    <xdr:from>
      <xdr:col>5</xdr:col>
      <xdr:colOff>90951</xdr:colOff>
      <xdr:row>336</xdr:row>
      <xdr:rowOff>72632</xdr:rowOff>
    </xdr:from>
    <xdr:ext cx="264560" cy="715452"/>
    <xdr:sp macro="" textlink="">
      <xdr:nvSpPr>
        <xdr:cNvPr id="31" name="TextBox 30"/>
        <xdr:cNvSpPr txBox="1"/>
      </xdr:nvSpPr>
      <xdr:spPr>
        <a:xfrm rot="5217806">
          <a:off x="5109858" y="107908166"/>
          <a:ext cx="7154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solidFill>
                <a:srgbClr val="FF0000"/>
              </a:solidFill>
            </a:rPr>
            <a:t>Marigold</a:t>
          </a:r>
        </a:p>
      </xdr:txBody>
    </xdr:sp>
    <xdr:clientData/>
  </xdr:oneCellAnchor>
  <xdr:twoCellAnchor editAs="oneCell">
    <xdr:from>
      <xdr:col>9</xdr:col>
      <xdr:colOff>67235</xdr:colOff>
      <xdr:row>151</xdr:row>
      <xdr:rowOff>134486</xdr:rowOff>
    </xdr:from>
    <xdr:to>
      <xdr:col>12</xdr:col>
      <xdr:colOff>327618</xdr:colOff>
      <xdr:row>159</xdr:row>
      <xdr:rowOff>215187</xdr:rowOff>
    </xdr:to>
    <xdr:pic>
      <xdr:nvPicPr>
        <xdr:cNvPr id="8" name="Picture 7"/>
        <xdr:cNvPicPr>
          <a:picLocks noChangeAspect="1"/>
        </xdr:cNvPicPr>
      </xdr:nvPicPr>
      <xdr:blipFill>
        <a:blip xmlns:r="http://schemas.openxmlformats.org/officeDocument/2006/relationships" r:embed="rId6"/>
        <a:stretch>
          <a:fillRect/>
        </a:stretch>
      </xdr:blipFill>
      <xdr:spPr>
        <a:xfrm>
          <a:off x="10477500" y="57060368"/>
          <a:ext cx="4104000" cy="2400320"/>
        </a:xfrm>
        <a:prstGeom prst="rect">
          <a:avLst/>
        </a:prstGeom>
      </xdr:spPr>
    </xdr:pic>
    <xdr:clientData/>
  </xdr:twoCellAnchor>
  <xdr:twoCellAnchor editAs="oneCell">
    <xdr:from>
      <xdr:col>15</xdr:col>
      <xdr:colOff>259318</xdr:colOff>
      <xdr:row>299</xdr:row>
      <xdr:rowOff>95249</xdr:rowOff>
    </xdr:from>
    <xdr:to>
      <xdr:col>18</xdr:col>
      <xdr:colOff>603267</xdr:colOff>
      <xdr:row>315</xdr:row>
      <xdr:rowOff>163286</xdr:rowOff>
    </xdr:to>
    <xdr:pic>
      <xdr:nvPicPr>
        <xdr:cNvPr id="32" name="Picture 31" descr="https://vsjcllp.vsjadon.com/upload/insp-216673-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6342961" y="101277963"/>
          <a:ext cx="2180913" cy="29119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380230</xdr:colOff>
      <xdr:row>299</xdr:row>
      <xdr:rowOff>94687</xdr:rowOff>
    </xdr:from>
    <xdr:to>
      <xdr:col>15</xdr:col>
      <xdr:colOff>111857</xdr:colOff>
      <xdr:row>315</xdr:row>
      <xdr:rowOff>162724</xdr:rowOff>
    </xdr:to>
    <xdr:pic>
      <xdr:nvPicPr>
        <xdr:cNvPr id="35" name="Picture 34" descr="https://vsjcllp.vsjadon.com/upload/insp-216673-847.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4014587" y="101277401"/>
          <a:ext cx="2180913" cy="29119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563064</xdr:colOff>
      <xdr:row>285</xdr:row>
      <xdr:rowOff>180958</xdr:rowOff>
    </xdr:from>
    <xdr:to>
      <xdr:col>24</xdr:col>
      <xdr:colOff>206610</xdr:colOff>
      <xdr:row>298</xdr:row>
      <xdr:rowOff>231320</xdr:rowOff>
    </xdr:to>
    <xdr:pic>
      <xdr:nvPicPr>
        <xdr:cNvPr id="49" name="Picture 48" descr="https://vsjcllp.vsjadon.com/upload/insp-216673-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15422064" y="97744172"/>
          <a:ext cx="4542117" cy="341132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852292</xdr:colOff>
      <xdr:row>268</xdr:row>
      <xdr:rowOff>118773</xdr:rowOff>
    </xdr:from>
    <xdr:to>
      <xdr:col>12</xdr:col>
      <xdr:colOff>245031</xdr:colOff>
      <xdr:row>285</xdr:row>
      <xdr:rowOff>54429</xdr:rowOff>
    </xdr:to>
    <xdr:grpSp>
      <xdr:nvGrpSpPr>
        <xdr:cNvPr id="10" name="Group 9"/>
        <xdr:cNvGrpSpPr/>
      </xdr:nvGrpSpPr>
      <xdr:grpSpPr>
        <a:xfrm>
          <a:off x="11262557" y="92948302"/>
          <a:ext cx="3236356" cy="4317156"/>
          <a:chOff x="185542" y="93041951"/>
          <a:chExt cx="3243561" cy="4330763"/>
        </a:xfrm>
      </xdr:grpSpPr>
      <xdr:pic>
        <xdr:nvPicPr>
          <xdr:cNvPr id="53" name="Picture 52" descr="https://vsjcllp.vsjadon.com/upload/insp-216673-925.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185542" y="93041951"/>
            <a:ext cx="3243561" cy="43307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7" name="TextBox 6"/>
          <xdr:cNvSpPr txBox="1"/>
        </xdr:nvSpPr>
        <xdr:spPr>
          <a:xfrm>
            <a:off x="340179" y="93154500"/>
            <a:ext cx="1034142"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Acacia</a:t>
            </a:r>
          </a:p>
        </xdr:txBody>
      </xdr:sp>
    </xdr:grpSp>
    <xdr:clientData/>
  </xdr:twoCellAnchor>
  <xdr:twoCellAnchor>
    <xdr:from>
      <xdr:col>12</xdr:col>
      <xdr:colOff>382275</xdr:colOff>
      <xdr:row>268</xdr:row>
      <xdr:rowOff>116051</xdr:rowOff>
    </xdr:from>
    <xdr:to>
      <xdr:col>17</xdr:col>
      <xdr:colOff>564229</xdr:colOff>
      <xdr:row>285</xdr:row>
      <xdr:rowOff>51707</xdr:rowOff>
    </xdr:to>
    <xdr:grpSp>
      <xdr:nvGrpSpPr>
        <xdr:cNvPr id="9" name="Group 8"/>
        <xdr:cNvGrpSpPr/>
      </xdr:nvGrpSpPr>
      <xdr:grpSpPr>
        <a:xfrm>
          <a:off x="14636157" y="92945580"/>
          <a:ext cx="3207543" cy="4317156"/>
          <a:chOff x="3566347" y="93039229"/>
          <a:chExt cx="3243561" cy="4330763"/>
        </a:xfrm>
      </xdr:grpSpPr>
      <xdr:pic>
        <xdr:nvPicPr>
          <xdr:cNvPr id="50" name="Picture 49" descr="https://vsjcllp.vsjadon.com/upload/insp-216673-86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3566347" y="93039229"/>
            <a:ext cx="3243561" cy="43307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4" name="TextBox 53"/>
          <xdr:cNvSpPr txBox="1"/>
        </xdr:nvSpPr>
        <xdr:spPr>
          <a:xfrm>
            <a:off x="3566347" y="93039229"/>
            <a:ext cx="1034142"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Orchid</a:t>
            </a:r>
          </a:p>
        </xdr:txBody>
      </xdr:sp>
    </xdr:grpSp>
    <xdr:clientData/>
  </xdr:twoCellAnchor>
  <xdr:twoCellAnchor>
    <xdr:from>
      <xdr:col>18</xdr:col>
      <xdr:colOff>77264</xdr:colOff>
      <xdr:row>268</xdr:row>
      <xdr:rowOff>126937</xdr:rowOff>
    </xdr:from>
    <xdr:to>
      <xdr:col>26</xdr:col>
      <xdr:colOff>244928</xdr:colOff>
      <xdr:row>285</xdr:row>
      <xdr:rowOff>43514</xdr:rowOff>
    </xdr:to>
    <xdr:grpSp>
      <xdr:nvGrpSpPr>
        <xdr:cNvPr id="11" name="Group 10"/>
        <xdr:cNvGrpSpPr/>
      </xdr:nvGrpSpPr>
      <xdr:grpSpPr>
        <a:xfrm>
          <a:off x="17961852" y="92956466"/>
          <a:ext cx="3193252" cy="4298077"/>
          <a:chOff x="6935264" y="93050115"/>
          <a:chExt cx="3229271" cy="4311684"/>
        </a:xfrm>
      </xdr:grpSpPr>
      <xdr:pic>
        <xdr:nvPicPr>
          <xdr:cNvPr id="51" name="Picture 50" descr="https://vsjcllp.vsjadon.com/upload/insp-216673-877.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935264" y="93050115"/>
            <a:ext cx="3229271" cy="431168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5" name="TextBox 54"/>
          <xdr:cNvSpPr txBox="1"/>
        </xdr:nvSpPr>
        <xdr:spPr>
          <a:xfrm>
            <a:off x="8051049" y="93090937"/>
            <a:ext cx="1269844"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Lavender</a:t>
            </a:r>
          </a:p>
        </xdr:txBody>
      </xdr:sp>
    </xdr:grpSp>
    <xdr:clientData/>
  </xdr:twoCellAnchor>
  <xdr:twoCellAnchor>
    <xdr:from>
      <xdr:col>9</xdr:col>
      <xdr:colOff>2252801</xdr:colOff>
      <xdr:row>285</xdr:row>
      <xdr:rowOff>173203</xdr:rowOff>
    </xdr:from>
    <xdr:to>
      <xdr:col>13</xdr:col>
      <xdr:colOff>428220</xdr:colOff>
      <xdr:row>298</xdr:row>
      <xdr:rowOff>231321</xdr:rowOff>
    </xdr:to>
    <xdr:grpSp>
      <xdr:nvGrpSpPr>
        <xdr:cNvPr id="61" name="Group 60"/>
        <xdr:cNvGrpSpPr/>
      </xdr:nvGrpSpPr>
      <xdr:grpSpPr>
        <a:xfrm>
          <a:off x="12663066" y="97384232"/>
          <a:ext cx="2624154" cy="3408677"/>
          <a:chOff x="1586051" y="97491488"/>
          <a:chExt cx="2638562" cy="3419083"/>
        </a:xfrm>
      </xdr:grpSpPr>
      <xdr:pic>
        <xdr:nvPicPr>
          <xdr:cNvPr id="52" name="Picture 51" descr="https://vsjcllp.vsjadon.com/upload/insp-216673-940.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586051" y="97491488"/>
            <a:ext cx="2638562" cy="341908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56" name="TextBox 55"/>
          <xdr:cNvSpPr txBox="1"/>
        </xdr:nvSpPr>
        <xdr:spPr>
          <a:xfrm>
            <a:off x="1613265" y="98131024"/>
            <a:ext cx="1366699"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Mayflower</a:t>
            </a:r>
          </a:p>
        </xdr:txBody>
      </xdr:sp>
      <xdr:sp macro="" textlink="">
        <xdr:nvSpPr>
          <xdr:cNvPr id="57" name="TextBox 56"/>
          <xdr:cNvSpPr txBox="1"/>
        </xdr:nvSpPr>
        <xdr:spPr>
          <a:xfrm>
            <a:off x="2813414" y="98011281"/>
            <a:ext cx="1269844" cy="50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0000"/>
                </a:solidFill>
              </a:rPr>
              <a:t>Marigold</a:t>
            </a:r>
          </a:p>
        </xdr:txBody>
      </xdr:sp>
      <xdr:cxnSp macro="">
        <xdr:nvCxnSpPr>
          <xdr:cNvPr id="13" name="Straight Arrow Connector 12"/>
          <xdr:cNvCxnSpPr/>
        </xdr:nvCxnSpPr>
        <xdr:spPr>
          <a:xfrm flipH="1">
            <a:off x="2041071" y="98529321"/>
            <a:ext cx="54429" cy="43542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8" name="Straight Arrow Connector 57"/>
          <xdr:cNvCxnSpPr/>
        </xdr:nvCxnSpPr>
        <xdr:spPr>
          <a:xfrm>
            <a:off x="3279321" y="98434071"/>
            <a:ext cx="68036" cy="517072"/>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1688353</xdr:colOff>
      <xdr:row>267</xdr:row>
      <xdr:rowOff>186765</xdr:rowOff>
    </xdr:from>
    <xdr:to>
      <xdr:col>7</xdr:col>
      <xdr:colOff>1354296</xdr:colOff>
      <xdr:row>304</xdr:row>
      <xdr:rowOff>172824</xdr:rowOff>
    </xdr:to>
    <xdr:grpSp>
      <xdr:nvGrpSpPr>
        <xdr:cNvPr id="15" name="Group 14"/>
        <xdr:cNvGrpSpPr/>
      </xdr:nvGrpSpPr>
      <xdr:grpSpPr>
        <a:xfrm>
          <a:off x="1688353" y="92758559"/>
          <a:ext cx="6826502" cy="9522265"/>
          <a:chOff x="1688353" y="92590471"/>
          <a:chExt cx="7158943" cy="9660471"/>
        </a:xfrm>
      </xdr:grpSpPr>
      <xdr:pic>
        <xdr:nvPicPr>
          <xdr:cNvPr id="65" name="Picture 64"/>
          <xdr:cNvPicPr>
            <a:picLocks noChangeAspect="1"/>
          </xdr:cNvPicPr>
        </xdr:nvPicPr>
        <xdr:blipFill>
          <a:blip xmlns:r="http://schemas.openxmlformats.org/officeDocument/2006/relationships" r:embed="rId14"/>
          <a:stretch>
            <a:fillRect/>
          </a:stretch>
        </xdr:blipFill>
        <xdr:spPr>
          <a:xfrm>
            <a:off x="1688353" y="92590471"/>
            <a:ext cx="3505125" cy="4680000"/>
          </a:xfrm>
          <a:prstGeom prst="rect">
            <a:avLst/>
          </a:prstGeom>
          <a:ln>
            <a:solidFill>
              <a:schemeClr val="tx1"/>
            </a:solidFill>
          </a:ln>
        </xdr:spPr>
      </xdr:pic>
      <xdr:pic>
        <xdr:nvPicPr>
          <xdr:cNvPr id="67" name="Picture 66"/>
          <xdr:cNvPicPr>
            <a:picLocks noChangeAspect="1"/>
          </xdr:cNvPicPr>
        </xdr:nvPicPr>
        <xdr:blipFill>
          <a:blip xmlns:r="http://schemas.openxmlformats.org/officeDocument/2006/relationships" r:embed="rId15"/>
          <a:stretch>
            <a:fillRect/>
          </a:stretch>
        </xdr:blipFill>
        <xdr:spPr>
          <a:xfrm>
            <a:off x="5342171" y="92590471"/>
            <a:ext cx="3505125" cy="4680000"/>
          </a:xfrm>
          <a:prstGeom prst="rect">
            <a:avLst/>
          </a:prstGeom>
          <a:ln>
            <a:solidFill>
              <a:schemeClr val="tx1"/>
            </a:solidFill>
          </a:ln>
        </xdr:spPr>
      </xdr:pic>
      <xdr:pic>
        <xdr:nvPicPr>
          <xdr:cNvPr id="74" name="Picture 73"/>
          <xdr:cNvPicPr>
            <a:picLocks noChangeAspect="1"/>
          </xdr:cNvPicPr>
        </xdr:nvPicPr>
        <xdr:blipFill>
          <a:blip xmlns:r="http://schemas.openxmlformats.org/officeDocument/2006/relationships" r:embed="rId16"/>
          <a:stretch>
            <a:fillRect/>
          </a:stretch>
        </xdr:blipFill>
        <xdr:spPr>
          <a:xfrm>
            <a:off x="1838144" y="97419943"/>
            <a:ext cx="3355334" cy="2520000"/>
          </a:xfrm>
          <a:prstGeom prst="rect">
            <a:avLst/>
          </a:prstGeom>
          <a:ln>
            <a:solidFill>
              <a:schemeClr val="tx1"/>
            </a:solidFill>
          </a:ln>
        </xdr:spPr>
      </xdr:pic>
      <xdr:pic>
        <xdr:nvPicPr>
          <xdr:cNvPr id="75" name="Picture 74"/>
          <xdr:cNvPicPr>
            <a:picLocks noChangeAspect="1"/>
          </xdr:cNvPicPr>
        </xdr:nvPicPr>
        <xdr:blipFill>
          <a:blip xmlns:r="http://schemas.openxmlformats.org/officeDocument/2006/relationships" r:embed="rId17"/>
          <a:stretch>
            <a:fillRect/>
          </a:stretch>
        </xdr:blipFill>
        <xdr:spPr>
          <a:xfrm>
            <a:off x="5342171" y="97419943"/>
            <a:ext cx="3355334" cy="2520000"/>
          </a:xfrm>
          <a:prstGeom prst="rect">
            <a:avLst/>
          </a:prstGeom>
          <a:ln>
            <a:solidFill>
              <a:schemeClr val="tx1"/>
            </a:solidFill>
          </a:ln>
        </xdr:spPr>
      </xdr:pic>
      <xdr:pic>
        <xdr:nvPicPr>
          <xdr:cNvPr id="76" name="Picture 7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6885349" y="100090942"/>
            <a:ext cx="1617750" cy="2160000"/>
          </a:xfrm>
          <a:prstGeom prst="rect">
            <a:avLst/>
          </a:prstGeom>
          <a:ln>
            <a:solidFill>
              <a:schemeClr val="tx1"/>
            </a:solidFill>
          </a:ln>
        </xdr:spPr>
      </xdr:pic>
      <xdr:pic>
        <xdr:nvPicPr>
          <xdr:cNvPr id="77" name="Picture 76"/>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5110211" y="100090942"/>
            <a:ext cx="1617750" cy="2160000"/>
          </a:xfrm>
          <a:prstGeom prst="rect">
            <a:avLst/>
          </a:prstGeom>
          <a:ln>
            <a:solidFill>
              <a:schemeClr val="tx1"/>
            </a:solidFill>
          </a:ln>
        </xdr:spPr>
      </xdr:pic>
      <xdr:pic>
        <xdr:nvPicPr>
          <xdr:cNvPr id="78" name="Picture 7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2076823" y="100090942"/>
            <a:ext cx="2876000" cy="2160000"/>
          </a:xfrm>
          <a:prstGeom prst="rect">
            <a:avLst/>
          </a:prstGeom>
          <a:ln>
            <a:solidFill>
              <a:schemeClr val="tx1"/>
            </a:solidFill>
          </a:ln>
        </xdr:spPr>
      </xdr:pic>
      <xdr:sp macro="" textlink="">
        <xdr:nvSpPr>
          <xdr:cNvPr id="79" name="TextBox 78"/>
          <xdr:cNvSpPr txBox="1"/>
        </xdr:nvSpPr>
        <xdr:spPr>
          <a:xfrm>
            <a:off x="2330823" y="92597941"/>
            <a:ext cx="1092582" cy="509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Acacia</a:t>
            </a:r>
          </a:p>
        </xdr:txBody>
      </xdr:sp>
      <xdr:sp macro="" textlink="">
        <xdr:nvSpPr>
          <xdr:cNvPr id="80" name="TextBox 79"/>
          <xdr:cNvSpPr txBox="1"/>
        </xdr:nvSpPr>
        <xdr:spPr>
          <a:xfrm>
            <a:off x="5588700" y="92612883"/>
            <a:ext cx="1082204" cy="509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000" b="1">
                <a:solidFill>
                  <a:srgbClr val="FF0000"/>
                </a:solidFill>
              </a:rPr>
              <a:t>Orchid</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NuP1q6Um1N6h4R54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406"/>
  <sheetViews>
    <sheetView tabSelected="1" view="pageBreakPreview" zoomScale="85" zoomScaleNormal="85" zoomScaleSheetLayoutView="85" zoomScalePageLayoutView="55" workbookViewId="0">
      <selection activeCell="H7" sqref="H7:I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14.7109375" style="1" customWidth="1"/>
    <col min="12" max="21" width="9.140625" style="1"/>
    <col min="22" max="24" width="0" style="1" hidden="1" customWidth="1"/>
    <col min="25" max="27" width="9.140625" style="1"/>
    <col min="28" max="28" width="7.85546875" style="1" customWidth="1"/>
    <col min="29" max="16384" width="9.140625" style="1"/>
  </cols>
  <sheetData>
    <row r="1" spans="1:9" ht="20.25" x14ac:dyDescent="0.25">
      <c r="A1" s="132" t="s">
        <v>41</v>
      </c>
      <c r="B1" s="133"/>
      <c r="C1" s="133"/>
      <c r="D1" s="133"/>
      <c r="E1" s="133"/>
      <c r="F1" s="133"/>
      <c r="G1" s="133"/>
      <c r="H1" s="133"/>
      <c r="I1" s="134"/>
    </row>
    <row r="2" spans="1:9" ht="42" customHeight="1" x14ac:dyDescent="0.25">
      <c r="A2" s="135" t="s">
        <v>11</v>
      </c>
      <c r="B2" s="135"/>
      <c r="C2" s="135"/>
      <c r="D2" s="4" t="s">
        <v>4</v>
      </c>
      <c r="E2" s="136" t="s">
        <v>93</v>
      </c>
      <c r="F2" s="136"/>
      <c r="G2" s="86" t="s">
        <v>15</v>
      </c>
      <c r="H2" s="86"/>
      <c r="I2" s="64">
        <v>45841</v>
      </c>
    </row>
    <row r="3" spans="1:9" ht="87" customHeight="1" x14ac:dyDescent="0.25">
      <c r="A3" s="82" t="s">
        <v>42</v>
      </c>
      <c r="B3" s="83"/>
      <c r="C3" s="84"/>
      <c r="D3" s="21" t="s">
        <v>4</v>
      </c>
      <c r="E3" s="139" t="s">
        <v>252</v>
      </c>
      <c r="F3" s="140"/>
      <c r="G3" s="86" t="s">
        <v>179</v>
      </c>
      <c r="H3" s="86"/>
      <c r="I3" s="64" t="s">
        <v>279</v>
      </c>
    </row>
    <row r="4" spans="1:9" ht="43.5" customHeight="1" x14ac:dyDescent="0.25">
      <c r="A4" s="82" t="s">
        <v>39</v>
      </c>
      <c r="B4" s="83"/>
      <c r="C4" s="84"/>
      <c r="D4" s="27" t="s">
        <v>4</v>
      </c>
      <c r="E4" s="98" t="s">
        <v>278</v>
      </c>
      <c r="F4" s="99"/>
      <c r="G4" s="86" t="s">
        <v>36</v>
      </c>
      <c r="H4" s="86"/>
      <c r="I4" s="63" t="str">
        <f ca="1">TEXT(TODAY(),"DD/MM/YYYY")</f>
        <v>08/07/2025</v>
      </c>
    </row>
    <row r="5" spans="1:9" ht="20.25" x14ac:dyDescent="0.25">
      <c r="A5" s="90" t="s">
        <v>43</v>
      </c>
      <c r="B5" s="90"/>
      <c r="C5" s="90"/>
      <c r="D5" s="90"/>
      <c r="E5" s="90"/>
      <c r="F5" s="90"/>
      <c r="G5" s="90"/>
      <c r="H5" s="90"/>
      <c r="I5" s="126"/>
    </row>
    <row r="6" spans="1:9" ht="43.5" customHeight="1" x14ac:dyDescent="0.25">
      <c r="A6" s="137" t="s">
        <v>32</v>
      </c>
      <c r="B6" s="137"/>
      <c r="C6" s="137"/>
      <c r="D6" s="2" t="s">
        <v>4</v>
      </c>
      <c r="E6" s="22" t="s">
        <v>103</v>
      </c>
      <c r="F6" s="21" t="s">
        <v>38</v>
      </c>
      <c r="G6" s="2" t="s">
        <v>4</v>
      </c>
      <c r="H6" s="100" t="s">
        <v>280</v>
      </c>
      <c r="I6" s="100"/>
    </row>
    <row r="7" spans="1:9" ht="67.5" customHeight="1" x14ac:dyDescent="0.25">
      <c r="A7" s="137" t="s">
        <v>45</v>
      </c>
      <c r="B7" s="137"/>
      <c r="C7" s="137"/>
      <c r="D7" s="2" t="s">
        <v>4</v>
      </c>
      <c r="E7" s="5" t="s">
        <v>186</v>
      </c>
      <c r="F7" s="21" t="s">
        <v>46</v>
      </c>
      <c r="G7" s="2" t="s">
        <v>4</v>
      </c>
      <c r="H7" s="98" t="s">
        <v>186</v>
      </c>
      <c r="I7" s="99"/>
    </row>
    <row r="8" spans="1:9" ht="45" customHeight="1" x14ac:dyDescent="0.25">
      <c r="A8" s="137" t="s">
        <v>47</v>
      </c>
      <c r="B8" s="137"/>
      <c r="C8" s="137"/>
      <c r="D8" s="2" t="s">
        <v>4</v>
      </c>
      <c r="E8" s="138" t="s">
        <v>187</v>
      </c>
      <c r="F8" s="138"/>
      <c r="G8" s="138"/>
      <c r="H8" s="138"/>
      <c r="I8" s="138"/>
    </row>
    <row r="9" spans="1:9" ht="45" customHeight="1" x14ac:dyDescent="0.25">
      <c r="A9" s="86" t="s">
        <v>170</v>
      </c>
      <c r="B9" s="21" t="s">
        <v>4</v>
      </c>
      <c r="C9" s="21" t="s">
        <v>44</v>
      </c>
      <c r="D9" s="2" t="s">
        <v>4</v>
      </c>
      <c r="E9" s="98" t="s">
        <v>188</v>
      </c>
      <c r="F9" s="125"/>
      <c r="G9" s="125"/>
      <c r="H9" s="125"/>
      <c r="I9" s="99"/>
    </row>
    <row r="10" spans="1:9" ht="107.25" customHeight="1" x14ac:dyDescent="0.25">
      <c r="A10" s="86"/>
      <c r="B10" s="21" t="s">
        <v>4</v>
      </c>
      <c r="C10" s="21" t="s">
        <v>14</v>
      </c>
      <c r="D10" s="2" t="s">
        <v>4</v>
      </c>
      <c r="E10" s="98" t="s">
        <v>221</v>
      </c>
      <c r="F10" s="125"/>
      <c r="G10" s="125"/>
      <c r="H10" s="125"/>
      <c r="I10" s="99"/>
    </row>
    <row r="11" spans="1:9" ht="108" customHeight="1" x14ac:dyDescent="0.25">
      <c r="A11" s="86"/>
      <c r="B11" s="21" t="s">
        <v>4</v>
      </c>
      <c r="C11" s="21" t="s">
        <v>5</v>
      </c>
      <c r="D11" s="2" t="s">
        <v>4</v>
      </c>
      <c r="E11" s="98" t="s">
        <v>221</v>
      </c>
      <c r="F11" s="125"/>
      <c r="G11" s="125"/>
      <c r="H11" s="125"/>
      <c r="I11" s="99"/>
    </row>
    <row r="12" spans="1:9" ht="20.25" x14ac:dyDescent="0.25">
      <c r="A12" s="86" t="s">
        <v>37</v>
      </c>
      <c r="B12" s="86"/>
      <c r="C12" s="86"/>
      <c r="D12" s="2" t="s">
        <v>4</v>
      </c>
      <c r="E12" s="100" t="s">
        <v>192</v>
      </c>
      <c r="F12" s="100"/>
      <c r="G12" s="100"/>
      <c r="H12" s="100"/>
      <c r="I12" s="100"/>
    </row>
    <row r="13" spans="1:9" ht="20.100000000000001" customHeight="1" x14ac:dyDescent="0.25">
      <c r="A13" s="90" t="s">
        <v>48</v>
      </c>
      <c r="B13" s="90"/>
      <c r="C13" s="90"/>
      <c r="D13" s="90"/>
      <c r="E13" s="90"/>
      <c r="F13" s="90"/>
      <c r="G13" s="90"/>
      <c r="H13" s="90"/>
      <c r="I13" s="90"/>
    </row>
    <row r="14" spans="1:9" ht="60.75" x14ac:dyDescent="0.25">
      <c r="A14" s="21" t="s">
        <v>30</v>
      </c>
      <c r="B14" s="2" t="s">
        <v>4</v>
      </c>
      <c r="C14" s="110" t="s">
        <v>94</v>
      </c>
      <c r="D14" s="108"/>
      <c r="E14" s="109"/>
      <c r="F14" s="17" t="s">
        <v>49</v>
      </c>
      <c r="G14" s="2" t="s">
        <v>4</v>
      </c>
      <c r="H14" s="100" t="s">
        <v>189</v>
      </c>
      <c r="I14" s="100"/>
    </row>
    <row r="15" spans="1:9" ht="103.5" customHeight="1" x14ac:dyDescent="0.25">
      <c r="A15" s="21" t="s">
        <v>50</v>
      </c>
      <c r="B15" s="2" t="s">
        <v>4</v>
      </c>
      <c r="C15" s="110" t="s">
        <v>253</v>
      </c>
      <c r="D15" s="108"/>
      <c r="E15" s="109"/>
      <c r="F15" s="21" t="s">
        <v>51</v>
      </c>
      <c r="G15" s="2" t="s">
        <v>4</v>
      </c>
      <c r="H15" s="131" t="s">
        <v>255</v>
      </c>
      <c r="I15" s="100"/>
    </row>
    <row r="16" spans="1:9" ht="69.75" customHeight="1" x14ac:dyDescent="0.25">
      <c r="A16" s="47" t="s">
        <v>52</v>
      </c>
      <c r="B16" s="2" t="s">
        <v>4</v>
      </c>
      <c r="C16" s="107" t="s">
        <v>254</v>
      </c>
      <c r="D16" s="108"/>
      <c r="E16" s="109"/>
      <c r="F16" s="21" t="s">
        <v>53</v>
      </c>
      <c r="G16" s="2" t="s">
        <v>4</v>
      </c>
      <c r="H16" s="131" t="s">
        <v>254</v>
      </c>
      <c r="I16" s="100"/>
    </row>
    <row r="17" spans="1:14" ht="60.75" x14ac:dyDescent="0.25">
      <c r="A17" s="47" t="s">
        <v>54</v>
      </c>
      <c r="B17" s="2" t="s">
        <v>4</v>
      </c>
      <c r="C17" s="107" t="s">
        <v>255</v>
      </c>
      <c r="D17" s="108"/>
      <c r="E17" s="109"/>
      <c r="F17" s="21" t="s">
        <v>55</v>
      </c>
      <c r="G17" s="2" t="s">
        <v>4</v>
      </c>
      <c r="H17" s="98" t="s">
        <v>256</v>
      </c>
      <c r="I17" s="99"/>
      <c r="J17" s="1">
        <f>631163/H18</f>
        <v>5.6070483094362418</v>
      </c>
    </row>
    <row r="18" spans="1:14" ht="40.5" x14ac:dyDescent="0.25">
      <c r="A18" s="47" t="s">
        <v>56</v>
      </c>
      <c r="B18" s="2" t="s">
        <v>4</v>
      </c>
      <c r="C18" s="110" t="s">
        <v>191</v>
      </c>
      <c r="D18" s="108"/>
      <c r="E18" s="109"/>
      <c r="F18" s="21" t="s">
        <v>105</v>
      </c>
      <c r="G18" s="2" t="s">
        <v>4</v>
      </c>
      <c r="H18" s="100">
        <v>112566</v>
      </c>
      <c r="I18" s="100"/>
    </row>
    <row r="19" spans="1:14" ht="60.75" x14ac:dyDescent="0.25">
      <c r="A19" s="21" t="s">
        <v>240</v>
      </c>
      <c r="B19" s="2" t="s">
        <v>4</v>
      </c>
      <c r="C19" s="110">
        <f>23479.125+24377.29+30763.34+24766.087+28838.69</f>
        <v>132224.53200000001</v>
      </c>
      <c r="D19" s="108"/>
      <c r="E19" s="109"/>
      <c r="F19" s="21" t="s">
        <v>241</v>
      </c>
      <c r="G19" s="2" t="s">
        <v>4</v>
      </c>
      <c r="H19" s="100">
        <v>451549.96</v>
      </c>
      <c r="I19" s="100"/>
      <c r="K19" s="1" t="s">
        <v>218</v>
      </c>
      <c r="L19" s="1">
        <v>281</v>
      </c>
      <c r="N19" s="1">
        <f>SUM(L19:L23)</f>
        <v>1203</v>
      </c>
    </row>
    <row r="20" spans="1:14" ht="40.5" x14ac:dyDescent="0.25">
      <c r="A20" s="21" t="s">
        <v>104</v>
      </c>
      <c r="B20" s="2" t="s">
        <v>4</v>
      </c>
      <c r="C20" s="110" t="s">
        <v>168</v>
      </c>
      <c r="D20" s="108"/>
      <c r="E20" s="109"/>
      <c r="F20" s="6" t="s">
        <v>57</v>
      </c>
      <c r="G20" s="2" t="s">
        <v>4</v>
      </c>
      <c r="H20" s="98" t="s">
        <v>259</v>
      </c>
      <c r="I20" s="99"/>
      <c r="K20" s="1" t="s">
        <v>219</v>
      </c>
      <c r="L20" s="1">
        <v>281</v>
      </c>
    </row>
    <row r="21" spans="1:14" ht="40.5" x14ac:dyDescent="0.25">
      <c r="A21" s="21" t="s">
        <v>58</v>
      </c>
      <c r="B21" s="2" t="s">
        <v>4</v>
      </c>
      <c r="C21" s="110" t="s">
        <v>273</v>
      </c>
      <c r="D21" s="108"/>
      <c r="E21" s="109"/>
      <c r="F21" s="21" t="s">
        <v>59</v>
      </c>
      <c r="G21" s="2" t="s">
        <v>4</v>
      </c>
      <c r="H21" s="100" t="s">
        <v>168</v>
      </c>
      <c r="I21" s="100"/>
      <c r="K21" s="1" t="s">
        <v>220</v>
      </c>
      <c r="L21" s="1">
        <v>144</v>
      </c>
    </row>
    <row r="22" spans="1:14" ht="20.25" x14ac:dyDescent="0.25">
      <c r="A22" s="47" t="s">
        <v>184</v>
      </c>
      <c r="B22" s="2" t="s">
        <v>4</v>
      </c>
      <c r="C22" s="111" t="s">
        <v>223</v>
      </c>
      <c r="D22" s="112"/>
      <c r="E22" s="113"/>
      <c r="F22" s="28" t="s">
        <v>185</v>
      </c>
      <c r="G22" s="28" t="s">
        <v>4</v>
      </c>
      <c r="H22" s="110" t="s">
        <v>190</v>
      </c>
      <c r="I22" s="109"/>
      <c r="K22" s="1" t="s">
        <v>257</v>
      </c>
      <c r="L22" s="1">
        <v>288</v>
      </c>
    </row>
    <row r="23" spans="1:14" ht="20.25" x14ac:dyDescent="0.25">
      <c r="A23" s="47" t="s">
        <v>182</v>
      </c>
      <c r="B23" s="2" t="s">
        <v>4</v>
      </c>
      <c r="C23" s="130" t="s">
        <v>224</v>
      </c>
      <c r="D23" s="125"/>
      <c r="E23" s="125"/>
      <c r="F23" s="125"/>
      <c r="G23" s="125"/>
      <c r="H23" s="125"/>
      <c r="I23" s="125"/>
      <c r="K23" s="1" t="s">
        <v>258</v>
      </c>
      <c r="L23" s="1">
        <v>209</v>
      </c>
    </row>
    <row r="24" spans="1:14" ht="108.75" customHeight="1" x14ac:dyDescent="0.25">
      <c r="A24" s="47" t="s">
        <v>28</v>
      </c>
      <c r="B24" s="2" t="s">
        <v>4</v>
      </c>
      <c r="C24" s="100" t="s">
        <v>250</v>
      </c>
      <c r="D24" s="100"/>
      <c r="E24" s="100"/>
      <c r="F24" s="100"/>
      <c r="G24" s="100"/>
      <c r="H24" s="100"/>
      <c r="I24" s="100"/>
    </row>
    <row r="25" spans="1:14" ht="24" customHeight="1" x14ac:dyDescent="0.25">
      <c r="A25" s="132" t="s">
        <v>23</v>
      </c>
      <c r="B25" s="133"/>
      <c r="C25" s="133"/>
      <c r="D25" s="133"/>
      <c r="E25" s="133"/>
      <c r="F25" s="133"/>
      <c r="G25" s="133"/>
      <c r="H25" s="133"/>
      <c r="I25" s="134"/>
    </row>
    <row r="26" spans="1:14" ht="20.25" x14ac:dyDescent="0.25">
      <c r="A26" s="21" t="s">
        <v>29</v>
      </c>
      <c r="B26" s="2" t="s">
        <v>4</v>
      </c>
      <c r="C26" s="100" t="s">
        <v>95</v>
      </c>
      <c r="D26" s="100"/>
      <c r="E26" s="100"/>
      <c r="F26" s="52" t="s">
        <v>16</v>
      </c>
      <c r="G26" s="53" t="s">
        <v>4</v>
      </c>
      <c r="H26" s="100" t="s">
        <v>193</v>
      </c>
      <c r="I26" s="100"/>
    </row>
    <row r="27" spans="1:14" ht="20.25" x14ac:dyDescent="0.25">
      <c r="A27" s="21" t="s">
        <v>17</v>
      </c>
      <c r="B27" s="2" t="s">
        <v>4</v>
      </c>
      <c r="C27" s="100" t="s">
        <v>108</v>
      </c>
      <c r="D27" s="100"/>
      <c r="E27" s="100"/>
      <c r="F27" s="52" t="s">
        <v>171</v>
      </c>
      <c r="G27" s="53" t="s">
        <v>4</v>
      </c>
      <c r="H27" s="100" t="s">
        <v>222</v>
      </c>
      <c r="I27" s="100"/>
    </row>
    <row r="28" spans="1:14" ht="40.5" x14ac:dyDescent="0.25">
      <c r="A28" s="21" t="s">
        <v>26</v>
      </c>
      <c r="B28" s="2" t="s">
        <v>4</v>
      </c>
      <c r="C28" s="100" t="s">
        <v>107</v>
      </c>
      <c r="D28" s="100"/>
      <c r="E28" s="100"/>
      <c r="F28" s="52" t="s">
        <v>19</v>
      </c>
      <c r="G28" s="53" t="s">
        <v>4</v>
      </c>
      <c r="H28" s="100" t="s">
        <v>251</v>
      </c>
      <c r="I28" s="100"/>
    </row>
    <row r="29" spans="1:14" ht="40.5" x14ac:dyDescent="0.25">
      <c r="A29" s="47" t="s">
        <v>129</v>
      </c>
      <c r="B29" s="2" t="s">
        <v>4</v>
      </c>
      <c r="C29" s="100" t="s">
        <v>194</v>
      </c>
      <c r="D29" s="100"/>
      <c r="E29" s="100"/>
      <c r="F29" s="52" t="s">
        <v>130</v>
      </c>
      <c r="G29" s="53" t="s">
        <v>4</v>
      </c>
      <c r="H29" s="98" t="s">
        <v>195</v>
      </c>
      <c r="I29" s="99"/>
    </row>
    <row r="30" spans="1:14" ht="65.25" customHeight="1" x14ac:dyDescent="0.25">
      <c r="A30" s="21" t="s">
        <v>20</v>
      </c>
      <c r="B30" s="2" t="s">
        <v>4</v>
      </c>
      <c r="C30" s="100" t="s">
        <v>196</v>
      </c>
      <c r="D30" s="100"/>
      <c r="E30" s="100"/>
      <c r="F30" s="52" t="s">
        <v>18</v>
      </c>
      <c r="G30" s="53" t="s">
        <v>4</v>
      </c>
      <c r="H30" s="100" t="s">
        <v>245</v>
      </c>
      <c r="I30" s="100"/>
    </row>
    <row r="31" spans="1:14" ht="21.75" customHeight="1" x14ac:dyDescent="0.25">
      <c r="A31" s="47" t="s">
        <v>135</v>
      </c>
      <c r="B31" s="2" t="s">
        <v>4</v>
      </c>
      <c r="C31" s="100" t="s">
        <v>136</v>
      </c>
      <c r="D31" s="100"/>
      <c r="E31" s="100"/>
      <c r="F31" s="52" t="s">
        <v>137</v>
      </c>
      <c r="G31" s="53" t="s">
        <v>4</v>
      </c>
      <c r="H31" s="98" t="s">
        <v>136</v>
      </c>
      <c r="I31" s="99"/>
    </row>
    <row r="32" spans="1:14" ht="21.75" customHeight="1" x14ac:dyDescent="0.25">
      <c r="A32" s="47" t="s">
        <v>138</v>
      </c>
      <c r="B32" s="2" t="s">
        <v>4</v>
      </c>
      <c r="C32" s="98" t="s">
        <v>136</v>
      </c>
      <c r="D32" s="125"/>
      <c r="E32" s="125"/>
      <c r="F32" s="125"/>
      <c r="G32" s="125"/>
      <c r="H32" s="125"/>
      <c r="I32" s="99"/>
    </row>
    <row r="33" spans="1:9" ht="20.25" x14ac:dyDescent="0.25">
      <c r="A33" s="122" t="s">
        <v>40</v>
      </c>
      <c r="B33" s="123"/>
      <c r="C33" s="123"/>
      <c r="D33" s="123"/>
      <c r="E33" s="123"/>
      <c r="F33" s="123"/>
      <c r="G33" s="123"/>
      <c r="H33" s="123"/>
      <c r="I33" s="129"/>
    </row>
    <row r="34" spans="1:9" ht="40.5" x14ac:dyDescent="0.25">
      <c r="A34" s="82" t="s">
        <v>21</v>
      </c>
      <c r="B34" s="83"/>
      <c r="C34" s="84"/>
      <c r="D34" s="2" t="s">
        <v>4</v>
      </c>
      <c r="E34" s="22" t="s">
        <v>109</v>
      </c>
      <c r="F34" s="21" t="s">
        <v>22</v>
      </c>
      <c r="G34" s="7" t="s">
        <v>4</v>
      </c>
      <c r="H34" s="98" t="s">
        <v>110</v>
      </c>
      <c r="I34" s="99"/>
    </row>
    <row r="35" spans="1:9" ht="40.5" x14ac:dyDescent="0.25">
      <c r="A35" s="82" t="s">
        <v>25</v>
      </c>
      <c r="B35" s="83"/>
      <c r="C35" s="84"/>
      <c r="D35" s="2" t="s">
        <v>4</v>
      </c>
      <c r="E35" s="22" t="s">
        <v>110</v>
      </c>
      <c r="F35" s="8" t="s">
        <v>35</v>
      </c>
      <c r="G35" s="2" t="s">
        <v>4</v>
      </c>
      <c r="H35" s="98" t="s">
        <v>110</v>
      </c>
      <c r="I35" s="99"/>
    </row>
    <row r="36" spans="1:9" ht="40.5" x14ac:dyDescent="0.25">
      <c r="A36" s="82" t="s">
        <v>34</v>
      </c>
      <c r="B36" s="83"/>
      <c r="C36" s="84"/>
      <c r="D36" s="2" t="s">
        <v>4</v>
      </c>
      <c r="E36" s="5" t="s">
        <v>111</v>
      </c>
      <c r="F36" s="21" t="s">
        <v>24</v>
      </c>
      <c r="G36" s="23" t="s">
        <v>4</v>
      </c>
      <c r="H36" s="98" t="s">
        <v>112</v>
      </c>
      <c r="I36" s="99"/>
    </row>
    <row r="37" spans="1:9" ht="20.25" x14ac:dyDescent="0.25">
      <c r="A37" s="132" t="s">
        <v>0</v>
      </c>
      <c r="B37" s="133"/>
      <c r="C37" s="133"/>
      <c r="D37" s="133"/>
      <c r="E37" s="133"/>
      <c r="F37" s="133"/>
      <c r="G37" s="133"/>
      <c r="H37" s="133"/>
      <c r="I37" s="134"/>
    </row>
    <row r="38" spans="1:9" ht="20.25" x14ac:dyDescent="0.25">
      <c r="A38" s="151" t="s">
        <v>0</v>
      </c>
      <c r="B38" s="156"/>
      <c r="C38" s="152"/>
      <c r="D38" s="2" t="s">
        <v>4</v>
      </c>
      <c r="E38" s="9" t="s">
        <v>1</v>
      </c>
      <c r="F38" s="9" t="s">
        <v>6</v>
      </c>
      <c r="G38" s="151" t="s">
        <v>2</v>
      </c>
      <c r="H38" s="152"/>
      <c r="I38" s="9" t="s">
        <v>3</v>
      </c>
    </row>
    <row r="39" spans="1:9" ht="47.25" customHeight="1" x14ac:dyDescent="0.25">
      <c r="A39" s="82" t="s">
        <v>7</v>
      </c>
      <c r="B39" s="83"/>
      <c r="C39" s="84"/>
      <c r="D39" s="2" t="s">
        <v>4</v>
      </c>
      <c r="E39" s="60" t="s">
        <v>247</v>
      </c>
      <c r="F39" s="60" t="s">
        <v>248</v>
      </c>
      <c r="G39" s="147" t="s">
        <v>248</v>
      </c>
      <c r="H39" s="148"/>
      <c r="I39" s="60" t="s">
        <v>249</v>
      </c>
    </row>
    <row r="40" spans="1:9" ht="87.75" customHeight="1" x14ac:dyDescent="0.25">
      <c r="A40" s="153" t="s">
        <v>8</v>
      </c>
      <c r="B40" s="154"/>
      <c r="C40" s="155"/>
      <c r="D40" s="2" t="s">
        <v>4</v>
      </c>
      <c r="E40" s="60" t="s">
        <v>246</v>
      </c>
      <c r="F40" s="60" t="s">
        <v>198</v>
      </c>
      <c r="G40" s="147" t="s">
        <v>198</v>
      </c>
      <c r="H40" s="148"/>
      <c r="I40" s="60" t="s">
        <v>197</v>
      </c>
    </row>
    <row r="41" spans="1:9" ht="20.25" customHeight="1" x14ac:dyDescent="0.25">
      <c r="A41" s="82" t="s">
        <v>12</v>
      </c>
      <c r="B41" s="83"/>
      <c r="C41" s="84"/>
      <c r="D41" s="2" t="s">
        <v>4</v>
      </c>
      <c r="E41" s="18" t="s">
        <v>107</v>
      </c>
      <c r="F41" s="21" t="s">
        <v>13</v>
      </c>
      <c r="G41" s="2" t="s">
        <v>4</v>
      </c>
      <c r="H41" s="98" t="s">
        <v>106</v>
      </c>
      <c r="I41" s="99"/>
    </row>
    <row r="42" spans="1:9" ht="20.25" x14ac:dyDescent="0.25">
      <c r="A42" s="132" t="s">
        <v>60</v>
      </c>
      <c r="B42" s="133"/>
      <c r="C42" s="133"/>
      <c r="D42" s="133"/>
      <c r="E42" s="133"/>
      <c r="F42" s="133"/>
      <c r="G42" s="133"/>
      <c r="H42" s="133"/>
      <c r="I42" s="134"/>
    </row>
    <row r="43" spans="1:9" ht="21" customHeight="1" x14ac:dyDescent="0.25">
      <c r="A43" s="127" t="s">
        <v>61</v>
      </c>
      <c r="B43" s="127"/>
      <c r="C43" s="127" t="s">
        <v>62</v>
      </c>
      <c r="D43" s="127"/>
      <c r="E43" s="127" t="s">
        <v>169</v>
      </c>
      <c r="F43" s="127"/>
      <c r="G43" s="127"/>
      <c r="H43" s="127" t="s">
        <v>63</v>
      </c>
      <c r="I43" s="127"/>
    </row>
    <row r="44" spans="1:9" ht="20.25" x14ac:dyDescent="0.25">
      <c r="A44" s="128" t="s">
        <v>199</v>
      </c>
      <c r="B44" s="128"/>
      <c r="C44" s="102" t="s">
        <v>96</v>
      </c>
      <c r="D44" s="102"/>
      <c r="E44" s="101" t="s">
        <v>200</v>
      </c>
      <c r="F44" s="101"/>
      <c r="G44" s="101"/>
      <c r="H44" s="101" t="s">
        <v>200</v>
      </c>
      <c r="I44" s="101"/>
    </row>
    <row r="45" spans="1:9" ht="20.25" x14ac:dyDescent="0.25">
      <c r="A45" s="128" t="s">
        <v>216</v>
      </c>
      <c r="B45" s="128"/>
      <c r="C45" s="102" t="s">
        <v>96</v>
      </c>
      <c r="D45" s="102"/>
      <c r="E45" s="101" t="s">
        <v>200</v>
      </c>
      <c r="F45" s="101"/>
      <c r="G45" s="101"/>
      <c r="H45" s="101" t="s">
        <v>200</v>
      </c>
      <c r="I45" s="101"/>
    </row>
    <row r="46" spans="1:9" ht="20.25" x14ac:dyDescent="0.25">
      <c r="A46" s="128" t="s">
        <v>225</v>
      </c>
      <c r="B46" s="128"/>
      <c r="C46" s="102" t="s">
        <v>96</v>
      </c>
      <c r="D46" s="102"/>
      <c r="E46" s="101" t="s">
        <v>200</v>
      </c>
      <c r="F46" s="101"/>
      <c r="G46" s="101"/>
      <c r="H46" s="101" t="s">
        <v>200</v>
      </c>
      <c r="I46" s="101"/>
    </row>
    <row r="47" spans="1:9" ht="20.25" x14ac:dyDescent="0.25">
      <c r="A47" s="128" t="s">
        <v>260</v>
      </c>
      <c r="B47" s="128"/>
      <c r="C47" s="102" t="s">
        <v>96</v>
      </c>
      <c r="D47" s="102"/>
      <c r="E47" s="101" t="s">
        <v>200</v>
      </c>
      <c r="F47" s="101"/>
      <c r="G47" s="101"/>
      <c r="H47" s="101" t="s">
        <v>200</v>
      </c>
      <c r="I47" s="101"/>
    </row>
    <row r="48" spans="1:9" ht="20.25" x14ac:dyDescent="0.25">
      <c r="A48" s="128" t="s">
        <v>258</v>
      </c>
      <c r="B48" s="128"/>
      <c r="C48" s="102" t="s">
        <v>96</v>
      </c>
      <c r="D48" s="102"/>
      <c r="E48" s="101" t="s">
        <v>200</v>
      </c>
      <c r="F48" s="101"/>
      <c r="G48" s="101"/>
      <c r="H48" s="101" t="s">
        <v>200</v>
      </c>
      <c r="I48" s="101"/>
    </row>
    <row r="49" spans="1:11" ht="20.25" x14ac:dyDescent="0.25">
      <c r="A49" s="90" t="s">
        <v>64</v>
      </c>
      <c r="B49" s="90"/>
      <c r="C49" s="90"/>
      <c r="D49" s="90"/>
      <c r="E49" s="90"/>
      <c r="F49" s="90"/>
      <c r="G49" s="90"/>
      <c r="H49" s="90"/>
      <c r="I49" s="90"/>
    </row>
    <row r="50" spans="1:11" ht="66.75" customHeight="1" x14ac:dyDescent="0.25">
      <c r="A50" s="17" t="s">
        <v>65</v>
      </c>
      <c r="B50" s="17" t="s">
        <v>4</v>
      </c>
      <c r="C50" s="100" t="s">
        <v>107</v>
      </c>
      <c r="D50" s="100"/>
      <c r="E50" s="100"/>
      <c r="F50" s="17" t="s">
        <v>66</v>
      </c>
      <c r="G50" s="17" t="s">
        <v>4</v>
      </c>
      <c r="H50" s="100" t="s">
        <v>261</v>
      </c>
      <c r="I50" s="100"/>
    </row>
    <row r="51" spans="1:11" ht="85.5" customHeight="1" x14ac:dyDescent="0.25">
      <c r="A51" s="17" t="s">
        <v>226</v>
      </c>
      <c r="B51" s="17" t="s">
        <v>4</v>
      </c>
      <c r="C51" s="100" t="s">
        <v>228</v>
      </c>
      <c r="D51" s="100"/>
      <c r="E51" s="100"/>
      <c r="F51" s="65" t="s">
        <v>227</v>
      </c>
      <c r="G51" s="65" t="s">
        <v>4</v>
      </c>
      <c r="H51" s="100" t="s">
        <v>229</v>
      </c>
      <c r="I51" s="100"/>
    </row>
    <row r="52" spans="1:11" ht="46.5" hidden="1" customHeight="1" x14ac:dyDescent="0.25">
      <c r="A52" s="17" t="s">
        <v>67</v>
      </c>
      <c r="B52" s="17" t="s">
        <v>4</v>
      </c>
      <c r="C52" s="100" t="s">
        <v>181</v>
      </c>
      <c r="D52" s="100"/>
      <c r="E52" s="100"/>
      <c r="F52" s="65" t="s">
        <v>68</v>
      </c>
      <c r="G52" s="65" t="s">
        <v>4</v>
      </c>
      <c r="H52" s="100" t="s">
        <v>181</v>
      </c>
      <c r="I52" s="100"/>
    </row>
    <row r="53" spans="1:11" ht="45" hidden="1" customHeight="1" x14ac:dyDescent="0.25">
      <c r="A53" s="58" t="s">
        <v>69</v>
      </c>
      <c r="B53" s="58" t="s">
        <v>4</v>
      </c>
      <c r="C53" s="143" t="s">
        <v>106</v>
      </c>
      <c r="D53" s="143"/>
      <c r="E53" s="143"/>
      <c r="F53" s="67" t="s">
        <v>70</v>
      </c>
      <c r="G53" s="67" t="s">
        <v>4</v>
      </c>
      <c r="H53" s="143"/>
      <c r="I53" s="143"/>
    </row>
    <row r="54" spans="1:11" ht="105" customHeight="1" x14ac:dyDescent="0.25">
      <c r="A54" s="61" t="s">
        <v>266</v>
      </c>
      <c r="B54" s="61" t="s">
        <v>4</v>
      </c>
      <c r="C54" s="143" t="s">
        <v>231</v>
      </c>
      <c r="D54" s="144"/>
      <c r="E54" s="144"/>
      <c r="F54" s="67" t="s">
        <v>267</v>
      </c>
      <c r="G54" s="67" t="s">
        <v>4</v>
      </c>
      <c r="H54" s="143" t="s">
        <v>261</v>
      </c>
      <c r="I54" s="143"/>
    </row>
    <row r="55" spans="1:11" ht="85.5" hidden="1" customHeight="1" x14ac:dyDescent="0.25">
      <c r="A55" s="67" t="s">
        <v>265</v>
      </c>
      <c r="B55" s="67" t="s">
        <v>4</v>
      </c>
      <c r="C55" s="145" t="s">
        <v>231</v>
      </c>
      <c r="D55" s="146"/>
      <c r="E55" s="146"/>
      <c r="F55" s="68" t="s">
        <v>263</v>
      </c>
      <c r="G55" s="68" t="s">
        <v>4</v>
      </c>
      <c r="H55" s="145" t="s">
        <v>230</v>
      </c>
      <c r="I55" s="145"/>
    </row>
    <row r="56" spans="1:11" ht="85.5" hidden="1" customHeight="1" thickBot="1" x14ac:dyDescent="0.3">
      <c r="A56" s="67" t="s">
        <v>262</v>
      </c>
      <c r="B56" s="67" t="s">
        <v>4</v>
      </c>
      <c r="C56" s="145" t="s">
        <v>231</v>
      </c>
      <c r="D56" s="146"/>
      <c r="E56" s="146"/>
      <c r="F56" s="68" t="s">
        <v>264</v>
      </c>
      <c r="G56" s="68" t="s">
        <v>4</v>
      </c>
      <c r="H56" s="145" t="s">
        <v>230</v>
      </c>
      <c r="I56" s="145"/>
    </row>
    <row r="57" spans="1:11" ht="21" thickBot="1" x14ac:dyDescent="0.3">
      <c r="A57" s="90" t="s">
        <v>71</v>
      </c>
      <c r="B57" s="90"/>
      <c r="C57" s="90"/>
      <c r="D57" s="90"/>
      <c r="E57" s="90"/>
      <c r="F57" s="90"/>
      <c r="G57" s="90"/>
      <c r="H57" s="90"/>
      <c r="I57" s="90"/>
    </row>
    <row r="58" spans="1:11" ht="20.25" customHeight="1" x14ac:dyDescent="0.3">
      <c r="A58" s="91" t="str">
        <f>CONCATENATE((IF(OR(A44="",A44="NA"),"",A44)),"= ",(IF(OR(E44="",E44="NA"),"",E44)),".")</f>
        <v>Acacia= Stilt + 2P + 3rd to 38th Floor.</v>
      </c>
      <c r="B58" s="91"/>
      <c r="C58" s="91"/>
      <c r="D58" s="92" t="s">
        <v>4</v>
      </c>
      <c r="E58" s="69" t="s">
        <v>139</v>
      </c>
      <c r="F58" s="93" t="s">
        <v>125</v>
      </c>
      <c r="G58" s="93"/>
      <c r="H58" s="69" t="s">
        <v>140</v>
      </c>
      <c r="I58" s="69" t="s">
        <v>141</v>
      </c>
      <c r="J58" s="35" t="str">
        <f ca="1">(IF(F61&gt;99%,"All work completed. Please provide OC.",IF(F61&gt;89.8%,"Plinth, RCC, Brick, Plaster, Flooring, Wooden, Plumbing, Electrification, etc., work Completed. Finishing work is in process.",IF(F61&lt;94%,(IF(C61=0,"Work not yet Started.",IF(E61=25%,"Piling work in process",IF(E61=50%,"Excavation work in process",IF(E61=100%,"Excavation work Completed. ","0")))&amp;(IF(C62=0%,"",IF(C62=K63,"Footing work is process",IF(C62=K64,"Footing work Completed",IF(C62=K65,"1st Basement Completed",IF(C62=K66,"1st &amp; 2nd Basement Completed",IF(C62=K67,"1st to 3rd Basement Completed",IF(C62=K68,"1st to 4th Basement Completed",IF(C62=K69,"Plinth work is process",IF(C62=K70,"Plinth work completed","0")))))))))))&amp;(IF(C63=(F59+H59+I59),", RCC Slab",IF(C63&gt;0,", RCC upto "&amp;C63&amp;" Slab",""))&amp;(IF(C64=I59,", Brickwork",IF(C64&gt;0,", Brickwork upto "&amp;C64&amp;" Floor",""))&amp;(IF(C65=I59,", Internal Plaster",IF(C65&gt;0,", Internal Plaster upto "&amp;C65&amp;" Floor",""))&amp;(IF(C66=I59,", External Plaster",IF(C66&gt;0,", External Plaster upto "&amp;C66&amp;" Floor",""))&amp;(IF(C67=I59,", External Plumbing, Elevation and Waterproofing",IF(C67&gt;0,", External Plumbing, Elevation and Waterproofing upto "&amp;C67&amp;" Floor",""))&amp;(IF(C68=I59,", Flooring &amp; Fitting",IF(C68&gt;0,", Flooring &amp; Fitting upto "&amp;C68&amp;" Floor",""))&amp;(IF(C69=I59,", Wooden Work",IF(C69&gt;0,", Wooden Work upto "&amp;C69&amp;" Floor",""))&amp;(IF(C70=I59,", Electrical &amp; Sanitary fittings",IF(C70&gt;0,", Electrical &amp; Sanitary fittings upto "&amp;C70&amp;" Floor",""))&amp;(IF(C71&gt;0,", Finishing upto "&amp;C71&amp;" Floor","")&amp;(IF(C63&gt;0.5," Completed",""))))))))))))))))</f>
        <v>Excavation work Completed. Plinth work completed, RCC upto 25 Slab, Brickwork upto 24 Floor, Internal Plaster upto 19.2 Floor, External Plaster upto 19.2 Floor Completed</v>
      </c>
      <c r="K58" s="37"/>
    </row>
    <row r="59" spans="1:11" ht="20.25" x14ac:dyDescent="0.3">
      <c r="A59" s="91"/>
      <c r="B59" s="91"/>
      <c r="C59" s="91"/>
      <c r="D59" s="92"/>
      <c r="E59" s="69">
        <v>0</v>
      </c>
      <c r="F59" s="93">
        <v>1</v>
      </c>
      <c r="G59" s="93"/>
      <c r="H59" s="69">
        <v>0</v>
      </c>
      <c r="I59" s="69">
        <f ca="1">--TRIM(RIGHT(SUBSTITUTE(LEFT(A58,_xlfn.AGGREGATE(16,6,FIND({0,1,2,3,4,5,6,7,8,9},A58,ROW(INDIRECT("1:"&amp;LEN(A58)))),1))," ",REPT(" ",LEN(A58))),LEN(A58)))</f>
        <v>38</v>
      </c>
      <c r="J59" s="36" t="s">
        <v>145</v>
      </c>
      <c r="K59" s="37"/>
    </row>
    <row r="60" spans="1:11" ht="20.25" customHeight="1" x14ac:dyDescent="0.3">
      <c r="A60" s="89" t="s">
        <v>143</v>
      </c>
      <c r="B60" s="89"/>
      <c r="C60" s="89" t="s">
        <v>153</v>
      </c>
      <c r="D60" s="89"/>
      <c r="E60" s="70" t="s">
        <v>154</v>
      </c>
      <c r="F60" s="89" t="s">
        <v>144</v>
      </c>
      <c r="G60" s="89"/>
      <c r="H60" s="46" t="s">
        <v>142</v>
      </c>
      <c r="I60" s="46"/>
      <c r="J60" s="39" t="s">
        <v>155</v>
      </c>
      <c r="K60" s="38">
        <f ca="1">I59*25%</f>
        <v>9.5</v>
      </c>
    </row>
    <row r="61" spans="1:11" ht="20.25" customHeight="1" x14ac:dyDescent="0.3">
      <c r="A61" s="94" t="s">
        <v>156</v>
      </c>
      <c r="B61" s="94"/>
      <c r="C61" s="93">
        <f ca="1">K62</f>
        <v>38</v>
      </c>
      <c r="D61" s="93"/>
      <c r="E61" s="71">
        <f ca="1">((100/I59)*C61)/100</f>
        <v>1</v>
      </c>
      <c r="F61" s="94">
        <f ca="1">(((C61/I59*5)+(C62/I59*20)+(25/(F59+H59+I59)*C63)+(5/(I59)*C64)+(2.5/(I59)*C65)+(2.5/(I59)*C66)+(5/I59*C67)+(10/I59*C68)+(2.5/I59*C69)+(2.5/I59*C70)+(10/I59*C71)+(10/I59*C72))/100)</f>
        <v>0.4670985155195681</v>
      </c>
      <c r="G61" s="94"/>
      <c r="H61" s="94" t="str">
        <f ca="1">J58</f>
        <v>Excavation work Completed. Plinth work completed, RCC upto 25 Slab, Brickwork upto 24 Floor, Internal Plaster upto 19.2 Floor, External Plaster upto 19.2 Floor Completed</v>
      </c>
      <c r="I61" s="94"/>
      <c r="J61" s="39" t="s">
        <v>146</v>
      </c>
      <c r="K61" s="42">
        <f ca="1">I59*50%</f>
        <v>19</v>
      </c>
    </row>
    <row r="62" spans="1:11" ht="20.25" x14ac:dyDescent="0.3">
      <c r="A62" s="94" t="s">
        <v>126</v>
      </c>
      <c r="B62" s="94"/>
      <c r="C62" s="95">
        <f ca="1">K70</f>
        <v>38</v>
      </c>
      <c r="D62" s="93"/>
      <c r="E62" s="71">
        <f ca="1">((100/I59)*C62)/100</f>
        <v>1</v>
      </c>
      <c r="F62" s="94"/>
      <c r="G62" s="94"/>
      <c r="H62" s="94"/>
      <c r="I62" s="94"/>
      <c r="J62" s="39" t="s">
        <v>147</v>
      </c>
      <c r="K62" s="42">
        <f ca="1">I59</f>
        <v>38</v>
      </c>
    </row>
    <row r="63" spans="1:11" ht="21" customHeight="1" x14ac:dyDescent="0.35">
      <c r="A63" s="94" t="s">
        <v>157</v>
      </c>
      <c r="B63" s="94"/>
      <c r="C63" s="93">
        <v>25</v>
      </c>
      <c r="D63" s="93"/>
      <c r="E63" s="71">
        <f ca="1">((100/(F59+H59+I59))*C63)/100</f>
        <v>0.64102564102564097</v>
      </c>
      <c r="F63" s="94"/>
      <c r="G63" s="94"/>
      <c r="H63" s="94"/>
      <c r="I63" s="94"/>
      <c r="J63" s="39" t="s">
        <v>148</v>
      </c>
      <c r="K63" s="43">
        <f ca="1">(IF(E59&gt;1,(I59/(E59+2)),I59/4))</f>
        <v>9.5</v>
      </c>
    </row>
    <row r="64" spans="1:11" ht="21" customHeight="1" x14ac:dyDescent="0.35">
      <c r="A64" s="94" t="s">
        <v>158</v>
      </c>
      <c r="B64" s="94"/>
      <c r="C64" s="93">
        <f>C63-F59</f>
        <v>24</v>
      </c>
      <c r="D64" s="93"/>
      <c r="E64" s="71">
        <f ca="1">((100/I59)*C64)/100</f>
        <v>0.63157894736842113</v>
      </c>
      <c r="F64" s="94"/>
      <c r="G64" s="94"/>
      <c r="H64" s="94"/>
      <c r="I64" s="94"/>
      <c r="J64" s="39" t="s">
        <v>149</v>
      </c>
      <c r="K64" s="43">
        <f ca="1">(IF(E59&gt;1,(I59/(E59+2)+K63),I59/4+K63))</f>
        <v>19</v>
      </c>
    </row>
    <row r="65" spans="1:13" ht="21" customHeight="1" x14ac:dyDescent="0.35">
      <c r="A65" s="96" t="s">
        <v>159</v>
      </c>
      <c r="B65" s="97"/>
      <c r="C65" s="95">
        <f>C64*0.8</f>
        <v>19.200000000000003</v>
      </c>
      <c r="D65" s="95"/>
      <c r="E65" s="71">
        <f ca="1">((100/I59)*C65)/100</f>
        <v>0.50526315789473697</v>
      </c>
      <c r="F65" s="94"/>
      <c r="G65" s="94"/>
      <c r="H65" s="94"/>
      <c r="I65" s="94"/>
      <c r="J65" s="39" t="s">
        <v>160</v>
      </c>
      <c r="K65" s="43">
        <f>(IF(E59&gt;1,(I59/(E59+2)+K64),0))</f>
        <v>0</v>
      </c>
    </row>
    <row r="66" spans="1:13" ht="21" customHeight="1" x14ac:dyDescent="0.35">
      <c r="A66" s="96" t="s">
        <v>232</v>
      </c>
      <c r="B66" s="97"/>
      <c r="C66" s="95">
        <f>C65</f>
        <v>19.200000000000003</v>
      </c>
      <c r="D66" s="95"/>
      <c r="E66" s="71">
        <f ca="1">((100/I59)*C66)/100</f>
        <v>0.50526315789473697</v>
      </c>
      <c r="F66" s="94"/>
      <c r="G66" s="94"/>
      <c r="H66" s="94"/>
      <c r="I66" s="94"/>
      <c r="J66" s="39" t="s">
        <v>161</v>
      </c>
      <c r="K66" s="43">
        <f>(IF(E59&gt;2,(I59/(E59+2)+K65),0))</f>
        <v>0</v>
      </c>
    </row>
    <row r="67" spans="1:13" ht="57.75" customHeight="1" x14ac:dyDescent="0.35">
      <c r="A67" s="96" t="s">
        <v>233</v>
      </c>
      <c r="B67" s="97"/>
      <c r="C67" s="93">
        <v>0</v>
      </c>
      <c r="D67" s="93"/>
      <c r="E67" s="71">
        <f ca="1">((100/(I59))*C67)/100</f>
        <v>0</v>
      </c>
      <c r="F67" s="94"/>
      <c r="G67" s="94"/>
      <c r="H67" s="94"/>
      <c r="I67" s="94"/>
      <c r="J67" s="39" t="s">
        <v>163</v>
      </c>
      <c r="K67" s="44">
        <f>(IF(E59&gt;3,(I59/(E59+2)+K66),0))</f>
        <v>0</v>
      </c>
    </row>
    <row r="68" spans="1:13" ht="21" x14ac:dyDescent="0.35">
      <c r="A68" s="94" t="s">
        <v>162</v>
      </c>
      <c r="B68" s="94"/>
      <c r="C68" s="93">
        <v>0</v>
      </c>
      <c r="D68" s="93"/>
      <c r="E68" s="71">
        <f ca="1">((100/(I59))*C68)/100</f>
        <v>0</v>
      </c>
      <c r="F68" s="94"/>
      <c r="G68" s="94"/>
      <c r="H68" s="94"/>
      <c r="I68" s="94"/>
      <c r="J68" s="39" t="s">
        <v>164</v>
      </c>
      <c r="K68" s="43">
        <f>(IF(E59&gt;4,(I59/(E59+2)+K67),0))</f>
        <v>0</v>
      </c>
    </row>
    <row r="69" spans="1:13" ht="21" customHeight="1" x14ac:dyDescent="0.35">
      <c r="A69" s="94" t="s">
        <v>234</v>
      </c>
      <c r="B69" s="94"/>
      <c r="C69" s="93">
        <v>0</v>
      </c>
      <c r="D69" s="93"/>
      <c r="E69" s="71">
        <f ca="1">((100/I59)*C69)/100</f>
        <v>0</v>
      </c>
      <c r="F69" s="94"/>
      <c r="G69" s="94"/>
      <c r="H69" s="94"/>
      <c r="I69" s="94"/>
      <c r="J69" s="39" t="s">
        <v>150</v>
      </c>
      <c r="K69" s="43">
        <f ca="1">(IF(E59=1,(I59/(E59+3)+K64),IF(E59=0,(I59/4+K64),IF(E59&gt;1,0))))</f>
        <v>28.5</v>
      </c>
    </row>
    <row r="70" spans="1:13" ht="42" customHeight="1" thickBot="1" x14ac:dyDescent="0.4">
      <c r="A70" s="94" t="s">
        <v>235</v>
      </c>
      <c r="B70" s="94"/>
      <c r="C70" s="93">
        <v>0</v>
      </c>
      <c r="D70" s="93"/>
      <c r="E70" s="71">
        <f ca="1">((100/I59)*C70)/100</f>
        <v>0</v>
      </c>
      <c r="F70" s="94"/>
      <c r="G70" s="94"/>
      <c r="H70" s="94"/>
      <c r="I70" s="94"/>
      <c r="J70" s="41" t="s">
        <v>151</v>
      </c>
      <c r="K70" s="45">
        <f ca="1">(IF(E59&gt;1.5,(I59/(E59+2)+K63+MAX(0,K64-K63)+MAX(0,K65-K64)+MAX(0,K66-K65)+MAX(0,K67-K66)+MAX(0,K68-K67)),IF(E59=1,(I59/(E59+3)+K69),IF(E59=0,I59/4+K69))))</f>
        <v>38</v>
      </c>
      <c r="M70" s="1" t="e">
        <f>(IF(D58&gt;1.5,(H58/(D58+2)+J63+MAX(0,J64-J63)+MAX(0,J65-J64)+MAX(0,J66-J65)+MAX(0,J67-J66)+MAX(0,J68-J67)),IF(D58=1,(H58/(D58+3)+J68),IF(D58=0,H58*0.3+J68))))</f>
        <v>#VALUE!</v>
      </c>
    </row>
    <row r="71" spans="1:13" ht="20.25" x14ac:dyDescent="0.25">
      <c r="A71" s="94" t="s">
        <v>165</v>
      </c>
      <c r="B71" s="94"/>
      <c r="C71" s="93">
        <v>0</v>
      </c>
      <c r="D71" s="93"/>
      <c r="E71" s="71">
        <f ca="1">((100/(I59))*C71)/100</f>
        <v>0</v>
      </c>
      <c r="F71" s="94"/>
      <c r="G71" s="94"/>
      <c r="H71" s="94"/>
      <c r="I71" s="94"/>
    </row>
    <row r="72" spans="1:13" ht="20.25" x14ac:dyDescent="0.25">
      <c r="A72" s="94" t="s">
        <v>166</v>
      </c>
      <c r="B72" s="94"/>
      <c r="C72" s="93">
        <v>0</v>
      </c>
      <c r="D72" s="93"/>
      <c r="E72" s="71">
        <f ca="1">((100/(I59))*C72)/100</f>
        <v>0</v>
      </c>
      <c r="F72" s="94"/>
      <c r="G72" s="94"/>
      <c r="H72" s="94"/>
      <c r="I72" s="94"/>
    </row>
    <row r="73" spans="1:13" ht="21" thickBot="1" x14ac:dyDescent="0.3">
      <c r="A73" s="90" t="s">
        <v>71</v>
      </c>
      <c r="B73" s="90"/>
      <c r="C73" s="90"/>
      <c r="D73" s="90"/>
      <c r="E73" s="90"/>
      <c r="F73" s="90"/>
      <c r="G73" s="90"/>
      <c r="H73" s="90"/>
      <c r="I73" s="90"/>
    </row>
    <row r="74" spans="1:13" ht="20.25" customHeight="1" x14ac:dyDescent="0.3">
      <c r="A74" s="91" t="str">
        <f>CONCATENATE((IF(OR(A45="",A45="NA"),"",A45)),"= ",(IF(OR(E45="",E45="NA"),"",E45)),".")</f>
        <v>Orchid= Stilt + 2P + 3rd to 38th Floor.</v>
      </c>
      <c r="B74" s="91"/>
      <c r="C74" s="91"/>
      <c r="D74" s="92" t="s">
        <v>4</v>
      </c>
      <c r="E74" s="69" t="s">
        <v>139</v>
      </c>
      <c r="F74" s="93" t="s">
        <v>125</v>
      </c>
      <c r="G74" s="93"/>
      <c r="H74" s="69" t="s">
        <v>140</v>
      </c>
      <c r="I74" s="69" t="s">
        <v>141</v>
      </c>
      <c r="J74" s="35" t="str">
        <f ca="1">(IF(F77&gt;99%,"All work completed. Please provide OC.",IF(F77&gt;89.8%,"Plinth, RCC, Brick, Plaster, Flooring, Wooden, Plumbing, Electrification, etc., work Completed. Finishing work is in process.",IF(F77&lt;94%,(IF(C77=0,"Work not yet Started.",IF(E77=25%,"Piling work in process",IF(E77=50%,"Excavation work in process",IF(E77=100%,"Excavation work Completed. ","0")))&amp;(IF(C78=0%,"",IF(C78=K79,"Footing work is process",IF(C78=K80,"Footing work Completed",IF(C78=K81,"1st Basement Completed",IF(C78=K82,"1st &amp; 2nd Basement Completed",IF(C78=K83,"1st to 3rd Basement Completed",IF(C78=K84,"1st to 4th Basement Completed",IF(C78=K85,"Plinth work is process",IF(C78=K86,"Plinth work completed","0")))))))))))&amp;(IF(C79=(F75+H75+I75),", RCC Slab",IF(C79&gt;0,", RCC upto "&amp;C79&amp;" Slab",""))&amp;(IF(C80=I75,", Brickwork",IF(C80&gt;0,", Brickwork upto "&amp;C80&amp;" Floor",""))&amp;(IF(C81=I75,", Internal Plaster",IF(C81&gt;0,", Internal Plaster upto "&amp;C81&amp;" Floor",""))&amp;(IF(C82=I75,", External Plaster",IF(C82&gt;0,", External Plaster upto "&amp;C82&amp;" Floor",""))&amp;(IF(C83=I75,", External Plumbing, Elevation and Waterproofing",IF(C83&gt;0,", External Plumbing, Elevation and Waterproofing upto "&amp;C83&amp;" Floor",""))&amp;(IF(C84=I75,", Flooring &amp; Fitting",IF(C84&gt;0,", Flooring &amp; Fitting upto "&amp;C84&amp;" Floor",""))&amp;(IF(C85=I75,", Wooden Work",IF(C85&gt;0,", Wooden Work upto "&amp;C85&amp;" Floor",""))&amp;(IF(C86=I75,", Electrical &amp; Sanitary fittings",IF(C86&gt;0,", Electrical &amp; Sanitary fittings upto "&amp;C86&amp;" Floor",""))&amp;(IF(C87&gt;0,", Finishing upto "&amp;C87&amp;" Floor","")&amp;(IF(C79&gt;0.5," Completed",""))))))))))))))))</f>
        <v>Excavation work Completed. Plinth work completed, RCC upto 27 Slab, Brickwork upto 26 Floor, Internal Plaster upto 20.8 Floor, External Plaster upto 20.8 Floor Completed</v>
      </c>
      <c r="K74" s="37"/>
    </row>
    <row r="75" spans="1:13" ht="20.25" x14ac:dyDescent="0.3">
      <c r="A75" s="91"/>
      <c r="B75" s="91"/>
      <c r="C75" s="91"/>
      <c r="D75" s="92"/>
      <c r="E75" s="69">
        <v>0</v>
      </c>
      <c r="F75" s="93">
        <v>1</v>
      </c>
      <c r="G75" s="93"/>
      <c r="H75" s="69">
        <v>0</v>
      </c>
      <c r="I75" s="69">
        <f ca="1">--TRIM(RIGHT(SUBSTITUTE(LEFT(A74,_xlfn.AGGREGATE(16,6,FIND({0,1,2,3,4,5,6,7,8,9},A74,ROW(INDIRECT("1:"&amp;LEN(A74)))),1))," ",REPT(" ",LEN(A74))),LEN(A74)))</f>
        <v>38</v>
      </c>
      <c r="J75" s="36" t="s">
        <v>145</v>
      </c>
      <c r="K75" s="37"/>
    </row>
    <row r="76" spans="1:13" ht="20.25" customHeight="1" x14ac:dyDescent="0.3">
      <c r="A76" s="89" t="s">
        <v>143</v>
      </c>
      <c r="B76" s="89"/>
      <c r="C76" s="89" t="s">
        <v>153</v>
      </c>
      <c r="D76" s="89"/>
      <c r="E76" s="70" t="s">
        <v>154</v>
      </c>
      <c r="F76" s="89" t="s">
        <v>144</v>
      </c>
      <c r="G76" s="89"/>
      <c r="H76" s="46" t="s">
        <v>142</v>
      </c>
      <c r="I76" s="46"/>
      <c r="J76" s="39" t="s">
        <v>155</v>
      </c>
      <c r="K76" s="38">
        <f ca="1">I75*25%</f>
        <v>9.5</v>
      </c>
    </row>
    <row r="77" spans="1:13" ht="20.25" customHeight="1" x14ac:dyDescent="0.3">
      <c r="A77" s="94" t="s">
        <v>156</v>
      </c>
      <c r="B77" s="94"/>
      <c r="C77" s="93">
        <f ca="1">K78</f>
        <v>38</v>
      </c>
      <c r="D77" s="93"/>
      <c r="E77" s="71">
        <f ca="1">((100/I75)*C77)/100</f>
        <v>1</v>
      </c>
      <c r="F77" s="94">
        <f ca="1">(((C77/I75*5)+(C78/I75*20)+(25/(F75+H75+I75)*C79)+(5/(I75)*C80)+(2.5/(I75)*C81)+(2.5/(I75)*C82)+(5/I75*C83)+(10/I75*C84)+(2.5/I75*C85)+(2.5/I75*C86)+(10/I75*C87)+(10/I75*C88))/100)</f>
        <v>0.48465587044534414</v>
      </c>
      <c r="G77" s="94"/>
      <c r="H77" s="94" t="str">
        <f ca="1">J74</f>
        <v>Excavation work Completed. Plinth work completed, RCC upto 27 Slab, Brickwork upto 26 Floor, Internal Plaster upto 20.8 Floor, External Plaster upto 20.8 Floor Completed</v>
      </c>
      <c r="I77" s="94"/>
      <c r="J77" s="39" t="s">
        <v>146</v>
      </c>
      <c r="K77" s="42">
        <f ca="1">I75*50%</f>
        <v>19</v>
      </c>
    </row>
    <row r="78" spans="1:13" ht="20.25" x14ac:dyDescent="0.3">
      <c r="A78" s="94" t="s">
        <v>126</v>
      </c>
      <c r="B78" s="94"/>
      <c r="C78" s="95">
        <f ca="1">K86</f>
        <v>38</v>
      </c>
      <c r="D78" s="93"/>
      <c r="E78" s="71">
        <f ca="1">((100/I75)*C78)/100</f>
        <v>1</v>
      </c>
      <c r="F78" s="94"/>
      <c r="G78" s="94"/>
      <c r="H78" s="94"/>
      <c r="I78" s="94"/>
      <c r="J78" s="39" t="s">
        <v>147</v>
      </c>
      <c r="K78" s="42">
        <f ca="1">I75</f>
        <v>38</v>
      </c>
    </row>
    <row r="79" spans="1:13" ht="21" customHeight="1" x14ac:dyDescent="0.35">
      <c r="A79" s="94" t="s">
        <v>157</v>
      </c>
      <c r="B79" s="94"/>
      <c r="C79" s="93">
        <v>27</v>
      </c>
      <c r="D79" s="93"/>
      <c r="E79" s="71">
        <f ca="1">((100/(F75+H75+I75))*C79)/100</f>
        <v>0.6923076923076924</v>
      </c>
      <c r="F79" s="94"/>
      <c r="G79" s="94"/>
      <c r="H79" s="94"/>
      <c r="I79" s="94"/>
      <c r="J79" s="39" t="s">
        <v>148</v>
      </c>
      <c r="K79" s="43">
        <f ca="1">(IF(E75&gt;1,(I75/(E75+2)),I75/4))</f>
        <v>9.5</v>
      </c>
    </row>
    <row r="80" spans="1:13" ht="21" customHeight="1" x14ac:dyDescent="0.35">
      <c r="A80" s="94" t="s">
        <v>158</v>
      </c>
      <c r="B80" s="94"/>
      <c r="C80" s="93">
        <f>C79-F75</f>
        <v>26</v>
      </c>
      <c r="D80" s="93"/>
      <c r="E80" s="71">
        <f ca="1">((100/I75)*C80)/100</f>
        <v>0.6842105263157896</v>
      </c>
      <c r="F80" s="94"/>
      <c r="G80" s="94"/>
      <c r="H80" s="94"/>
      <c r="I80" s="94"/>
      <c r="J80" s="39" t="s">
        <v>149</v>
      </c>
      <c r="K80" s="43">
        <f ca="1">(IF(E75&gt;1,(I75/(E75+2)+K79),I75/4+K79))</f>
        <v>19</v>
      </c>
    </row>
    <row r="81" spans="1:13" ht="21" customHeight="1" x14ac:dyDescent="0.35">
      <c r="A81" s="96" t="s">
        <v>159</v>
      </c>
      <c r="B81" s="97"/>
      <c r="C81" s="95">
        <f>C80*0.8</f>
        <v>20.8</v>
      </c>
      <c r="D81" s="95"/>
      <c r="E81" s="71">
        <f ca="1">((100/I75)*C81)/100</f>
        <v>0.54736842105263162</v>
      </c>
      <c r="F81" s="94"/>
      <c r="G81" s="94"/>
      <c r="H81" s="94"/>
      <c r="I81" s="94"/>
      <c r="J81" s="39" t="s">
        <v>160</v>
      </c>
      <c r="K81" s="43">
        <f>(IF(E75&gt;1,(I75/(E75+2)+K80),0))</f>
        <v>0</v>
      </c>
    </row>
    <row r="82" spans="1:13" ht="21" customHeight="1" x14ac:dyDescent="0.35">
      <c r="A82" s="96" t="s">
        <v>232</v>
      </c>
      <c r="B82" s="97"/>
      <c r="C82" s="95">
        <f>C81</f>
        <v>20.8</v>
      </c>
      <c r="D82" s="95"/>
      <c r="E82" s="71">
        <f ca="1">((100/I75)*C82)/100</f>
        <v>0.54736842105263162</v>
      </c>
      <c r="F82" s="94"/>
      <c r="G82" s="94"/>
      <c r="H82" s="94"/>
      <c r="I82" s="94"/>
      <c r="J82" s="39" t="s">
        <v>161</v>
      </c>
      <c r="K82" s="43">
        <f>(IF(E75&gt;2,(I75/(E75+2)+K81),0))</f>
        <v>0</v>
      </c>
    </row>
    <row r="83" spans="1:13" ht="57.75" customHeight="1" x14ac:dyDescent="0.35">
      <c r="A83" s="96" t="s">
        <v>233</v>
      </c>
      <c r="B83" s="97"/>
      <c r="C83" s="93">
        <v>0</v>
      </c>
      <c r="D83" s="93"/>
      <c r="E83" s="71">
        <f ca="1">((100/(I75))*C83)/100</f>
        <v>0</v>
      </c>
      <c r="F83" s="94"/>
      <c r="G83" s="94"/>
      <c r="H83" s="94"/>
      <c r="I83" s="94"/>
      <c r="J83" s="39" t="s">
        <v>163</v>
      </c>
      <c r="K83" s="44">
        <f>(IF(E75&gt;3,(I75/(E75+2)+K82),0))</f>
        <v>0</v>
      </c>
    </row>
    <row r="84" spans="1:13" ht="21" x14ac:dyDescent="0.35">
      <c r="A84" s="94" t="s">
        <v>162</v>
      </c>
      <c r="B84" s="94"/>
      <c r="C84" s="93">
        <v>0</v>
      </c>
      <c r="D84" s="93"/>
      <c r="E84" s="71">
        <f ca="1">((100/(I75))*C84)/100</f>
        <v>0</v>
      </c>
      <c r="F84" s="94"/>
      <c r="G84" s="94"/>
      <c r="H84" s="94"/>
      <c r="I84" s="94"/>
      <c r="J84" s="39" t="s">
        <v>164</v>
      </c>
      <c r="K84" s="43">
        <f>(IF(E75&gt;4,(I75/(E75+2)+K83),0))</f>
        <v>0</v>
      </c>
    </row>
    <row r="85" spans="1:13" ht="21" customHeight="1" x14ac:dyDescent="0.35">
      <c r="A85" s="94" t="s">
        <v>234</v>
      </c>
      <c r="B85" s="94"/>
      <c r="C85" s="93">
        <v>0</v>
      </c>
      <c r="D85" s="93"/>
      <c r="E85" s="71">
        <f ca="1">((100/I75)*C85)/100</f>
        <v>0</v>
      </c>
      <c r="F85" s="94"/>
      <c r="G85" s="94"/>
      <c r="H85" s="94"/>
      <c r="I85" s="94"/>
      <c r="J85" s="39" t="s">
        <v>150</v>
      </c>
      <c r="K85" s="43">
        <f ca="1">(IF(E75=1,(I75/(E75+3)+K80),IF(E75=0,(I75/4+K80),IF(E75&gt;1,0))))</f>
        <v>28.5</v>
      </c>
    </row>
    <row r="86" spans="1:13" ht="42" customHeight="1" thickBot="1" x14ac:dyDescent="0.4">
      <c r="A86" s="94" t="s">
        <v>235</v>
      </c>
      <c r="B86" s="94"/>
      <c r="C86" s="93">
        <v>0</v>
      </c>
      <c r="D86" s="93"/>
      <c r="E86" s="71">
        <f ca="1">((100/I75)*C86)/100</f>
        <v>0</v>
      </c>
      <c r="F86" s="94"/>
      <c r="G86" s="94"/>
      <c r="H86" s="94"/>
      <c r="I86" s="94"/>
      <c r="J86" s="41" t="s">
        <v>151</v>
      </c>
      <c r="K86" s="45">
        <f ca="1">(IF(E75&gt;1.5,(I75/(E75+2)+K79+MAX(0,K80-K79)+MAX(0,K81-K80)+MAX(0,K82-K81)+MAX(0,K83-K82)+MAX(0,K84-K83)),IF(E75=1,(I75/(E75+3)+K85),IF(E75=0,I75/4+K85))))</f>
        <v>38</v>
      </c>
      <c r="M86" s="1" t="e">
        <f>(IF(D74&gt;1.5,(H74/(D74+2)+J79+MAX(0,J80-J79)+MAX(0,J81-J80)+MAX(0,J82-J81)+MAX(0,J83-J82)+MAX(0,J84-J83)),IF(D74=1,(H74/(D74+3)+J84),IF(D74=0,H74*0.3+J84))))</f>
        <v>#VALUE!</v>
      </c>
    </row>
    <row r="87" spans="1:13" ht="20.25" x14ac:dyDescent="0.25">
      <c r="A87" s="94" t="s">
        <v>165</v>
      </c>
      <c r="B87" s="94"/>
      <c r="C87" s="93">
        <v>0</v>
      </c>
      <c r="D87" s="93"/>
      <c r="E87" s="71">
        <f ca="1">((100/(I75))*C87)/100</f>
        <v>0</v>
      </c>
      <c r="F87" s="94"/>
      <c r="G87" s="94"/>
      <c r="H87" s="94"/>
      <c r="I87" s="94"/>
    </row>
    <row r="88" spans="1:13" ht="20.25" x14ac:dyDescent="0.25">
      <c r="A88" s="94" t="s">
        <v>166</v>
      </c>
      <c r="B88" s="94"/>
      <c r="C88" s="93">
        <v>0</v>
      </c>
      <c r="D88" s="93"/>
      <c r="E88" s="71">
        <f ca="1">((100/(I75))*C88)/100</f>
        <v>0</v>
      </c>
      <c r="F88" s="94"/>
      <c r="G88" s="94"/>
      <c r="H88" s="94"/>
      <c r="I88" s="94"/>
    </row>
    <row r="89" spans="1:13" ht="21" thickBot="1" x14ac:dyDescent="0.3">
      <c r="A89" s="90" t="s">
        <v>71</v>
      </c>
      <c r="B89" s="90"/>
      <c r="C89" s="90"/>
      <c r="D89" s="90"/>
      <c r="E89" s="90"/>
      <c r="F89" s="90"/>
      <c r="G89" s="90"/>
      <c r="H89" s="90"/>
      <c r="I89" s="90"/>
    </row>
    <row r="90" spans="1:13" ht="20.25" customHeight="1" x14ac:dyDescent="0.3">
      <c r="A90" s="91" t="str">
        <f>CONCATENATE((IF(OR(A46="",A46="NA"),"",A46)),"= ",(IF(OR(E46="",E46="NA"),"",E46)),".")</f>
        <v>Mayflower= Stilt + 2P + 3rd to 38th Floor.</v>
      </c>
      <c r="B90" s="91"/>
      <c r="C90" s="91"/>
      <c r="D90" s="92" t="s">
        <v>4</v>
      </c>
      <c r="E90" s="69" t="s">
        <v>139</v>
      </c>
      <c r="F90" s="93" t="s">
        <v>125</v>
      </c>
      <c r="G90" s="93"/>
      <c r="H90" s="69" t="s">
        <v>140</v>
      </c>
      <c r="I90" s="69" t="s">
        <v>141</v>
      </c>
      <c r="J90" s="35" t="str">
        <f ca="1">(IF(F93&gt;99%,"All work completed. Please provide OC.",IF(F93&gt;89.8%,"Plinth, RCC, Brick, Plaster, Flooring, Wooden, Plumbing, Electrification, etc., work Completed. Finishing work is in process.",IF(F93&lt;94%,(IF(C93=0,"Work not yet Started.",IF(E93=25%,"Piling work in process",IF(E93=50%,"Excavation work in process",IF(E93=100%,"Excavation work Completed. ","0")))&amp;(IF(C94=0%,"",IF(C94=K95,"Footing work is process",IF(C94=K96,"Footing work Completed",IF(C94=K97,"1st Basement Completed",IF(C94=K98,"1st &amp; 2nd Basement Completed",IF(C94=K99,"1st to 3rd Basement Completed",IF(C94=K100,"1st to 4th Basement Completed",IF(C94=K101,"Plinth work is process",IF(C94=K102,"Plinth work completed","0")))))))))))&amp;(IF(C95=(F91+H91+I91),", RCC Slab",IF(C95&gt;0,", RCC upto "&amp;C95&amp;" Slab",""))&amp;(IF(C96=I91,", Brickwork",IF(C96&gt;0,", Brickwork upto "&amp;C96&amp;" Floor",""))&amp;(IF(C97=I91,", Internal Plaster",IF(C97&gt;0,", Internal Plaster upto "&amp;C97&amp;" Floor",""))&amp;(IF(C98=I91,", External Plaster",IF(C98&gt;0,", External Plaster upto "&amp;C98&amp;" Floor",""))&amp;(IF(C99=I91,", External Plumbing, Elevation and Waterproofing",IF(C99&gt;0,", External Plumbing, Elevation and Waterproofing upto "&amp;C99&amp;" Floor",""))&amp;(IF(C100=I91,", Flooring &amp; Fitting",IF(C100&gt;0,", Flooring &amp; Fitting upto "&amp;C100&amp;" Floor",""))&amp;(IF(C101=I91,", Wooden Work",IF(C101&gt;0,", Wooden Work upto "&amp;C101&amp;" Floor",""))&amp;(IF(C102=I91,", Electrical &amp; Sanitary fittings",IF(C102&gt;0,", Electrical &amp; Sanitary fittings upto "&amp;C102&amp;" Floor",""))&amp;(IF(C103&gt;0,", Finishing upto "&amp;C103&amp;" Floor","")&amp;(IF(C95&gt;0.5," Completed",""))))))))))))))))</f>
        <v>Excavation work Completed. Plinth work completed, RCC upto 4 Slab Completed</v>
      </c>
      <c r="K90" s="37"/>
    </row>
    <row r="91" spans="1:13" ht="20.25" x14ac:dyDescent="0.3">
      <c r="A91" s="91"/>
      <c r="B91" s="91"/>
      <c r="C91" s="91"/>
      <c r="D91" s="92"/>
      <c r="E91" s="69">
        <v>0</v>
      </c>
      <c r="F91" s="93">
        <v>1</v>
      </c>
      <c r="G91" s="93"/>
      <c r="H91" s="69">
        <v>0</v>
      </c>
      <c r="I91" s="69">
        <f ca="1">--TRIM(RIGHT(SUBSTITUTE(LEFT(A90,_xlfn.AGGREGATE(16,6,FIND({0,1,2,3,4,5,6,7,8,9},A90,ROW(INDIRECT("1:"&amp;LEN(A90)))),1))," ",REPT(" ",LEN(A90))),LEN(A90)))</f>
        <v>38</v>
      </c>
      <c r="J91" s="36" t="s">
        <v>145</v>
      </c>
      <c r="K91" s="37"/>
    </row>
    <row r="92" spans="1:13" ht="20.25" customHeight="1" x14ac:dyDescent="0.3">
      <c r="A92" s="89" t="s">
        <v>143</v>
      </c>
      <c r="B92" s="89"/>
      <c r="C92" s="89" t="s">
        <v>153</v>
      </c>
      <c r="D92" s="89"/>
      <c r="E92" s="70" t="s">
        <v>154</v>
      </c>
      <c r="F92" s="89" t="s">
        <v>144</v>
      </c>
      <c r="G92" s="89"/>
      <c r="H92" s="46" t="s">
        <v>142</v>
      </c>
      <c r="I92" s="46"/>
      <c r="J92" s="39" t="s">
        <v>155</v>
      </c>
      <c r="K92" s="38">
        <f ca="1">I91*25%</f>
        <v>9.5</v>
      </c>
    </row>
    <row r="93" spans="1:13" ht="20.25" customHeight="1" x14ac:dyDescent="0.3">
      <c r="A93" s="94" t="s">
        <v>156</v>
      </c>
      <c r="B93" s="94"/>
      <c r="C93" s="93">
        <f ca="1">K94</f>
        <v>38</v>
      </c>
      <c r="D93" s="93"/>
      <c r="E93" s="71">
        <f ca="1">((100/I91)*C93)/100</f>
        <v>1</v>
      </c>
      <c r="F93" s="94">
        <f ca="1">(((C93/I91*5)+(C94/I91*20)+(25/(F91+H91+I91)*C95)+(5/(I91)*C96)+(2.5/(I91)*C97)+(2.5/(I91)*C98)+(5/I91*C99)+(10/I91*C100)+(2.5/I91*C101)+(2.5/I91*C102)+(10/I91*C103)+(10/I91*C104))/100)</f>
        <v>0.27564102564102566</v>
      </c>
      <c r="G93" s="94"/>
      <c r="H93" s="94" t="str">
        <f ca="1">J90</f>
        <v>Excavation work Completed. Plinth work completed, RCC upto 4 Slab Completed</v>
      </c>
      <c r="I93" s="94"/>
      <c r="J93" s="39" t="s">
        <v>146</v>
      </c>
      <c r="K93" s="42">
        <f ca="1">I91*50%</f>
        <v>19</v>
      </c>
    </row>
    <row r="94" spans="1:13" ht="20.25" x14ac:dyDescent="0.3">
      <c r="A94" s="94" t="s">
        <v>126</v>
      </c>
      <c r="B94" s="94"/>
      <c r="C94" s="95">
        <f ca="1">K102</f>
        <v>38</v>
      </c>
      <c r="D94" s="93"/>
      <c r="E94" s="71">
        <f ca="1">((100/I91)*C94)/100</f>
        <v>1</v>
      </c>
      <c r="F94" s="94"/>
      <c r="G94" s="94"/>
      <c r="H94" s="94"/>
      <c r="I94" s="94"/>
      <c r="J94" s="39" t="s">
        <v>147</v>
      </c>
      <c r="K94" s="42">
        <f ca="1">I91</f>
        <v>38</v>
      </c>
    </row>
    <row r="95" spans="1:13" ht="21" customHeight="1" x14ac:dyDescent="0.35">
      <c r="A95" s="94" t="s">
        <v>157</v>
      </c>
      <c r="B95" s="94"/>
      <c r="C95" s="93">
        <v>4</v>
      </c>
      <c r="D95" s="93"/>
      <c r="E95" s="71">
        <f ca="1">((100/(F91+H91+I91))*C95)/100</f>
        <v>0.10256410256410257</v>
      </c>
      <c r="F95" s="94"/>
      <c r="G95" s="94"/>
      <c r="H95" s="94"/>
      <c r="I95" s="94"/>
      <c r="J95" s="39" t="s">
        <v>148</v>
      </c>
      <c r="K95" s="43">
        <f ca="1">(IF(E91&gt;1,(I91/(E91+2)),I91/4))</f>
        <v>9.5</v>
      </c>
    </row>
    <row r="96" spans="1:13" ht="21" customHeight="1" x14ac:dyDescent="0.35">
      <c r="A96" s="94" t="s">
        <v>158</v>
      </c>
      <c r="B96" s="94"/>
      <c r="C96" s="178">
        <v>0</v>
      </c>
      <c r="D96" s="179"/>
      <c r="E96" s="71">
        <f ca="1">((100/I91)*C96)/100</f>
        <v>0</v>
      </c>
      <c r="F96" s="94"/>
      <c r="G96" s="94"/>
      <c r="H96" s="94"/>
      <c r="I96" s="94"/>
      <c r="J96" s="39" t="s">
        <v>149</v>
      </c>
      <c r="K96" s="43">
        <f ca="1">(IF(E91&gt;1,(I91/(E91+2)+K95),I91/4+K95))</f>
        <v>19</v>
      </c>
    </row>
    <row r="97" spans="1:13" ht="21" customHeight="1" x14ac:dyDescent="0.35">
      <c r="A97" s="96" t="s">
        <v>159</v>
      </c>
      <c r="B97" s="97"/>
      <c r="C97" s="178">
        <v>0</v>
      </c>
      <c r="D97" s="179"/>
      <c r="E97" s="71">
        <f ca="1">((100/I91)*C97)/100</f>
        <v>0</v>
      </c>
      <c r="F97" s="94"/>
      <c r="G97" s="94"/>
      <c r="H97" s="94"/>
      <c r="I97" s="94"/>
      <c r="J97" s="39" t="s">
        <v>160</v>
      </c>
      <c r="K97" s="43">
        <f>(IF(E91&gt;1,(I91/(E91+2)+K96),0))</f>
        <v>0</v>
      </c>
    </row>
    <row r="98" spans="1:13" ht="21" customHeight="1" x14ac:dyDescent="0.35">
      <c r="A98" s="96" t="s">
        <v>232</v>
      </c>
      <c r="B98" s="97"/>
      <c r="C98" s="178">
        <v>0</v>
      </c>
      <c r="D98" s="179"/>
      <c r="E98" s="71">
        <f ca="1">((100/I91)*C98)/100</f>
        <v>0</v>
      </c>
      <c r="F98" s="94"/>
      <c r="G98" s="94"/>
      <c r="H98" s="94"/>
      <c r="I98" s="94"/>
      <c r="J98" s="39" t="s">
        <v>161</v>
      </c>
      <c r="K98" s="43">
        <f>(IF(E91&gt;2,(I91/(E91+2)+K97),0))</f>
        <v>0</v>
      </c>
    </row>
    <row r="99" spans="1:13" ht="57.75" customHeight="1" x14ac:dyDescent="0.35">
      <c r="A99" s="96" t="s">
        <v>233</v>
      </c>
      <c r="B99" s="97"/>
      <c r="C99" s="93">
        <v>0</v>
      </c>
      <c r="D99" s="93"/>
      <c r="E99" s="71">
        <f ca="1">((100/(I91))*C99)/100</f>
        <v>0</v>
      </c>
      <c r="F99" s="94"/>
      <c r="G99" s="94"/>
      <c r="H99" s="94"/>
      <c r="I99" s="94"/>
      <c r="J99" s="39" t="s">
        <v>163</v>
      </c>
      <c r="K99" s="44">
        <f>(IF(E91&gt;3,(I91/(E91+2)+K98),0))</f>
        <v>0</v>
      </c>
    </row>
    <row r="100" spans="1:13" ht="21" x14ac:dyDescent="0.35">
      <c r="A100" s="94" t="s">
        <v>162</v>
      </c>
      <c r="B100" s="94"/>
      <c r="C100" s="93">
        <v>0</v>
      </c>
      <c r="D100" s="93"/>
      <c r="E100" s="71">
        <f ca="1">((100/(I91))*C100)/100</f>
        <v>0</v>
      </c>
      <c r="F100" s="94"/>
      <c r="G100" s="94"/>
      <c r="H100" s="94"/>
      <c r="I100" s="94"/>
      <c r="J100" s="39" t="s">
        <v>164</v>
      </c>
      <c r="K100" s="43">
        <f>(IF(E91&gt;4,(I91/(E91+2)+K99),0))</f>
        <v>0</v>
      </c>
    </row>
    <row r="101" spans="1:13" ht="21" customHeight="1" x14ac:dyDescent="0.35">
      <c r="A101" s="94" t="s">
        <v>234</v>
      </c>
      <c r="B101" s="94"/>
      <c r="C101" s="93">
        <v>0</v>
      </c>
      <c r="D101" s="93"/>
      <c r="E101" s="71">
        <f ca="1">((100/I91)*C101)/100</f>
        <v>0</v>
      </c>
      <c r="F101" s="94"/>
      <c r="G101" s="94"/>
      <c r="H101" s="94"/>
      <c r="I101" s="94"/>
      <c r="J101" s="39" t="s">
        <v>150</v>
      </c>
      <c r="K101" s="43">
        <f ca="1">(IF(E91=1,(I91/(E91+3)+K96),IF(E91=0,(I91/4+K96),IF(E91&gt;1,0))))</f>
        <v>28.5</v>
      </c>
    </row>
    <row r="102" spans="1:13" ht="42" customHeight="1" thickBot="1" x14ac:dyDescent="0.4">
      <c r="A102" s="94" t="s">
        <v>235</v>
      </c>
      <c r="B102" s="94"/>
      <c r="C102" s="93">
        <v>0</v>
      </c>
      <c r="D102" s="93"/>
      <c r="E102" s="71">
        <f ca="1">((100/I91)*C102)/100</f>
        <v>0</v>
      </c>
      <c r="F102" s="94"/>
      <c r="G102" s="94"/>
      <c r="H102" s="94"/>
      <c r="I102" s="94"/>
      <c r="J102" s="41" t="s">
        <v>151</v>
      </c>
      <c r="K102" s="45">
        <f ca="1">(IF(E91&gt;1.5,(I91/(E91+2)+K95+MAX(0,K96-K95)+MAX(0,K97-K96)+MAX(0,K98-K97)+MAX(0,K99-K98)+MAX(0,K100-K99)),IF(E91=1,(I91/(E91+3)+K101),IF(E91=0,I91/4+K101))))</f>
        <v>38</v>
      </c>
      <c r="M102" s="1" t="e">
        <f>(IF(D90&gt;1.5,(H90/(D90+2)+J95+MAX(0,J96-J95)+MAX(0,J97-J96)+MAX(0,J98-J97)+MAX(0,J99-J98)+MAX(0,J100-J99)),IF(D90=1,(H90/(D90+3)+J100),IF(D90=0,H90*0.3+J100))))</f>
        <v>#VALUE!</v>
      </c>
    </row>
    <row r="103" spans="1:13" ht="20.25" x14ac:dyDescent="0.25">
      <c r="A103" s="94" t="s">
        <v>165</v>
      </c>
      <c r="B103" s="94"/>
      <c r="C103" s="93">
        <v>0</v>
      </c>
      <c r="D103" s="93"/>
      <c r="E103" s="71">
        <f ca="1">((100/(I91))*C103)/100</f>
        <v>0</v>
      </c>
      <c r="F103" s="94"/>
      <c r="G103" s="94"/>
      <c r="H103" s="94"/>
      <c r="I103" s="94"/>
    </row>
    <row r="104" spans="1:13" ht="20.25" x14ac:dyDescent="0.25">
      <c r="A104" s="94" t="s">
        <v>166</v>
      </c>
      <c r="B104" s="94"/>
      <c r="C104" s="93">
        <v>0</v>
      </c>
      <c r="D104" s="93"/>
      <c r="E104" s="71">
        <f ca="1">((100/(I91))*C104)/100</f>
        <v>0</v>
      </c>
      <c r="F104" s="94"/>
      <c r="G104" s="94"/>
      <c r="H104" s="94"/>
      <c r="I104" s="94"/>
    </row>
    <row r="105" spans="1:13" ht="21" thickBot="1" x14ac:dyDescent="0.3">
      <c r="A105" s="90" t="s">
        <v>71</v>
      </c>
      <c r="B105" s="90"/>
      <c r="C105" s="90"/>
      <c r="D105" s="90"/>
      <c r="E105" s="90"/>
      <c r="F105" s="90"/>
      <c r="G105" s="90"/>
      <c r="H105" s="90"/>
      <c r="I105" s="90"/>
    </row>
    <row r="106" spans="1:13" ht="20.25" customHeight="1" x14ac:dyDescent="0.3">
      <c r="A106" s="91" t="str">
        <f>CONCATENATE((IF(OR(A47="",A47="NA"),"",A47)),"= ",(IF(OR(E47="",E47="NA"),"",E47)),".")</f>
        <v>Lavender= Stilt + 2P + 3rd to 38th Floor.</v>
      </c>
      <c r="B106" s="91"/>
      <c r="C106" s="91"/>
      <c r="D106" s="92" t="s">
        <v>4</v>
      </c>
      <c r="E106" s="69" t="s">
        <v>139</v>
      </c>
      <c r="F106" s="93" t="s">
        <v>125</v>
      </c>
      <c r="G106" s="93"/>
      <c r="H106" s="69" t="s">
        <v>140</v>
      </c>
      <c r="I106" s="69" t="s">
        <v>141</v>
      </c>
      <c r="J106" s="35" t="str">
        <f ca="1">(IF(F109&gt;99%,"All work completed. Please provide OC.",IF(F109&gt;89.8%,"Plinth, RCC, Brick, Plaster, Flooring, Wooden, Plumbing, Electrification, etc., work Completed. Finishing work is in process.",IF(F109&lt;94%,(IF(C109=0,"Work not yet Started.",IF(E109=25%,"Piling work in process",IF(E109=50%,"Excavation work in process",IF(E109=100%,"Excavation work Completed. ","0")))&amp;(IF(C110=0%,"",IF(C110=K111,"Footing work is process",IF(C110=K112,"Footing work Completed",IF(C110=K113,"1st Basement Completed",IF(C110=K114,"1st &amp; 2nd Basement Completed",IF(C110=K115,"1st to 3rd Basement Completed",IF(C110=K116,"1st to 4th Basement Completed",IF(C110=K117,"Plinth work is process",IF(C110=K118,"Plinth work completed","0")))))))))))&amp;(IF(C111=(F107+H107+I107),", RCC Slab",IF(C111&gt;0,", RCC upto "&amp;C111&amp;" Slab",""))&amp;(IF(C112=I107,", Brickwork",IF(C112&gt;0,", Brickwork upto "&amp;C112&amp;" Floor",""))&amp;(IF(C113=I107,", Internal Plaster",IF(C113&gt;0,", Internal Plaster upto "&amp;C113&amp;" Floor",""))&amp;(IF(C114=I107,", External Plaster",IF(C114&gt;0,", External Plaster upto "&amp;C114&amp;" Floor",""))&amp;(IF(C115=I107,", External Plumbing, Elevation and Waterproofing",IF(C115&gt;0,", External Plumbing, Elevation and Waterproofing upto "&amp;C115&amp;" Floor",""))&amp;(IF(C116=I107,", Flooring &amp; Fitting",IF(C116&gt;0,", Flooring &amp; Fitting upto "&amp;C116&amp;" Floor",""))&amp;(IF(C117=I107,", Wooden Work",IF(C117&gt;0,", Wooden Work upto "&amp;C117&amp;" Floor",""))&amp;(IF(C118=I107,", Electrical &amp; Sanitary fittings",IF(C118&gt;0,", Electrical &amp; Sanitary fittings upto "&amp;C118&amp;" Floor",""))&amp;(IF(C119&gt;0,", Finishing upto "&amp;C119&amp;" Floor","")&amp;(IF(C111&gt;0.5," Completed",""))))))))))))))))</f>
        <v>Excavation work Completed. Footing work Completed</v>
      </c>
      <c r="K106" s="37"/>
    </row>
    <row r="107" spans="1:13" ht="20.25" x14ac:dyDescent="0.3">
      <c r="A107" s="91"/>
      <c r="B107" s="91"/>
      <c r="C107" s="91"/>
      <c r="D107" s="92"/>
      <c r="E107" s="69">
        <v>0</v>
      </c>
      <c r="F107" s="93">
        <v>1</v>
      </c>
      <c r="G107" s="93"/>
      <c r="H107" s="69">
        <v>0</v>
      </c>
      <c r="I107" s="69">
        <f ca="1">--TRIM(RIGHT(SUBSTITUTE(LEFT(A106,_xlfn.AGGREGATE(16,6,FIND({0,1,2,3,4,5,6,7,8,9},A106,ROW(INDIRECT("1:"&amp;LEN(A106)))),1))," ",REPT(" ",LEN(A106))),LEN(A106)))</f>
        <v>38</v>
      </c>
      <c r="J107" s="36" t="s">
        <v>145</v>
      </c>
      <c r="K107" s="37"/>
    </row>
    <row r="108" spans="1:13" ht="20.25" customHeight="1" x14ac:dyDescent="0.3">
      <c r="A108" s="89" t="s">
        <v>143</v>
      </c>
      <c r="B108" s="89"/>
      <c r="C108" s="89" t="s">
        <v>153</v>
      </c>
      <c r="D108" s="89"/>
      <c r="E108" s="70" t="s">
        <v>154</v>
      </c>
      <c r="F108" s="89" t="s">
        <v>144</v>
      </c>
      <c r="G108" s="89"/>
      <c r="H108" s="46" t="s">
        <v>142</v>
      </c>
      <c r="I108" s="46"/>
      <c r="J108" s="39" t="s">
        <v>155</v>
      </c>
      <c r="K108" s="38">
        <f ca="1">I107*25%</f>
        <v>9.5</v>
      </c>
    </row>
    <row r="109" spans="1:13" ht="20.25" customHeight="1" x14ac:dyDescent="0.3">
      <c r="A109" s="94" t="s">
        <v>156</v>
      </c>
      <c r="B109" s="94"/>
      <c r="C109" s="95">
        <f ca="1">K110</f>
        <v>38</v>
      </c>
      <c r="D109" s="93"/>
      <c r="E109" s="71">
        <f ca="1">((100/I107)*C109)/100</f>
        <v>1</v>
      </c>
      <c r="F109" s="94">
        <f ca="1">(((C109/I107*5)+(C110/I107*20)+(25/(F107+H107+I107)*C111)+(5/(I107)*C112)+(2.5/(I107)*C113)+(2.5/(I107)*C114)+(5/I107*C115)+(10/I107*C116)+(2.5/I107*C117)+(2.5/I107*C118)+(10/I107*C119)+(10/I107*C120))/100)</f>
        <v>0.15</v>
      </c>
      <c r="G109" s="94"/>
      <c r="H109" s="94" t="str">
        <f ca="1">J106</f>
        <v>Excavation work Completed. Footing work Completed</v>
      </c>
      <c r="I109" s="94"/>
      <c r="J109" s="39" t="s">
        <v>146</v>
      </c>
      <c r="K109" s="42">
        <f ca="1">I107*50%</f>
        <v>19</v>
      </c>
    </row>
    <row r="110" spans="1:13" ht="20.25" x14ac:dyDescent="0.3">
      <c r="A110" s="94" t="s">
        <v>126</v>
      </c>
      <c r="B110" s="94"/>
      <c r="C110" s="95">
        <f ca="1">K112</f>
        <v>19</v>
      </c>
      <c r="D110" s="93"/>
      <c r="E110" s="71">
        <f ca="1">((100/I107)*C110)/100</f>
        <v>0.5</v>
      </c>
      <c r="F110" s="94"/>
      <c r="G110" s="94"/>
      <c r="H110" s="94"/>
      <c r="I110" s="94"/>
      <c r="J110" s="39" t="s">
        <v>147</v>
      </c>
      <c r="K110" s="42">
        <f ca="1">I107</f>
        <v>38</v>
      </c>
    </row>
    <row r="111" spans="1:13" ht="21" customHeight="1" x14ac:dyDescent="0.35">
      <c r="A111" s="94" t="s">
        <v>157</v>
      </c>
      <c r="B111" s="94"/>
      <c r="C111" s="93">
        <v>0</v>
      </c>
      <c r="D111" s="93"/>
      <c r="E111" s="71">
        <f ca="1">((100/(F107+H107+I107))*C111)/100</f>
        <v>0</v>
      </c>
      <c r="F111" s="94"/>
      <c r="G111" s="94"/>
      <c r="H111" s="94"/>
      <c r="I111" s="94"/>
      <c r="J111" s="39" t="s">
        <v>148</v>
      </c>
      <c r="K111" s="43">
        <f ca="1">(IF(E107&gt;1,(I107/(E107+2)),I107/4))</f>
        <v>9.5</v>
      </c>
    </row>
    <row r="112" spans="1:13" ht="21" customHeight="1" x14ac:dyDescent="0.35">
      <c r="A112" s="94" t="s">
        <v>158</v>
      </c>
      <c r="B112" s="94"/>
      <c r="C112" s="93">
        <v>0</v>
      </c>
      <c r="D112" s="93"/>
      <c r="E112" s="71">
        <f ca="1">((100/I107)*C112)/100</f>
        <v>0</v>
      </c>
      <c r="F112" s="94"/>
      <c r="G112" s="94"/>
      <c r="H112" s="94"/>
      <c r="I112" s="94"/>
      <c r="J112" s="39" t="s">
        <v>149</v>
      </c>
      <c r="K112" s="43">
        <f ca="1">(IF(E107&gt;1,(I107/(E107+2)+K111),I107/4+K111))</f>
        <v>19</v>
      </c>
    </row>
    <row r="113" spans="1:13" ht="21" customHeight="1" x14ac:dyDescent="0.35">
      <c r="A113" s="96" t="s">
        <v>159</v>
      </c>
      <c r="B113" s="97"/>
      <c r="C113" s="93">
        <v>0</v>
      </c>
      <c r="D113" s="93"/>
      <c r="E113" s="71">
        <f ca="1">((100/I107)*C113)/100</f>
        <v>0</v>
      </c>
      <c r="F113" s="94"/>
      <c r="G113" s="94"/>
      <c r="H113" s="94"/>
      <c r="I113" s="94"/>
      <c r="J113" s="39" t="s">
        <v>160</v>
      </c>
      <c r="K113" s="43">
        <f>(IF(E107&gt;1,(I107/(E107+2)+K112),0))</f>
        <v>0</v>
      </c>
    </row>
    <row r="114" spans="1:13" ht="21" customHeight="1" x14ac:dyDescent="0.35">
      <c r="A114" s="96" t="s">
        <v>232</v>
      </c>
      <c r="B114" s="97"/>
      <c r="C114" s="93">
        <v>0</v>
      </c>
      <c r="D114" s="93"/>
      <c r="E114" s="71">
        <f ca="1">((100/I107)*C114)/100</f>
        <v>0</v>
      </c>
      <c r="F114" s="94"/>
      <c r="G114" s="94"/>
      <c r="H114" s="94"/>
      <c r="I114" s="94"/>
      <c r="J114" s="39" t="s">
        <v>161</v>
      </c>
      <c r="K114" s="43">
        <f>(IF(E107&gt;2,(I107/(E107+2)+K113),0))</f>
        <v>0</v>
      </c>
    </row>
    <row r="115" spans="1:13" ht="57.75" customHeight="1" x14ac:dyDescent="0.35">
      <c r="A115" s="96" t="s">
        <v>233</v>
      </c>
      <c r="B115" s="97"/>
      <c r="C115" s="93">
        <v>0</v>
      </c>
      <c r="D115" s="93"/>
      <c r="E115" s="71">
        <f ca="1">((100/(I107))*C115)/100</f>
        <v>0</v>
      </c>
      <c r="F115" s="94"/>
      <c r="G115" s="94"/>
      <c r="H115" s="94"/>
      <c r="I115" s="94"/>
      <c r="J115" s="39" t="s">
        <v>163</v>
      </c>
      <c r="K115" s="44">
        <f>(IF(E107&gt;3,(I107/(E107+2)+K114),0))</f>
        <v>0</v>
      </c>
    </row>
    <row r="116" spans="1:13" ht="21" x14ac:dyDescent="0.35">
      <c r="A116" s="94" t="s">
        <v>162</v>
      </c>
      <c r="B116" s="94"/>
      <c r="C116" s="93">
        <v>0</v>
      </c>
      <c r="D116" s="93"/>
      <c r="E116" s="71">
        <f ca="1">((100/(I107))*C116)/100</f>
        <v>0</v>
      </c>
      <c r="F116" s="94"/>
      <c r="G116" s="94"/>
      <c r="H116" s="94"/>
      <c r="I116" s="94"/>
      <c r="J116" s="39" t="s">
        <v>164</v>
      </c>
      <c r="K116" s="43">
        <f>(IF(E107&gt;4,(I107/(E107+2)+K115),0))</f>
        <v>0</v>
      </c>
    </row>
    <row r="117" spans="1:13" ht="21" customHeight="1" x14ac:dyDescent="0.35">
      <c r="A117" s="94" t="s">
        <v>234</v>
      </c>
      <c r="B117" s="94"/>
      <c r="C117" s="93">
        <v>0</v>
      </c>
      <c r="D117" s="93"/>
      <c r="E117" s="71">
        <f ca="1">((100/I107)*C117)/100</f>
        <v>0</v>
      </c>
      <c r="F117" s="94"/>
      <c r="G117" s="94"/>
      <c r="H117" s="94"/>
      <c r="I117" s="94"/>
      <c r="J117" s="39" t="s">
        <v>150</v>
      </c>
      <c r="K117" s="43">
        <f ca="1">(IF(E107=1,(I107/(E107+3)+K112),IF(E107=0,(I107/4+K112),IF(E107&gt;1,0))))</f>
        <v>28.5</v>
      </c>
    </row>
    <row r="118" spans="1:13" ht="42" customHeight="1" thickBot="1" x14ac:dyDescent="0.4">
      <c r="A118" s="94" t="s">
        <v>235</v>
      </c>
      <c r="B118" s="94"/>
      <c r="C118" s="93">
        <v>0</v>
      </c>
      <c r="D118" s="93"/>
      <c r="E118" s="71">
        <f ca="1">((100/I107)*C118)/100</f>
        <v>0</v>
      </c>
      <c r="F118" s="94"/>
      <c r="G118" s="94"/>
      <c r="H118" s="94"/>
      <c r="I118" s="94"/>
      <c r="J118" s="41" t="s">
        <v>151</v>
      </c>
      <c r="K118" s="45">
        <f ca="1">(IF(E107&gt;1.5,(I107/(E107+2)+K111+MAX(0,K112-K111)+MAX(0,K113-K112)+MAX(0,K114-K113)+MAX(0,K115-K114)+MAX(0,K116-K115)),IF(E107=1,(I107/(E107+3)+K117),IF(E107=0,I107/4+K117))))</f>
        <v>38</v>
      </c>
      <c r="M118" s="1" t="e">
        <f>(IF(D106&gt;1.5,(H106/(D106+2)+J111+MAX(0,J112-J111)+MAX(0,J113-J112)+MAX(0,J114-J113)+MAX(0,J115-J114)+MAX(0,J116-J115)),IF(D106=1,(H106/(D106+3)+J116),IF(D106=0,H106*0.3+J116))))</f>
        <v>#VALUE!</v>
      </c>
    </row>
    <row r="119" spans="1:13" ht="20.25" x14ac:dyDescent="0.25">
      <c r="A119" s="94" t="s">
        <v>165</v>
      </c>
      <c r="B119" s="94"/>
      <c r="C119" s="93">
        <v>0</v>
      </c>
      <c r="D119" s="93"/>
      <c r="E119" s="71">
        <f ca="1">((100/(I107))*C119)/100</f>
        <v>0</v>
      </c>
      <c r="F119" s="94"/>
      <c r="G119" s="94"/>
      <c r="H119" s="94"/>
      <c r="I119" s="94"/>
    </row>
    <row r="120" spans="1:13" ht="20.25" x14ac:dyDescent="0.25">
      <c r="A120" s="94" t="s">
        <v>166</v>
      </c>
      <c r="B120" s="94"/>
      <c r="C120" s="93">
        <v>0</v>
      </c>
      <c r="D120" s="93"/>
      <c r="E120" s="71">
        <f ca="1">((100/(I107))*C120)/100</f>
        <v>0</v>
      </c>
      <c r="F120" s="94"/>
      <c r="G120" s="94"/>
      <c r="H120" s="94"/>
      <c r="I120" s="94"/>
    </row>
    <row r="121" spans="1:13" ht="21" thickBot="1" x14ac:dyDescent="0.3">
      <c r="A121" s="90" t="s">
        <v>71</v>
      </c>
      <c r="B121" s="90"/>
      <c r="C121" s="90"/>
      <c r="D121" s="90"/>
      <c r="E121" s="90"/>
      <c r="F121" s="90"/>
      <c r="G121" s="90"/>
      <c r="H121" s="90"/>
      <c r="I121" s="90"/>
    </row>
    <row r="122" spans="1:13" ht="20.25" customHeight="1" x14ac:dyDescent="0.3">
      <c r="A122" s="91" t="str">
        <f>CONCATENATE((IF(OR(A48="",A48="NA"),"",A48)),"= ",(IF(OR(E48="",E48="NA"),"",E48)),".")</f>
        <v>Marigold= Stilt + 2P + 3rd to 38th Floor.</v>
      </c>
      <c r="B122" s="91"/>
      <c r="C122" s="91"/>
      <c r="D122" s="92" t="s">
        <v>4</v>
      </c>
      <c r="E122" s="69" t="s">
        <v>139</v>
      </c>
      <c r="F122" s="93" t="s">
        <v>125</v>
      </c>
      <c r="G122" s="93"/>
      <c r="H122" s="69" t="s">
        <v>140</v>
      </c>
      <c r="I122" s="69" t="s">
        <v>141</v>
      </c>
      <c r="J122" s="35" t="str">
        <f ca="1">(IF(F125&gt;99%,"All work completed. Please provide OC.",IF(F125&gt;89.8%,"Plinth, RCC, Brick, Plaster, Flooring, Wooden, Plumbing, Electrification, etc., work Completed. Finishing work is in process.",IF(F125&lt;94%,(IF(C125=0,"Work not yet Started.",IF(E125=25%,"Piling work in process",IF(E125=50%,"Excavation work in process",IF(E125=100%,"Excavation work Completed. ","0")))&amp;(IF(C126=0%,"",IF(C126=K127,"Footing work is process",IF(C126=K128,"Footing work Completed",IF(C126=K129,"1st Basement Completed",IF(C126=K130,"1st &amp; 2nd Basement Completed",IF(C126=K131,"1st to 3rd Basement Completed",IF(C126=K132,"1st to 4th Basement Completed",IF(C126=K133,"Plinth work is process",IF(C126=K134,"Plinth work completed","0")))))))))))&amp;(IF(C127=(F123+H123+I123),", RCC Slab",IF(C127&gt;0,", RCC upto "&amp;C127&amp;" Slab",""))&amp;(IF(C128=I123,", Brickwork",IF(C128&gt;0,", Brickwork upto "&amp;C128&amp;" Floor",""))&amp;(IF(C129=I123,", Internal Plaster",IF(C129&gt;0,", Internal Plaster upto "&amp;C129&amp;" Floor",""))&amp;(IF(C130=I123,", External Plaster",IF(C130&gt;0,", External Plaster upto "&amp;C130&amp;" Floor",""))&amp;(IF(C131=I123,", External Plumbing, Elevation and Waterproofing",IF(C131&gt;0,", External Plumbing, Elevation and Waterproofing upto "&amp;C131&amp;" Floor",""))&amp;(IF(C132=I123,", Flooring &amp; Fitting",IF(C132&gt;0,", Flooring &amp; Fitting upto "&amp;C132&amp;" Floor",""))&amp;(IF(C133=I123,", Wooden Work",IF(C133&gt;0,", Wooden Work upto "&amp;C133&amp;" Floor",""))&amp;(IF(C134=I123,", Electrical &amp; Sanitary fittings",IF(C134&gt;0,", Electrical &amp; Sanitary fittings upto "&amp;C134&amp;" Floor",""))&amp;(IF(C135&gt;0,", Finishing upto "&amp;C135&amp;" Floor","")&amp;(IF(C127&gt;0.5," Completed",""))))))))))))))))</f>
        <v>Excavation work Completed. Plinth work completed, RCC upto 3 Slab Completed</v>
      </c>
      <c r="K122" s="37"/>
    </row>
    <row r="123" spans="1:13" ht="20.25" x14ac:dyDescent="0.3">
      <c r="A123" s="91"/>
      <c r="B123" s="91"/>
      <c r="C123" s="91"/>
      <c r="D123" s="92"/>
      <c r="E123" s="69">
        <v>0</v>
      </c>
      <c r="F123" s="93">
        <v>1</v>
      </c>
      <c r="G123" s="93"/>
      <c r="H123" s="69">
        <v>0</v>
      </c>
      <c r="I123" s="69">
        <f ca="1">--TRIM(RIGHT(SUBSTITUTE(LEFT(A122,_xlfn.AGGREGATE(16,6,FIND({0,1,2,3,4,5,6,7,8,9},A122,ROW(INDIRECT("1:"&amp;LEN(A122)))),1))," ",REPT(" ",LEN(A122))),LEN(A122)))</f>
        <v>38</v>
      </c>
      <c r="J123" s="36" t="s">
        <v>145</v>
      </c>
      <c r="K123" s="37"/>
    </row>
    <row r="124" spans="1:13" ht="20.25" customHeight="1" x14ac:dyDescent="0.3">
      <c r="A124" s="89" t="s">
        <v>143</v>
      </c>
      <c r="B124" s="89"/>
      <c r="C124" s="89" t="s">
        <v>153</v>
      </c>
      <c r="D124" s="89"/>
      <c r="E124" s="70" t="s">
        <v>154</v>
      </c>
      <c r="F124" s="89" t="s">
        <v>144</v>
      </c>
      <c r="G124" s="89"/>
      <c r="H124" s="46" t="s">
        <v>142</v>
      </c>
      <c r="I124" s="46"/>
      <c r="J124" s="39" t="s">
        <v>155</v>
      </c>
      <c r="K124" s="38">
        <f ca="1">I123*25%</f>
        <v>9.5</v>
      </c>
    </row>
    <row r="125" spans="1:13" ht="20.25" customHeight="1" x14ac:dyDescent="0.3">
      <c r="A125" s="94" t="s">
        <v>156</v>
      </c>
      <c r="B125" s="94"/>
      <c r="C125" s="93">
        <f ca="1">K126</f>
        <v>38</v>
      </c>
      <c r="D125" s="93"/>
      <c r="E125" s="71">
        <f ca="1">((100/I123)*C125)/100</f>
        <v>1</v>
      </c>
      <c r="F125" s="94">
        <f ca="1">(((C125/I123*5)+(C126/I123*20)+(25/(F123+H123+I123)*C127)+(5/(I123)*C128)+(2.5/(I123)*C129)+(2.5/(I123)*C130)+(5/I123*C131)+(10/I123*C132)+(2.5/I123*C133)+(2.5/I123*C134)+(10/I123*C135)+(10/I123*C136))/100)</f>
        <v>0.26923076923076922</v>
      </c>
      <c r="G125" s="94"/>
      <c r="H125" s="94" t="str">
        <f ca="1">J122</f>
        <v>Excavation work Completed. Plinth work completed, RCC upto 3 Slab Completed</v>
      </c>
      <c r="I125" s="94"/>
      <c r="J125" s="39" t="s">
        <v>146</v>
      </c>
      <c r="K125" s="42">
        <f ca="1">I123*50%</f>
        <v>19</v>
      </c>
    </row>
    <row r="126" spans="1:13" ht="20.25" x14ac:dyDescent="0.3">
      <c r="A126" s="94" t="s">
        <v>126</v>
      </c>
      <c r="B126" s="94"/>
      <c r="C126" s="95">
        <f ca="1">K134</f>
        <v>38</v>
      </c>
      <c r="D126" s="93"/>
      <c r="E126" s="71">
        <f ca="1">((100/I123)*C126)/100</f>
        <v>1</v>
      </c>
      <c r="F126" s="94"/>
      <c r="G126" s="94"/>
      <c r="H126" s="94"/>
      <c r="I126" s="94"/>
      <c r="J126" s="39" t="s">
        <v>147</v>
      </c>
      <c r="K126" s="42">
        <f ca="1">I123</f>
        <v>38</v>
      </c>
    </row>
    <row r="127" spans="1:13" ht="21" customHeight="1" x14ac:dyDescent="0.35">
      <c r="A127" s="94" t="s">
        <v>157</v>
      </c>
      <c r="B127" s="94"/>
      <c r="C127" s="93">
        <v>3</v>
      </c>
      <c r="D127" s="93"/>
      <c r="E127" s="71">
        <f ca="1">((100/(F123+H123+I123))*C127)/100</f>
        <v>7.6923076923076927E-2</v>
      </c>
      <c r="F127" s="94"/>
      <c r="G127" s="94"/>
      <c r="H127" s="94"/>
      <c r="I127" s="94"/>
      <c r="J127" s="39" t="s">
        <v>148</v>
      </c>
      <c r="K127" s="43">
        <f ca="1">(IF(E123&gt;1,(I123/(E123+2)),I123/4))</f>
        <v>9.5</v>
      </c>
    </row>
    <row r="128" spans="1:13" ht="21" customHeight="1" x14ac:dyDescent="0.35">
      <c r="A128" s="94" t="s">
        <v>158</v>
      </c>
      <c r="B128" s="94"/>
      <c r="C128" s="93">
        <v>0</v>
      </c>
      <c r="D128" s="93"/>
      <c r="E128" s="71">
        <f ca="1">((100/I123)*C128)/100</f>
        <v>0</v>
      </c>
      <c r="F128" s="94"/>
      <c r="G128" s="94"/>
      <c r="H128" s="94"/>
      <c r="I128" s="94"/>
      <c r="J128" s="39" t="s">
        <v>149</v>
      </c>
      <c r="K128" s="43">
        <f ca="1">(IF(E123&gt;1,(I123/(E123+2)+K127),I123/4+K127))</f>
        <v>19</v>
      </c>
    </row>
    <row r="129" spans="1:13" ht="21" customHeight="1" x14ac:dyDescent="0.35">
      <c r="A129" s="96" t="s">
        <v>159</v>
      </c>
      <c r="B129" s="97"/>
      <c r="C129" s="93">
        <v>0</v>
      </c>
      <c r="D129" s="93"/>
      <c r="E129" s="71">
        <f ca="1">((100/I123)*C129)/100</f>
        <v>0</v>
      </c>
      <c r="F129" s="94"/>
      <c r="G129" s="94"/>
      <c r="H129" s="94"/>
      <c r="I129" s="94"/>
      <c r="J129" s="39" t="s">
        <v>160</v>
      </c>
      <c r="K129" s="43">
        <f>(IF(E123&gt;1,(I123/(E123+2)+K128),0))</f>
        <v>0</v>
      </c>
    </row>
    <row r="130" spans="1:13" ht="21" customHeight="1" x14ac:dyDescent="0.35">
      <c r="A130" s="96" t="s">
        <v>232</v>
      </c>
      <c r="B130" s="97"/>
      <c r="C130" s="93">
        <v>0</v>
      </c>
      <c r="D130" s="93"/>
      <c r="E130" s="71">
        <f ca="1">((100/I123)*C130)/100</f>
        <v>0</v>
      </c>
      <c r="F130" s="94"/>
      <c r="G130" s="94"/>
      <c r="H130" s="94"/>
      <c r="I130" s="94"/>
      <c r="J130" s="39" t="s">
        <v>161</v>
      </c>
      <c r="K130" s="43">
        <f>(IF(E123&gt;2,(I123/(E123+2)+K129),0))</f>
        <v>0</v>
      </c>
    </row>
    <row r="131" spans="1:13" ht="57.75" customHeight="1" x14ac:dyDescent="0.35">
      <c r="A131" s="96" t="s">
        <v>233</v>
      </c>
      <c r="B131" s="97"/>
      <c r="C131" s="93">
        <v>0</v>
      </c>
      <c r="D131" s="93"/>
      <c r="E131" s="71">
        <f ca="1">((100/(I123))*C131)/100</f>
        <v>0</v>
      </c>
      <c r="F131" s="94"/>
      <c r="G131" s="94"/>
      <c r="H131" s="94"/>
      <c r="I131" s="94"/>
      <c r="J131" s="39" t="s">
        <v>163</v>
      </c>
      <c r="K131" s="44">
        <f>(IF(E123&gt;3,(I123/(E123+2)+K130),0))</f>
        <v>0</v>
      </c>
    </row>
    <row r="132" spans="1:13" ht="21" x14ac:dyDescent="0.35">
      <c r="A132" s="94" t="s">
        <v>162</v>
      </c>
      <c r="B132" s="94"/>
      <c r="C132" s="93">
        <v>0</v>
      </c>
      <c r="D132" s="93"/>
      <c r="E132" s="71">
        <f ca="1">((100/(I123))*C132)/100</f>
        <v>0</v>
      </c>
      <c r="F132" s="94"/>
      <c r="G132" s="94"/>
      <c r="H132" s="94"/>
      <c r="I132" s="94"/>
      <c r="J132" s="39" t="s">
        <v>164</v>
      </c>
      <c r="K132" s="43">
        <f>(IF(E123&gt;4,(I123/(E123+2)+K131),0))</f>
        <v>0</v>
      </c>
    </row>
    <row r="133" spans="1:13" ht="21" customHeight="1" x14ac:dyDescent="0.35">
      <c r="A133" s="94" t="s">
        <v>234</v>
      </c>
      <c r="B133" s="94"/>
      <c r="C133" s="93">
        <v>0</v>
      </c>
      <c r="D133" s="93"/>
      <c r="E133" s="71">
        <f ca="1">((100/I123)*C133)/100</f>
        <v>0</v>
      </c>
      <c r="F133" s="94"/>
      <c r="G133" s="94"/>
      <c r="H133" s="94"/>
      <c r="I133" s="94"/>
      <c r="J133" s="39" t="s">
        <v>150</v>
      </c>
      <c r="K133" s="43">
        <f ca="1">(IF(E123=1,(I123/(E123+3)+K128),IF(E123=0,(I123/4+K128),IF(E123&gt;1,0))))</f>
        <v>28.5</v>
      </c>
    </row>
    <row r="134" spans="1:13" ht="42" customHeight="1" thickBot="1" x14ac:dyDescent="0.4">
      <c r="A134" s="94" t="s">
        <v>235</v>
      </c>
      <c r="B134" s="94"/>
      <c r="C134" s="93">
        <v>0</v>
      </c>
      <c r="D134" s="93"/>
      <c r="E134" s="71">
        <f ca="1">((100/I123)*C134)/100</f>
        <v>0</v>
      </c>
      <c r="F134" s="94"/>
      <c r="G134" s="94"/>
      <c r="H134" s="94"/>
      <c r="I134" s="94"/>
      <c r="J134" s="41" t="s">
        <v>151</v>
      </c>
      <c r="K134" s="45">
        <f ca="1">(IF(E123&gt;1.5,(I123/(E123+2)+K127+MAX(0,K128-K127)+MAX(0,K129-K128)+MAX(0,K130-K129)+MAX(0,K131-K130)+MAX(0,K132-K131)),IF(E123=1,(I123/(E123+3)+K133),IF(E123=0,I123/4+K133))))</f>
        <v>38</v>
      </c>
      <c r="M134" s="1" t="e">
        <f>(IF(D122&gt;1.5,(H122/(D122+2)+J127+MAX(0,J128-J127)+MAX(0,J129-J128)+MAX(0,J130-J129)+MAX(0,J131-J130)+MAX(0,J132-J131)),IF(D122=1,(H122/(D122+3)+J132),IF(D122=0,H122*0.3+J132))))</f>
        <v>#VALUE!</v>
      </c>
    </row>
    <row r="135" spans="1:13" ht="20.25" x14ac:dyDescent="0.25">
      <c r="A135" s="94" t="s">
        <v>165</v>
      </c>
      <c r="B135" s="94"/>
      <c r="C135" s="93">
        <v>0</v>
      </c>
      <c r="D135" s="93"/>
      <c r="E135" s="71">
        <f ca="1">((100/(I123))*C135)/100</f>
        <v>0</v>
      </c>
      <c r="F135" s="94"/>
      <c r="G135" s="94"/>
      <c r="H135" s="94"/>
      <c r="I135" s="94"/>
    </row>
    <row r="136" spans="1:13" ht="21" thickBot="1" x14ac:dyDescent="0.3">
      <c r="A136" s="94" t="s">
        <v>166</v>
      </c>
      <c r="B136" s="94"/>
      <c r="C136" s="93">
        <v>0</v>
      </c>
      <c r="D136" s="93"/>
      <c r="E136" s="71">
        <f ca="1">((100/(I123))*C136)/100</f>
        <v>0</v>
      </c>
      <c r="F136" s="94"/>
      <c r="G136" s="94"/>
      <c r="H136" s="94"/>
      <c r="I136" s="94"/>
    </row>
    <row r="137" spans="1:13" ht="36.75" customHeight="1" thickBot="1" x14ac:dyDescent="0.35">
      <c r="A137" s="103" t="s">
        <v>152</v>
      </c>
      <c r="B137" s="104"/>
      <c r="C137" s="104"/>
      <c r="D137" s="104"/>
      <c r="E137" s="104"/>
      <c r="F137" s="104"/>
      <c r="G137" s="104"/>
      <c r="H137" s="105">
        <f ca="1">AVERAGE(F61,F77,F93,F109,F125)</f>
        <v>0.32932523616734138</v>
      </c>
      <c r="I137" s="106"/>
      <c r="J137" s="39"/>
      <c r="K137" s="40"/>
      <c r="L137" s="40"/>
      <c r="M137" s="40"/>
    </row>
    <row r="138" spans="1:13" ht="20.25" x14ac:dyDescent="0.25">
      <c r="A138" s="114" t="s">
        <v>75</v>
      </c>
      <c r="B138" s="115"/>
      <c r="C138" s="115"/>
      <c r="D138" s="115"/>
      <c r="E138" s="115"/>
      <c r="F138" s="115"/>
      <c r="G138" s="115"/>
      <c r="H138" s="115"/>
      <c r="I138" s="116"/>
    </row>
    <row r="139" spans="1:13" ht="60.75" x14ac:dyDescent="0.25">
      <c r="A139" s="86" t="s">
        <v>76</v>
      </c>
      <c r="B139" s="86"/>
      <c r="C139" s="86"/>
      <c r="D139" s="3" t="s">
        <v>4</v>
      </c>
      <c r="E139" s="15" t="s">
        <v>131</v>
      </c>
      <c r="F139" s="21" t="s">
        <v>167</v>
      </c>
      <c r="G139" s="3" t="s">
        <v>4</v>
      </c>
      <c r="H139" s="117" t="s">
        <v>180</v>
      </c>
      <c r="I139" s="117"/>
    </row>
    <row r="140" spans="1:13" ht="60.75" x14ac:dyDescent="0.25">
      <c r="A140" s="86" t="s">
        <v>211</v>
      </c>
      <c r="B140" s="86"/>
      <c r="C140" s="86"/>
      <c r="D140" s="2" t="s">
        <v>127</v>
      </c>
      <c r="E140" s="18" t="s">
        <v>210</v>
      </c>
      <c r="F140" s="21" t="s">
        <v>178</v>
      </c>
      <c r="G140" s="2" t="s">
        <v>4</v>
      </c>
      <c r="H140" s="100" t="s">
        <v>168</v>
      </c>
      <c r="I140" s="100"/>
    </row>
    <row r="141" spans="1:13" ht="26.25" customHeight="1" x14ac:dyDescent="0.25">
      <c r="A141" s="119" t="s">
        <v>79</v>
      </c>
      <c r="B141" s="119"/>
      <c r="C141" s="119"/>
      <c r="D141" s="3" t="s">
        <v>4</v>
      </c>
      <c r="E141" s="18">
        <v>500000</v>
      </c>
      <c r="F141" s="3" t="s">
        <v>124</v>
      </c>
      <c r="G141" s="3" t="s">
        <v>4</v>
      </c>
      <c r="H141" s="141" t="s">
        <v>132</v>
      </c>
      <c r="I141" s="142"/>
    </row>
    <row r="142" spans="1:13" ht="20.25" hidden="1" x14ac:dyDescent="0.25">
      <c r="A142" s="86" t="s">
        <v>114</v>
      </c>
      <c r="B142" s="86"/>
      <c r="C142" s="86"/>
      <c r="D142" s="2" t="s">
        <v>4</v>
      </c>
      <c r="E142" s="18" t="s">
        <v>115</v>
      </c>
      <c r="F142" s="21" t="s">
        <v>116</v>
      </c>
      <c r="G142" s="2" t="s">
        <v>4</v>
      </c>
      <c r="H142" s="100" t="s">
        <v>97</v>
      </c>
      <c r="I142" s="100"/>
    </row>
    <row r="143" spans="1:13" ht="60.75" hidden="1" x14ac:dyDescent="0.25">
      <c r="A143" s="86" t="s">
        <v>117</v>
      </c>
      <c r="B143" s="86"/>
      <c r="C143" s="86"/>
      <c r="D143" s="2" t="s">
        <v>4</v>
      </c>
      <c r="E143" s="18" t="s">
        <v>118</v>
      </c>
      <c r="F143" s="21" t="s">
        <v>119</v>
      </c>
      <c r="G143" s="2" t="s">
        <v>4</v>
      </c>
      <c r="H143" s="100" t="s">
        <v>120</v>
      </c>
      <c r="I143" s="100"/>
    </row>
    <row r="144" spans="1:13" ht="20.25" hidden="1" x14ac:dyDescent="0.25">
      <c r="A144" s="86" t="s">
        <v>78</v>
      </c>
      <c r="B144" s="86"/>
      <c r="C144" s="86"/>
      <c r="D144" s="2" t="s">
        <v>4</v>
      </c>
      <c r="E144" s="18" t="s">
        <v>99</v>
      </c>
      <c r="F144" s="21" t="s">
        <v>77</v>
      </c>
      <c r="G144" s="2" t="s">
        <v>4</v>
      </c>
      <c r="H144" s="98" t="s">
        <v>99</v>
      </c>
      <c r="I144" s="99"/>
    </row>
    <row r="145" spans="1:152 16228:16384" ht="20.25" hidden="1" x14ac:dyDescent="0.25">
      <c r="A145" s="86" t="s">
        <v>121</v>
      </c>
      <c r="B145" s="86"/>
      <c r="C145" s="86"/>
      <c r="D145" s="2" t="s">
        <v>4</v>
      </c>
      <c r="E145" s="18" t="s">
        <v>98</v>
      </c>
      <c r="F145" s="21" t="s">
        <v>79</v>
      </c>
      <c r="G145" s="2" t="s">
        <v>4</v>
      </c>
      <c r="H145" s="100" t="s">
        <v>113</v>
      </c>
      <c r="I145" s="100"/>
    </row>
    <row r="146" spans="1:152 16228:16384" ht="20.25" hidden="1" x14ac:dyDescent="0.25">
      <c r="A146" s="86" t="s">
        <v>122</v>
      </c>
      <c r="B146" s="86"/>
      <c r="C146" s="86"/>
      <c r="D146" s="2" t="s">
        <v>4</v>
      </c>
      <c r="E146" s="19" t="s">
        <v>106</v>
      </c>
      <c r="F146" s="21" t="s">
        <v>123</v>
      </c>
      <c r="G146" s="2" t="s">
        <v>4</v>
      </c>
      <c r="H146" s="118" t="s">
        <v>106</v>
      </c>
      <c r="I146" s="118"/>
    </row>
    <row r="147" spans="1:152 16228:16384" ht="18" hidden="1" customHeight="1" x14ac:dyDescent="0.25">
      <c r="A147" s="119" t="s">
        <v>124</v>
      </c>
      <c r="B147" s="119"/>
      <c r="C147" s="119"/>
      <c r="D147" s="3" t="s">
        <v>4</v>
      </c>
      <c r="E147" s="10"/>
      <c r="F147" s="3" t="s">
        <v>124</v>
      </c>
      <c r="G147" s="3" t="s">
        <v>4</v>
      </c>
      <c r="H147" s="120" t="s">
        <v>106</v>
      </c>
      <c r="I147" s="121"/>
    </row>
    <row r="148" spans="1:152 16228:16384" ht="20.25" x14ac:dyDescent="0.25">
      <c r="A148" s="132" t="s">
        <v>74</v>
      </c>
      <c r="B148" s="133"/>
      <c r="C148" s="133"/>
      <c r="D148" s="133"/>
      <c r="E148" s="133"/>
      <c r="F148" s="133"/>
      <c r="G148" s="133"/>
      <c r="H148" s="133"/>
      <c r="I148" s="134"/>
    </row>
    <row r="149" spans="1:152 16228:16384" ht="20.25" x14ac:dyDescent="0.25">
      <c r="A149" s="82" t="s">
        <v>9</v>
      </c>
      <c r="B149" s="83"/>
      <c r="C149" s="83"/>
      <c r="D149" s="83"/>
      <c r="E149" s="83"/>
      <c r="F149" s="84"/>
      <c r="G149" s="2" t="s">
        <v>4</v>
      </c>
      <c r="H149" s="149">
        <v>4750</v>
      </c>
      <c r="I149" s="150"/>
    </row>
    <row r="150" spans="1:152 16228:16384" ht="20.25" x14ac:dyDescent="0.25">
      <c r="A150" s="82" t="s">
        <v>31</v>
      </c>
      <c r="B150" s="83"/>
      <c r="C150" s="83"/>
      <c r="D150" s="83"/>
      <c r="E150" s="83"/>
      <c r="F150" s="84"/>
      <c r="G150" s="2" t="s">
        <v>4</v>
      </c>
      <c r="H150" s="85">
        <v>5267.5</v>
      </c>
      <c r="I150" s="85"/>
    </row>
    <row r="151" spans="1:152 16228:16384" ht="20.25" x14ac:dyDescent="0.25">
      <c r="A151" s="82" t="s">
        <v>133</v>
      </c>
      <c r="B151" s="83"/>
      <c r="C151" s="83"/>
      <c r="D151" s="83"/>
      <c r="E151" s="83"/>
      <c r="F151" s="84"/>
      <c r="G151" s="2" t="s">
        <v>4</v>
      </c>
      <c r="H151" s="85">
        <f>H149*0.8</f>
        <v>3800</v>
      </c>
      <c r="I151" s="85"/>
    </row>
    <row r="152" spans="1:152 16228:16384" ht="20.25" x14ac:dyDescent="0.25">
      <c r="A152" s="175" t="s">
        <v>83</v>
      </c>
      <c r="B152" s="176"/>
      <c r="C152" s="176"/>
      <c r="D152" s="176"/>
      <c r="E152" s="176"/>
      <c r="F152" s="176"/>
      <c r="G152" s="176"/>
      <c r="H152" s="176"/>
      <c r="I152" s="124"/>
    </row>
    <row r="153" spans="1:152 16228:16384" s="11" customFormat="1" ht="40.5" x14ac:dyDescent="0.25">
      <c r="A153" s="80" t="s">
        <v>174</v>
      </c>
      <c r="B153" s="81"/>
      <c r="C153" s="80" t="s">
        <v>175</v>
      </c>
      <c r="D153" s="81"/>
      <c r="E153" s="48" t="s">
        <v>176</v>
      </c>
      <c r="F153" s="80" t="s">
        <v>173</v>
      </c>
      <c r="G153" s="81"/>
      <c r="H153" s="80" t="s">
        <v>213</v>
      </c>
      <c r="I153" s="8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2 16228:16384" s="11" customFormat="1" ht="20.25" x14ac:dyDescent="0.25">
      <c r="A154" s="87" t="s">
        <v>199</v>
      </c>
      <c r="B154" s="88"/>
      <c r="C154" s="87" t="s">
        <v>106</v>
      </c>
      <c r="D154" s="88"/>
      <c r="E154" s="49" t="s">
        <v>212</v>
      </c>
      <c r="F154" s="87">
        <f>COUNT(E168:E175)*29+COUNT(E177:E181,E183:E184)*7</f>
        <v>281</v>
      </c>
      <c r="G154" s="88"/>
      <c r="H154" s="87">
        <f>SUM(I168:I175)*29+SUM(I177:I181,I183:I184)*7</f>
        <v>154851.21615599998</v>
      </c>
      <c r="I154" s="88"/>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2 16228:16384" s="11" customFormat="1" ht="20.25" x14ac:dyDescent="0.25">
      <c r="A155" s="87" t="s">
        <v>216</v>
      </c>
      <c r="B155" s="88"/>
      <c r="C155" s="87" t="s">
        <v>106</v>
      </c>
      <c r="D155" s="88"/>
      <c r="E155" s="49" t="s">
        <v>212</v>
      </c>
      <c r="F155" s="87">
        <f>COUNT(I190:I197)*29+COUNT(I199:I202,I204:I206)*7</f>
        <v>281</v>
      </c>
      <c r="G155" s="88"/>
      <c r="H155" s="87">
        <f>SUM(I190:I197)*29+SUM(I199:I202,I204:I206)*7</f>
        <v>218800.064808</v>
      </c>
      <c r="I155" s="88"/>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2 16228:16384" s="11" customFormat="1" ht="20.25" x14ac:dyDescent="0.25">
      <c r="A156" s="87" t="s">
        <v>225</v>
      </c>
      <c r="B156" s="88"/>
      <c r="C156" s="87" t="s">
        <v>106</v>
      </c>
      <c r="D156" s="88"/>
      <c r="E156" s="49" t="s">
        <v>212</v>
      </c>
      <c r="F156" s="87">
        <f>COUNT(I212:I215)*29+COUNT(I217,I219:I221)*7</f>
        <v>144</v>
      </c>
      <c r="G156" s="88"/>
      <c r="H156" s="87">
        <f>SUM(I212:I215)*29+SUM(I217,I219:I221)*7</f>
        <v>190881.56412</v>
      </c>
      <c r="I156" s="88"/>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2 16228:16384" s="11" customFormat="1" ht="20.25" x14ac:dyDescent="0.25">
      <c r="A157" s="87" t="s">
        <v>260</v>
      </c>
      <c r="B157" s="88"/>
      <c r="C157" s="87" t="s">
        <v>106</v>
      </c>
      <c r="D157" s="88"/>
      <c r="E157" s="49" t="s">
        <v>212</v>
      </c>
      <c r="F157" s="87">
        <f>COUNT(E227:E234)*29+COUNT(E236:E243)*7</f>
        <v>288</v>
      </c>
      <c r="G157" s="88"/>
      <c r="H157" s="87">
        <f>SUM(I227:I234)*29+SUM(I236:I243)*7</f>
        <v>209947.72967999996</v>
      </c>
      <c r="I157" s="88"/>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2 16228:16384" s="11" customFormat="1" ht="20.25" x14ac:dyDescent="0.25">
      <c r="A158" s="87" t="s">
        <v>258</v>
      </c>
      <c r="B158" s="88"/>
      <c r="C158" s="87" t="s">
        <v>106</v>
      </c>
      <c r="D158" s="88"/>
      <c r="E158" s="49" t="s">
        <v>212</v>
      </c>
      <c r="F158" s="87">
        <f>COUNT(E249:E254)*29+COUNT(E256,E258:E261)*7</f>
        <v>209</v>
      </c>
      <c r="G158" s="88"/>
      <c r="H158" s="87">
        <f>SUM(I249:I254)*29+SUM(I256,I258:I261)*7</f>
        <v>179431.391412</v>
      </c>
      <c r="I158" s="88"/>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2 16228:16384" s="11" customFormat="1" ht="20.25" x14ac:dyDescent="0.25">
      <c r="A159" s="80" t="s">
        <v>177</v>
      </c>
      <c r="B159" s="81"/>
      <c r="C159" s="80"/>
      <c r="D159" s="81"/>
      <c r="E159" s="48"/>
      <c r="F159" s="80">
        <f>SUM(F154:G158)</f>
        <v>1203</v>
      </c>
      <c r="G159" s="81"/>
      <c r="H159" s="80">
        <f>SUM(H154:I158)</f>
        <v>953911.96617599996</v>
      </c>
      <c r="I159" s="8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2 16228:16384" ht="20.25" x14ac:dyDescent="0.25">
      <c r="A160" s="122" t="s">
        <v>172</v>
      </c>
      <c r="B160" s="123"/>
      <c r="C160" s="123"/>
      <c r="D160" s="123"/>
      <c r="E160" s="123"/>
      <c r="F160" s="123"/>
      <c r="G160" s="123"/>
      <c r="H160" s="123"/>
      <c r="I160" s="124"/>
    </row>
    <row r="161" spans="1:152 16228:16384" ht="44.25" customHeight="1" x14ac:dyDescent="0.25">
      <c r="A161" s="177" t="s">
        <v>101</v>
      </c>
      <c r="B161" s="177"/>
      <c r="C161" s="177" t="s">
        <v>100</v>
      </c>
      <c r="D161" s="177"/>
      <c r="E161" s="177" t="s">
        <v>203</v>
      </c>
      <c r="F161" s="177" t="s">
        <v>201</v>
      </c>
      <c r="G161" s="177"/>
      <c r="H161" s="177" t="s">
        <v>202</v>
      </c>
      <c r="I161" s="51" t="s">
        <v>102</v>
      </c>
    </row>
    <row r="162" spans="1:152 16228:16384" s="11" customFormat="1" ht="20.25" hidden="1" customHeight="1" x14ac:dyDescent="0.25">
      <c r="A162" s="177"/>
      <c r="B162" s="177"/>
      <c r="C162" s="177"/>
      <c r="D162" s="177"/>
      <c r="E162" s="177"/>
      <c r="F162" s="177"/>
      <c r="G162" s="177"/>
      <c r="H162" s="177"/>
      <c r="I162" s="55">
        <v>0.5</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2 16228:16384" s="11" customFormat="1" ht="20.25" x14ac:dyDescent="0.25">
      <c r="A163" s="77" t="s">
        <v>214</v>
      </c>
      <c r="B163" s="78"/>
      <c r="C163" s="78"/>
      <c r="D163" s="78"/>
      <c r="E163" s="78"/>
      <c r="F163" s="78"/>
      <c r="G163" s="78"/>
      <c r="H163" s="78"/>
      <c r="I163" s="79"/>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2 16228:16384" s="11" customFormat="1" ht="20.25" x14ac:dyDescent="0.25">
      <c r="A164" s="77" t="s">
        <v>204</v>
      </c>
      <c r="B164" s="78"/>
      <c r="C164" s="78"/>
      <c r="D164" s="78"/>
      <c r="E164" s="78"/>
      <c r="F164" s="78"/>
      <c r="G164" s="78"/>
      <c r="H164" s="78"/>
      <c r="I164" s="79"/>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2 16228:16384" s="11" customFormat="1" ht="20.25" x14ac:dyDescent="0.25">
      <c r="A165" s="77" t="s">
        <v>205</v>
      </c>
      <c r="B165" s="78"/>
      <c r="C165" s="78"/>
      <c r="D165" s="78"/>
      <c r="E165" s="78"/>
      <c r="F165" s="78"/>
      <c r="G165" s="78"/>
      <c r="H165" s="78"/>
      <c r="I165" s="79"/>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2 16228:16384" s="11" customFormat="1" ht="20.25" x14ac:dyDescent="0.25">
      <c r="A166" s="77" t="s">
        <v>206</v>
      </c>
      <c r="B166" s="78"/>
      <c r="C166" s="78"/>
      <c r="D166" s="78"/>
      <c r="E166" s="78"/>
      <c r="F166" s="78"/>
      <c r="G166" s="78"/>
      <c r="H166" s="78"/>
      <c r="I166" s="79"/>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2 16228:16384" s="11" customFormat="1" ht="51.75" customHeight="1" x14ac:dyDescent="0.25">
      <c r="A167" s="77" t="s">
        <v>243</v>
      </c>
      <c r="B167" s="78"/>
      <c r="C167" s="78"/>
      <c r="D167" s="78"/>
      <c r="E167" s="78"/>
      <c r="F167" s="78"/>
      <c r="G167" s="78"/>
      <c r="H167" s="78"/>
      <c r="I167" s="79"/>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2 16228:16384" s="11" customFormat="1" ht="20.25" x14ac:dyDescent="0.25">
      <c r="A168" s="73" t="s">
        <v>207</v>
      </c>
      <c r="B168" s="73"/>
      <c r="C168" s="73">
        <v>1</v>
      </c>
      <c r="D168" s="73"/>
      <c r="E168" s="20">
        <f>(52.602)*(10.764)</f>
        <v>566.20792799999992</v>
      </c>
      <c r="F168" s="74">
        <f>(2.422)*(10.764)</f>
        <v>26.070408</v>
      </c>
      <c r="G168" s="75"/>
      <c r="H168" s="20">
        <f>(1.877)*(10.764)</f>
        <v>20.204027999999997</v>
      </c>
      <c r="I168" s="20">
        <f>SUM(E168:H168)</f>
        <v>612.48236399999996</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2 16228:16384" s="11" customFormat="1" ht="20.25" x14ac:dyDescent="0.25">
      <c r="A169" s="73" t="s">
        <v>207</v>
      </c>
      <c r="B169" s="73"/>
      <c r="C169" s="73">
        <f>C168+1</f>
        <v>2</v>
      </c>
      <c r="D169" s="73"/>
      <c r="E169" s="56">
        <f>(52.602)*(10.764)</f>
        <v>566.20792799999992</v>
      </c>
      <c r="F169" s="74">
        <f>(2.422)*(10.764)</f>
        <v>26.070408</v>
      </c>
      <c r="G169" s="75"/>
      <c r="H169" s="56">
        <f>(1.877)*(10.764)</f>
        <v>20.204027999999997</v>
      </c>
      <c r="I169" s="50">
        <f t="shared" ref="I169:I175" si="0">SUM(E169:H169)</f>
        <v>612.48236399999996</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2 16228:16384" s="11" customFormat="1" ht="20.25" x14ac:dyDescent="0.25">
      <c r="A170" s="73" t="s">
        <v>215</v>
      </c>
      <c r="B170" s="73"/>
      <c r="C170" s="73">
        <f t="shared" ref="C170:C175" si="1">C169+1</f>
        <v>3</v>
      </c>
      <c r="D170" s="73"/>
      <c r="E170" s="20">
        <f>(41.939)*(10.764)</f>
        <v>451.43139599999995</v>
      </c>
      <c r="F170" s="74">
        <f>(2.081)*(10.764)</f>
        <v>22.399883999999997</v>
      </c>
      <c r="G170" s="75"/>
      <c r="H170" s="20">
        <f>(1.748)*(10.764)</f>
        <v>18.815472</v>
      </c>
      <c r="I170" s="50">
        <f t="shared" si="0"/>
        <v>492.64675199999994</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2 16228:16384" s="11" customFormat="1" ht="20.25" customHeight="1" x14ac:dyDescent="0.25">
      <c r="A171" s="73" t="s">
        <v>215</v>
      </c>
      <c r="B171" s="73"/>
      <c r="C171" s="73">
        <f t="shared" si="1"/>
        <v>4</v>
      </c>
      <c r="D171" s="73"/>
      <c r="E171" s="56">
        <f>(41.939)*(10.764)</f>
        <v>451.43139599999995</v>
      </c>
      <c r="F171" s="74">
        <f>(2.081)*(10.764)</f>
        <v>22.399883999999997</v>
      </c>
      <c r="G171" s="75"/>
      <c r="H171" s="56">
        <f>(1.748)*(10.764)</f>
        <v>18.815472</v>
      </c>
      <c r="I171" s="50">
        <f t="shared" si="0"/>
        <v>492.64675199999994</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2 16228:16384" s="11" customFormat="1" ht="20.25" customHeight="1" x14ac:dyDescent="0.25">
      <c r="A172" s="73" t="s">
        <v>207</v>
      </c>
      <c r="B172" s="73"/>
      <c r="C172" s="73">
        <f t="shared" si="1"/>
        <v>5</v>
      </c>
      <c r="D172" s="73"/>
      <c r="E172" s="56">
        <f t="shared" ref="E172:E173" si="2">(52.602)*(10.764)</f>
        <v>566.20792799999992</v>
      </c>
      <c r="F172" s="74">
        <f t="shared" ref="F172:F173" si="3">(2.422)*(10.764)</f>
        <v>26.070408</v>
      </c>
      <c r="G172" s="75"/>
      <c r="H172" s="56">
        <f t="shared" ref="H172:H173" si="4">(1.877)*(10.764)</f>
        <v>20.204027999999997</v>
      </c>
      <c r="I172" s="50">
        <f t="shared" si="0"/>
        <v>612.48236399999996</v>
      </c>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2 16228:16384" s="11" customFormat="1" ht="20.25" customHeight="1" x14ac:dyDescent="0.25">
      <c r="A173" s="73" t="s">
        <v>207</v>
      </c>
      <c r="B173" s="73"/>
      <c r="C173" s="73">
        <f t="shared" si="1"/>
        <v>6</v>
      </c>
      <c r="D173" s="73"/>
      <c r="E173" s="56">
        <f t="shared" si="2"/>
        <v>566.20792799999992</v>
      </c>
      <c r="F173" s="74">
        <f t="shared" si="3"/>
        <v>26.070408</v>
      </c>
      <c r="G173" s="75"/>
      <c r="H173" s="56">
        <f t="shared" si="4"/>
        <v>20.204027999999997</v>
      </c>
      <c r="I173" s="50">
        <f t="shared" si="0"/>
        <v>612.48236399999996</v>
      </c>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2 16228:16384" s="11" customFormat="1" ht="20.25" customHeight="1" x14ac:dyDescent="0.25">
      <c r="A174" s="73" t="s">
        <v>215</v>
      </c>
      <c r="B174" s="73"/>
      <c r="C174" s="73">
        <f t="shared" si="1"/>
        <v>7</v>
      </c>
      <c r="D174" s="73"/>
      <c r="E174" s="56">
        <f t="shared" ref="E174:E175" si="5">(41.939)*(10.764)</f>
        <v>451.43139599999995</v>
      </c>
      <c r="F174" s="74">
        <f t="shared" ref="F174:F175" si="6">(2.081)*(10.764)</f>
        <v>22.399883999999997</v>
      </c>
      <c r="G174" s="75"/>
      <c r="H174" s="56">
        <f t="shared" ref="H174:H175" si="7">(1.748)*(10.764)</f>
        <v>18.815472</v>
      </c>
      <c r="I174" s="50">
        <f t="shared" si="0"/>
        <v>492.64675199999994</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2 16228:16384" s="11" customFormat="1" ht="20.25" customHeight="1" x14ac:dyDescent="0.25">
      <c r="A175" s="73" t="s">
        <v>215</v>
      </c>
      <c r="B175" s="73"/>
      <c r="C175" s="73">
        <f t="shared" si="1"/>
        <v>8</v>
      </c>
      <c r="D175" s="73"/>
      <c r="E175" s="56">
        <f t="shared" si="5"/>
        <v>451.43139599999995</v>
      </c>
      <c r="F175" s="74">
        <f t="shared" si="6"/>
        <v>22.399883999999997</v>
      </c>
      <c r="G175" s="75"/>
      <c r="H175" s="56">
        <f t="shared" si="7"/>
        <v>18.815472</v>
      </c>
      <c r="I175" s="50">
        <f t="shared" si="0"/>
        <v>492.64675199999994</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2 16228:16384" s="11" customFormat="1" ht="20.25" x14ac:dyDescent="0.25">
      <c r="A176" s="77" t="s">
        <v>208</v>
      </c>
      <c r="B176" s="78"/>
      <c r="C176" s="78"/>
      <c r="D176" s="78"/>
      <c r="E176" s="78"/>
      <c r="F176" s="78"/>
      <c r="G176" s="78"/>
      <c r="H176" s="78"/>
      <c r="I176" s="79"/>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2 16228:16384" s="11" customFormat="1" ht="20.25" x14ac:dyDescent="0.25">
      <c r="A177" s="73" t="s">
        <v>207</v>
      </c>
      <c r="B177" s="73"/>
      <c r="C177" s="73">
        <v>1</v>
      </c>
      <c r="D177" s="73"/>
      <c r="E177" s="56">
        <f t="shared" ref="E177:E178" si="8">(52.602)*(10.764)</f>
        <v>566.20792799999992</v>
      </c>
      <c r="F177" s="74">
        <f t="shared" ref="F177:F178" si="9">(2.422)*(10.764)</f>
        <v>26.070408</v>
      </c>
      <c r="G177" s="75"/>
      <c r="H177" s="56">
        <f t="shared" ref="H177:H178" si="10">(1.877)*(10.764)</f>
        <v>20.204027999999997</v>
      </c>
      <c r="I177" s="54">
        <f>SUM(E177:H177)</f>
        <v>612.48236399999996</v>
      </c>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2 16228:16384" s="11" customFormat="1" ht="20.25" x14ac:dyDescent="0.25">
      <c r="A178" s="73" t="s">
        <v>207</v>
      </c>
      <c r="B178" s="73"/>
      <c r="C178" s="73">
        <f>C177+1</f>
        <v>2</v>
      </c>
      <c r="D178" s="73"/>
      <c r="E178" s="56">
        <f t="shared" si="8"/>
        <v>566.20792799999992</v>
      </c>
      <c r="F178" s="74">
        <f t="shared" si="9"/>
        <v>26.070408</v>
      </c>
      <c r="G178" s="75"/>
      <c r="H178" s="56">
        <f t="shared" si="10"/>
        <v>20.204027999999997</v>
      </c>
      <c r="I178" s="54">
        <f t="shared" ref="I178:I184" si="11">SUM(E178:H178)</f>
        <v>612.48236399999996</v>
      </c>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2 16228:16384" s="11" customFormat="1" ht="20.25" x14ac:dyDescent="0.25">
      <c r="A179" s="73" t="s">
        <v>215</v>
      </c>
      <c r="B179" s="73"/>
      <c r="C179" s="73">
        <f t="shared" ref="C179:C184" si="12">C178+1</f>
        <v>3</v>
      </c>
      <c r="D179" s="73"/>
      <c r="E179" s="56">
        <f t="shared" ref="E179:E180" si="13">(41.939)*(10.764)</f>
        <v>451.43139599999995</v>
      </c>
      <c r="F179" s="74">
        <f t="shared" ref="F179:F180" si="14">(2.081)*(10.764)</f>
        <v>22.399883999999997</v>
      </c>
      <c r="G179" s="75"/>
      <c r="H179" s="56">
        <f t="shared" ref="H179:H180" si="15">(1.748)*(10.764)</f>
        <v>18.815472</v>
      </c>
      <c r="I179" s="54">
        <f t="shared" si="11"/>
        <v>492.64675199999994</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2 16228:16384" s="11" customFormat="1" ht="20.25" customHeight="1" x14ac:dyDescent="0.25">
      <c r="A180" s="73" t="s">
        <v>215</v>
      </c>
      <c r="B180" s="73"/>
      <c r="C180" s="73">
        <f t="shared" si="12"/>
        <v>4</v>
      </c>
      <c r="D180" s="73"/>
      <c r="E180" s="56">
        <f t="shared" si="13"/>
        <v>451.43139599999995</v>
      </c>
      <c r="F180" s="74">
        <f t="shared" si="14"/>
        <v>22.399883999999997</v>
      </c>
      <c r="G180" s="75"/>
      <c r="H180" s="56">
        <f t="shared" si="15"/>
        <v>18.815472</v>
      </c>
      <c r="I180" s="54">
        <f t="shared" si="11"/>
        <v>492.64675199999994</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2 16228:16384" s="11" customFormat="1" ht="20.25" customHeight="1" x14ac:dyDescent="0.25">
      <c r="A181" s="73" t="s">
        <v>207</v>
      </c>
      <c r="B181" s="73"/>
      <c r="C181" s="73">
        <f t="shared" si="12"/>
        <v>5</v>
      </c>
      <c r="D181" s="73"/>
      <c r="E181" s="56">
        <f t="shared" ref="E181" si="16">(52.602)*(10.764)</f>
        <v>566.20792799999992</v>
      </c>
      <c r="F181" s="74">
        <f t="shared" ref="F181" si="17">(2.422)*(10.764)</f>
        <v>26.070408</v>
      </c>
      <c r="G181" s="75"/>
      <c r="H181" s="56">
        <f t="shared" ref="H181" si="18">(1.877)*(10.764)</f>
        <v>20.204027999999997</v>
      </c>
      <c r="I181" s="56">
        <f t="shared" si="11"/>
        <v>612.48236399999996</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2 16228:16384" s="11" customFormat="1" ht="20.25" customHeight="1" x14ac:dyDescent="0.25">
      <c r="A182" s="73" t="s">
        <v>207</v>
      </c>
      <c r="B182" s="73"/>
      <c r="C182" s="73">
        <f t="shared" si="12"/>
        <v>6</v>
      </c>
      <c r="D182" s="73"/>
      <c r="E182" s="74" t="s">
        <v>209</v>
      </c>
      <c r="F182" s="76"/>
      <c r="G182" s="76"/>
      <c r="H182" s="76"/>
      <c r="I182" s="75"/>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2 16228:16384" s="11" customFormat="1" ht="20.25" customHeight="1" x14ac:dyDescent="0.25">
      <c r="A183" s="73" t="s">
        <v>215</v>
      </c>
      <c r="B183" s="73"/>
      <c r="C183" s="73">
        <f t="shared" si="12"/>
        <v>7</v>
      </c>
      <c r="D183" s="73"/>
      <c r="E183" s="56">
        <f t="shared" ref="E183:E184" si="19">(41.939)*(10.764)</f>
        <v>451.43139599999995</v>
      </c>
      <c r="F183" s="74">
        <f t="shared" ref="F183:F184" si="20">(2.081)*(10.764)</f>
        <v>22.399883999999997</v>
      </c>
      <c r="G183" s="75"/>
      <c r="H183" s="56">
        <f t="shared" ref="H183:H184" si="21">(1.748)*(10.764)</f>
        <v>18.815472</v>
      </c>
      <c r="I183" s="54">
        <f t="shared" si="11"/>
        <v>492.64675199999994</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2 16228:16384" s="11" customFormat="1" ht="20.25" customHeight="1" x14ac:dyDescent="0.25">
      <c r="A184" s="73" t="s">
        <v>215</v>
      </c>
      <c r="B184" s="73"/>
      <c r="C184" s="73">
        <f t="shared" si="12"/>
        <v>8</v>
      </c>
      <c r="D184" s="73"/>
      <c r="E184" s="56">
        <f t="shared" si="19"/>
        <v>451.43139599999995</v>
      </c>
      <c r="F184" s="74">
        <f t="shared" si="20"/>
        <v>22.399883999999997</v>
      </c>
      <c r="G184" s="75"/>
      <c r="H184" s="56">
        <f t="shared" si="21"/>
        <v>18.815472</v>
      </c>
      <c r="I184" s="54">
        <f t="shared" si="11"/>
        <v>492.64675199999994</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2 16228:16384" s="11" customFormat="1" ht="20.25" x14ac:dyDescent="0.25">
      <c r="A185" s="77" t="s">
        <v>217</v>
      </c>
      <c r="B185" s="78"/>
      <c r="C185" s="78"/>
      <c r="D185" s="78"/>
      <c r="E185" s="78"/>
      <c r="F185" s="78"/>
      <c r="G185" s="78"/>
      <c r="H185" s="78"/>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2 16228:16384" s="11" customFormat="1" ht="20.25" x14ac:dyDescent="0.25">
      <c r="A186" s="77" t="s">
        <v>204</v>
      </c>
      <c r="B186" s="78"/>
      <c r="C186" s="78"/>
      <c r="D186" s="78"/>
      <c r="E186" s="78"/>
      <c r="F186" s="78"/>
      <c r="G186" s="78"/>
      <c r="H186" s="78"/>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2 16228:16384" s="11" customFormat="1" ht="20.25" x14ac:dyDescent="0.25">
      <c r="A187" s="77" t="s">
        <v>205</v>
      </c>
      <c r="B187" s="78"/>
      <c r="C187" s="78"/>
      <c r="D187" s="78"/>
      <c r="E187" s="78"/>
      <c r="F187" s="78"/>
      <c r="G187" s="78"/>
      <c r="H187" s="78"/>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2 16228:16384" s="11" customFormat="1" ht="20.25" x14ac:dyDescent="0.25">
      <c r="A188" s="77" t="s">
        <v>206</v>
      </c>
      <c r="B188" s="78"/>
      <c r="C188" s="78"/>
      <c r="D188" s="78"/>
      <c r="E188" s="78"/>
      <c r="F188" s="78"/>
      <c r="G188" s="78"/>
      <c r="H188" s="78"/>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2 16228:16384" s="11" customFormat="1" ht="51.75" customHeight="1" x14ac:dyDescent="0.25">
      <c r="A189" s="77" t="s">
        <v>243</v>
      </c>
      <c r="B189" s="78"/>
      <c r="C189" s="78"/>
      <c r="D189" s="78"/>
      <c r="E189" s="78"/>
      <c r="F189" s="78"/>
      <c r="G189" s="78"/>
      <c r="H189" s="78"/>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2 16228:16384" s="11" customFormat="1" ht="20.25" x14ac:dyDescent="0.25">
      <c r="A190" s="73" t="s">
        <v>207</v>
      </c>
      <c r="B190" s="73"/>
      <c r="C190" s="73">
        <v>1</v>
      </c>
      <c r="D190" s="73"/>
      <c r="E190" s="57">
        <f>(64.949)*(10.764)</f>
        <v>699.1110359999999</v>
      </c>
      <c r="F190" s="74">
        <f>(5.171)*(10.764)</f>
        <v>55.660643999999998</v>
      </c>
      <c r="G190" s="75"/>
      <c r="H190" s="57">
        <f>(2.006)*(10.764)</f>
        <v>21.592583999999995</v>
      </c>
      <c r="I190" s="57">
        <f>SUM(E190:H190)</f>
        <v>776.36426399999993</v>
      </c>
      <c r="J190" s="57">
        <f>(64.949)*(10.764)</f>
        <v>699.1110359999999</v>
      </c>
      <c r="K190" s="74">
        <f>(5.171)*(10.764)</f>
        <v>55.660643999999998</v>
      </c>
      <c r="L190" s="75"/>
      <c r="M190" s="57">
        <f>(2.006)*(10.764)</f>
        <v>21.592583999999995</v>
      </c>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2 16228:16384" s="11" customFormat="1" ht="20.25" x14ac:dyDescent="0.25">
      <c r="A191" s="73" t="s">
        <v>207</v>
      </c>
      <c r="B191" s="73"/>
      <c r="C191" s="73">
        <f>C190+1</f>
        <v>2</v>
      </c>
      <c r="D191" s="73"/>
      <c r="E191" s="57">
        <f>(64.949)*(10.764)</f>
        <v>699.1110359999999</v>
      </c>
      <c r="F191" s="74">
        <f>(5.171)*(10.764)</f>
        <v>55.660643999999998</v>
      </c>
      <c r="G191" s="75"/>
      <c r="H191" s="57">
        <f>(2.006)*(10.764)</f>
        <v>21.592583999999995</v>
      </c>
      <c r="I191" s="57">
        <f t="shared" ref="I191:I197" si="22">SUM(E191:H191)</f>
        <v>776.36426399999993</v>
      </c>
      <c r="J191" s="57">
        <f>(64.949)*(10.764)</f>
        <v>699.1110359999999</v>
      </c>
      <c r="K191" s="74">
        <f>(5.171)*(10.764)</f>
        <v>55.660643999999998</v>
      </c>
      <c r="L191" s="75"/>
      <c r="M191" s="57">
        <f>(2.006)*(10.764)</f>
        <v>21.592583999999995</v>
      </c>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2 16228:16384" s="11" customFormat="1" ht="20.25" x14ac:dyDescent="0.25">
      <c r="A192" s="73" t="s">
        <v>207</v>
      </c>
      <c r="B192" s="73"/>
      <c r="C192" s="73">
        <f t="shared" ref="C192:C197" si="23">C191+1</f>
        <v>3</v>
      </c>
      <c r="D192" s="73"/>
      <c r="E192" s="57">
        <f>(65.788)*(10.764)</f>
        <v>708.14203199999997</v>
      </c>
      <c r="F192" s="74">
        <f>(4.851)*(10.764)</f>
        <v>52.216163999999999</v>
      </c>
      <c r="G192" s="75"/>
      <c r="H192" s="57">
        <f>(1.901)*(10.764)</f>
        <v>20.462363999999997</v>
      </c>
      <c r="I192" s="57">
        <f t="shared" si="22"/>
        <v>780.82056</v>
      </c>
      <c r="J192" s="57">
        <f>(65.788)*(10.764)</f>
        <v>708.14203199999997</v>
      </c>
      <c r="K192" s="74">
        <f>(4.851)*(10.764)</f>
        <v>52.216163999999999</v>
      </c>
      <c r="L192" s="75"/>
      <c r="M192" s="57">
        <f>(1.901)*(10.764)</f>
        <v>20.462363999999997</v>
      </c>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2 16228:16384" s="11" customFormat="1" ht="20.25" customHeight="1" x14ac:dyDescent="0.25">
      <c r="A193" s="73" t="s">
        <v>207</v>
      </c>
      <c r="B193" s="73"/>
      <c r="C193" s="73">
        <f t="shared" si="23"/>
        <v>4</v>
      </c>
      <c r="D193" s="73"/>
      <c r="E193" s="57">
        <f>(65.788)*(10.764)</f>
        <v>708.14203199999997</v>
      </c>
      <c r="F193" s="74">
        <f>(4.851)*(10.764)</f>
        <v>52.216163999999999</v>
      </c>
      <c r="G193" s="75"/>
      <c r="H193" s="57">
        <f>(1.901)*(10.764)</f>
        <v>20.462363999999997</v>
      </c>
      <c r="I193" s="57">
        <f t="shared" si="22"/>
        <v>780.82056</v>
      </c>
      <c r="J193" s="57">
        <f>(65.788)*(10.764)</f>
        <v>708.14203199999997</v>
      </c>
      <c r="K193" s="74">
        <f>(4.851)*(10.764)</f>
        <v>52.216163999999999</v>
      </c>
      <c r="L193" s="75"/>
      <c r="M193" s="57">
        <f>(1.901)*(10.764)</f>
        <v>20.462363999999997</v>
      </c>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2 16228:16384" s="11" customFormat="1" ht="20.25" customHeight="1" x14ac:dyDescent="0.25">
      <c r="A194" s="73" t="s">
        <v>207</v>
      </c>
      <c r="B194" s="73"/>
      <c r="C194" s="73">
        <f t="shared" si="23"/>
        <v>5</v>
      </c>
      <c r="D194" s="73"/>
      <c r="E194" s="57">
        <f>(64.949)*(10.764)</f>
        <v>699.1110359999999</v>
      </c>
      <c r="F194" s="74">
        <f>(5.171)*(10.764)</f>
        <v>55.660643999999998</v>
      </c>
      <c r="G194" s="75"/>
      <c r="H194" s="57">
        <f>(2.006)*(10.764)</f>
        <v>21.592583999999995</v>
      </c>
      <c r="I194" s="57">
        <f t="shared" si="22"/>
        <v>776.36426399999993</v>
      </c>
      <c r="J194" s="57">
        <f>(64.949)*(10.764)</f>
        <v>699.1110359999999</v>
      </c>
      <c r="K194" s="74">
        <f>(5.171)*(10.764)</f>
        <v>55.660643999999998</v>
      </c>
      <c r="L194" s="75"/>
      <c r="M194" s="57">
        <f>(2.006)*(10.764)</f>
        <v>21.592583999999995</v>
      </c>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2 16228:16384" s="11" customFormat="1" ht="20.25" customHeight="1" x14ac:dyDescent="0.25">
      <c r="A195" s="73" t="s">
        <v>207</v>
      </c>
      <c r="B195" s="73"/>
      <c r="C195" s="73">
        <f t="shared" si="23"/>
        <v>6</v>
      </c>
      <c r="D195" s="73"/>
      <c r="E195" s="57">
        <f>(64.949)*(10.764)</f>
        <v>699.1110359999999</v>
      </c>
      <c r="F195" s="74">
        <f>(5.171)*(10.764)</f>
        <v>55.660643999999998</v>
      </c>
      <c r="G195" s="75"/>
      <c r="H195" s="57">
        <f>(2.006)*(10.764)</f>
        <v>21.592583999999995</v>
      </c>
      <c r="I195" s="57">
        <f t="shared" si="22"/>
        <v>776.36426399999993</v>
      </c>
      <c r="J195" s="57">
        <f>(64.949)*(10.764)</f>
        <v>699.1110359999999</v>
      </c>
      <c r="K195" s="74">
        <f>(5.171)*(10.764)</f>
        <v>55.660643999999998</v>
      </c>
      <c r="L195" s="75"/>
      <c r="M195" s="57">
        <f>(2.006)*(10.764)</f>
        <v>21.592583999999995</v>
      </c>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2 16228:16384" s="11" customFormat="1" ht="20.25" customHeight="1" x14ac:dyDescent="0.25">
      <c r="A196" s="73" t="s">
        <v>207</v>
      </c>
      <c r="B196" s="73"/>
      <c r="C196" s="73">
        <f t="shared" si="23"/>
        <v>7</v>
      </c>
      <c r="D196" s="73"/>
      <c r="E196" s="57">
        <f>(65.788)*(10.764)</f>
        <v>708.14203199999997</v>
      </c>
      <c r="F196" s="74">
        <f>(4.851)*(10.764)</f>
        <v>52.216163999999999</v>
      </c>
      <c r="G196" s="75"/>
      <c r="H196" s="57">
        <f>(1.901)*(10.764)</f>
        <v>20.462363999999997</v>
      </c>
      <c r="I196" s="57">
        <f t="shared" si="22"/>
        <v>780.82056</v>
      </c>
      <c r="J196" s="57">
        <f>(65.788)*(10.764)</f>
        <v>708.14203199999997</v>
      </c>
      <c r="K196" s="74">
        <f>(4.851)*(10.764)</f>
        <v>52.216163999999999</v>
      </c>
      <c r="L196" s="75"/>
      <c r="M196" s="57">
        <f>(1.901)*(10.764)</f>
        <v>20.462363999999997</v>
      </c>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2 16228:16384" s="11" customFormat="1" ht="20.25" customHeight="1" x14ac:dyDescent="0.25">
      <c r="A197" s="73" t="s">
        <v>207</v>
      </c>
      <c r="B197" s="73"/>
      <c r="C197" s="73">
        <f t="shared" si="23"/>
        <v>8</v>
      </c>
      <c r="D197" s="73"/>
      <c r="E197" s="57">
        <f>(65.788)*(10.764)</f>
        <v>708.14203199999997</v>
      </c>
      <c r="F197" s="74">
        <f>(4.851)*(10.764)</f>
        <v>52.216163999999999</v>
      </c>
      <c r="G197" s="75"/>
      <c r="H197" s="57">
        <f>(1.901)*(10.764)</f>
        <v>20.462363999999997</v>
      </c>
      <c r="I197" s="57">
        <f t="shared" si="22"/>
        <v>780.82056</v>
      </c>
      <c r="J197" s="57">
        <f>(65.788)*(10.764)</f>
        <v>708.14203199999997</v>
      </c>
      <c r="K197" s="74">
        <f>(4.851)*(10.764)</f>
        <v>52.216163999999999</v>
      </c>
      <c r="L197" s="75"/>
      <c r="M197" s="57">
        <f>(1.901)*(10.764)</f>
        <v>20.462363999999997</v>
      </c>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2 16228:16384" s="11" customFormat="1" ht="20.25" x14ac:dyDescent="0.25">
      <c r="A198" s="77" t="s">
        <v>208</v>
      </c>
      <c r="B198" s="78"/>
      <c r="C198" s="78"/>
      <c r="D198" s="78"/>
      <c r="E198" s="78"/>
      <c r="F198" s="78"/>
      <c r="G198" s="78"/>
      <c r="H198" s="78"/>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2 16228:16384" s="11" customFormat="1" ht="20.25" x14ac:dyDescent="0.25">
      <c r="A199" s="73" t="s">
        <v>207</v>
      </c>
      <c r="B199" s="73"/>
      <c r="C199" s="73">
        <v>1</v>
      </c>
      <c r="D199" s="73"/>
      <c r="E199" s="57">
        <f>(64.949)*(10.764)</f>
        <v>699.1110359999999</v>
      </c>
      <c r="F199" s="74">
        <f>(5.171)*(10.764)</f>
        <v>55.660643999999998</v>
      </c>
      <c r="G199" s="75"/>
      <c r="H199" s="57">
        <f>(2.006)*(10.764)</f>
        <v>21.592583999999995</v>
      </c>
      <c r="I199" s="57">
        <f>SUM(E199:H199)</f>
        <v>776.36426399999993</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2 16228:16384" s="11" customFormat="1" ht="20.25" x14ac:dyDescent="0.25">
      <c r="A200" s="73" t="s">
        <v>207</v>
      </c>
      <c r="B200" s="73"/>
      <c r="C200" s="73">
        <f>C199+1</f>
        <v>2</v>
      </c>
      <c r="D200" s="73"/>
      <c r="E200" s="57">
        <f>(64.949)*(10.764)</f>
        <v>699.1110359999999</v>
      </c>
      <c r="F200" s="74">
        <f>(5.171)*(10.764)</f>
        <v>55.660643999999998</v>
      </c>
      <c r="G200" s="75"/>
      <c r="H200" s="57">
        <f>(2.006)*(10.764)</f>
        <v>21.592583999999995</v>
      </c>
      <c r="I200" s="57">
        <f t="shared" ref="I200:I202" si="24">SUM(E200:H200)</f>
        <v>776.36426399999993</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2 16228:16384" s="11" customFormat="1" ht="20.25" x14ac:dyDescent="0.25">
      <c r="A201" s="73" t="s">
        <v>207</v>
      </c>
      <c r="B201" s="73"/>
      <c r="C201" s="73">
        <f t="shared" ref="C201:C206" si="25">C200+1</f>
        <v>3</v>
      </c>
      <c r="D201" s="73"/>
      <c r="E201" s="57">
        <f>(65.788)*(10.764)</f>
        <v>708.14203199999997</v>
      </c>
      <c r="F201" s="74">
        <f>(4.851)*(10.764)</f>
        <v>52.216163999999999</v>
      </c>
      <c r="G201" s="75"/>
      <c r="H201" s="57">
        <f>(1.901)*(10.764)</f>
        <v>20.462363999999997</v>
      </c>
      <c r="I201" s="57">
        <f t="shared" si="24"/>
        <v>780.82056</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2 16228:16384" s="11" customFormat="1" ht="20.25" customHeight="1" x14ac:dyDescent="0.25">
      <c r="A202" s="73" t="s">
        <v>207</v>
      </c>
      <c r="B202" s="73"/>
      <c r="C202" s="73">
        <f t="shared" si="25"/>
        <v>4</v>
      </c>
      <c r="D202" s="73"/>
      <c r="E202" s="57">
        <f>(65.788)*(10.764)</f>
        <v>708.14203199999997</v>
      </c>
      <c r="F202" s="74">
        <f>(4.851)*(10.764)</f>
        <v>52.216163999999999</v>
      </c>
      <c r="G202" s="75"/>
      <c r="H202" s="57">
        <f>(1.901)*(10.764)</f>
        <v>20.462363999999997</v>
      </c>
      <c r="I202" s="57">
        <f t="shared" si="24"/>
        <v>780.82056</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2 16228:16384" s="11" customFormat="1" ht="20.25" customHeight="1" x14ac:dyDescent="0.25">
      <c r="A203" s="73" t="s">
        <v>207</v>
      </c>
      <c r="B203" s="73"/>
      <c r="C203" s="73">
        <f t="shared" si="25"/>
        <v>5</v>
      </c>
      <c r="D203" s="73"/>
      <c r="E203" s="74" t="s">
        <v>209</v>
      </c>
      <c r="F203" s="76"/>
      <c r="G203" s="76"/>
      <c r="H203" s="76"/>
      <c r="I203" s="7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2 16228:16384" s="11" customFormat="1" ht="20.25" customHeight="1" x14ac:dyDescent="0.25">
      <c r="A204" s="73" t="s">
        <v>207</v>
      </c>
      <c r="B204" s="73"/>
      <c r="C204" s="73">
        <f t="shared" si="25"/>
        <v>6</v>
      </c>
      <c r="D204" s="73"/>
      <c r="E204" s="57">
        <f>(64.949)*(10.764)</f>
        <v>699.1110359999999</v>
      </c>
      <c r="F204" s="74">
        <f>(5.171)*(10.764)</f>
        <v>55.660643999999998</v>
      </c>
      <c r="G204" s="75"/>
      <c r="H204" s="57">
        <f>(2.006)*(10.764)</f>
        <v>21.592583999999995</v>
      </c>
      <c r="I204" s="57">
        <f t="shared" ref="I204:I206" si="26">SUM(E204:H204)</f>
        <v>776.36426399999993</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2 16228:16384" s="11" customFormat="1" ht="20.25" customHeight="1" x14ac:dyDescent="0.25">
      <c r="A205" s="73" t="s">
        <v>207</v>
      </c>
      <c r="B205" s="73"/>
      <c r="C205" s="73">
        <f t="shared" si="25"/>
        <v>7</v>
      </c>
      <c r="D205" s="73"/>
      <c r="E205" s="57">
        <f>(65.788)*(10.764)</f>
        <v>708.14203199999997</v>
      </c>
      <c r="F205" s="74">
        <f>(4.851)*(10.764)</f>
        <v>52.216163999999999</v>
      </c>
      <c r="G205" s="75"/>
      <c r="H205" s="57">
        <f>(1.901)*(10.764)</f>
        <v>20.462363999999997</v>
      </c>
      <c r="I205" s="57">
        <f t="shared" si="26"/>
        <v>780.82056</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2 16228:16384" s="11" customFormat="1" ht="20.25" customHeight="1" x14ac:dyDescent="0.25">
      <c r="A206" s="73" t="s">
        <v>207</v>
      </c>
      <c r="B206" s="73"/>
      <c r="C206" s="73">
        <f t="shared" si="25"/>
        <v>8</v>
      </c>
      <c r="D206" s="73"/>
      <c r="E206" s="57">
        <f>(65.788)*(10.764)</f>
        <v>708.14203199999997</v>
      </c>
      <c r="F206" s="74">
        <f>(4.851)*(10.764)</f>
        <v>52.216163999999999</v>
      </c>
      <c r="G206" s="75"/>
      <c r="H206" s="57">
        <f>(1.901)*(10.764)</f>
        <v>20.462363999999997</v>
      </c>
      <c r="I206" s="57">
        <f t="shared" si="26"/>
        <v>780.82056</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2 16228:16384" s="11" customFormat="1" ht="20.25" x14ac:dyDescent="0.25">
      <c r="A207" s="77" t="s">
        <v>236</v>
      </c>
      <c r="B207" s="78"/>
      <c r="C207" s="78"/>
      <c r="D207" s="78"/>
      <c r="E207" s="78"/>
      <c r="F207" s="78"/>
      <c r="G207" s="78"/>
      <c r="H207" s="78"/>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2 16228:16384" s="11" customFormat="1" ht="20.25" x14ac:dyDescent="0.25">
      <c r="A208" s="77" t="s">
        <v>239</v>
      </c>
      <c r="B208" s="78"/>
      <c r="C208" s="78"/>
      <c r="D208" s="78"/>
      <c r="E208" s="78"/>
      <c r="F208" s="78"/>
      <c r="G208" s="78"/>
      <c r="H208" s="78"/>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2 16228:16384" s="11" customFormat="1" ht="20.25" x14ac:dyDescent="0.25">
      <c r="A209" s="77" t="s">
        <v>237</v>
      </c>
      <c r="B209" s="78"/>
      <c r="C209" s="78"/>
      <c r="D209" s="78"/>
      <c r="E209" s="78"/>
      <c r="F209" s="78"/>
      <c r="G209" s="78"/>
      <c r="H209" s="78"/>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2 16228:16384" s="11" customFormat="1" ht="20.25" x14ac:dyDescent="0.25">
      <c r="A210" s="77" t="s">
        <v>238</v>
      </c>
      <c r="B210" s="78"/>
      <c r="C210" s="78"/>
      <c r="D210" s="78"/>
      <c r="E210" s="78"/>
      <c r="F210" s="78"/>
      <c r="G210" s="78"/>
      <c r="H210" s="78"/>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2 16228:16384" s="11" customFormat="1" ht="51.75" customHeight="1" x14ac:dyDescent="0.25">
      <c r="A211" s="77" t="s">
        <v>243</v>
      </c>
      <c r="B211" s="78"/>
      <c r="C211" s="78"/>
      <c r="D211" s="78"/>
      <c r="E211" s="78"/>
      <c r="F211" s="78"/>
      <c r="G211" s="78"/>
      <c r="H211" s="78"/>
      <c r="I211" s="79"/>
      <c r="J211" s="1">
        <f>3+4+4+4+4+4+4+1+1</f>
        <v>29</v>
      </c>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2 16228:16384" s="11" customFormat="1" ht="20.25" x14ac:dyDescent="0.25">
      <c r="A212" s="73" t="s">
        <v>242</v>
      </c>
      <c r="B212" s="73"/>
      <c r="C212" s="73">
        <v>1</v>
      </c>
      <c r="D212" s="73"/>
      <c r="E212" s="59">
        <f>(107.261)*(10.764)</f>
        <v>1154.5574039999999</v>
      </c>
      <c r="F212" s="74">
        <f>(8.946)*(10.764)</f>
        <v>96.294743999999994</v>
      </c>
      <c r="G212" s="75"/>
      <c r="H212" s="59">
        <v>0</v>
      </c>
      <c r="I212" s="59">
        <f>SUM(E212:H212)</f>
        <v>1250.8521479999999</v>
      </c>
      <c r="J212" s="1">
        <f>6.4*4.35+2.75*3.275+3.35*4.275+3.35*3.95+3.35*4.575+2.425*1.375+1.675*1.575+2.425*1.525+1.525*2.425+1.75*1.56+2.885*1+0.55*1+1.45*1.15</f>
        <v>100.92750000000002</v>
      </c>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2 16228:16384" s="11" customFormat="1" ht="20.25" x14ac:dyDescent="0.25">
      <c r="A213" s="73" t="s">
        <v>242</v>
      </c>
      <c r="B213" s="73"/>
      <c r="C213" s="73">
        <f>C212+1</f>
        <v>2</v>
      </c>
      <c r="D213" s="73"/>
      <c r="E213" s="59">
        <f>(106.937)*(10.764)</f>
        <v>1151.0698679999998</v>
      </c>
      <c r="F213" s="74">
        <f>(8.946)*(10.764)</f>
        <v>96.294743999999994</v>
      </c>
      <c r="G213" s="75"/>
      <c r="H213" s="59">
        <v>0</v>
      </c>
      <c r="I213" s="59">
        <f t="shared" ref="I213:I215" si="27">SUM(E213:H213)</f>
        <v>1247.3646119999999</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2 16228:16384" s="11" customFormat="1" ht="20.25" x14ac:dyDescent="0.25">
      <c r="A214" s="73" t="s">
        <v>242</v>
      </c>
      <c r="B214" s="73"/>
      <c r="C214" s="73">
        <f t="shared" ref="C214:C215" si="28">C213+1</f>
        <v>3</v>
      </c>
      <c r="D214" s="73"/>
      <c r="E214" s="59">
        <f>(108.326)*(10.764)</f>
        <v>1166.0210639999998</v>
      </c>
      <c r="F214" s="74">
        <f>(8.946)*(10.764)</f>
        <v>96.294743999999994</v>
      </c>
      <c r="G214" s="75"/>
      <c r="H214" s="59">
        <v>0</v>
      </c>
      <c r="I214" s="59">
        <f t="shared" si="27"/>
        <v>1262.3158079999998</v>
      </c>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2 16228:16384" s="11" customFormat="1" ht="20.25" customHeight="1" x14ac:dyDescent="0.25">
      <c r="A215" s="73" t="s">
        <v>242</v>
      </c>
      <c r="B215" s="73"/>
      <c r="C215" s="73">
        <f t="shared" si="28"/>
        <v>4</v>
      </c>
      <c r="D215" s="73"/>
      <c r="E215" s="59">
        <f>(142.104)*(10.764)</f>
        <v>1529.607456</v>
      </c>
      <c r="F215" s="74">
        <f>(9.264)*(10.764)</f>
        <v>99.717695999999989</v>
      </c>
      <c r="G215" s="75"/>
      <c r="H215" s="59">
        <v>0</v>
      </c>
      <c r="I215" s="59">
        <f t="shared" si="27"/>
        <v>1629.3251519999999</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2 16228:16384" s="11" customFormat="1" ht="20.25" x14ac:dyDescent="0.25">
      <c r="A216" s="77" t="s">
        <v>208</v>
      </c>
      <c r="B216" s="78"/>
      <c r="C216" s="78"/>
      <c r="D216" s="78"/>
      <c r="E216" s="78"/>
      <c r="F216" s="78"/>
      <c r="G216" s="78"/>
      <c r="H216" s="78"/>
      <c r="I216" s="79"/>
      <c r="J216" s="1">
        <v>7</v>
      </c>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2 16228:16384" s="11" customFormat="1" ht="20.25" x14ac:dyDescent="0.25">
      <c r="A217" s="73" t="s">
        <v>207</v>
      </c>
      <c r="B217" s="73"/>
      <c r="C217" s="73">
        <v>1</v>
      </c>
      <c r="D217" s="73"/>
      <c r="E217" s="59">
        <f>(84.213)*(10.764)</f>
        <v>906.46873199999993</v>
      </c>
      <c r="F217" s="74">
        <f>(8.946)*(10.764)</f>
        <v>96.294743999999994</v>
      </c>
      <c r="G217" s="75"/>
      <c r="H217" s="59">
        <v>0</v>
      </c>
      <c r="I217" s="59">
        <f>SUM(E217:H217)</f>
        <v>1002.763476</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2 16228:16384" s="11" customFormat="1" ht="20.25" x14ac:dyDescent="0.25">
      <c r="A218" s="73" t="s">
        <v>106</v>
      </c>
      <c r="B218" s="73"/>
      <c r="C218" s="74" t="s">
        <v>209</v>
      </c>
      <c r="D218" s="76"/>
      <c r="E218" s="76"/>
      <c r="F218" s="76"/>
      <c r="G218" s="76"/>
      <c r="H218" s="76"/>
      <c r="I218" s="75"/>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2 16228:16384" s="11" customFormat="1" ht="20.25" x14ac:dyDescent="0.25">
      <c r="A219" s="73" t="s">
        <v>207</v>
      </c>
      <c r="B219" s="73"/>
      <c r="C219" s="73">
        <f>C217+1</f>
        <v>2</v>
      </c>
      <c r="D219" s="73"/>
      <c r="E219" s="59">
        <f>(88.135)*(10.764)</f>
        <v>948.68514000000005</v>
      </c>
      <c r="F219" s="74">
        <f>(8.946)*(10.764)</f>
        <v>96.294743999999994</v>
      </c>
      <c r="G219" s="75"/>
      <c r="H219" s="59">
        <v>0</v>
      </c>
      <c r="I219" s="59">
        <f t="shared" ref="I219:I221" si="29">SUM(E219:H219)</f>
        <v>1044.9798840000001</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2 16228:16384" s="11" customFormat="1" ht="20.25" x14ac:dyDescent="0.25">
      <c r="A220" s="73" t="s">
        <v>242</v>
      </c>
      <c r="B220" s="73"/>
      <c r="C220" s="73">
        <f t="shared" ref="C220:C221" si="30">C219+1</f>
        <v>3</v>
      </c>
      <c r="D220" s="73"/>
      <c r="E220" s="59">
        <f>(108.326)*(10.764)</f>
        <v>1166.0210639999998</v>
      </c>
      <c r="F220" s="74">
        <f>(8.946)*(10.764)</f>
        <v>96.294743999999994</v>
      </c>
      <c r="G220" s="75"/>
      <c r="H220" s="59">
        <v>0</v>
      </c>
      <c r="I220" s="59">
        <f t="shared" si="29"/>
        <v>1262.3158079999998</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2 16228:16384" s="11" customFormat="1" ht="20.25" customHeight="1" x14ac:dyDescent="0.25">
      <c r="A221" s="73" t="s">
        <v>242</v>
      </c>
      <c r="B221" s="73"/>
      <c r="C221" s="73">
        <f t="shared" si="30"/>
        <v>4</v>
      </c>
      <c r="D221" s="73"/>
      <c r="E221" s="59">
        <f>(142.104)*(10.764)</f>
        <v>1529.607456</v>
      </c>
      <c r="F221" s="74">
        <f>(9.264)*(10.764)</f>
        <v>99.717695999999989</v>
      </c>
      <c r="G221" s="75"/>
      <c r="H221" s="59">
        <v>0</v>
      </c>
      <c r="I221" s="59">
        <f t="shared" si="29"/>
        <v>1629.3251519999999</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2 16228:16384" s="11" customFormat="1" ht="20.25" x14ac:dyDescent="0.25">
      <c r="A222" s="77" t="s">
        <v>268</v>
      </c>
      <c r="B222" s="78"/>
      <c r="C222" s="78"/>
      <c r="D222" s="78"/>
      <c r="E222" s="78"/>
      <c r="F222" s="78"/>
      <c r="G222" s="78"/>
      <c r="H222" s="78"/>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2 16228:16384" s="11" customFormat="1" ht="20.25" x14ac:dyDescent="0.25">
      <c r="A223" s="77" t="s">
        <v>239</v>
      </c>
      <c r="B223" s="78"/>
      <c r="C223" s="78"/>
      <c r="D223" s="78"/>
      <c r="E223" s="78"/>
      <c r="F223" s="78"/>
      <c r="G223" s="78"/>
      <c r="H223" s="78"/>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2 16228:16384" s="11" customFormat="1" ht="20.25" x14ac:dyDescent="0.25">
      <c r="A224" s="77" t="s">
        <v>270</v>
      </c>
      <c r="B224" s="78"/>
      <c r="C224" s="78"/>
      <c r="D224" s="78"/>
      <c r="E224" s="78"/>
      <c r="F224" s="78"/>
      <c r="G224" s="78"/>
      <c r="H224" s="78"/>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2 16228:16384" s="11" customFormat="1" ht="20.25" x14ac:dyDescent="0.25">
      <c r="A225" s="77" t="s">
        <v>271</v>
      </c>
      <c r="B225" s="78"/>
      <c r="C225" s="78"/>
      <c r="D225" s="78"/>
      <c r="E225" s="78"/>
      <c r="F225" s="78"/>
      <c r="G225" s="78"/>
      <c r="H225" s="78"/>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2 16228:16384" s="11" customFormat="1" ht="51.75" customHeight="1" x14ac:dyDescent="0.25">
      <c r="A226" s="77" t="s">
        <v>243</v>
      </c>
      <c r="B226" s="78"/>
      <c r="C226" s="78"/>
      <c r="D226" s="78"/>
      <c r="E226" s="78"/>
      <c r="F226" s="78"/>
      <c r="G226" s="78"/>
      <c r="H226" s="78"/>
      <c r="I226" s="79"/>
      <c r="J226" s="1">
        <f>3+4+4+4+4+4+4+1+1</f>
        <v>29</v>
      </c>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2 16228:16384" s="11" customFormat="1" ht="20.25" x14ac:dyDescent="0.25">
      <c r="A227" s="73" t="s">
        <v>207</v>
      </c>
      <c r="B227" s="73"/>
      <c r="C227" s="73">
        <v>1</v>
      </c>
      <c r="D227" s="73"/>
      <c r="E227" s="62">
        <f>(60.535)*10.764</f>
        <v>651.59873999999991</v>
      </c>
      <c r="F227" s="74">
        <f>(2.444)*10.764</f>
        <v>26.307215999999997</v>
      </c>
      <c r="G227" s="75"/>
      <c r="H227" s="62">
        <v>0</v>
      </c>
      <c r="I227" s="62">
        <f>SUM(E227:H227)</f>
        <v>677.90595599999995</v>
      </c>
      <c r="J227" s="1">
        <f>3.125*5.025+2.125*2.75+3.05*3.275+3.125*3.95+2.275*1.375+2.275*1.375+4.36*1+1.07*1+1.32*1.085</f>
        <v>56.997824999999992</v>
      </c>
      <c r="K227" s="1">
        <f>2.125*1.15</f>
        <v>2.4437499999999996</v>
      </c>
      <c r="L227" s="62">
        <v>10.763999999999999</v>
      </c>
      <c r="M227" s="74">
        <v>10.763999999999999</v>
      </c>
      <c r="N227" s="75"/>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2 16228:16384" s="11" customFormat="1" ht="20.25" x14ac:dyDescent="0.25">
      <c r="A228" s="73" t="s">
        <v>207</v>
      </c>
      <c r="B228" s="73"/>
      <c r="C228" s="73">
        <f>C227+1</f>
        <v>2</v>
      </c>
      <c r="D228" s="73"/>
      <c r="E228" s="62">
        <f>(67.374)*10.764</f>
        <v>725.21373599999993</v>
      </c>
      <c r="F228" s="74">
        <f>(5.157)*10.764</f>
        <v>55.509947999999994</v>
      </c>
      <c r="G228" s="75"/>
      <c r="H228" s="62">
        <v>0</v>
      </c>
      <c r="I228" s="62">
        <f t="shared" ref="I228:I230" si="31">SUM(E228:H228)</f>
        <v>780.72368399999993</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2 16228:16384" s="11" customFormat="1" ht="20.25" x14ac:dyDescent="0.25">
      <c r="A229" s="73" t="s">
        <v>207</v>
      </c>
      <c r="B229" s="73"/>
      <c r="C229" s="73">
        <f t="shared" ref="C229:C231" si="32">C228+1</f>
        <v>3</v>
      </c>
      <c r="D229" s="73"/>
      <c r="E229" s="62">
        <f>(67.374)*10.764</f>
        <v>725.21373599999993</v>
      </c>
      <c r="F229" s="74">
        <f>(5.157)*10.764</f>
        <v>55.509947999999994</v>
      </c>
      <c r="G229" s="75"/>
      <c r="H229" s="62">
        <v>0</v>
      </c>
      <c r="I229" s="62">
        <f t="shared" si="31"/>
        <v>780.72368399999993</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2 16228:16384" s="11" customFormat="1" ht="20.25" customHeight="1" x14ac:dyDescent="0.25">
      <c r="A230" s="73" t="s">
        <v>207</v>
      </c>
      <c r="B230" s="73"/>
      <c r="C230" s="73">
        <f t="shared" si="32"/>
        <v>4</v>
      </c>
      <c r="D230" s="73"/>
      <c r="E230" s="62">
        <f>(60.535)*10.764</f>
        <v>651.59873999999991</v>
      </c>
      <c r="F230" s="74">
        <f>(2.444)*10.764</f>
        <v>26.307215999999997</v>
      </c>
      <c r="G230" s="75"/>
      <c r="H230" s="62">
        <v>0</v>
      </c>
      <c r="I230" s="62">
        <f t="shared" si="31"/>
        <v>677.90595599999995</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2 16228:16384" s="11" customFormat="1" ht="20.25" customHeight="1" x14ac:dyDescent="0.25">
      <c r="A231" s="73" t="s">
        <v>207</v>
      </c>
      <c r="B231" s="73"/>
      <c r="C231" s="73">
        <f t="shared" si="32"/>
        <v>5</v>
      </c>
      <c r="D231" s="73"/>
      <c r="E231" s="62">
        <f>(60.461)*10.764</f>
        <v>650.80220399999996</v>
      </c>
      <c r="F231" s="74">
        <f>(2.444)*10.764</f>
        <v>26.307215999999997</v>
      </c>
      <c r="G231" s="75"/>
      <c r="H231" s="62">
        <v>0</v>
      </c>
      <c r="I231" s="62">
        <f t="shared" ref="I231" si="33">SUM(E231:H231)</f>
        <v>677.10942</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2 16228:16384" s="11" customFormat="1" ht="20.25" customHeight="1" x14ac:dyDescent="0.25">
      <c r="A232" s="73" t="s">
        <v>207</v>
      </c>
      <c r="B232" s="73"/>
      <c r="C232" s="73">
        <f t="shared" ref="C232:C234" si="34">C231+1</f>
        <v>6</v>
      </c>
      <c r="D232" s="73"/>
      <c r="E232" s="62">
        <f>(67.374)*10.764</f>
        <v>725.21373599999993</v>
      </c>
      <c r="F232" s="74">
        <f>(5.157)*10.764</f>
        <v>55.509947999999994</v>
      </c>
      <c r="G232" s="75"/>
      <c r="H232" s="62">
        <v>0</v>
      </c>
      <c r="I232" s="62">
        <f t="shared" ref="I232:I234" si="35">SUM(E232:H232)</f>
        <v>780.72368399999993</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2 16228:16384" s="11" customFormat="1" ht="20.25" customHeight="1" x14ac:dyDescent="0.25">
      <c r="A233" s="73" t="s">
        <v>207</v>
      </c>
      <c r="B233" s="73"/>
      <c r="C233" s="73">
        <f t="shared" si="34"/>
        <v>7</v>
      </c>
      <c r="D233" s="73"/>
      <c r="E233" s="62">
        <f>(67.374)*10.764</f>
        <v>725.21373599999993</v>
      </c>
      <c r="F233" s="74">
        <f>(5.157)*10.764</f>
        <v>55.509947999999994</v>
      </c>
      <c r="G233" s="75"/>
      <c r="H233" s="62">
        <v>0</v>
      </c>
      <c r="I233" s="62">
        <f t="shared" si="35"/>
        <v>780.72368399999993</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2 16228:16384" s="11" customFormat="1" ht="20.25" customHeight="1" x14ac:dyDescent="0.25">
      <c r="A234" s="73" t="s">
        <v>207</v>
      </c>
      <c r="B234" s="73"/>
      <c r="C234" s="73">
        <f t="shared" si="34"/>
        <v>8</v>
      </c>
      <c r="D234" s="73"/>
      <c r="E234" s="62">
        <f>(60.364)*10.764</f>
        <v>649.75809599999991</v>
      </c>
      <c r="F234" s="74">
        <f>(2.444)*10.764</f>
        <v>26.307215999999997</v>
      </c>
      <c r="G234" s="75"/>
      <c r="H234" s="62">
        <v>0</v>
      </c>
      <c r="I234" s="62">
        <f t="shared" si="35"/>
        <v>676.06531199999995</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2 16228:16384" s="11" customFormat="1" ht="20.25" x14ac:dyDescent="0.25">
      <c r="A235" s="77" t="s">
        <v>274</v>
      </c>
      <c r="B235" s="78"/>
      <c r="C235" s="78"/>
      <c r="D235" s="78"/>
      <c r="E235" s="78"/>
      <c r="F235" s="78"/>
      <c r="G235" s="78"/>
      <c r="H235" s="78"/>
      <c r="I235" s="79"/>
      <c r="J235" s="1">
        <v>7</v>
      </c>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2 16228:16384" s="11" customFormat="1" ht="20.25" x14ac:dyDescent="0.25">
      <c r="A236" s="73" t="s">
        <v>207</v>
      </c>
      <c r="B236" s="73"/>
      <c r="C236" s="73">
        <v>1</v>
      </c>
      <c r="D236" s="73"/>
      <c r="E236" s="62">
        <f>(60.535)*10.764</f>
        <v>651.59873999999991</v>
      </c>
      <c r="F236" s="74">
        <f>(2.444)*10.764</f>
        <v>26.307215999999997</v>
      </c>
      <c r="G236" s="75"/>
      <c r="H236" s="62">
        <v>0</v>
      </c>
      <c r="I236" s="62">
        <f>SUM(E236:H236)</f>
        <v>677.90595599999995</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2 16228:16384" s="11" customFormat="1" ht="20.25" x14ac:dyDescent="0.25">
      <c r="A237" s="73" t="s">
        <v>207</v>
      </c>
      <c r="B237" s="73"/>
      <c r="C237" s="73">
        <f>C236+1</f>
        <v>2</v>
      </c>
      <c r="D237" s="73"/>
      <c r="E237" s="62">
        <f>(67.374)*10.764</f>
        <v>725.21373599999993</v>
      </c>
      <c r="F237" s="74">
        <f>(5.157)*10.764</f>
        <v>55.509947999999994</v>
      </c>
      <c r="G237" s="75"/>
      <c r="H237" s="62">
        <v>0</v>
      </c>
      <c r="I237" s="62">
        <f>SUM(E237:H237)</f>
        <v>780.72368399999993</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2 16228:16384" s="11" customFormat="1" ht="20.25" x14ac:dyDescent="0.25">
      <c r="A238" s="73" t="s">
        <v>207</v>
      </c>
      <c r="B238" s="73"/>
      <c r="C238" s="73">
        <f t="shared" ref="C238:C240" si="36">C237+1</f>
        <v>3</v>
      </c>
      <c r="D238" s="73"/>
      <c r="E238" s="62">
        <f>(67.374)*10.764</f>
        <v>725.21373599999993</v>
      </c>
      <c r="F238" s="74">
        <f>(5.157)*10.764</f>
        <v>55.509947999999994</v>
      </c>
      <c r="G238" s="75"/>
      <c r="H238" s="62">
        <v>0</v>
      </c>
      <c r="I238" s="62">
        <f t="shared" ref="I238:I240" si="37">SUM(E238:H238)</f>
        <v>780.72368399999993</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2 16228:16384" s="11" customFormat="1" ht="20.25" x14ac:dyDescent="0.25">
      <c r="A239" s="73" t="s">
        <v>207</v>
      </c>
      <c r="B239" s="73"/>
      <c r="C239" s="73">
        <f t="shared" si="36"/>
        <v>4</v>
      </c>
      <c r="D239" s="73"/>
      <c r="E239" s="62">
        <f>(60.535)*10.764</f>
        <v>651.59873999999991</v>
      </c>
      <c r="F239" s="74">
        <f>(2.444)*10.764</f>
        <v>26.307215999999997</v>
      </c>
      <c r="G239" s="75"/>
      <c r="H239" s="62">
        <v>0</v>
      </c>
      <c r="I239" s="62">
        <f t="shared" si="37"/>
        <v>677.90595599999995</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2 16228:16384" s="11" customFormat="1" ht="20.25" customHeight="1" x14ac:dyDescent="0.25">
      <c r="A240" s="73" t="s">
        <v>207</v>
      </c>
      <c r="B240" s="73"/>
      <c r="C240" s="73">
        <f t="shared" si="36"/>
        <v>5</v>
      </c>
      <c r="D240" s="73"/>
      <c r="E240" s="62">
        <f>(60.461)*10.764</f>
        <v>650.80220399999996</v>
      </c>
      <c r="F240" s="74">
        <f>(2.444)*10.764</f>
        <v>26.307215999999997</v>
      </c>
      <c r="G240" s="75"/>
      <c r="H240" s="62">
        <v>0</v>
      </c>
      <c r="I240" s="62">
        <f t="shared" si="37"/>
        <v>677.10942</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2 16228:16384" s="11" customFormat="1" ht="20.25" customHeight="1" x14ac:dyDescent="0.25">
      <c r="A241" s="73" t="s">
        <v>207</v>
      </c>
      <c r="B241" s="73"/>
      <c r="C241" s="73">
        <f t="shared" ref="C241:C243" si="38">C240+1</f>
        <v>6</v>
      </c>
      <c r="D241" s="73"/>
      <c r="E241" s="62">
        <f>(67.374)*10.764</f>
        <v>725.21373599999993</v>
      </c>
      <c r="F241" s="74">
        <f>(5.157)*10.764</f>
        <v>55.509947999999994</v>
      </c>
      <c r="G241" s="75"/>
      <c r="H241" s="62">
        <v>0</v>
      </c>
      <c r="I241" s="62">
        <f t="shared" ref="I241:I243" si="39">SUM(E241:H241)</f>
        <v>780.72368399999993</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2 16228:16384" s="11" customFormat="1" ht="20.25" customHeight="1" x14ac:dyDescent="0.25">
      <c r="A242" s="73" t="s">
        <v>207</v>
      </c>
      <c r="B242" s="73"/>
      <c r="C242" s="73">
        <f t="shared" si="38"/>
        <v>7</v>
      </c>
      <c r="D242" s="73"/>
      <c r="E242" s="62">
        <f>(67.374)*10.764</f>
        <v>725.21373599999993</v>
      </c>
      <c r="F242" s="74">
        <f>(5.157)*10.764</f>
        <v>55.509947999999994</v>
      </c>
      <c r="G242" s="75"/>
      <c r="H242" s="62">
        <v>0</v>
      </c>
      <c r="I242" s="62">
        <f t="shared" si="39"/>
        <v>780.72368399999993</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2 16228:16384" s="11" customFormat="1" ht="20.25" customHeight="1" x14ac:dyDescent="0.25">
      <c r="A243" s="73" t="s">
        <v>207</v>
      </c>
      <c r="B243" s="73"/>
      <c r="C243" s="73">
        <f t="shared" si="38"/>
        <v>8</v>
      </c>
      <c r="D243" s="73"/>
      <c r="E243" s="62">
        <f>(60.364)*10.764</f>
        <v>649.75809599999991</v>
      </c>
      <c r="F243" s="74">
        <f>(2.444)*10.764</f>
        <v>26.307215999999997</v>
      </c>
      <c r="G243" s="75"/>
      <c r="H243" s="62">
        <v>0</v>
      </c>
      <c r="I243" s="62">
        <f t="shared" si="39"/>
        <v>676.06531199999995</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2 16228:16384" s="11" customFormat="1" ht="20.25" x14ac:dyDescent="0.25">
      <c r="A244" s="77" t="s">
        <v>269</v>
      </c>
      <c r="B244" s="78"/>
      <c r="C244" s="78"/>
      <c r="D244" s="78"/>
      <c r="E244" s="78"/>
      <c r="F244" s="78"/>
      <c r="G244" s="78"/>
      <c r="H244" s="78"/>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2 16228:16384" s="11" customFormat="1" ht="20.25" x14ac:dyDescent="0.25">
      <c r="A245" s="77" t="s">
        <v>239</v>
      </c>
      <c r="B245" s="78"/>
      <c r="C245" s="78"/>
      <c r="D245" s="78"/>
      <c r="E245" s="78"/>
      <c r="F245" s="78"/>
      <c r="G245" s="78"/>
      <c r="H245" s="78"/>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2 16228:16384" s="11" customFormat="1" ht="20.25" customHeight="1" x14ac:dyDescent="0.25">
      <c r="A246" s="77" t="s">
        <v>270</v>
      </c>
      <c r="B246" s="78"/>
      <c r="C246" s="78"/>
      <c r="D246" s="78"/>
      <c r="E246" s="78"/>
      <c r="F246" s="78"/>
      <c r="G246" s="78"/>
      <c r="H246" s="78"/>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2 16228:16384" s="11" customFormat="1" ht="20.25" customHeight="1" x14ac:dyDescent="0.25">
      <c r="A247" s="77" t="s">
        <v>271</v>
      </c>
      <c r="B247" s="78"/>
      <c r="C247" s="78"/>
      <c r="D247" s="78"/>
      <c r="E247" s="78"/>
      <c r="F247" s="78"/>
      <c r="G247" s="78"/>
      <c r="H247" s="78"/>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2 16228:16384" s="11" customFormat="1" ht="51.75" customHeight="1" x14ac:dyDescent="0.25">
      <c r="A248" s="77" t="s">
        <v>243</v>
      </c>
      <c r="B248" s="78"/>
      <c r="C248" s="78"/>
      <c r="D248" s="78"/>
      <c r="E248" s="78"/>
      <c r="F248" s="78"/>
      <c r="G248" s="78"/>
      <c r="H248" s="78"/>
      <c r="I248" s="79"/>
      <c r="J248" s="1">
        <f>3+4+4+4+4+4+4+2</f>
        <v>29</v>
      </c>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2 16228:16384" s="11" customFormat="1" ht="20.25" x14ac:dyDescent="0.25">
      <c r="A249" s="73" t="s">
        <v>207</v>
      </c>
      <c r="B249" s="73"/>
      <c r="C249" s="73">
        <v>1</v>
      </c>
      <c r="D249" s="73"/>
      <c r="E249" s="62">
        <f>(67.32)*10.764</f>
        <v>724.63247999999987</v>
      </c>
      <c r="F249" s="74">
        <f>(5.157)*10.764</f>
        <v>55.509947999999994</v>
      </c>
      <c r="G249" s="75"/>
      <c r="H249" s="62">
        <v>0</v>
      </c>
      <c r="I249" s="62">
        <f>SUM(E249:H249)</f>
        <v>780.14242799999988</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2 16228:16384" s="11" customFormat="1" ht="20.25" x14ac:dyDescent="0.25">
      <c r="A250" s="73" t="s">
        <v>207</v>
      </c>
      <c r="B250" s="73"/>
      <c r="C250" s="73">
        <f>C249+1</f>
        <v>2</v>
      </c>
      <c r="D250" s="73"/>
      <c r="E250" s="62">
        <f>(67.153)*10.764</f>
        <v>722.83489199999997</v>
      </c>
      <c r="F250" s="74">
        <f>(5.157)*10.764</f>
        <v>55.509947999999994</v>
      </c>
      <c r="G250" s="75"/>
      <c r="H250" s="62">
        <v>0</v>
      </c>
      <c r="I250" s="62">
        <f t="shared" ref="I250:I252" si="40">SUM(E250:H250)</f>
        <v>778.34483999999998</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2 16228:16384" s="11" customFormat="1" ht="20.25" x14ac:dyDescent="0.25">
      <c r="A251" s="73" t="s">
        <v>242</v>
      </c>
      <c r="B251" s="73"/>
      <c r="C251" s="73">
        <f t="shared" ref="C251:C254" si="41">C250+1</f>
        <v>3</v>
      </c>
      <c r="D251" s="73"/>
      <c r="E251" s="62">
        <f>(84.438)*10.764</f>
        <v>908.89063199999998</v>
      </c>
      <c r="F251" s="74">
        <f>(5.639)*10.764</f>
        <v>60.698195999999996</v>
      </c>
      <c r="G251" s="75"/>
      <c r="H251" s="62">
        <v>0</v>
      </c>
      <c r="I251" s="62">
        <f t="shared" si="40"/>
        <v>969.58882799999992</v>
      </c>
      <c r="J251" s="1">
        <f>3.2*5.995+0.505*2.79+3.1*2.4+3.05*3.96+3.05*3.05+3.21*4.205+2.275*1.375+1.375*2.275+1.58*1+1.085*1+1.953*1.215+1.225*1.115</f>
        <v>75.571519999999992</v>
      </c>
      <c r="K251" s="1">
        <f>2.125*1.52+1.974*1.22</f>
        <v>5.63828</v>
      </c>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2 16228:16384" s="11" customFormat="1" ht="20.25" customHeight="1" x14ac:dyDescent="0.25">
      <c r="A252" s="73" t="s">
        <v>242</v>
      </c>
      <c r="B252" s="73"/>
      <c r="C252" s="73">
        <f t="shared" si="41"/>
        <v>4</v>
      </c>
      <c r="D252" s="73"/>
      <c r="E252" s="62">
        <f>(84.438)*10.764</f>
        <v>908.89063199999998</v>
      </c>
      <c r="F252" s="74">
        <f>(5.639)*10.764</f>
        <v>60.698195999999996</v>
      </c>
      <c r="G252" s="75"/>
      <c r="H252" s="62">
        <v>0</v>
      </c>
      <c r="I252" s="62">
        <f t="shared" si="40"/>
        <v>969.58882799999992</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2 16228:16384" s="11" customFormat="1" ht="20.25" customHeight="1" x14ac:dyDescent="0.25">
      <c r="A253" s="73" t="s">
        <v>207</v>
      </c>
      <c r="B253" s="73"/>
      <c r="C253" s="73">
        <f t="shared" si="41"/>
        <v>5</v>
      </c>
      <c r="D253" s="73"/>
      <c r="E253" s="62">
        <f>(67.153)*10.764</f>
        <v>722.83489199999997</v>
      </c>
      <c r="F253" s="74">
        <f>(5.157)*10.764</f>
        <v>55.509947999999994</v>
      </c>
      <c r="G253" s="75"/>
      <c r="H253" s="62">
        <v>0</v>
      </c>
      <c r="I253" s="62">
        <f t="shared" ref="I253:I254" si="42">SUM(E253:H253)</f>
        <v>778.34483999999998</v>
      </c>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2 16228:16384" s="11" customFormat="1" ht="20.25" customHeight="1" x14ac:dyDescent="0.25">
      <c r="A254" s="73" t="s">
        <v>207</v>
      </c>
      <c r="B254" s="73"/>
      <c r="C254" s="73">
        <f t="shared" si="41"/>
        <v>6</v>
      </c>
      <c r="D254" s="73"/>
      <c r="E254" s="62">
        <f>(67.32)*10.764</f>
        <v>724.63247999999987</v>
      </c>
      <c r="F254" s="74">
        <f>(5.157)*10.764</f>
        <v>55.509947999999994</v>
      </c>
      <c r="G254" s="75"/>
      <c r="H254" s="62">
        <v>0</v>
      </c>
      <c r="I254" s="62">
        <f t="shared" si="42"/>
        <v>780.14242799999988</v>
      </c>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2 16228:16384" s="11" customFormat="1" ht="20.25" x14ac:dyDescent="0.25">
      <c r="A255" s="77" t="s">
        <v>208</v>
      </c>
      <c r="B255" s="78"/>
      <c r="C255" s="78"/>
      <c r="D255" s="78"/>
      <c r="E255" s="78"/>
      <c r="F255" s="78"/>
      <c r="G255" s="78"/>
      <c r="H255" s="78"/>
      <c r="I255" s="79"/>
      <c r="J255" s="1">
        <v>7</v>
      </c>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2 16228:16384" s="11" customFormat="1" ht="20.25" x14ac:dyDescent="0.25">
      <c r="A256" s="73" t="s">
        <v>207</v>
      </c>
      <c r="B256" s="73"/>
      <c r="C256" s="73">
        <v>1</v>
      </c>
      <c r="D256" s="73"/>
      <c r="E256" s="62">
        <f>(80.574)*10.764</f>
        <v>867.2985359999999</v>
      </c>
      <c r="F256" s="74">
        <f>(8.079)*10.764</f>
        <v>86.962356</v>
      </c>
      <c r="G256" s="75"/>
      <c r="H256" s="62">
        <v>0</v>
      </c>
      <c r="I256" s="62">
        <f>SUM(E256:H256)</f>
        <v>954.2608919999999</v>
      </c>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2 16228:16384" s="11" customFormat="1" ht="20.25" x14ac:dyDescent="0.25">
      <c r="A257" s="73" t="s">
        <v>106</v>
      </c>
      <c r="B257" s="73"/>
      <c r="C257" s="73" t="s">
        <v>106</v>
      </c>
      <c r="D257" s="73"/>
      <c r="E257" s="74" t="s">
        <v>209</v>
      </c>
      <c r="F257" s="76"/>
      <c r="G257" s="76"/>
      <c r="H257" s="76"/>
      <c r="I257" s="75"/>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2 16228:16384" s="11" customFormat="1" ht="20.25" x14ac:dyDescent="0.25">
      <c r="A258" s="73" t="s">
        <v>272</v>
      </c>
      <c r="B258" s="73"/>
      <c r="C258" s="73">
        <v>3</v>
      </c>
      <c r="D258" s="73"/>
      <c r="E258" s="62">
        <f>(103.962)*10.764</f>
        <v>1119.0469679999999</v>
      </c>
      <c r="F258" s="74">
        <f>(7.874)*10.764</f>
        <v>84.755735999999985</v>
      </c>
      <c r="G258" s="75"/>
      <c r="H258" s="62">
        <v>0</v>
      </c>
      <c r="I258" s="62">
        <f t="shared" ref="I258:I260" si="43">SUM(E258:H258)</f>
        <v>1203.8027039999999</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2 16228:16384" s="11" customFormat="1" ht="20.25" x14ac:dyDescent="0.25">
      <c r="A259" s="73" t="s">
        <v>242</v>
      </c>
      <c r="B259" s="73"/>
      <c r="C259" s="73">
        <f t="shared" ref="C259:C261" si="44">C258+1</f>
        <v>4</v>
      </c>
      <c r="D259" s="73"/>
      <c r="E259" s="62">
        <f>(84.438)*10.764</f>
        <v>908.89063199999998</v>
      </c>
      <c r="F259" s="74">
        <f>(5.639)*10.764</f>
        <v>60.698195999999996</v>
      </c>
      <c r="G259" s="75"/>
      <c r="H259" s="62">
        <v>0</v>
      </c>
      <c r="I259" s="62">
        <f t="shared" si="43"/>
        <v>969.58882799999992</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2 16228:16384" s="11" customFormat="1" ht="20.25" customHeight="1" x14ac:dyDescent="0.25">
      <c r="A260" s="73" t="s">
        <v>207</v>
      </c>
      <c r="B260" s="73"/>
      <c r="C260" s="73">
        <f t="shared" si="44"/>
        <v>5</v>
      </c>
      <c r="D260" s="73"/>
      <c r="E260" s="62">
        <f>(67.153)*10.764</f>
        <v>722.83489199999997</v>
      </c>
      <c r="F260" s="74">
        <f>(5.157)*10.764</f>
        <v>55.509947999999994</v>
      </c>
      <c r="G260" s="75"/>
      <c r="H260" s="62">
        <v>0</v>
      </c>
      <c r="I260" s="62">
        <f t="shared" si="43"/>
        <v>778.34483999999998</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2 16228:16384" s="11" customFormat="1" ht="20.25" customHeight="1" x14ac:dyDescent="0.25">
      <c r="A261" s="73" t="s">
        <v>207</v>
      </c>
      <c r="B261" s="73"/>
      <c r="C261" s="73">
        <f t="shared" si="44"/>
        <v>6</v>
      </c>
      <c r="D261" s="73"/>
      <c r="E261" s="62">
        <f>(67.32)*10.764</f>
        <v>724.63247999999987</v>
      </c>
      <c r="F261" s="74">
        <f>(5.157)*10.764</f>
        <v>55.509947999999994</v>
      </c>
      <c r="G261" s="75"/>
      <c r="H261" s="62">
        <v>0</v>
      </c>
      <c r="I261" s="62">
        <f t="shared" ref="I261" si="45">SUM(E261:H261)</f>
        <v>780.14242799999988</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2 16228:16384" ht="20.25" x14ac:dyDescent="0.25">
      <c r="A262" s="90" t="s">
        <v>72</v>
      </c>
      <c r="B262" s="90"/>
      <c r="C262" s="90"/>
      <c r="D262" s="90"/>
      <c r="E262" s="90"/>
      <c r="F262" s="90"/>
      <c r="G262" s="90"/>
      <c r="H262" s="90"/>
      <c r="I262" s="90"/>
    </row>
    <row r="263" spans="1:152 16228:16384" ht="204.75" customHeight="1" x14ac:dyDescent="0.25">
      <c r="A263" s="9" t="s">
        <v>80</v>
      </c>
      <c r="B263" s="12" t="s">
        <v>4</v>
      </c>
      <c r="C263" s="100" t="s">
        <v>275</v>
      </c>
      <c r="D263" s="100"/>
      <c r="E263" s="100"/>
      <c r="F263" s="100"/>
      <c r="G263" s="100"/>
      <c r="H263" s="100"/>
      <c r="I263" s="100"/>
    </row>
    <row r="264" spans="1:152 16228:16384" ht="20.25" x14ac:dyDescent="0.25">
      <c r="A264" s="158" t="s">
        <v>81</v>
      </c>
      <c r="B264" s="158"/>
      <c r="C264" s="158"/>
      <c r="D264" s="158"/>
      <c r="E264" s="158"/>
      <c r="F264" s="158"/>
      <c r="G264" s="158"/>
      <c r="H264" s="158"/>
      <c r="I264" s="158"/>
    </row>
    <row r="265" spans="1:152 16228:16384" ht="20.25" x14ac:dyDescent="0.25">
      <c r="A265" s="86" t="s">
        <v>73</v>
      </c>
      <c r="B265" s="86"/>
      <c r="C265" s="86"/>
      <c r="D265" s="2" t="s">
        <v>4</v>
      </c>
      <c r="E265" s="98" t="str">
        <f>E3</f>
        <v>Hiranandani Fortune City - Golden Willows 
(Acacia, Orchid, Mayflower, Lavender &amp; Marigold)</v>
      </c>
      <c r="F265" s="125"/>
      <c r="G265" s="125"/>
      <c r="H265" s="125"/>
      <c r="I265" s="99"/>
      <c r="J265" s="1" t="s">
        <v>276</v>
      </c>
    </row>
    <row r="266" spans="1:152 16228:16384" ht="40.5" customHeight="1" x14ac:dyDescent="0.25">
      <c r="A266" s="86" t="s">
        <v>128</v>
      </c>
      <c r="B266" s="86"/>
      <c r="C266" s="86"/>
      <c r="D266" s="2" t="s">
        <v>4</v>
      </c>
      <c r="E266" s="98" t="str">
        <f>E9</f>
        <v>Acacia, Plot Bearing / CTS / Survey / Final Plot No.:  60/1 (Part) at Bhokarpada, Panvel, Raigarh, 410221</v>
      </c>
      <c r="F266" s="125"/>
      <c r="G266" s="125"/>
      <c r="H266" s="125"/>
      <c r="I266" s="99"/>
      <c r="J266" s="1" t="s">
        <v>277</v>
      </c>
    </row>
    <row r="267" spans="1:152 16228:16384" ht="20.25" customHeight="1" x14ac:dyDescent="0.25">
      <c r="A267" s="168" t="s">
        <v>134</v>
      </c>
      <c r="B267" s="168"/>
      <c r="C267" s="168"/>
      <c r="D267" s="16" t="s">
        <v>4</v>
      </c>
      <c r="E267" s="169" t="str">
        <f>I3</f>
        <v>04/07/2025   @12:24 PM</v>
      </c>
      <c r="F267" s="170"/>
      <c r="G267" s="170"/>
      <c r="H267" s="170"/>
      <c r="I267" s="171"/>
    </row>
    <row r="268" spans="1:152 16228:16384" ht="20.25" x14ac:dyDescent="0.25">
      <c r="A268" s="29"/>
      <c r="B268" s="30"/>
      <c r="C268" s="30"/>
      <c r="D268" s="30"/>
      <c r="E268" s="30"/>
      <c r="F268" s="30"/>
      <c r="G268" s="30"/>
      <c r="H268" s="30"/>
      <c r="I268" s="24"/>
    </row>
    <row r="269" spans="1:152 16228:16384" ht="20.25" x14ac:dyDescent="0.25">
      <c r="A269" s="31"/>
      <c r="B269" s="32"/>
      <c r="C269" s="32"/>
      <c r="D269" s="32"/>
      <c r="E269" s="32"/>
      <c r="F269" s="32"/>
      <c r="G269" s="32"/>
      <c r="H269" s="32"/>
      <c r="I269" s="25"/>
    </row>
    <row r="270" spans="1:152 16228:16384" ht="20.25" x14ac:dyDescent="0.25">
      <c r="A270" s="31"/>
      <c r="B270" s="32"/>
      <c r="C270" s="32"/>
      <c r="D270" s="32"/>
      <c r="E270" s="32"/>
      <c r="F270" s="32"/>
      <c r="G270" s="32"/>
      <c r="H270" s="32"/>
      <c r="I270" s="25"/>
    </row>
    <row r="271" spans="1:152 16228:16384" ht="20.25" x14ac:dyDescent="0.25">
      <c r="A271" s="31"/>
      <c r="B271" s="32"/>
      <c r="C271" s="32"/>
      <c r="D271" s="32"/>
      <c r="E271" s="32"/>
      <c r="F271" s="32"/>
      <c r="G271" s="32"/>
      <c r="H271" s="32"/>
      <c r="I271" s="25"/>
    </row>
    <row r="272" spans="1:152 16228:16384" ht="20.25" x14ac:dyDescent="0.25">
      <c r="A272" s="31"/>
      <c r="B272" s="32"/>
      <c r="C272" s="32"/>
      <c r="D272" s="32"/>
      <c r="E272" s="32"/>
      <c r="F272" s="32"/>
      <c r="G272" s="32"/>
      <c r="H272" s="32"/>
      <c r="I272" s="25"/>
    </row>
    <row r="273" spans="1:9" ht="20.25" x14ac:dyDescent="0.25">
      <c r="A273" s="31"/>
      <c r="B273" s="32"/>
      <c r="C273" s="32"/>
      <c r="D273" s="32"/>
      <c r="E273" s="32"/>
      <c r="F273" s="32"/>
      <c r="G273" s="32"/>
      <c r="H273" s="32"/>
      <c r="I273" s="25"/>
    </row>
    <row r="274" spans="1:9" ht="20.25" x14ac:dyDescent="0.25">
      <c r="A274" s="31"/>
      <c r="B274" s="32"/>
      <c r="C274" s="32"/>
      <c r="D274" s="32"/>
      <c r="E274" s="32"/>
      <c r="F274" s="32"/>
      <c r="G274" s="32"/>
      <c r="H274" s="32"/>
      <c r="I274" s="25"/>
    </row>
    <row r="275" spans="1:9" ht="20.25" x14ac:dyDescent="0.25">
      <c r="A275" s="31"/>
      <c r="B275" s="32"/>
      <c r="C275" s="32"/>
      <c r="D275" s="32"/>
      <c r="E275" s="32"/>
      <c r="F275" s="32"/>
      <c r="G275" s="32"/>
      <c r="H275" s="32"/>
      <c r="I275" s="25"/>
    </row>
    <row r="276" spans="1:9" ht="20.25" x14ac:dyDescent="0.25">
      <c r="A276" s="31"/>
      <c r="B276" s="32"/>
      <c r="C276" s="32"/>
      <c r="D276" s="32"/>
      <c r="E276" s="32"/>
      <c r="F276" s="32"/>
      <c r="G276" s="32"/>
      <c r="H276" s="32"/>
      <c r="I276" s="25"/>
    </row>
    <row r="277" spans="1:9" ht="20.25" x14ac:dyDescent="0.25">
      <c r="A277" s="31"/>
      <c r="B277" s="32"/>
      <c r="C277" s="32"/>
      <c r="D277" s="32"/>
      <c r="E277" s="32"/>
      <c r="F277" s="32"/>
      <c r="G277" s="32"/>
      <c r="H277" s="32"/>
      <c r="I277" s="25"/>
    </row>
    <row r="278" spans="1:9" ht="20.25" x14ac:dyDescent="0.25">
      <c r="A278" s="31"/>
      <c r="B278" s="32"/>
      <c r="C278" s="32"/>
      <c r="D278" s="32"/>
      <c r="E278" s="32"/>
      <c r="F278" s="32"/>
      <c r="G278" s="32"/>
      <c r="H278" s="32"/>
      <c r="I278" s="25"/>
    </row>
    <row r="279" spans="1:9" ht="20.25" x14ac:dyDescent="0.25">
      <c r="A279" s="31"/>
      <c r="B279" s="32"/>
      <c r="C279" s="32"/>
      <c r="D279" s="32"/>
      <c r="E279" s="32"/>
      <c r="F279" s="32"/>
      <c r="G279" s="32"/>
      <c r="H279" s="32"/>
      <c r="I279" s="25"/>
    </row>
    <row r="280" spans="1:9" ht="20.25" x14ac:dyDescent="0.25">
      <c r="A280" s="31"/>
      <c r="B280" s="32"/>
      <c r="C280" s="32"/>
      <c r="D280" s="32"/>
      <c r="E280" s="32"/>
      <c r="F280" s="32"/>
      <c r="G280" s="32"/>
      <c r="H280" s="32"/>
      <c r="I280" s="25"/>
    </row>
    <row r="281" spans="1:9" ht="20.25" x14ac:dyDescent="0.25">
      <c r="A281" s="31"/>
      <c r="B281" s="32"/>
      <c r="C281" s="32"/>
      <c r="D281" s="32"/>
      <c r="E281" s="32"/>
      <c r="F281" s="32"/>
      <c r="G281" s="32"/>
      <c r="H281" s="32"/>
      <c r="I281" s="25"/>
    </row>
    <row r="282" spans="1:9" ht="20.25" x14ac:dyDescent="0.25">
      <c r="A282" s="31"/>
      <c r="B282" s="32"/>
      <c r="C282" s="32"/>
      <c r="D282" s="32"/>
      <c r="E282" s="32"/>
      <c r="F282" s="32"/>
      <c r="G282" s="32"/>
      <c r="H282" s="32"/>
      <c r="I282" s="25"/>
    </row>
    <row r="283" spans="1:9" ht="20.25" x14ac:dyDescent="0.25">
      <c r="A283" s="31"/>
      <c r="B283" s="32"/>
      <c r="C283" s="32"/>
      <c r="D283" s="32"/>
      <c r="E283" s="32"/>
      <c r="F283" s="32"/>
      <c r="G283" s="32"/>
      <c r="H283" s="32"/>
      <c r="I283" s="25"/>
    </row>
    <row r="284" spans="1:9" ht="20.25" x14ac:dyDescent="0.25">
      <c r="A284" s="31"/>
      <c r="B284" s="32"/>
      <c r="C284" s="32"/>
      <c r="D284" s="32"/>
      <c r="E284" s="32"/>
      <c r="F284" s="32"/>
      <c r="G284" s="32"/>
      <c r="H284" s="32"/>
      <c r="I284" s="25"/>
    </row>
    <row r="285" spans="1:9" ht="20.25" x14ac:dyDescent="0.25">
      <c r="A285" s="31"/>
      <c r="B285" s="32"/>
      <c r="C285" s="32"/>
      <c r="D285" s="32"/>
      <c r="E285" s="32"/>
      <c r="F285" s="32"/>
      <c r="G285" s="32"/>
      <c r="H285" s="32"/>
      <c r="I285" s="25"/>
    </row>
    <row r="286" spans="1:9" ht="20.25" x14ac:dyDescent="0.25">
      <c r="A286" s="31"/>
      <c r="B286" s="32"/>
      <c r="C286" s="32"/>
      <c r="D286" s="32"/>
      <c r="E286" s="32"/>
      <c r="F286" s="32"/>
      <c r="G286" s="32"/>
      <c r="H286" s="32"/>
      <c r="I286" s="25"/>
    </row>
    <row r="287" spans="1:9" ht="20.25" x14ac:dyDescent="0.25">
      <c r="A287" s="31"/>
      <c r="B287" s="32"/>
      <c r="C287" s="32"/>
      <c r="D287" s="32"/>
      <c r="E287" s="32"/>
      <c r="F287" s="32"/>
      <c r="G287" s="32"/>
      <c r="H287" s="32"/>
      <c r="I287" s="25"/>
    </row>
    <row r="288" spans="1:9" ht="20.25" x14ac:dyDescent="0.25">
      <c r="A288" s="31"/>
      <c r="B288" s="32"/>
      <c r="C288" s="32"/>
      <c r="D288" s="32"/>
      <c r="E288" s="32"/>
      <c r="F288" s="32"/>
      <c r="G288" s="32"/>
      <c r="H288" s="32"/>
      <c r="I288" s="25"/>
    </row>
    <row r="289" spans="1:9" ht="20.25" x14ac:dyDescent="0.25">
      <c r="A289" s="31"/>
      <c r="B289" s="32"/>
      <c r="C289" s="32"/>
      <c r="D289" s="32"/>
      <c r="E289" s="32"/>
      <c r="F289" s="32"/>
      <c r="G289" s="32"/>
      <c r="H289" s="32"/>
      <c r="I289" s="25"/>
    </row>
    <row r="290" spans="1:9" ht="20.25" x14ac:dyDescent="0.25">
      <c r="A290" s="31"/>
      <c r="B290" s="32"/>
      <c r="C290" s="32"/>
      <c r="D290" s="32"/>
      <c r="E290" s="32"/>
      <c r="F290" s="32"/>
      <c r="G290" s="32"/>
      <c r="H290" s="32"/>
      <c r="I290" s="25"/>
    </row>
    <row r="291" spans="1:9" ht="20.25" x14ac:dyDescent="0.25">
      <c r="A291" s="31"/>
      <c r="B291" s="32"/>
      <c r="C291" s="32"/>
      <c r="D291" s="32"/>
      <c r="E291" s="32"/>
      <c r="F291" s="32"/>
      <c r="G291" s="32"/>
      <c r="H291" s="32"/>
      <c r="I291" s="25"/>
    </row>
    <row r="292" spans="1:9" ht="20.25" x14ac:dyDescent="0.25">
      <c r="A292" s="31"/>
      <c r="B292" s="32"/>
      <c r="C292" s="32"/>
      <c r="D292" s="32"/>
      <c r="E292" s="32"/>
      <c r="F292" s="32"/>
      <c r="G292" s="32"/>
      <c r="H292" s="32"/>
      <c r="I292" s="25"/>
    </row>
    <row r="293" spans="1:9" ht="20.25" x14ac:dyDescent="0.25">
      <c r="A293" s="31"/>
      <c r="B293" s="32"/>
      <c r="C293" s="32"/>
      <c r="D293" s="32"/>
      <c r="E293" s="32"/>
      <c r="F293" s="32"/>
      <c r="G293" s="32"/>
      <c r="H293" s="32"/>
      <c r="I293" s="25"/>
    </row>
    <row r="294" spans="1:9" ht="20.25" x14ac:dyDescent="0.25">
      <c r="A294" s="31"/>
      <c r="B294" s="32"/>
      <c r="C294" s="32"/>
      <c r="D294" s="32"/>
      <c r="E294" s="32"/>
      <c r="F294" s="32"/>
      <c r="G294" s="32"/>
      <c r="H294" s="32"/>
      <c r="I294" s="25"/>
    </row>
    <row r="295" spans="1:9" ht="20.25" x14ac:dyDescent="0.25">
      <c r="A295" s="31"/>
      <c r="B295" s="32"/>
      <c r="C295" s="32"/>
      <c r="D295" s="32"/>
      <c r="E295" s="32"/>
      <c r="F295" s="32"/>
      <c r="G295" s="32"/>
      <c r="H295" s="32"/>
      <c r="I295" s="25"/>
    </row>
    <row r="296" spans="1:9" ht="20.25" x14ac:dyDescent="0.25">
      <c r="A296" s="31"/>
      <c r="B296" s="32"/>
      <c r="C296" s="32"/>
      <c r="D296" s="32"/>
      <c r="E296" s="32"/>
      <c r="F296" s="32"/>
      <c r="G296" s="32"/>
      <c r="H296" s="32"/>
      <c r="I296" s="25"/>
    </row>
    <row r="297" spans="1:9" ht="20.25" x14ac:dyDescent="0.25">
      <c r="A297" s="31"/>
      <c r="B297" s="32"/>
      <c r="C297" s="32"/>
      <c r="D297" s="32"/>
      <c r="E297" s="32"/>
      <c r="F297" s="32"/>
      <c r="G297" s="32"/>
      <c r="H297" s="32"/>
      <c r="I297" s="25"/>
    </row>
    <row r="298" spans="1:9" ht="20.25" x14ac:dyDescent="0.25">
      <c r="A298" s="31"/>
      <c r="B298" s="32"/>
      <c r="C298" s="32"/>
      <c r="D298" s="32"/>
      <c r="E298" s="32"/>
      <c r="F298" s="32"/>
      <c r="G298" s="32"/>
      <c r="H298" s="32"/>
      <c r="I298" s="25"/>
    </row>
    <row r="299" spans="1:9" ht="20.25" x14ac:dyDescent="0.25">
      <c r="A299" s="31"/>
      <c r="B299" s="32"/>
      <c r="C299" s="32"/>
      <c r="D299" s="32"/>
      <c r="E299" s="32"/>
      <c r="F299" s="32"/>
      <c r="G299" s="32"/>
      <c r="H299" s="32"/>
      <c r="I299" s="25"/>
    </row>
    <row r="300" spans="1:9" ht="20.25" x14ac:dyDescent="0.25">
      <c r="A300" s="31"/>
      <c r="B300" s="32"/>
      <c r="C300" s="32"/>
      <c r="D300" s="32"/>
      <c r="E300" s="32"/>
      <c r="F300" s="32"/>
      <c r="G300" s="32"/>
      <c r="H300" s="32"/>
      <c r="I300" s="25"/>
    </row>
    <row r="301" spans="1:9" ht="20.25" x14ac:dyDescent="0.25">
      <c r="A301" s="31"/>
      <c r="B301" s="32"/>
      <c r="C301" s="32"/>
      <c r="D301" s="32"/>
      <c r="E301" s="32"/>
      <c r="F301" s="32"/>
      <c r="G301" s="32"/>
      <c r="H301" s="32"/>
      <c r="I301" s="25"/>
    </row>
    <row r="302" spans="1:9" ht="20.25" x14ac:dyDescent="0.25">
      <c r="A302" s="31"/>
      <c r="B302" s="32"/>
      <c r="C302" s="32"/>
      <c r="D302" s="32"/>
      <c r="E302" s="32"/>
      <c r="F302" s="32"/>
      <c r="G302" s="32"/>
      <c r="H302" s="32"/>
      <c r="I302" s="25"/>
    </row>
    <row r="303" spans="1:9" ht="20.25" x14ac:dyDescent="0.25">
      <c r="A303" s="31"/>
      <c r="B303" s="32"/>
      <c r="C303" s="32"/>
      <c r="D303" s="32"/>
      <c r="E303" s="32"/>
      <c r="F303" s="32"/>
      <c r="G303" s="32"/>
      <c r="H303" s="32"/>
      <c r="I303" s="25"/>
    </row>
    <row r="304" spans="1:9" ht="20.25" x14ac:dyDescent="0.25">
      <c r="A304" s="31"/>
      <c r="B304" s="32"/>
      <c r="C304" s="32"/>
      <c r="D304" s="32"/>
      <c r="E304" s="32"/>
      <c r="F304" s="32"/>
      <c r="G304" s="32"/>
      <c r="H304" s="32"/>
      <c r="I304" s="25"/>
    </row>
    <row r="305" spans="1:9" ht="20.25" x14ac:dyDescent="0.25">
      <c r="A305" s="31"/>
      <c r="B305" s="32"/>
      <c r="C305" s="32"/>
      <c r="D305" s="32"/>
      <c r="E305" s="32"/>
      <c r="F305" s="32"/>
      <c r="G305" s="32"/>
      <c r="H305" s="32"/>
      <c r="I305" s="25"/>
    </row>
    <row r="306" spans="1:9" ht="20.25" x14ac:dyDescent="0.25">
      <c r="A306" s="31"/>
      <c r="B306" s="32"/>
      <c r="C306" s="32"/>
      <c r="D306" s="32"/>
      <c r="E306" s="32"/>
      <c r="F306" s="32"/>
      <c r="G306" s="32"/>
      <c r="H306" s="32"/>
      <c r="I306" s="25"/>
    </row>
    <row r="307" spans="1:9" ht="20.25" x14ac:dyDescent="0.25">
      <c r="A307" s="31"/>
      <c r="B307" s="32"/>
      <c r="C307" s="32"/>
      <c r="D307" s="32"/>
      <c r="E307" s="32"/>
      <c r="F307" s="32"/>
      <c r="G307" s="32"/>
      <c r="H307" s="32"/>
      <c r="I307" s="25"/>
    </row>
    <row r="308" spans="1:9" ht="20.25" hidden="1" x14ac:dyDescent="0.25">
      <c r="A308" s="31"/>
      <c r="B308" s="32"/>
      <c r="C308" s="32"/>
      <c r="D308" s="32"/>
      <c r="E308" s="32"/>
      <c r="F308" s="32"/>
      <c r="G308" s="32"/>
      <c r="H308" s="32"/>
      <c r="I308" s="25"/>
    </row>
    <row r="309" spans="1:9" ht="20.25" hidden="1" x14ac:dyDescent="0.25">
      <c r="A309" s="31"/>
      <c r="B309" s="32"/>
      <c r="C309" s="32"/>
      <c r="D309" s="32"/>
      <c r="E309" s="32"/>
      <c r="F309" s="32"/>
      <c r="G309" s="32"/>
      <c r="H309" s="32"/>
      <c r="I309" s="25"/>
    </row>
    <row r="310" spans="1:9" ht="20.25" hidden="1" x14ac:dyDescent="0.25">
      <c r="A310" s="31"/>
      <c r="B310" s="32"/>
      <c r="C310" s="32"/>
      <c r="D310" s="32"/>
      <c r="E310" s="32"/>
      <c r="F310" s="32"/>
      <c r="G310" s="32"/>
      <c r="H310" s="32"/>
      <c r="I310" s="25"/>
    </row>
    <row r="311" spans="1:9" ht="20.25" hidden="1" x14ac:dyDescent="0.25">
      <c r="A311" s="31"/>
      <c r="B311" s="32"/>
      <c r="C311" s="32"/>
      <c r="D311" s="32"/>
      <c r="E311" s="32"/>
      <c r="F311" s="32"/>
      <c r="G311" s="32"/>
      <c r="H311" s="32"/>
      <c r="I311" s="25"/>
    </row>
    <row r="312" spans="1:9" ht="20.25" hidden="1" x14ac:dyDescent="0.25">
      <c r="A312" s="31"/>
      <c r="B312" s="32"/>
      <c r="C312" s="32"/>
      <c r="D312" s="32"/>
      <c r="E312" s="32"/>
      <c r="F312" s="32"/>
      <c r="G312" s="32"/>
      <c r="H312" s="32"/>
      <c r="I312" s="25"/>
    </row>
    <row r="313" spans="1:9" ht="20.25" x14ac:dyDescent="0.25">
      <c r="A313" s="33"/>
      <c r="B313" s="34"/>
      <c r="C313" s="34"/>
      <c r="D313" s="34"/>
      <c r="E313" s="34"/>
      <c r="F313" s="34"/>
      <c r="G313" s="34"/>
      <c r="H313" s="34"/>
      <c r="I313" s="26"/>
    </row>
    <row r="314" spans="1:9" ht="20.25" x14ac:dyDescent="0.25">
      <c r="A314" s="172" t="s">
        <v>183</v>
      </c>
      <c r="B314" s="173"/>
      <c r="C314" s="173"/>
      <c r="D314" s="173"/>
      <c r="E314" s="173"/>
      <c r="F314" s="173"/>
      <c r="G314" s="173"/>
      <c r="H314" s="173"/>
      <c r="I314" s="174"/>
    </row>
    <row r="315" spans="1:9" ht="20.25" x14ac:dyDescent="0.25">
      <c r="A315" s="29"/>
      <c r="B315" s="30"/>
      <c r="C315" s="30"/>
      <c r="D315" s="30"/>
      <c r="E315" s="30"/>
      <c r="F315" s="30"/>
      <c r="G315" s="30"/>
      <c r="H315" s="30"/>
      <c r="I315" s="24"/>
    </row>
    <row r="316" spans="1:9" ht="20.25" x14ac:dyDescent="0.25">
      <c r="A316" s="31"/>
      <c r="B316" s="72"/>
      <c r="C316" s="72"/>
      <c r="D316" s="72"/>
      <c r="E316" s="72"/>
      <c r="F316" s="72"/>
      <c r="G316" s="72"/>
      <c r="H316" s="72"/>
      <c r="I316" s="25"/>
    </row>
    <row r="317" spans="1:9" ht="20.25" x14ac:dyDescent="0.25">
      <c r="A317" s="31"/>
      <c r="B317" s="72"/>
      <c r="C317" s="72"/>
      <c r="D317" s="72"/>
      <c r="E317" s="72"/>
      <c r="F317" s="72"/>
      <c r="G317" s="72"/>
      <c r="H317" s="72"/>
      <c r="I317" s="25"/>
    </row>
    <row r="318" spans="1:9" ht="20.25" x14ac:dyDescent="0.25">
      <c r="A318" s="31"/>
      <c r="B318" s="72"/>
      <c r="C318" s="72"/>
      <c r="D318" s="72"/>
      <c r="E318" s="72"/>
      <c r="F318" s="72"/>
      <c r="G318" s="72"/>
      <c r="H318" s="72"/>
      <c r="I318" s="25"/>
    </row>
    <row r="319" spans="1:9" ht="20.25" x14ac:dyDescent="0.25">
      <c r="A319" s="31"/>
      <c r="B319" s="72"/>
      <c r="C319" s="72"/>
      <c r="D319" s="72"/>
      <c r="E319" s="72"/>
      <c r="F319" s="72"/>
      <c r="G319" s="72"/>
      <c r="H319" s="72"/>
      <c r="I319" s="25"/>
    </row>
    <row r="320" spans="1:9" ht="20.25" x14ac:dyDescent="0.25">
      <c r="A320" s="31"/>
      <c r="B320" s="72"/>
      <c r="C320" s="72"/>
      <c r="D320" s="72"/>
      <c r="E320" s="72"/>
      <c r="F320" s="72"/>
      <c r="G320" s="72"/>
      <c r="H320" s="72"/>
      <c r="I320" s="25"/>
    </row>
    <row r="321" spans="1:9" ht="20.25" x14ac:dyDescent="0.25">
      <c r="A321" s="31"/>
      <c r="B321" s="72"/>
      <c r="C321" s="72"/>
      <c r="D321" s="72"/>
      <c r="E321" s="72"/>
      <c r="F321" s="72"/>
      <c r="G321" s="72"/>
      <c r="H321" s="72"/>
      <c r="I321" s="25"/>
    </row>
    <row r="322" spans="1:9" ht="20.25" x14ac:dyDescent="0.25">
      <c r="A322" s="31"/>
      <c r="B322" s="72"/>
      <c r="C322" s="72"/>
      <c r="D322" s="72"/>
      <c r="E322" s="72"/>
      <c r="F322" s="72"/>
      <c r="G322" s="72"/>
      <c r="H322" s="72"/>
      <c r="I322" s="25"/>
    </row>
    <row r="323" spans="1:9" ht="20.25" x14ac:dyDescent="0.25">
      <c r="A323" s="31"/>
      <c r="B323" s="72"/>
      <c r="C323" s="72"/>
      <c r="D323" s="72"/>
      <c r="E323" s="72"/>
      <c r="F323" s="72"/>
      <c r="G323" s="72"/>
      <c r="H323" s="72"/>
      <c r="I323" s="25"/>
    </row>
    <row r="324" spans="1:9" ht="20.25" x14ac:dyDescent="0.25">
      <c r="A324" s="31"/>
      <c r="B324" s="72"/>
      <c r="C324" s="72"/>
      <c r="D324" s="72"/>
      <c r="E324" s="72"/>
      <c r="F324" s="72"/>
      <c r="G324" s="72"/>
      <c r="H324" s="72"/>
      <c r="I324" s="25"/>
    </row>
    <row r="325" spans="1:9" ht="20.25" x14ac:dyDescent="0.25">
      <c r="A325" s="31"/>
      <c r="B325" s="72"/>
      <c r="C325" s="72"/>
      <c r="D325" s="72"/>
      <c r="E325" s="72"/>
      <c r="F325" s="72"/>
      <c r="G325" s="72"/>
      <c r="H325" s="72"/>
      <c r="I325" s="25"/>
    </row>
    <row r="326" spans="1:9" ht="20.25" x14ac:dyDescent="0.25">
      <c r="A326" s="31"/>
      <c r="B326" s="72"/>
      <c r="C326" s="72"/>
      <c r="D326" s="72"/>
      <c r="E326" s="72"/>
      <c r="F326" s="72"/>
      <c r="G326" s="72"/>
      <c r="H326" s="72"/>
      <c r="I326" s="25"/>
    </row>
    <row r="327" spans="1:9" ht="20.25" x14ac:dyDescent="0.25">
      <c r="A327" s="31"/>
      <c r="B327" s="72"/>
      <c r="C327" s="72"/>
      <c r="D327" s="72"/>
      <c r="E327" s="72"/>
      <c r="F327" s="72"/>
      <c r="G327" s="72"/>
      <c r="H327" s="72"/>
      <c r="I327" s="25"/>
    </row>
    <row r="328" spans="1:9" ht="20.25" x14ac:dyDescent="0.25">
      <c r="A328" s="31"/>
      <c r="B328" s="72"/>
      <c r="C328" s="72"/>
      <c r="D328" s="72"/>
      <c r="E328" s="72"/>
      <c r="F328" s="72"/>
      <c r="G328" s="72"/>
      <c r="H328" s="72"/>
      <c r="I328" s="25"/>
    </row>
    <row r="329" spans="1:9" ht="20.25" x14ac:dyDescent="0.25">
      <c r="A329" s="31"/>
      <c r="B329" s="72"/>
      <c r="C329" s="72"/>
      <c r="D329" s="72"/>
      <c r="E329" s="72"/>
      <c r="F329" s="72"/>
      <c r="G329" s="72"/>
      <c r="H329" s="72"/>
      <c r="I329" s="25"/>
    </row>
    <row r="330" spans="1:9" ht="20.25" x14ac:dyDescent="0.25">
      <c r="A330" s="31"/>
      <c r="B330" s="72"/>
      <c r="C330" s="72"/>
      <c r="D330" s="72"/>
      <c r="E330" s="72"/>
      <c r="F330" s="72"/>
      <c r="G330" s="72"/>
      <c r="H330" s="72"/>
      <c r="I330" s="25"/>
    </row>
    <row r="331" spans="1:9" ht="20.25" x14ac:dyDescent="0.25">
      <c r="A331" s="31"/>
      <c r="B331" s="72"/>
      <c r="C331" s="72"/>
      <c r="D331" s="72"/>
      <c r="E331" s="72"/>
      <c r="F331" s="72"/>
      <c r="G331" s="72"/>
      <c r="H331" s="72"/>
      <c r="I331" s="25"/>
    </row>
    <row r="332" spans="1:9" ht="20.25" x14ac:dyDescent="0.25">
      <c r="A332" s="31"/>
      <c r="B332" s="72"/>
      <c r="C332" s="72"/>
      <c r="D332" s="72"/>
      <c r="E332" s="72"/>
      <c r="F332" s="72"/>
      <c r="G332" s="72"/>
      <c r="H332" s="72"/>
      <c r="I332" s="25"/>
    </row>
    <row r="333" spans="1:9" ht="20.25" x14ac:dyDescent="0.25">
      <c r="A333" s="31"/>
      <c r="B333" s="72"/>
      <c r="C333" s="72"/>
      <c r="D333" s="72"/>
      <c r="E333" s="72"/>
      <c r="F333" s="72"/>
      <c r="G333" s="72"/>
      <c r="H333" s="72"/>
      <c r="I333" s="25"/>
    </row>
    <row r="334" spans="1:9" ht="20.25" x14ac:dyDescent="0.25">
      <c r="A334" s="31"/>
      <c r="B334" s="72"/>
      <c r="C334" s="72"/>
      <c r="D334" s="72"/>
      <c r="E334" s="72"/>
      <c r="F334" s="72"/>
      <c r="G334" s="72"/>
      <c r="H334" s="72"/>
      <c r="I334" s="25"/>
    </row>
    <row r="335" spans="1:9" ht="20.25" x14ac:dyDescent="0.25">
      <c r="A335" s="31"/>
      <c r="B335" s="72"/>
      <c r="C335" s="72"/>
      <c r="D335" s="72"/>
      <c r="E335" s="72"/>
      <c r="F335" s="72"/>
      <c r="G335" s="72"/>
      <c r="H335" s="72"/>
      <c r="I335" s="25"/>
    </row>
    <row r="336" spans="1:9" ht="20.25" x14ac:dyDescent="0.25">
      <c r="A336" s="31"/>
      <c r="B336" s="72"/>
      <c r="C336" s="72"/>
      <c r="D336" s="72"/>
      <c r="E336" s="72"/>
      <c r="F336" s="72"/>
      <c r="G336" s="72"/>
      <c r="H336" s="72"/>
      <c r="I336" s="25"/>
    </row>
    <row r="337" spans="1:9" ht="20.25" x14ac:dyDescent="0.25">
      <c r="A337" s="31"/>
      <c r="B337" s="72"/>
      <c r="C337" s="72"/>
      <c r="D337" s="72"/>
      <c r="E337" s="72"/>
      <c r="F337" s="72"/>
      <c r="G337" s="72"/>
      <c r="H337" s="72"/>
      <c r="I337" s="25"/>
    </row>
    <row r="338" spans="1:9" ht="20.25" x14ac:dyDescent="0.25">
      <c r="A338" s="31"/>
      <c r="B338" s="72"/>
      <c r="C338" s="72"/>
      <c r="D338" s="72"/>
      <c r="E338" s="72"/>
      <c r="F338" s="72"/>
      <c r="G338" s="72"/>
      <c r="H338" s="72"/>
      <c r="I338" s="25"/>
    </row>
    <row r="339" spans="1:9" ht="20.25" x14ac:dyDescent="0.25">
      <c r="A339" s="31"/>
      <c r="B339" s="72"/>
      <c r="C339" s="72"/>
      <c r="D339" s="72"/>
      <c r="E339" s="72"/>
      <c r="F339" s="72"/>
      <c r="G339" s="72"/>
      <c r="H339" s="72"/>
      <c r="I339" s="25"/>
    </row>
    <row r="340" spans="1:9" ht="20.25" x14ac:dyDescent="0.25">
      <c r="A340" s="31"/>
      <c r="B340" s="72"/>
      <c r="C340" s="72"/>
      <c r="D340" s="72"/>
      <c r="E340" s="72"/>
      <c r="F340" s="72"/>
      <c r="G340" s="72"/>
      <c r="H340" s="72"/>
      <c r="I340" s="25"/>
    </row>
    <row r="341" spans="1:9" ht="20.25" x14ac:dyDescent="0.25">
      <c r="A341" s="31"/>
      <c r="B341" s="72"/>
      <c r="C341" s="72"/>
      <c r="D341" s="72"/>
      <c r="E341" s="72"/>
      <c r="F341" s="72"/>
      <c r="G341" s="72"/>
      <c r="H341" s="72"/>
      <c r="I341" s="25"/>
    </row>
    <row r="342" spans="1:9" ht="20.25" x14ac:dyDescent="0.25">
      <c r="A342" s="31"/>
      <c r="B342" s="72"/>
      <c r="C342" s="72"/>
      <c r="D342" s="72"/>
      <c r="E342" s="72"/>
      <c r="F342" s="72"/>
      <c r="G342" s="72"/>
      <c r="H342" s="72"/>
      <c r="I342" s="25"/>
    </row>
    <row r="343" spans="1:9" ht="20.25" x14ac:dyDescent="0.25">
      <c r="A343" s="31"/>
      <c r="B343" s="72"/>
      <c r="C343" s="72"/>
      <c r="D343" s="72"/>
      <c r="E343" s="72"/>
      <c r="F343" s="72"/>
      <c r="G343" s="72"/>
      <c r="H343" s="72"/>
      <c r="I343" s="25"/>
    </row>
    <row r="344" spans="1:9" ht="20.25" x14ac:dyDescent="0.25">
      <c r="A344" s="31"/>
      <c r="B344" s="72"/>
      <c r="C344" s="72"/>
      <c r="D344" s="72"/>
      <c r="E344" s="72"/>
      <c r="F344" s="72"/>
      <c r="G344" s="72"/>
      <c r="H344" s="72"/>
      <c r="I344" s="25"/>
    </row>
    <row r="345" spans="1:9" ht="20.25" x14ac:dyDescent="0.25">
      <c r="A345" s="31"/>
      <c r="B345" s="72"/>
      <c r="C345" s="72"/>
      <c r="D345" s="72"/>
      <c r="E345" s="72"/>
      <c r="F345" s="72"/>
      <c r="G345" s="72"/>
      <c r="H345" s="72"/>
      <c r="I345" s="25"/>
    </row>
    <row r="346" spans="1:9" ht="20.25" x14ac:dyDescent="0.25">
      <c r="A346" s="31"/>
      <c r="B346" s="72"/>
      <c r="C346" s="72"/>
      <c r="D346" s="72"/>
      <c r="E346" s="72"/>
      <c r="F346" s="72"/>
      <c r="G346" s="72"/>
      <c r="H346" s="72"/>
      <c r="I346" s="25"/>
    </row>
    <row r="347" spans="1:9" ht="20.25" x14ac:dyDescent="0.25">
      <c r="A347" s="31"/>
      <c r="B347" s="72"/>
      <c r="C347" s="72"/>
      <c r="D347" s="72"/>
      <c r="E347" s="72"/>
      <c r="F347" s="72"/>
      <c r="G347" s="72"/>
      <c r="H347" s="72"/>
      <c r="I347" s="25"/>
    </row>
    <row r="348" spans="1:9" ht="20.25" x14ac:dyDescent="0.25">
      <c r="A348" s="31"/>
      <c r="B348" s="72"/>
      <c r="C348" s="72"/>
      <c r="D348" s="72"/>
      <c r="E348" s="72"/>
      <c r="F348" s="72"/>
      <c r="G348" s="72"/>
      <c r="H348" s="72"/>
      <c r="I348" s="25"/>
    </row>
    <row r="349" spans="1:9" ht="20.25" x14ac:dyDescent="0.25">
      <c r="A349" s="31"/>
      <c r="B349" s="72"/>
      <c r="C349" s="72"/>
      <c r="D349" s="72"/>
      <c r="E349" s="72"/>
      <c r="F349" s="72"/>
      <c r="G349" s="72"/>
      <c r="H349" s="72"/>
      <c r="I349" s="25"/>
    </row>
    <row r="350" spans="1:9" ht="20.25" x14ac:dyDescent="0.25">
      <c r="A350" s="31"/>
      <c r="B350" s="72"/>
      <c r="C350" s="72"/>
      <c r="D350" s="72"/>
      <c r="E350" s="72"/>
      <c r="F350" s="72"/>
      <c r="G350" s="72"/>
      <c r="H350" s="72"/>
      <c r="I350" s="25"/>
    </row>
    <row r="351" spans="1:9" ht="20.25" x14ac:dyDescent="0.25">
      <c r="A351" s="31"/>
      <c r="B351" s="72"/>
      <c r="C351" s="72"/>
      <c r="D351" s="72"/>
      <c r="E351" s="72"/>
      <c r="F351" s="72"/>
      <c r="G351" s="72"/>
      <c r="H351" s="72"/>
      <c r="I351" s="25"/>
    </row>
    <row r="352" spans="1:9" ht="20.25" x14ac:dyDescent="0.25">
      <c r="A352" s="31"/>
      <c r="B352" s="72"/>
      <c r="C352" s="72"/>
      <c r="D352" s="72"/>
      <c r="E352" s="72"/>
      <c r="F352" s="72"/>
      <c r="G352" s="72"/>
      <c r="H352" s="72"/>
      <c r="I352" s="25"/>
    </row>
    <row r="353" spans="1:9" ht="20.25" x14ac:dyDescent="0.25">
      <c r="A353" s="31"/>
      <c r="B353" s="72"/>
      <c r="C353" s="72"/>
      <c r="D353" s="72"/>
      <c r="E353" s="72"/>
      <c r="F353" s="72"/>
      <c r="G353" s="72"/>
      <c r="H353" s="72"/>
      <c r="I353" s="25"/>
    </row>
    <row r="354" spans="1:9" ht="20.25" x14ac:dyDescent="0.25">
      <c r="A354" s="31"/>
      <c r="B354" s="72"/>
      <c r="C354" s="72"/>
      <c r="D354" s="72"/>
      <c r="E354" s="72"/>
      <c r="F354" s="72"/>
      <c r="G354" s="72"/>
      <c r="H354" s="72"/>
      <c r="I354" s="25"/>
    </row>
    <row r="355" spans="1:9" ht="20.25" x14ac:dyDescent="0.25">
      <c r="A355" s="31"/>
      <c r="B355" s="72"/>
      <c r="C355" s="72"/>
      <c r="D355" s="72"/>
      <c r="E355" s="72"/>
      <c r="F355" s="72"/>
      <c r="G355" s="72"/>
      <c r="H355" s="72"/>
      <c r="I355" s="25"/>
    </row>
    <row r="356" spans="1:9" ht="20.25" x14ac:dyDescent="0.25">
      <c r="A356" s="31"/>
      <c r="B356" s="72"/>
      <c r="C356" s="72"/>
      <c r="D356" s="72"/>
      <c r="E356" s="72"/>
      <c r="F356" s="72"/>
      <c r="G356" s="72"/>
      <c r="H356" s="72"/>
      <c r="I356" s="25"/>
    </row>
    <row r="357" spans="1:9" ht="20.25" x14ac:dyDescent="0.25">
      <c r="A357" s="31"/>
      <c r="B357" s="72"/>
      <c r="C357" s="72"/>
      <c r="D357" s="72"/>
      <c r="E357" s="72"/>
      <c r="F357" s="72"/>
      <c r="G357" s="72"/>
      <c r="H357" s="72"/>
      <c r="I357" s="25"/>
    </row>
    <row r="358" spans="1:9" ht="20.25" x14ac:dyDescent="0.25">
      <c r="A358" s="31"/>
      <c r="B358" s="72"/>
      <c r="C358" s="72"/>
      <c r="D358" s="72"/>
      <c r="E358" s="72"/>
      <c r="F358" s="72"/>
      <c r="G358" s="72"/>
      <c r="H358" s="72"/>
      <c r="I358" s="25"/>
    </row>
    <row r="359" spans="1:9" ht="20.25" x14ac:dyDescent="0.25">
      <c r="A359" s="31"/>
      <c r="B359" s="72"/>
      <c r="C359" s="72"/>
      <c r="D359" s="72"/>
      <c r="E359" s="72"/>
      <c r="F359" s="72"/>
      <c r="G359" s="72"/>
      <c r="H359" s="72"/>
      <c r="I359" s="25"/>
    </row>
    <row r="360" spans="1:9" ht="20.25" x14ac:dyDescent="0.25">
      <c r="A360" s="31"/>
      <c r="B360" s="72"/>
      <c r="C360" s="72"/>
      <c r="D360" s="72"/>
      <c r="E360" s="72"/>
      <c r="F360" s="72"/>
      <c r="G360" s="72"/>
      <c r="H360" s="72"/>
      <c r="I360" s="25"/>
    </row>
    <row r="361" spans="1:9" ht="20.25" x14ac:dyDescent="0.25">
      <c r="A361" s="33"/>
      <c r="B361" s="34"/>
      <c r="C361" s="34"/>
      <c r="D361" s="34"/>
      <c r="E361" s="34"/>
      <c r="F361" s="34"/>
      <c r="G361" s="34"/>
      <c r="H361" s="34"/>
      <c r="I361" s="26"/>
    </row>
    <row r="362" spans="1:9" ht="20.25" x14ac:dyDescent="0.25">
      <c r="A362" s="132" t="s">
        <v>82</v>
      </c>
      <c r="B362" s="133"/>
      <c r="C362" s="133"/>
      <c r="D362" s="133"/>
      <c r="E362" s="133"/>
      <c r="F362" s="133"/>
      <c r="G362" s="133"/>
      <c r="H362" s="133"/>
      <c r="I362" s="134"/>
    </row>
    <row r="363" spans="1:9" ht="20.25" x14ac:dyDescent="0.25">
      <c r="A363" s="29"/>
      <c r="B363" s="30"/>
      <c r="C363" s="30"/>
      <c r="D363" s="30"/>
      <c r="E363" s="30"/>
      <c r="F363" s="30"/>
      <c r="G363" s="30"/>
      <c r="H363" s="30"/>
      <c r="I363" s="24"/>
    </row>
    <row r="364" spans="1:9" ht="20.25" x14ac:dyDescent="0.25">
      <c r="A364" s="31"/>
      <c r="B364" s="32"/>
      <c r="C364" s="32"/>
      <c r="D364" s="32"/>
      <c r="E364" s="32"/>
      <c r="F364" s="32"/>
      <c r="G364" s="32"/>
      <c r="H364" s="32"/>
      <c r="I364" s="25"/>
    </row>
    <row r="365" spans="1:9" ht="20.25" x14ac:dyDescent="0.25">
      <c r="A365" s="31"/>
      <c r="B365" s="32"/>
      <c r="C365" s="32"/>
      <c r="D365" s="32"/>
      <c r="E365" s="32"/>
      <c r="F365" s="32"/>
      <c r="G365" s="32"/>
      <c r="H365" s="32"/>
      <c r="I365" s="25"/>
    </row>
    <row r="366" spans="1:9" ht="20.25" x14ac:dyDescent="0.25">
      <c r="A366" s="31"/>
      <c r="B366" s="32"/>
      <c r="C366" s="32"/>
      <c r="D366" s="32"/>
      <c r="E366" s="32"/>
      <c r="F366" s="32"/>
      <c r="G366" s="32"/>
      <c r="H366" s="32"/>
      <c r="I366" s="25"/>
    </row>
    <row r="367" spans="1:9" ht="20.25" x14ac:dyDescent="0.25">
      <c r="A367" s="31"/>
      <c r="B367" s="32"/>
      <c r="C367" s="32"/>
      <c r="D367" s="32"/>
      <c r="E367" s="32"/>
      <c r="F367" s="32"/>
      <c r="G367" s="32"/>
      <c r="H367" s="32"/>
      <c r="I367" s="25"/>
    </row>
    <row r="368" spans="1:9" ht="20.25" x14ac:dyDescent="0.25">
      <c r="A368" s="31"/>
      <c r="B368" s="32"/>
      <c r="C368" s="32"/>
      <c r="D368" s="32"/>
      <c r="E368" s="32"/>
      <c r="F368" s="32"/>
      <c r="G368" s="32"/>
      <c r="H368" s="32"/>
      <c r="I368" s="25"/>
    </row>
    <row r="369" spans="1:9" ht="20.25" x14ac:dyDescent="0.25">
      <c r="A369" s="31"/>
      <c r="B369" s="32"/>
      <c r="C369" s="32"/>
      <c r="D369" s="32"/>
      <c r="E369" s="32"/>
      <c r="F369" s="32"/>
      <c r="G369" s="32"/>
      <c r="H369" s="32"/>
      <c r="I369" s="25"/>
    </row>
    <row r="370" spans="1:9" ht="20.25" x14ac:dyDescent="0.25">
      <c r="A370" s="31"/>
      <c r="B370" s="32"/>
      <c r="C370" s="32"/>
      <c r="D370" s="32"/>
      <c r="E370" s="32"/>
      <c r="F370" s="32"/>
      <c r="G370" s="32"/>
      <c r="H370" s="32"/>
      <c r="I370" s="25"/>
    </row>
    <row r="371" spans="1:9" ht="20.25" x14ac:dyDescent="0.25">
      <c r="A371" s="31"/>
      <c r="B371" s="32"/>
      <c r="C371" s="32"/>
      <c r="D371" s="32"/>
      <c r="E371" s="32"/>
      <c r="F371" s="32"/>
      <c r="G371" s="32"/>
      <c r="H371" s="32"/>
      <c r="I371" s="25"/>
    </row>
    <row r="372" spans="1:9" ht="20.25" x14ac:dyDescent="0.25">
      <c r="A372" s="31"/>
      <c r="B372" s="32"/>
      <c r="C372" s="32"/>
      <c r="D372" s="32"/>
      <c r="E372" s="32"/>
      <c r="F372" s="32"/>
      <c r="G372" s="32"/>
      <c r="H372" s="32"/>
      <c r="I372" s="25"/>
    </row>
    <row r="373" spans="1:9" ht="20.25" x14ac:dyDescent="0.25">
      <c r="A373" s="31"/>
      <c r="B373" s="32"/>
      <c r="C373" s="32"/>
      <c r="D373" s="32"/>
      <c r="E373" s="32"/>
      <c r="F373" s="32"/>
      <c r="G373" s="32"/>
      <c r="H373" s="32"/>
      <c r="I373" s="25"/>
    </row>
    <row r="374" spans="1:9" ht="20.25" x14ac:dyDescent="0.25">
      <c r="A374" s="31"/>
      <c r="B374" s="32"/>
      <c r="C374" s="32"/>
      <c r="D374" s="32"/>
      <c r="E374" s="32"/>
      <c r="F374" s="32"/>
      <c r="G374" s="32"/>
      <c r="H374" s="32"/>
      <c r="I374" s="25"/>
    </row>
    <row r="375" spans="1:9" ht="20.25" x14ac:dyDescent="0.25">
      <c r="A375" s="31"/>
      <c r="B375" s="32"/>
      <c r="C375" s="32"/>
      <c r="D375" s="32"/>
      <c r="E375" s="32"/>
      <c r="F375" s="32"/>
      <c r="G375" s="32"/>
      <c r="H375" s="32"/>
      <c r="I375" s="25"/>
    </row>
    <row r="376" spans="1:9" ht="20.25" x14ac:dyDescent="0.25">
      <c r="A376" s="31"/>
      <c r="B376" s="32"/>
      <c r="C376" s="32"/>
      <c r="D376" s="32"/>
      <c r="E376" s="32"/>
      <c r="F376" s="32"/>
      <c r="G376" s="32"/>
      <c r="H376" s="32"/>
      <c r="I376" s="25"/>
    </row>
    <row r="377" spans="1:9" ht="20.25" x14ac:dyDescent="0.25">
      <c r="A377" s="31"/>
      <c r="B377" s="32"/>
      <c r="C377" s="32"/>
      <c r="D377" s="32"/>
      <c r="E377" s="32"/>
      <c r="F377" s="32"/>
      <c r="G377" s="32"/>
      <c r="H377" s="32"/>
      <c r="I377" s="25"/>
    </row>
    <row r="378" spans="1:9" ht="20.25" x14ac:dyDescent="0.25">
      <c r="A378" s="31"/>
      <c r="B378" s="32"/>
      <c r="C378" s="32"/>
      <c r="D378" s="32"/>
      <c r="E378" s="32"/>
      <c r="F378" s="32"/>
      <c r="G378" s="32"/>
      <c r="H378" s="32"/>
      <c r="I378" s="25"/>
    </row>
    <row r="379" spans="1:9" ht="20.25" x14ac:dyDescent="0.25">
      <c r="A379" s="31"/>
      <c r="B379" s="32"/>
      <c r="C379" s="32"/>
      <c r="D379" s="32"/>
      <c r="E379" s="32"/>
      <c r="F379" s="32"/>
      <c r="G379" s="32"/>
      <c r="H379" s="32"/>
      <c r="I379" s="25"/>
    </row>
    <row r="380" spans="1:9" ht="20.25" x14ac:dyDescent="0.25">
      <c r="A380" s="31"/>
      <c r="B380" s="32"/>
      <c r="C380" s="32"/>
      <c r="D380" s="32"/>
      <c r="E380" s="32"/>
      <c r="F380" s="32"/>
      <c r="G380" s="32"/>
      <c r="H380" s="32"/>
      <c r="I380" s="25"/>
    </row>
    <row r="381" spans="1:9" ht="20.25" x14ac:dyDescent="0.25">
      <c r="A381" s="31"/>
      <c r="B381" s="32"/>
      <c r="C381" s="32"/>
      <c r="D381" s="32"/>
      <c r="E381" s="32"/>
      <c r="F381" s="32"/>
      <c r="G381" s="32"/>
      <c r="H381" s="32"/>
      <c r="I381" s="25"/>
    </row>
    <row r="382" spans="1:9" ht="20.25" x14ac:dyDescent="0.25">
      <c r="A382" s="31"/>
      <c r="B382" s="32"/>
      <c r="C382" s="32"/>
      <c r="D382" s="32"/>
      <c r="E382" s="32"/>
      <c r="F382" s="32"/>
      <c r="G382" s="32"/>
      <c r="H382" s="32"/>
      <c r="I382" s="25"/>
    </row>
    <row r="383" spans="1:9" ht="20.25" x14ac:dyDescent="0.25">
      <c r="A383" s="31"/>
      <c r="B383" s="32"/>
      <c r="C383" s="32"/>
      <c r="D383" s="32"/>
      <c r="E383" s="32"/>
      <c r="F383" s="32"/>
      <c r="G383" s="32"/>
      <c r="H383" s="32"/>
      <c r="I383" s="25"/>
    </row>
    <row r="384" spans="1:9" ht="20.25" x14ac:dyDescent="0.25">
      <c r="A384" s="31"/>
      <c r="B384" s="32"/>
      <c r="C384" s="32"/>
      <c r="D384" s="32"/>
      <c r="E384" s="32"/>
      <c r="F384" s="32"/>
      <c r="G384" s="32"/>
      <c r="H384" s="32"/>
      <c r="I384" s="25"/>
    </row>
    <row r="385" spans="1:9" ht="20.25" x14ac:dyDescent="0.25">
      <c r="A385" s="31"/>
      <c r="B385" s="32"/>
      <c r="C385" s="32"/>
      <c r="D385" s="32"/>
      <c r="E385" s="32"/>
      <c r="F385" s="32"/>
      <c r="G385" s="32"/>
      <c r="H385" s="32"/>
      <c r="I385" s="25"/>
    </row>
    <row r="386" spans="1:9" ht="20.25" x14ac:dyDescent="0.25">
      <c r="A386" s="31"/>
      <c r="B386" s="32"/>
      <c r="C386" s="32"/>
      <c r="D386" s="32"/>
      <c r="E386" s="32"/>
      <c r="F386" s="32"/>
      <c r="G386" s="32"/>
      <c r="H386" s="32"/>
      <c r="I386" s="25"/>
    </row>
    <row r="387" spans="1:9" ht="20.25" x14ac:dyDescent="0.25">
      <c r="A387" s="31"/>
      <c r="B387" s="32"/>
      <c r="C387" s="32"/>
      <c r="D387" s="32"/>
      <c r="E387" s="32"/>
      <c r="F387" s="32"/>
      <c r="G387" s="32"/>
      <c r="H387" s="32"/>
      <c r="I387" s="25"/>
    </row>
    <row r="388" spans="1:9" ht="20.25" x14ac:dyDescent="0.25">
      <c r="A388" s="31"/>
      <c r="B388" s="32"/>
      <c r="C388" s="32"/>
      <c r="D388" s="32"/>
      <c r="E388" s="32"/>
      <c r="F388" s="32"/>
      <c r="G388" s="32"/>
      <c r="H388" s="32"/>
      <c r="I388" s="25"/>
    </row>
    <row r="389" spans="1:9" ht="20.25" x14ac:dyDescent="0.25">
      <c r="A389" s="31"/>
      <c r="B389" s="32"/>
      <c r="C389" s="32"/>
      <c r="D389" s="32"/>
      <c r="E389" s="32"/>
      <c r="F389" s="32"/>
      <c r="G389" s="32"/>
      <c r="H389" s="32"/>
      <c r="I389" s="25"/>
    </row>
    <row r="390" spans="1:9" ht="20.25" x14ac:dyDescent="0.25">
      <c r="A390" s="31"/>
      <c r="B390" s="32"/>
      <c r="C390" s="32"/>
      <c r="D390" s="32"/>
      <c r="E390" s="32"/>
      <c r="F390" s="32"/>
      <c r="G390" s="32"/>
      <c r="H390" s="32"/>
      <c r="I390" s="25"/>
    </row>
    <row r="391" spans="1:9" ht="20.25" x14ac:dyDescent="0.25">
      <c r="A391" s="31"/>
      <c r="B391" s="32"/>
      <c r="C391" s="32"/>
      <c r="D391" s="32"/>
      <c r="E391" s="32"/>
      <c r="F391" s="32"/>
      <c r="G391" s="32"/>
      <c r="H391" s="32"/>
      <c r="I391" s="25"/>
    </row>
    <row r="392" spans="1:9" ht="20.25" x14ac:dyDescent="0.25">
      <c r="A392" s="31"/>
      <c r="B392" s="32"/>
      <c r="C392" s="32"/>
      <c r="D392" s="32"/>
      <c r="E392" s="32"/>
      <c r="F392" s="32"/>
      <c r="G392" s="32"/>
      <c r="H392" s="32"/>
      <c r="I392" s="25"/>
    </row>
    <row r="393" spans="1:9" ht="20.25" x14ac:dyDescent="0.25">
      <c r="A393" s="31"/>
      <c r="B393" s="32"/>
      <c r="C393" s="32"/>
      <c r="D393" s="32"/>
      <c r="E393" s="32"/>
      <c r="F393" s="32"/>
      <c r="G393" s="32"/>
      <c r="H393" s="32"/>
      <c r="I393" s="25"/>
    </row>
    <row r="394" spans="1:9" ht="20.25" x14ac:dyDescent="0.25">
      <c r="A394" s="31"/>
      <c r="B394" s="32"/>
      <c r="C394" s="32"/>
      <c r="D394" s="32"/>
      <c r="E394" s="32"/>
      <c r="F394" s="32"/>
      <c r="G394" s="32"/>
      <c r="H394" s="32"/>
      <c r="I394" s="25"/>
    </row>
    <row r="395" spans="1:9" ht="20.25" x14ac:dyDescent="0.25">
      <c r="A395" s="31"/>
      <c r="B395" s="32"/>
      <c r="C395" s="32"/>
      <c r="D395" s="32"/>
      <c r="E395" s="32"/>
      <c r="F395" s="32"/>
      <c r="G395" s="32"/>
      <c r="H395" s="32"/>
      <c r="I395" s="25"/>
    </row>
    <row r="396" spans="1:9" ht="20.25" x14ac:dyDescent="0.25">
      <c r="A396" s="90" t="s">
        <v>27</v>
      </c>
      <c r="B396" s="90"/>
      <c r="C396" s="90"/>
      <c r="D396" s="90"/>
      <c r="E396" s="90"/>
      <c r="F396" s="90"/>
      <c r="G396" s="90"/>
      <c r="H396" s="90"/>
      <c r="I396" s="90"/>
    </row>
    <row r="397" spans="1:9" ht="20.25" x14ac:dyDescent="0.25">
      <c r="A397" s="159" t="s">
        <v>84</v>
      </c>
      <c r="B397" s="160"/>
      <c r="C397" s="160"/>
      <c r="D397" s="160"/>
      <c r="E397" s="160"/>
      <c r="F397" s="160"/>
      <c r="G397" s="160"/>
      <c r="H397" s="160"/>
      <c r="I397" s="161"/>
    </row>
    <row r="398" spans="1:9" ht="20.25" x14ac:dyDescent="0.25">
      <c r="A398" s="162" t="s">
        <v>85</v>
      </c>
      <c r="B398" s="163"/>
      <c r="C398" s="163"/>
      <c r="D398" s="163"/>
      <c r="E398" s="163"/>
      <c r="F398" s="163"/>
      <c r="G398" s="163"/>
      <c r="H398" s="163"/>
      <c r="I398" s="164"/>
    </row>
    <row r="399" spans="1:9" ht="45" customHeight="1" x14ac:dyDescent="0.25">
      <c r="A399" s="162" t="s">
        <v>86</v>
      </c>
      <c r="B399" s="163"/>
      <c r="C399" s="163"/>
      <c r="D399" s="163"/>
      <c r="E399" s="163"/>
      <c r="F399" s="163"/>
      <c r="G399" s="163"/>
      <c r="H399" s="163"/>
      <c r="I399" s="164"/>
    </row>
    <row r="400" spans="1:9" ht="42.75" customHeight="1" x14ac:dyDescent="0.25">
      <c r="A400" s="162" t="s">
        <v>87</v>
      </c>
      <c r="B400" s="163"/>
      <c r="C400" s="163"/>
      <c r="D400" s="163"/>
      <c r="E400" s="163"/>
      <c r="F400" s="163"/>
      <c r="G400" s="163"/>
      <c r="H400" s="163"/>
      <c r="I400" s="164"/>
    </row>
    <row r="401" spans="1:9" ht="20.25" x14ac:dyDescent="0.25">
      <c r="A401" s="162" t="s">
        <v>88</v>
      </c>
      <c r="B401" s="163"/>
      <c r="C401" s="163"/>
      <c r="D401" s="163"/>
      <c r="E401" s="163"/>
      <c r="F401" s="163"/>
      <c r="G401" s="163"/>
      <c r="H401" s="163"/>
      <c r="I401" s="164"/>
    </row>
    <row r="402" spans="1:9" ht="20.25" x14ac:dyDescent="0.25">
      <c r="A402" s="162" t="s">
        <v>89</v>
      </c>
      <c r="B402" s="163"/>
      <c r="C402" s="163"/>
      <c r="D402" s="163"/>
      <c r="E402" s="163"/>
      <c r="F402" s="163"/>
      <c r="G402" s="163"/>
      <c r="H402" s="163"/>
      <c r="I402" s="164"/>
    </row>
    <row r="403" spans="1:9" ht="45" customHeight="1" x14ac:dyDescent="0.25">
      <c r="A403" s="162" t="s">
        <v>90</v>
      </c>
      <c r="B403" s="163"/>
      <c r="C403" s="163"/>
      <c r="D403" s="163"/>
      <c r="E403" s="163"/>
      <c r="F403" s="163"/>
      <c r="G403" s="163"/>
      <c r="H403" s="163"/>
      <c r="I403" s="164"/>
    </row>
    <row r="404" spans="1:9" ht="45" customHeight="1" x14ac:dyDescent="0.25">
      <c r="A404" s="162" t="s">
        <v>91</v>
      </c>
      <c r="B404" s="163"/>
      <c r="C404" s="163"/>
      <c r="D404" s="163"/>
      <c r="E404" s="163"/>
      <c r="F404" s="163"/>
      <c r="G404" s="163"/>
      <c r="H404" s="163"/>
      <c r="I404" s="164"/>
    </row>
    <row r="405" spans="1:9" ht="20.25" x14ac:dyDescent="0.25">
      <c r="A405" s="165" t="s">
        <v>92</v>
      </c>
      <c r="B405" s="166"/>
      <c r="C405" s="166"/>
      <c r="D405" s="166"/>
      <c r="E405" s="166"/>
      <c r="F405" s="166"/>
      <c r="G405" s="166"/>
      <c r="H405" s="166"/>
      <c r="I405" s="167"/>
    </row>
    <row r="406" spans="1:9" ht="70.5" customHeight="1" x14ac:dyDescent="0.25">
      <c r="A406" s="157" t="s">
        <v>33</v>
      </c>
      <c r="B406" s="157"/>
      <c r="C406" s="157"/>
      <c r="D406" s="2" t="s">
        <v>4</v>
      </c>
      <c r="E406" s="66" t="s">
        <v>244</v>
      </c>
      <c r="F406" s="13" t="s">
        <v>10</v>
      </c>
      <c r="G406" s="2" t="s">
        <v>4</v>
      </c>
      <c r="H406" s="102"/>
      <c r="I406" s="102"/>
    </row>
  </sheetData>
  <mergeCells count="615">
    <mergeCell ref="A135:B135"/>
    <mergeCell ref="C135:D135"/>
    <mergeCell ref="A136:B136"/>
    <mergeCell ref="C136:D136"/>
    <mergeCell ref="A131:B131"/>
    <mergeCell ref="C131:D131"/>
    <mergeCell ref="A127:B127"/>
    <mergeCell ref="A132:B132"/>
    <mergeCell ref="C132:D132"/>
    <mergeCell ref="A133:B133"/>
    <mergeCell ref="C133:D133"/>
    <mergeCell ref="A134:B134"/>
    <mergeCell ref="C134:D134"/>
    <mergeCell ref="A120:B120"/>
    <mergeCell ref="C120:D120"/>
    <mergeCell ref="C127:D127"/>
    <mergeCell ref="A128:B128"/>
    <mergeCell ref="C128:D128"/>
    <mergeCell ref="A129:B129"/>
    <mergeCell ref="C129:D129"/>
    <mergeCell ref="A130:B130"/>
    <mergeCell ref="C130:D130"/>
    <mergeCell ref="C124:D124"/>
    <mergeCell ref="A109:B109"/>
    <mergeCell ref="C109:D109"/>
    <mergeCell ref="F109:G120"/>
    <mergeCell ref="H109:I120"/>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117:B117"/>
    <mergeCell ref="C117:D117"/>
    <mergeCell ref="A118:B118"/>
    <mergeCell ref="C118:D118"/>
    <mergeCell ref="A119:B119"/>
    <mergeCell ref="C119:D119"/>
    <mergeCell ref="A104:B104"/>
    <mergeCell ref="C104:D104"/>
    <mergeCell ref="A105:I105"/>
    <mergeCell ref="A106:C107"/>
    <mergeCell ref="D106:D107"/>
    <mergeCell ref="F106:G106"/>
    <mergeCell ref="F107:G107"/>
    <mergeCell ref="A108:B108"/>
    <mergeCell ref="C108:D108"/>
    <mergeCell ref="F108:G108"/>
    <mergeCell ref="A99:B99"/>
    <mergeCell ref="C99:D99"/>
    <mergeCell ref="A100:B100"/>
    <mergeCell ref="C100:D100"/>
    <mergeCell ref="A101:B101"/>
    <mergeCell ref="C101:D101"/>
    <mergeCell ref="A102:B102"/>
    <mergeCell ref="C102:D102"/>
    <mergeCell ref="A103:B103"/>
    <mergeCell ref="C103:D103"/>
    <mergeCell ref="A88:B88"/>
    <mergeCell ref="C88:D88"/>
    <mergeCell ref="A95:B95"/>
    <mergeCell ref="C95:D95"/>
    <mergeCell ref="A96:B96"/>
    <mergeCell ref="C96:D96"/>
    <mergeCell ref="A97:B97"/>
    <mergeCell ref="C97:D97"/>
    <mergeCell ref="A98:B98"/>
    <mergeCell ref="C98:D98"/>
    <mergeCell ref="A77:B77"/>
    <mergeCell ref="C77:D77"/>
    <mergeCell ref="F77:G88"/>
    <mergeCell ref="H77:I88"/>
    <mergeCell ref="A78:B78"/>
    <mergeCell ref="C78:D78"/>
    <mergeCell ref="A79:B79"/>
    <mergeCell ref="C79:D79"/>
    <mergeCell ref="A80:B80"/>
    <mergeCell ref="C80:D80"/>
    <mergeCell ref="A81:B81"/>
    <mergeCell ref="C81:D81"/>
    <mergeCell ref="A82:B82"/>
    <mergeCell ref="C82:D82"/>
    <mergeCell ref="A83:B83"/>
    <mergeCell ref="C83:D83"/>
    <mergeCell ref="A84:B84"/>
    <mergeCell ref="C84:D84"/>
    <mergeCell ref="A85:B85"/>
    <mergeCell ref="C85:D85"/>
    <mergeCell ref="A86:B86"/>
    <mergeCell ref="C86:D86"/>
    <mergeCell ref="A87:B87"/>
    <mergeCell ref="C87:D87"/>
    <mergeCell ref="A72:B72"/>
    <mergeCell ref="C72:D72"/>
    <mergeCell ref="A73:I73"/>
    <mergeCell ref="A74:C75"/>
    <mergeCell ref="D74:D75"/>
    <mergeCell ref="F74:G74"/>
    <mergeCell ref="F75:G75"/>
    <mergeCell ref="A76:B76"/>
    <mergeCell ref="C76:D76"/>
    <mergeCell ref="F76:G76"/>
    <mergeCell ref="C67:D67"/>
    <mergeCell ref="A68:B68"/>
    <mergeCell ref="C68:D68"/>
    <mergeCell ref="A69:B69"/>
    <mergeCell ref="C69:D69"/>
    <mergeCell ref="A70:B70"/>
    <mergeCell ref="C70:D70"/>
    <mergeCell ref="A71:B71"/>
    <mergeCell ref="C71:D71"/>
    <mergeCell ref="A217:B217"/>
    <mergeCell ref="C217:D217"/>
    <mergeCell ref="F217:G217"/>
    <mergeCell ref="A221:B221"/>
    <mergeCell ref="C221:D221"/>
    <mergeCell ref="F221:G221"/>
    <mergeCell ref="A218:B218"/>
    <mergeCell ref="C218:I218"/>
    <mergeCell ref="A219:B219"/>
    <mergeCell ref="C219:D219"/>
    <mergeCell ref="F219:G219"/>
    <mergeCell ref="A220:B220"/>
    <mergeCell ref="C220:D220"/>
    <mergeCell ref="F220:G220"/>
    <mergeCell ref="H161:H162"/>
    <mergeCell ref="F161:G162"/>
    <mergeCell ref="A216:I216"/>
    <mergeCell ref="A215:B215"/>
    <mergeCell ref="C215:D215"/>
    <mergeCell ref="F215:G215"/>
    <mergeCell ref="A210:I210"/>
    <mergeCell ref="A211:I211"/>
    <mergeCell ref="A212:B212"/>
    <mergeCell ref="C212:D212"/>
    <mergeCell ref="F212:G212"/>
    <mergeCell ref="A213:B213"/>
    <mergeCell ref="C213:D213"/>
    <mergeCell ref="F213:G213"/>
    <mergeCell ref="A214:B214"/>
    <mergeCell ref="C214:D214"/>
    <mergeCell ref="F214:G214"/>
    <mergeCell ref="A207:I207"/>
    <mergeCell ref="A208:I208"/>
    <mergeCell ref="A209:I209"/>
    <mergeCell ref="A206:B206"/>
    <mergeCell ref="C206:D206"/>
    <mergeCell ref="F206:G206"/>
    <mergeCell ref="F204:G204"/>
    <mergeCell ref="A200:B200"/>
    <mergeCell ref="C200:D200"/>
    <mergeCell ref="F200:G200"/>
    <mergeCell ref="A156:B156"/>
    <mergeCell ref="C156:D156"/>
    <mergeCell ref="F156:G156"/>
    <mergeCell ref="A173:B173"/>
    <mergeCell ref="E161:E162"/>
    <mergeCell ref="C161:D162"/>
    <mergeCell ref="A161:B162"/>
    <mergeCell ref="A197:B197"/>
    <mergeCell ref="C197:D197"/>
    <mergeCell ref="A196:B196"/>
    <mergeCell ref="C196:D196"/>
    <mergeCell ref="F196:G196"/>
    <mergeCell ref="F197:G197"/>
    <mergeCell ref="A192:B192"/>
    <mergeCell ref="C192:D192"/>
    <mergeCell ref="F192:G192"/>
    <mergeCell ref="A193:B193"/>
    <mergeCell ref="A180:B180"/>
    <mergeCell ref="H156:I156"/>
    <mergeCell ref="A89:I89"/>
    <mergeCell ref="A90:C91"/>
    <mergeCell ref="D90:D91"/>
    <mergeCell ref="F90:G90"/>
    <mergeCell ref="F91:G91"/>
    <mergeCell ref="A92:B92"/>
    <mergeCell ref="C92:D92"/>
    <mergeCell ref="F92:G92"/>
    <mergeCell ref="A93:B93"/>
    <mergeCell ref="C93:D93"/>
    <mergeCell ref="F93:G104"/>
    <mergeCell ref="H93:I104"/>
    <mergeCell ref="A94:B94"/>
    <mergeCell ref="C94:D94"/>
    <mergeCell ref="A125:B125"/>
    <mergeCell ref="C125:D125"/>
    <mergeCell ref="F125:G136"/>
    <mergeCell ref="H125:I136"/>
    <mergeCell ref="A126:B126"/>
    <mergeCell ref="C126:D126"/>
    <mergeCell ref="A152:I152"/>
    <mergeCell ref="H150:I150"/>
    <mergeCell ref="A143:C143"/>
    <mergeCell ref="A205:B205"/>
    <mergeCell ref="C205:D205"/>
    <mergeCell ref="F205:G205"/>
    <mergeCell ref="A164:I164"/>
    <mergeCell ref="A165:I165"/>
    <mergeCell ref="A166:I166"/>
    <mergeCell ref="A167:I167"/>
    <mergeCell ref="A201:B201"/>
    <mergeCell ref="C201:D201"/>
    <mergeCell ref="F201:G201"/>
    <mergeCell ref="A202:B202"/>
    <mergeCell ref="C202:D202"/>
    <mergeCell ref="F202:G202"/>
    <mergeCell ref="A203:B203"/>
    <mergeCell ref="C203:D203"/>
    <mergeCell ref="A204:B204"/>
    <mergeCell ref="C204:D204"/>
    <mergeCell ref="F170:G170"/>
    <mergeCell ref="C168:D168"/>
    <mergeCell ref="F168:G168"/>
    <mergeCell ref="C169:D169"/>
    <mergeCell ref="F169:G169"/>
    <mergeCell ref="C170:D170"/>
    <mergeCell ref="A198:I198"/>
    <mergeCell ref="C180:D180"/>
    <mergeCell ref="F180:G180"/>
    <mergeCell ref="A181:B181"/>
    <mergeCell ref="F181:G181"/>
    <mergeCell ref="A174:B174"/>
    <mergeCell ref="A175:B175"/>
    <mergeCell ref="A183:B183"/>
    <mergeCell ref="A184:B184"/>
    <mergeCell ref="C178:D178"/>
    <mergeCell ref="F178:G178"/>
    <mergeCell ref="E182:I182"/>
    <mergeCell ref="A168:B168"/>
    <mergeCell ref="A46:B46"/>
    <mergeCell ref="C46:D46"/>
    <mergeCell ref="E46:G46"/>
    <mergeCell ref="A406:C406"/>
    <mergeCell ref="H406:I406"/>
    <mergeCell ref="A264:I264"/>
    <mergeCell ref="E266:I266"/>
    <mergeCell ref="A397:I397"/>
    <mergeCell ref="A403:I403"/>
    <mergeCell ref="A404:I404"/>
    <mergeCell ref="A405:I405"/>
    <mergeCell ref="A398:I398"/>
    <mergeCell ref="A399:I399"/>
    <mergeCell ref="A400:I400"/>
    <mergeCell ref="A401:I401"/>
    <mergeCell ref="A266:C266"/>
    <mergeCell ref="A396:I396"/>
    <mergeCell ref="A402:I402"/>
    <mergeCell ref="A362:I362"/>
    <mergeCell ref="E265:I265"/>
    <mergeCell ref="A267:C267"/>
    <mergeCell ref="E267:I267"/>
    <mergeCell ref="A314:I314"/>
    <mergeCell ref="A265:C265"/>
    <mergeCell ref="A47:B47"/>
    <mergeCell ref="C47:D47"/>
    <mergeCell ref="E47:G47"/>
    <mergeCell ref="A34:C34"/>
    <mergeCell ref="H34:I34"/>
    <mergeCell ref="H149:I149"/>
    <mergeCell ref="G38:H38"/>
    <mergeCell ref="A39:C39"/>
    <mergeCell ref="A35:C35"/>
    <mergeCell ref="A40:C40"/>
    <mergeCell ref="A38:C38"/>
    <mergeCell ref="C53:E53"/>
    <mergeCell ref="H44:I44"/>
    <mergeCell ref="G39:H39"/>
    <mergeCell ref="A149:F149"/>
    <mergeCell ref="H53:I53"/>
    <mergeCell ref="H51:I51"/>
    <mergeCell ref="A148:I148"/>
    <mergeCell ref="H36:I36"/>
    <mergeCell ref="A36:C36"/>
    <mergeCell ref="H35:I35"/>
    <mergeCell ref="C50:E50"/>
    <mergeCell ref="C51:E51"/>
    <mergeCell ref="C52:E52"/>
    <mergeCell ref="C30:E30"/>
    <mergeCell ref="C31:E31"/>
    <mergeCell ref="C32:I32"/>
    <mergeCell ref="A37:I37"/>
    <mergeCell ref="H50:I50"/>
    <mergeCell ref="H52:I52"/>
    <mergeCell ref="A42:I42"/>
    <mergeCell ref="A49:I49"/>
    <mergeCell ref="A41:C41"/>
    <mergeCell ref="H41:I41"/>
    <mergeCell ref="G40:H40"/>
    <mergeCell ref="H143:I143"/>
    <mergeCell ref="H141:I141"/>
    <mergeCell ref="A141:C141"/>
    <mergeCell ref="H46:I46"/>
    <mergeCell ref="C54:E54"/>
    <mergeCell ref="H54:I54"/>
    <mergeCell ref="E43:G43"/>
    <mergeCell ref="E45:G45"/>
    <mergeCell ref="C43:D43"/>
    <mergeCell ref="C44:D44"/>
    <mergeCell ref="C45:D45"/>
    <mergeCell ref="H45:I45"/>
    <mergeCell ref="H43:I43"/>
    <mergeCell ref="A48:B48"/>
    <mergeCell ref="C55:E55"/>
    <mergeCell ref="H55:I55"/>
    <mergeCell ref="C56:E56"/>
    <mergeCell ref="H56:I56"/>
    <mergeCell ref="A121:I121"/>
    <mergeCell ref="A122:C123"/>
    <mergeCell ref="D122:D123"/>
    <mergeCell ref="F122:G122"/>
    <mergeCell ref="F123:G123"/>
    <mergeCell ref="A124:B124"/>
    <mergeCell ref="A13:I13"/>
    <mergeCell ref="C26:E26"/>
    <mergeCell ref="C27:E27"/>
    <mergeCell ref="A1:I1"/>
    <mergeCell ref="A4:C4"/>
    <mergeCell ref="A2:C2"/>
    <mergeCell ref="E2:F2"/>
    <mergeCell ref="E4:F4"/>
    <mergeCell ref="E12:I12"/>
    <mergeCell ref="A6:C6"/>
    <mergeCell ref="A7:C7"/>
    <mergeCell ref="A8:C8"/>
    <mergeCell ref="E8:I8"/>
    <mergeCell ref="H7:I7"/>
    <mergeCell ref="E9:I9"/>
    <mergeCell ref="G2:H2"/>
    <mergeCell ref="G3:H3"/>
    <mergeCell ref="G4:H4"/>
    <mergeCell ref="A3:C3"/>
    <mergeCell ref="E3:F3"/>
    <mergeCell ref="A25:I25"/>
    <mergeCell ref="H26:I26"/>
    <mergeCell ref="H20:I20"/>
    <mergeCell ref="H21:I21"/>
    <mergeCell ref="A9:A11"/>
    <mergeCell ref="E10:I10"/>
    <mergeCell ref="E11:I11"/>
    <mergeCell ref="H6:I6"/>
    <mergeCell ref="A5:I5"/>
    <mergeCell ref="A43:B43"/>
    <mergeCell ref="A44:B44"/>
    <mergeCell ref="A45:B45"/>
    <mergeCell ref="E44:G44"/>
    <mergeCell ref="A12:C12"/>
    <mergeCell ref="A33:I33"/>
    <mergeCell ref="H30:I30"/>
    <mergeCell ref="C24:I24"/>
    <mergeCell ref="C23:I23"/>
    <mergeCell ref="H14:I14"/>
    <mergeCell ref="H16:I16"/>
    <mergeCell ref="H17:I17"/>
    <mergeCell ref="H15:I15"/>
    <mergeCell ref="H18:I18"/>
    <mergeCell ref="H19:I19"/>
    <mergeCell ref="H31:I31"/>
    <mergeCell ref="H22:I22"/>
    <mergeCell ref="C14:E14"/>
    <mergeCell ref="C15:E15"/>
    <mergeCell ref="C263:I263"/>
    <mergeCell ref="A262:I262"/>
    <mergeCell ref="A138:I138"/>
    <mergeCell ref="A139:C139"/>
    <mergeCell ref="H139:I139"/>
    <mergeCell ref="H144:I144"/>
    <mergeCell ref="A145:C145"/>
    <mergeCell ref="H145:I145"/>
    <mergeCell ref="A146:C146"/>
    <mergeCell ref="H146:I146"/>
    <mergeCell ref="A147:C147"/>
    <mergeCell ref="H147:I147"/>
    <mergeCell ref="A140:C140"/>
    <mergeCell ref="H140:I140"/>
    <mergeCell ref="A142:C142"/>
    <mergeCell ref="H142:I142"/>
    <mergeCell ref="A160:I160"/>
    <mergeCell ref="F153:G153"/>
    <mergeCell ref="F154:G154"/>
    <mergeCell ref="F155:G155"/>
    <mergeCell ref="A185:I185"/>
    <mergeCell ref="C171:D171"/>
    <mergeCell ref="F171:G171"/>
    <mergeCell ref="C172:D172"/>
    <mergeCell ref="C16:E16"/>
    <mergeCell ref="C17:E17"/>
    <mergeCell ref="C18:E18"/>
    <mergeCell ref="C19:E19"/>
    <mergeCell ref="C20:E20"/>
    <mergeCell ref="C21:E21"/>
    <mergeCell ref="C22:E22"/>
    <mergeCell ref="H27:I27"/>
    <mergeCell ref="H28:I28"/>
    <mergeCell ref="H29:I29"/>
    <mergeCell ref="C28:E28"/>
    <mergeCell ref="C29:E29"/>
    <mergeCell ref="K191:L191"/>
    <mergeCell ref="K192:L192"/>
    <mergeCell ref="K193:L193"/>
    <mergeCell ref="K194:L194"/>
    <mergeCell ref="K195:L195"/>
    <mergeCell ref="K196:L196"/>
    <mergeCell ref="H47:I47"/>
    <mergeCell ref="C48:D48"/>
    <mergeCell ref="E48:G48"/>
    <mergeCell ref="H48:I48"/>
    <mergeCell ref="C183:D183"/>
    <mergeCell ref="F183:G183"/>
    <mergeCell ref="C184:D184"/>
    <mergeCell ref="F184:G184"/>
    <mergeCell ref="A137:G137"/>
    <mergeCell ref="H137:I137"/>
    <mergeCell ref="A176:I176"/>
    <mergeCell ref="A177:B177"/>
    <mergeCell ref="C177:D177"/>
    <mergeCell ref="F177:G177"/>
    <mergeCell ref="A178:B178"/>
    <mergeCell ref="K197:L197"/>
    <mergeCell ref="E203:I203"/>
    <mergeCell ref="A186:I186"/>
    <mergeCell ref="A187:I187"/>
    <mergeCell ref="A188:I188"/>
    <mergeCell ref="A189:I189"/>
    <mergeCell ref="A191:B191"/>
    <mergeCell ref="C191:D191"/>
    <mergeCell ref="F191:G191"/>
    <mergeCell ref="A190:B190"/>
    <mergeCell ref="C190:D190"/>
    <mergeCell ref="F190:G190"/>
    <mergeCell ref="A194:B194"/>
    <mergeCell ref="C194:D194"/>
    <mergeCell ref="F194:G194"/>
    <mergeCell ref="A195:B195"/>
    <mergeCell ref="C195:D195"/>
    <mergeCell ref="F195:G195"/>
    <mergeCell ref="K190:L190"/>
    <mergeCell ref="C193:D193"/>
    <mergeCell ref="F193:G193"/>
    <mergeCell ref="A199:B199"/>
    <mergeCell ref="C199:D199"/>
    <mergeCell ref="F199:G199"/>
    <mergeCell ref="F124:G124"/>
    <mergeCell ref="A57:I57"/>
    <mergeCell ref="A58:C59"/>
    <mergeCell ref="D58:D59"/>
    <mergeCell ref="F58:G58"/>
    <mergeCell ref="F59:G59"/>
    <mergeCell ref="A60:B60"/>
    <mergeCell ref="C60:D60"/>
    <mergeCell ref="F60:G60"/>
    <mergeCell ref="A61:B61"/>
    <mergeCell ref="C61:D61"/>
    <mergeCell ref="F61:G72"/>
    <mergeCell ref="H61:I72"/>
    <mergeCell ref="A62:B62"/>
    <mergeCell ref="C62:D62"/>
    <mergeCell ref="A63:B63"/>
    <mergeCell ref="C63:D63"/>
    <mergeCell ref="A64:B64"/>
    <mergeCell ref="C64:D64"/>
    <mergeCell ref="A65:B65"/>
    <mergeCell ref="C65:D65"/>
    <mergeCell ref="A66:B66"/>
    <mergeCell ref="C66:D66"/>
    <mergeCell ref="A67:B67"/>
    <mergeCell ref="A151:F151"/>
    <mergeCell ref="H151:I151"/>
    <mergeCell ref="A150:F150"/>
    <mergeCell ref="A144:C144"/>
    <mergeCell ref="A158:B158"/>
    <mergeCell ref="C158:D158"/>
    <mergeCell ref="F158:G158"/>
    <mergeCell ref="H158:I158"/>
    <mergeCell ref="A222:I222"/>
    <mergeCell ref="A157:B157"/>
    <mergeCell ref="C157:D157"/>
    <mergeCell ref="F157:G157"/>
    <mergeCell ref="H157:I157"/>
    <mergeCell ref="H153:I153"/>
    <mergeCell ref="H154:I154"/>
    <mergeCell ref="H155:I155"/>
    <mergeCell ref="A153:B153"/>
    <mergeCell ref="C153:D153"/>
    <mergeCell ref="A154:B154"/>
    <mergeCell ref="C154:D154"/>
    <mergeCell ref="A155:B155"/>
    <mergeCell ref="C155:D155"/>
    <mergeCell ref="C181:D181"/>
    <mergeCell ref="A182:B182"/>
    <mergeCell ref="A223:I223"/>
    <mergeCell ref="A224:I224"/>
    <mergeCell ref="A225:I225"/>
    <mergeCell ref="A226:I226"/>
    <mergeCell ref="H159:I159"/>
    <mergeCell ref="F159:G159"/>
    <mergeCell ref="A159:B159"/>
    <mergeCell ref="C159:D159"/>
    <mergeCell ref="F172:G172"/>
    <mergeCell ref="A163:I163"/>
    <mergeCell ref="C175:D175"/>
    <mergeCell ref="F175:G175"/>
    <mergeCell ref="A169:B169"/>
    <mergeCell ref="A170:B170"/>
    <mergeCell ref="A171:B171"/>
    <mergeCell ref="A172:B172"/>
    <mergeCell ref="A179:B179"/>
    <mergeCell ref="C179:D179"/>
    <mergeCell ref="F179:G179"/>
    <mergeCell ref="C182:D182"/>
    <mergeCell ref="F174:G174"/>
    <mergeCell ref="F173:G173"/>
    <mergeCell ref="C174:D174"/>
    <mergeCell ref="C173:D173"/>
    <mergeCell ref="A227:B227"/>
    <mergeCell ref="C227:D227"/>
    <mergeCell ref="F227:G227"/>
    <mergeCell ref="A228:B228"/>
    <mergeCell ref="C228:D228"/>
    <mergeCell ref="F228:G228"/>
    <mergeCell ref="A229:B229"/>
    <mergeCell ref="C229:D229"/>
    <mergeCell ref="F229:G229"/>
    <mergeCell ref="C239:D239"/>
    <mergeCell ref="F239:G239"/>
    <mergeCell ref="A240:B240"/>
    <mergeCell ref="C240:D240"/>
    <mergeCell ref="F240:G240"/>
    <mergeCell ref="A230:B230"/>
    <mergeCell ref="C230:D230"/>
    <mergeCell ref="F230:G230"/>
    <mergeCell ref="A235:I235"/>
    <mergeCell ref="A236:B236"/>
    <mergeCell ref="C236:D236"/>
    <mergeCell ref="F236:G236"/>
    <mergeCell ref="A237:B237"/>
    <mergeCell ref="C237:D237"/>
    <mergeCell ref="F237:G237"/>
    <mergeCell ref="A231:B231"/>
    <mergeCell ref="C231:D231"/>
    <mergeCell ref="F231:G231"/>
    <mergeCell ref="A233:B233"/>
    <mergeCell ref="C233:D233"/>
    <mergeCell ref="F233:G233"/>
    <mergeCell ref="A234:B234"/>
    <mergeCell ref="C234:D234"/>
    <mergeCell ref="F234:G234"/>
    <mergeCell ref="A252:B252"/>
    <mergeCell ref="C252:D252"/>
    <mergeCell ref="F252:G252"/>
    <mergeCell ref="A255:I255"/>
    <mergeCell ref="A256:B256"/>
    <mergeCell ref="C256:D256"/>
    <mergeCell ref="F256:G256"/>
    <mergeCell ref="A257:B257"/>
    <mergeCell ref="A258:B258"/>
    <mergeCell ref="C258:D258"/>
    <mergeCell ref="F258:G258"/>
    <mergeCell ref="A238:B238"/>
    <mergeCell ref="C238:D238"/>
    <mergeCell ref="A239:B239"/>
    <mergeCell ref="M227:N227"/>
    <mergeCell ref="A253:B253"/>
    <mergeCell ref="C253:D253"/>
    <mergeCell ref="F253:G253"/>
    <mergeCell ref="A254:B254"/>
    <mergeCell ref="C254:D254"/>
    <mergeCell ref="F254:G254"/>
    <mergeCell ref="F238:G238"/>
    <mergeCell ref="A232:B232"/>
    <mergeCell ref="C232:D232"/>
    <mergeCell ref="F232:G232"/>
    <mergeCell ref="A244:I244"/>
    <mergeCell ref="A245:I245"/>
    <mergeCell ref="A246:I246"/>
    <mergeCell ref="A247:I247"/>
    <mergeCell ref="A248:I248"/>
    <mergeCell ref="A249:B249"/>
    <mergeCell ref="C249:D249"/>
    <mergeCell ref="F249:G249"/>
    <mergeCell ref="A250:B250"/>
    <mergeCell ref="C250:D250"/>
    <mergeCell ref="A261:B261"/>
    <mergeCell ref="C261:D261"/>
    <mergeCell ref="F261:G261"/>
    <mergeCell ref="E257:I257"/>
    <mergeCell ref="A241:B241"/>
    <mergeCell ref="C241:D241"/>
    <mergeCell ref="F241:G241"/>
    <mergeCell ref="A242:B242"/>
    <mergeCell ref="C242:D242"/>
    <mergeCell ref="F242:G242"/>
    <mergeCell ref="A243:B243"/>
    <mergeCell ref="C243:D243"/>
    <mergeCell ref="F243:G243"/>
    <mergeCell ref="F250:G250"/>
    <mergeCell ref="A259:B259"/>
    <mergeCell ref="C259:D259"/>
    <mergeCell ref="F259:G259"/>
    <mergeCell ref="A260:B260"/>
    <mergeCell ref="C260:D260"/>
    <mergeCell ref="F260:G260"/>
    <mergeCell ref="C257:D257"/>
    <mergeCell ref="A251:B251"/>
    <mergeCell ref="C251:D251"/>
    <mergeCell ref="F251:G251"/>
  </mergeCells>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6" manualBreakCount="6">
    <brk id="56" max="8" man="1"/>
    <brk id="88" max="16383" man="1"/>
    <brk id="137" max="8" man="1"/>
    <brk id="263" max="8" man="1"/>
    <brk id="313" max="16383" man="1"/>
    <brk id="361"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2025-07-08T10:13:22Z</cp:lastPrinted>
  <dcterms:created xsi:type="dcterms:W3CDTF">2010-11-23T11:42:48Z</dcterms:created>
  <dcterms:modified xsi:type="dcterms:W3CDTF">2025-07-08T10:16:07Z</dcterms:modified>
</cp:coreProperties>
</file>