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VSJCV\Making\AXIS\2025-26\Godrej\2025-26\APF Old\July 2025\06-07-2025\"/>
    </mc:Choice>
  </mc:AlternateContent>
  <bookViews>
    <workbookView xWindow="0" yWindow="0" windowWidth="19200" windowHeight="6640"/>
  </bookViews>
  <sheets>
    <sheet name="Report" sheetId="3" r:id="rId1"/>
    <sheet name="Sheet1" sheetId="5" r:id="rId2"/>
    <sheet name="Construction table" sheetId="4" r:id="rId3"/>
    <sheet name="Sheet2" sheetId="6" r:id="rId4"/>
  </sheets>
  <definedNames>
    <definedName name="_xlnm.Print_Area" localSheetId="0">Report!$A$1:$H$373</definedName>
  </definedNames>
  <calcPr calcId="162913"/>
</workbook>
</file>

<file path=xl/calcChain.xml><?xml version="1.0" encoding="utf-8"?>
<calcChain xmlns="http://schemas.openxmlformats.org/spreadsheetml/2006/main">
  <c r="A59" i="3" l="1"/>
  <c r="J69" i="3" l="1"/>
  <c r="J68" i="3"/>
  <c r="H60" i="3"/>
  <c r="J63" i="3" l="1"/>
  <c r="C62" i="3" s="1"/>
  <c r="J61" i="3"/>
  <c r="D71" i="3"/>
  <c r="D67" i="3"/>
  <c r="D69" i="3"/>
  <c r="D65" i="3"/>
  <c r="D73" i="3"/>
  <c r="J64" i="3"/>
  <c r="J65" i="3" s="1"/>
  <c r="J70" i="3" s="1"/>
  <c r="D72" i="3"/>
  <c r="D68" i="3"/>
  <c r="D64" i="3"/>
  <c r="D70" i="3"/>
  <c r="D66" i="3"/>
  <c r="J62" i="3"/>
  <c r="J66" i="3" l="1"/>
  <c r="J67" i="3" s="1"/>
  <c r="D62" i="3"/>
  <c r="J71" i="3" l="1"/>
  <c r="C63" i="3" s="1"/>
  <c r="D63" i="3" s="1"/>
  <c r="E62" i="3" l="1"/>
  <c r="I59" i="3" s="1"/>
  <c r="G62" i="3" s="1"/>
  <c r="G106" i="3" l="1"/>
  <c r="R24" i="5"/>
  <c r="R22" i="5"/>
  <c r="K168" i="3"/>
  <c r="I109" i="3"/>
  <c r="I168" i="3"/>
  <c r="J168" i="3" s="1"/>
  <c r="G113" i="3" l="1"/>
  <c r="G112" i="3"/>
  <c r="D217" i="3" l="1"/>
  <c r="F155" i="3"/>
  <c r="F164" i="3"/>
  <c r="F163" i="3"/>
  <c r="F154" i="3"/>
  <c r="J154" i="3"/>
  <c r="J147" i="3"/>
  <c r="I145" i="3"/>
  <c r="E133" i="3"/>
  <c r="D219" i="3" l="1"/>
  <c r="F170" i="3" l="1"/>
  <c r="E170" i="3"/>
  <c r="F169" i="3"/>
  <c r="E169" i="3"/>
  <c r="F167" i="3"/>
  <c r="E167" i="3"/>
  <c r="H167" i="3" s="1"/>
  <c r="F166" i="3"/>
  <c r="E166" i="3"/>
  <c r="F165" i="3"/>
  <c r="E165" i="3"/>
  <c r="E164" i="3"/>
  <c r="H164" i="3" s="1"/>
  <c r="E163" i="3"/>
  <c r="H163" i="3" s="1"/>
  <c r="F161" i="3"/>
  <c r="E161" i="3"/>
  <c r="F160" i="3"/>
  <c r="E160" i="3"/>
  <c r="F159" i="3"/>
  <c r="E159" i="3"/>
  <c r="F158" i="3"/>
  <c r="E158" i="3"/>
  <c r="F157" i="3"/>
  <c r="E157" i="3"/>
  <c r="F156" i="3"/>
  <c r="E156" i="3"/>
  <c r="E155" i="3"/>
  <c r="H155" i="3" s="1"/>
  <c r="E154" i="3"/>
  <c r="H154" i="3" s="1"/>
  <c r="F150" i="3"/>
  <c r="E150" i="3"/>
  <c r="F149" i="3"/>
  <c r="E149" i="3"/>
  <c r="H149" i="3" s="1"/>
  <c r="F148" i="3"/>
  <c r="E148" i="3"/>
  <c r="F147" i="3"/>
  <c r="E147" i="3"/>
  <c r="E142" i="3"/>
  <c r="H142" i="3" s="1"/>
  <c r="E141" i="3"/>
  <c r="H141" i="3" s="1"/>
  <c r="E140" i="3"/>
  <c r="H140" i="3" s="1"/>
  <c r="E139" i="3"/>
  <c r="H139" i="3" s="1"/>
  <c r="E138" i="3"/>
  <c r="H138" i="3" s="1"/>
  <c r="E137" i="3"/>
  <c r="H137" i="3" s="1"/>
  <c r="E136" i="3"/>
  <c r="H136" i="3" s="1"/>
  <c r="E135" i="3"/>
  <c r="H135" i="3" s="1"/>
  <c r="E134" i="3"/>
  <c r="H134" i="3" s="1"/>
  <c r="H133" i="3"/>
  <c r="E132" i="3"/>
  <c r="H132" i="3" s="1"/>
  <c r="E131" i="3"/>
  <c r="H131" i="3" s="1"/>
  <c r="E130" i="3"/>
  <c r="J129" i="3"/>
  <c r="I155" i="3"/>
  <c r="H170" i="3"/>
  <c r="H165" i="3"/>
  <c r="H159" i="3"/>
  <c r="I154" i="3"/>
  <c r="I147" i="3"/>
  <c r="A148" i="3"/>
  <c r="A149" i="3" s="1"/>
  <c r="A150" i="3" s="1"/>
  <c r="A151" i="3" s="1"/>
  <c r="A152" i="3" s="1"/>
  <c r="A131" i="3"/>
  <c r="A132" i="3" s="1"/>
  <c r="A133" i="3" s="1"/>
  <c r="A134" i="3" s="1"/>
  <c r="A135" i="3" s="1"/>
  <c r="A136" i="3" s="1"/>
  <c r="A137" i="3" s="1"/>
  <c r="A138" i="3" s="1"/>
  <c r="A139" i="3" s="1"/>
  <c r="A140" i="3" s="1"/>
  <c r="A141" i="3" s="1"/>
  <c r="A142" i="3" s="1"/>
  <c r="U163" i="3"/>
  <c r="V163" i="3"/>
  <c r="U154" i="3"/>
  <c r="V154" i="3"/>
  <c r="H169" i="3" l="1"/>
  <c r="H147" i="3"/>
  <c r="E117" i="3"/>
  <c r="E118" i="3" s="1"/>
  <c r="H158" i="3"/>
  <c r="H148" i="3"/>
  <c r="H156" i="3"/>
  <c r="K164" i="3"/>
  <c r="I164" i="3"/>
  <c r="J164" i="3" s="1"/>
  <c r="I169" i="3"/>
  <c r="J169" i="3" s="1"/>
  <c r="K169" i="3"/>
  <c r="I165" i="3"/>
  <c r="J165" i="3" s="1"/>
  <c r="K165" i="3"/>
  <c r="K163" i="3"/>
  <c r="I163" i="3"/>
  <c r="J163" i="3" s="1"/>
  <c r="K170" i="3"/>
  <c r="I170" i="3"/>
  <c r="J170" i="3" s="1"/>
  <c r="I167" i="3"/>
  <c r="J167" i="3" s="1"/>
  <c r="K167" i="3"/>
  <c r="H130" i="3"/>
  <c r="G117" i="3" s="1"/>
  <c r="G118" i="3" s="1"/>
  <c r="H157" i="3"/>
  <c r="H150" i="3"/>
  <c r="H166" i="3"/>
  <c r="U164" i="3"/>
  <c r="T163" i="3"/>
  <c r="V164" i="3"/>
  <c r="V165" i="3" s="1"/>
  <c r="V166" i="3" s="1"/>
  <c r="V167" i="3" s="1"/>
  <c r="V168" i="3" s="1"/>
  <c r="V169" i="3" s="1"/>
  <c r="V170" i="3" s="1"/>
  <c r="H160" i="3"/>
  <c r="H161" i="3"/>
  <c r="I161" i="3" s="1"/>
  <c r="T154" i="3"/>
  <c r="U155" i="3"/>
  <c r="V155" i="3"/>
  <c r="V156" i="3" s="1"/>
  <c r="V157" i="3" s="1"/>
  <c r="V158" i="3" s="1"/>
  <c r="V159" i="3" s="1"/>
  <c r="V160" i="3" s="1"/>
  <c r="V161" i="3" s="1"/>
  <c r="C26" i="3"/>
  <c r="C18" i="3"/>
  <c r="H206" i="3"/>
  <c r="H205" i="3"/>
  <c r="H204" i="3"/>
  <c r="H203" i="3"/>
  <c r="H202" i="3"/>
  <c r="H201" i="3"/>
  <c r="H200" i="3"/>
  <c r="H199" i="3"/>
  <c r="H197" i="3"/>
  <c r="H196" i="3"/>
  <c r="H195" i="3"/>
  <c r="H194" i="3"/>
  <c r="H193" i="3"/>
  <c r="H192" i="3"/>
  <c r="H191" i="3"/>
  <c r="H190" i="3"/>
  <c r="H188" i="3"/>
  <c r="H187" i="3"/>
  <c r="H186" i="3"/>
  <c r="H185" i="3"/>
  <c r="H184" i="3"/>
  <c r="H183" i="3"/>
  <c r="H182" i="3"/>
  <c r="H181" i="3"/>
  <c r="H173" i="3"/>
  <c r="H174" i="3"/>
  <c r="H175" i="3"/>
  <c r="H176" i="3"/>
  <c r="H177" i="3"/>
  <c r="H178" i="3"/>
  <c r="H179" i="3"/>
  <c r="H172" i="3"/>
  <c r="K166" i="3" l="1"/>
  <c r="I166" i="3"/>
  <c r="J166" i="3" s="1"/>
  <c r="E121" i="3"/>
  <c r="E122" i="3" s="1"/>
  <c r="E123" i="3" s="1"/>
  <c r="G121" i="3"/>
  <c r="G122" i="3" s="1"/>
  <c r="G123" i="3" s="1"/>
  <c r="T164" i="3"/>
  <c r="U165" i="3"/>
  <c r="U156" i="3"/>
  <c r="T155" i="3"/>
  <c r="A91" i="3"/>
  <c r="D92" i="3" s="1"/>
  <c r="J100" i="3" s="1"/>
  <c r="A75" i="3"/>
  <c r="D76" i="3" s="1"/>
  <c r="H76" i="3"/>
  <c r="T165" i="3" l="1"/>
  <c r="U166" i="3"/>
  <c r="T156" i="3"/>
  <c r="U157" i="3"/>
  <c r="J101"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G38" i="4" l="1"/>
  <c r="F38" i="4"/>
  <c r="T166" i="3"/>
  <c r="U167" i="3"/>
  <c r="T157" i="3"/>
  <c r="U158" i="3"/>
  <c r="E18" i="4"/>
  <c r="E15" i="4"/>
  <c r="E17" i="4"/>
  <c r="E11" i="4"/>
  <c r="K6" i="4"/>
  <c r="E9" i="4"/>
  <c r="K8" i="4"/>
  <c r="C7" i="4" s="1"/>
  <c r="E14" i="4"/>
  <c r="E12" i="4"/>
  <c r="E16" i="4"/>
  <c r="E10" i="4"/>
  <c r="K9" i="4"/>
  <c r="K10" i="4" s="1"/>
  <c r="K11" i="4" s="1"/>
  <c r="E13" i="4"/>
  <c r="K7" i="4"/>
  <c r="J85" i="3"/>
  <c r="J84" i="3"/>
  <c r="T167" i="3" l="1"/>
  <c r="U168" i="3"/>
  <c r="U159" i="3"/>
  <c r="T158" i="3"/>
  <c r="K12" i="4"/>
  <c r="K16" i="4" s="1"/>
  <c r="C8" i="4" s="1"/>
  <c r="E8" i="4" s="1"/>
  <c r="E7" i="4"/>
  <c r="A172" i="3"/>
  <c r="A173" i="3" s="1"/>
  <c r="A174" i="3" s="1"/>
  <c r="A175" i="3" s="1"/>
  <c r="A176" i="3" s="1"/>
  <c r="A177" i="3" s="1"/>
  <c r="A178" i="3" s="1"/>
  <c r="A179" i="3" s="1"/>
  <c r="T168" i="3" l="1"/>
  <c r="U169" i="3"/>
  <c r="T159" i="3"/>
  <c r="U160" i="3"/>
  <c r="F7" i="4"/>
  <c r="J4" i="4" s="1"/>
  <c r="H7" i="4" s="1"/>
  <c r="T169" i="3" l="1"/>
  <c r="U170" i="3"/>
  <c r="T170" i="3" s="1"/>
  <c r="T160" i="3"/>
  <c r="U161" i="3"/>
  <c r="T161" i="3" s="1"/>
  <c r="G4" i="3"/>
  <c r="D218" i="3" l="1"/>
  <c r="G114" i="3"/>
  <c r="D89" i="3" l="1"/>
  <c r="D81" i="3"/>
  <c r="D84" i="3"/>
  <c r="J78" i="3"/>
  <c r="D88" i="3"/>
  <c r="D82" i="3"/>
  <c r="J77" i="3"/>
  <c r="D87" i="3"/>
  <c r="J80" i="3"/>
  <c r="J81" i="3" s="1"/>
  <c r="D86" i="3"/>
  <c r="D80" i="3"/>
  <c r="J79" i="3"/>
  <c r="C78" i="3" s="1"/>
  <c r="D78" i="3" s="1"/>
  <c r="D85" i="3"/>
  <c r="D83" i="3"/>
  <c r="J82" i="3" l="1"/>
  <c r="J86" i="3"/>
  <c r="J83" i="3"/>
  <c r="H92" i="3"/>
  <c r="J87" i="3" l="1"/>
  <c r="C79" i="3" s="1"/>
  <c r="D79" i="3" s="1"/>
  <c r="D105" i="3"/>
  <c r="D104" i="3"/>
  <c r="D98" i="3"/>
  <c r="J95" i="3"/>
  <c r="C94" i="3" s="1"/>
  <c r="D100" i="3"/>
  <c r="D99" i="3"/>
  <c r="J93" i="3"/>
  <c r="D103" i="3"/>
  <c r="D97" i="3"/>
  <c r="J96" i="3"/>
  <c r="J97" i="3" s="1"/>
  <c r="J98" i="3" s="1"/>
  <c r="J99" i="3" s="1"/>
  <c r="D102" i="3"/>
  <c r="D96" i="3"/>
  <c r="J94" i="3"/>
  <c r="D101" i="3"/>
  <c r="E78" i="3" l="1"/>
  <c r="I75" i="3" s="1"/>
  <c r="G78" i="3" s="1"/>
  <c r="J102" i="3"/>
  <c r="J103" i="3" s="1"/>
  <c r="C95" i="3" s="1"/>
  <c r="D95" i="3" s="1"/>
  <c r="D94" i="3"/>
  <c r="V199" i="3"/>
  <c r="V181" i="3"/>
  <c r="U190" i="3"/>
  <c r="U199" i="3"/>
  <c r="V190" i="3"/>
  <c r="U181" i="3"/>
  <c r="E94" i="3" l="1"/>
  <c r="I91" i="3" s="1"/>
  <c r="G94" i="3" s="1"/>
  <c r="T199" i="3"/>
  <c r="U200" i="3"/>
  <c r="V200" i="3"/>
  <c r="V201" i="3" s="1"/>
  <c r="V202" i="3" s="1"/>
  <c r="V203" i="3" s="1"/>
  <c r="V204" i="3" s="1"/>
  <c r="V205" i="3" s="1"/>
  <c r="V206" i="3" s="1"/>
  <c r="T190" i="3"/>
  <c r="U191" i="3"/>
  <c r="V191" i="3"/>
  <c r="V192" i="3" s="1"/>
  <c r="V193" i="3" s="1"/>
  <c r="V194" i="3" s="1"/>
  <c r="V195" i="3" s="1"/>
  <c r="V196" i="3" s="1"/>
  <c r="V197" i="3" s="1"/>
  <c r="V182" i="3"/>
  <c r="V183" i="3" s="1"/>
  <c r="V184" i="3" s="1"/>
  <c r="V185" i="3" s="1"/>
  <c r="V186" i="3" s="1"/>
  <c r="V187" i="3" s="1"/>
  <c r="V188" i="3" s="1"/>
  <c r="U182" i="3"/>
  <c r="T181" i="3"/>
  <c r="A199" i="3" l="1"/>
  <c r="A190" i="3"/>
  <c r="A181" i="3"/>
  <c r="T200" i="3"/>
  <c r="A200" i="3" s="1"/>
  <c r="U201" i="3"/>
  <c r="T201" i="3" s="1"/>
  <c r="T191" i="3"/>
  <c r="A191" i="3" s="1"/>
  <c r="U192" i="3"/>
  <c r="T192" i="3" s="1"/>
  <c r="U183" i="3"/>
  <c r="T182" i="3"/>
  <c r="A182" i="3" s="1"/>
  <c r="A201" i="3" l="1"/>
  <c r="A192" i="3"/>
  <c r="U202" i="3"/>
  <c r="T202" i="3" s="1"/>
  <c r="U193" i="3"/>
  <c r="T193" i="3" s="1"/>
  <c r="U184" i="3"/>
  <c r="T183" i="3"/>
  <c r="A183" i="3" s="1"/>
  <c r="A202" i="3" l="1"/>
  <c r="A193" i="3"/>
  <c r="U203" i="3"/>
  <c r="T203" i="3" s="1"/>
  <c r="U194" i="3"/>
  <c r="T194" i="3" s="1"/>
  <c r="U185" i="3"/>
  <c r="T184" i="3"/>
  <c r="A184" i="3" s="1"/>
  <c r="A203" i="3" l="1"/>
  <c r="A194" i="3"/>
  <c r="U204" i="3"/>
  <c r="T204" i="3" s="1"/>
  <c r="U195" i="3"/>
  <c r="T195" i="3" s="1"/>
  <c r="U186" i="3"/>
  <c r="T185" i="3"/>
  <c r="A185" i="3" s="1"/>
  <c r="A204" i="3" l="1"/>
  <c r="A195" i="3"/>
  <c r="U205" i="3"/>
  <c r="T205" i="3" s="1"/>
  <c r="U196" i="3"/>
  <c r="T196" i="3" s="1"/>
  <c r="U187" i="3"/>
  <c r="T186" i="3"/>
  <c r="A186" i="3" s="1"/>
  <c r="A205" i="3" l="1"/>
  <c r="A196" i="3"/>
  <c r="U206" i="3"/>
  <c r="T206" i="3" s="1"/>
  <c r="U197" i="3"/>
  <c r="T197" i="3" s="1"/>
  <c r="U188" i="3"/>
  <c r="T187" i="3"/>
  <c r="A187" i="3" s="1"/>
  <c r="A206" i="3" l="1"/>
  <c r="A197" i="3"/>
  <c r="T188" i="3"/>
  <c r="A188"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12" authorId="0" shapeId="0">
      <text>
        <r>
          <rPr>
            <b/>
            <sz val="16"/>
            <color indexed="81"/>
            <rFont val="Tahoma"/>
            <family val="2"/>
          </rPr>
          <t>Ready Recknor</t>
        </r>
      </text>
    </comment>
  </commentList>
</comments>
</file>

<file path=xl/sharedStrings.xml><?xml version="1.0" encoding="utf-8"?>
<sst xmlns="http://schemas.openxmlformats.org/spreadsheetml/2006/main" count="568" uniqueCount="312">
  <si>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</si>
  <si>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</si>
  <si>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</si>
  <si>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</si>
  <si>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</si>
  <si>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</si>
  <si>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</si>
  <si>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</si>
  <si>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</si>
  <si>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</si>
  <si>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</si>
  <si>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</si>
  <si>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</si>
  <si>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</si>
  <si>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</si>
  <si>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</si>
  <si>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</si>
  <si>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</si>
  <si>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</si>
  <si>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</si>
  <si>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</si>
  <si>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</si>
  <si>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</si>
  <si>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</si>
  <si>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</si>
  <si>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</si>
  <si>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</si>
  <si>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</si>
  <si>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</si>
  <si>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</si>
  <si>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</si>
  <si>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</si>
  <si>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</si>
  <si>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</si>
  <si>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</si>
  <si>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</si>
  <si>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</si>
  <si>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</si>
  <si>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</si>
  <si>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</si>
  <si>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</si>
  <si>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</si>
  <si>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</si>
  <si>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</si>
  <si>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</si>
  <si>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</si>
  <si>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</si>
  <si>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</si>
  <si>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</si>
  <si>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</si>
  <si>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</si>
  <si>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</si>
  <si>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</si>
  <si>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</si>
  <si>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</si>
  <si>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</si>
  <si>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</si>
  <si>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</si>
  <si>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</si>
  <si>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</si>
  <si>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</si>
  <si>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</si>
  <si>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</si>
  <si>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</si>
  <si>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</si>
  <si>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</si>
  <si>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</si>
  <si>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</si>
  <si>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</si>
  <si>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</si>
  <si>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</si>
  <si>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</si>
  <si>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</si>
  <si>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</si>
  <si>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</si>
  <si>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</si>
  <si>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</si>
  <si>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</si>
  <si>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</si>
  <si>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</si>
  <si>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</si>
  <si>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</si>
  <si>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</si>
  <si>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</si>
  <si>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</si>
  <si>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</si>
  <si>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</si>
  <si>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</si>
  <si>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</si>
  <si>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</si>
  <si>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</si>
  <si>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</si>
  <si>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</si>
  <si>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</si>
  <si>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</si>
  <si>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</si>
  <si>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</si>
  <si>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</si>
  <si>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</si>
  <si>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</si>
  <si>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</si>
  <si>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</si>
  <si>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</si>
  <si>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</si>
  <si>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</si>
  <si>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</si>
  <si>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</si>
  <si>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</si>
  <si>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</si>
  <si>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</si>
  <si>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</si>
  <si>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</si>
  <si>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</si>
  <si>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</si>
  <si>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</si>
  <si>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</si>
  <si>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</si>
  <si>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</si>
  <si>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</si>
  <si>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</si>
  <si>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</si>
  <si>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</si>
  <si>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</si>
  <si>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</si>
  <si>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</si>
  <si>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</si>
  <si>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</si>
  <si>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</si>
  <si>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</si>
  <si>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</si>
  <si>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</si>
  <si>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</si>
  <si>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</si>
  <si>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</si>
  <si>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</si>
  <si>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</si>
  <si>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</si>
  <si>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</si>
  <si>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</si>
  <si>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</si>
  <si>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</si>
  <si>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</si>
  <si>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</si>
  <si>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</si>
  <si>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</si>
  <si>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</si>
  <si>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</si>
  <si>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</si>
  <si>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</si>
  <si>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</si>
  <si>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</si>
  <si>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</si>
  <si>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</si>
  <si>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</si>
  <si>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</si>
  <si>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</si>
  <si>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</si>
  <si>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</si>
  <si>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</si>
  <si>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</si>
  <si>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</si>
  <si>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</si>
  <si>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</si>
  <si>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</si>
  <si>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</si>
  <si>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</si>
  <si>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</si>
  <si>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</si>
  <si>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</si>
  <si>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</si>
  <si>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</si>
  <si>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</si>
  <si>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</si>
  <si>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</si>
  <si>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</si>
  <si>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</si>
  <si>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</si>
  <si>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</si>
  <si>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</si>
  <si>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</si>
  <si>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</si>
  <si>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</si>
  <si>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</si>
  <si>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</si>
  <si>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</si>
  <si>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</si>
  <si>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</si>
  <si>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</si>
  <si>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</si>
  <si>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</si>
  <si>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</si>
  <si>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</si>
  <si>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</si>
  <si>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</si>
  <si>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</si>
  <si>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</si>
  <si>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</si>
  <si>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</si>
  <si>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</si>
  <si>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</si>
  <si>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</si>
  <si>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</si>
  <si>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</si>
  <si>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</si>
  <si>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</si>
  <si>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</si>
  <si>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</si>
  <si>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</si>
  <si>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</si>
  <si>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</si>
  <si>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</si>
  <si>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</si>
  <si>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</si>
  <si>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</si>
  <si>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</si>
  <si>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</si>
  <si>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</si>
  <si>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</si>
  <si>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</si>
  <si>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</si>
  <si>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</si>
  <si>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</si>
  <si>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</si>
  <si>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</si>
  <si>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</si>
  <si>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</si>
  <si>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</si>
  <si>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</si>
  <si>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</si>
  <si>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</si>
  <si>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</si>
  <si>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</si>
  <si>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</si>
  <si>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</si>
  <si>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</si>
  <si>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</si>
  <si>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</si>
  <si>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</si>
  <si>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</si>
  <si>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</si>
  <si>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</si>
  <si>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</si>
  <si>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</si>
  <si>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</si>
  <si>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</si>
  <si>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</si>
  <si>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Net Plot Area (In Sq.Mt)</t>
  </si>
  <si>
    <t xml:space="preserve">CC Details
Valid Up to: </t>
  </si>
  <si>
    <t>Grand Total</t>
  </si>
  <si>
    <t xml:space="preserve">Arihant Abode Limited
</t>
  </si>
  <si>
    <t xml:space="preserve">Arihant Superstructure Pvt Ltd
</t>
  </si>
  <si>
    <t>Arihant Aspire ( Phase III), Palaspe Phata, Panvel, Navi Mumbai, Maharashtra 410221</t>
  </si>
  <si>
    <t xml:space="preserve">Arihant Aspire (Phase III) Survey No. 7/5, 14/6, 14/7, 15/1, 15/3, 16, 18/1A, 18/1B,
23/3, 23/4, 24/1A, 149/1 to 5, 150/1 to 7, 153/1 to 153/6, Near Chattrapati Shivaji
Vidyalay Palaspe, Mumbai Goa Highway, Palaspe, Palaspe Phata, Panvel, Panvel, Raigad - 410221
</t>
  </si>
  <si>
    <t>Navi Mumbai Airport Influence Notified Area (NAINA)</t>
  </si>
  <si>
    <t>P52000056197</t>
  </si>
  <si>
    <t xml:space="preserve">ICICI BANK LIMITED
IFSC Code - ICIC0002841
</t>
  </si>
  <si>
    <t>As per RERA Site Flats = 323</t>
  </si>
  <si>
    <t>18.9627577,73.1324823</t>
  </si>
  <si>
    <t xml:space="preserve">Chattrapati Shivaji Vidyalay Palaspe
</t>
  </si>
  <si>
    <t xml:space="preserve">1.10KM from Palaspa Bus Stand
</t>
  </si>
  <si>
    <t>About 2.2KM form ONGC Hospital</t>
  </si>
  <si>
    <t>About 1KM from Balaji New English School And Jr. college Palaspe</t>
  </si>
  <si>
    <t>1.  Approx. 1.20 KM from D Mart.
2. Approx. 1.30KM from Reliance SMART Superstore.</t>
  </si>
  <si>
    <t xml:space="preserve">5.70KM from Panvel Railway Station.
</t>
  </si>
  <si>
    <t>40M</t>
  </si>
  <si>
    <t>Open Plot</t>
  </si>
  <si>
    <t>Houses / The Club House Aspire</t>
  </si>
  <si>
    <t>Floor No. 26, Plot No 13/1 - TTC Industrial Area, Thane Belapur Road, Turbhe MIDC, Turbhe, Navi Mumbai, Maharashtra - 400 705.</t>
  </si>
  <si>
    <t xml:space="preserve">3B + Stilt/Gr + 2P + 3rd to 43rd Floor
</t>
  </si>
  <si>
    <t>3B + Stilt/Gr + 2P + 3rd to 43rd Floor</t>
  </si>
  <si>
    <t>CIDCO/NAINA/Panvel/Palaspe/BP-00006/ACC/2023/ 0345</t>
  </si>
  <si>
    <t>CIDCO/NAINA/Panvel/Palaspe/BP-00006/ACC/2023/ 0347
Phase III (Wing E - Catalina) = G + 1st to 43rd Floor</t>
  </si>
  <si>
    <t>Phase III</t>
  </si>
  <si>
    <t>1st to 3rd Basement Floor For Parking</t>
  </si>
  <si>
    <t>Ground Floor For Commercial, Society Office, Drivers Room &amp; Parking</t>
  </si>
  <si>
    <t>Shop</t>
  </si>
  <si>
    <t>1st Podium Floor For Parking</t>
  </si>
  <si>
    <t>2nd Podium Floor For Residential &amp; Parking</t>
  </si>
  <si>
    <t>2BHK</t>
  </si>
  <si>
    <t>2.5BHK</t>
  </si>
  <si>
    <t>3rd to 6th, 8th to 10th, 12th to 14th, 16th to 18th, 20th to 22nd, 24th to 26th, 28th to 30th, 32nd to 34th, 36th to 38th &amp; 40th to 43rd Floor For Residential</t>
  </si>
  <si>
    <t>1BHK</t>
  </si>
  <si>
    <t>7th, 11th, 15th, 19th, 23rd, 27th, 31st, 35th &amp; 39th Floor (Part Refuge Area)</t>
  </si>
  <si>
    <t>Refuge Area</t>
  </si>
  <si>
    <t>Shops</t>
  </si>
  <si>
    <t>Flats</t>
  </si>
  <si>
    <t>Flats = 323     &amp; 
Shop = 13</t>
  </si>
  <si>
    <t>Approved Layout &amp; Floor Plans, CC, RERA certificate</t>
  </si>
  <si>
    <t xml:space="preserve">We considered Gross carpet area = Net carpet + Enclose balcony + Niche
</t>
  </si>
  <si>
    <t>Lawn, Jogging Track, Senior Citizen's Area, Reflexology pathway, Chlorine-free infinity Pool, Chlorine-free Kid's Pool, Kids Play Area, Seating Promenade, Clubhouse, Food Mart, Gym, Basketball Court, Sunken Seating with Planters, Spa, Reading Room, Yoga/Aerobics Room, Indoor games, Mini Theater, Temple, etc.</t>
  </si>
  <si>
    <t>CIDCO/NAINA/Panvel/Palaspe/BP-06/CC/2017/770
Phase III (Wing E - Catalina) = 1st to 3rd Basement Floor</t>
  </si>
  <si>
    <t>Mumbai-Goa Highway</t>
  </si>
  <si>
    <t>Open Plot/Kirki River</t>
  </si>
  <si>
    <t>Wing D/ MH-17 National Highway</t>
  </si>
  <si>
    <t>Wing B/09M Wide Drive Way</t>
  </si>
  <si>
    <t>15M Wide Drive Way/Wing H</t>
  </si>
  <si>
    <t>Parking</t>
  </si>
  <si>
    <t>Unit Details, Nomenclature and Area Details Phase III = Building 01Wing E (Catalina)</t>
  </si>
  <si>
    <t>Building 01 Wing E (Catalina)</t>
  </si>
  <si>
    <t>Please Check for Environmental Clearance Certificate &amp; Fire Noc.</t>
  </si>
  <si>
    <t>57568.098 Sq.M</t>
  </si>
  <si>
    <t>9000 to 10000</t>
  </si>
  <si>
    <t>Arihant Aspire Phase III Building 01(Wing E - Catalina)</t>
  </si>
  <si>
    <t>Mr.Ravindra vishwakarma</t>
  </si>
  <si>
    <t>Miss Ankita Mohite</t>
  </si>
  <si>
    <t>Wing F/ 12M Wide Drive Way</t>
  </si>
  <si>
    <t xml:space="preserve">https://maps.app.goo.gl/AWCVLeCpMPdQjRF29 </t>
  </si>
  <si>
    <t xml:space="preserve">Building 01 Wing E (Catalina) </t>
  </si>
  <si>
    <t>3 Basements + Ground (Shops+Stilt Parking) + 43 Upper Residential Floors</t>
  </si>
  <si>
    <t>03/07/2025 @04:55 PM</t>
  </si>
  <si>
    <t>Mr. Shaikh : 9321799353</t>
  </si>
  <si>
    <t>Construction work is in process at the time of Visit (Slow Speed).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</si>
</sst>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800]dddd\,\ mmmm\ dd\,\ yyyy"/>
  </numFmts>
  <fonts count="25"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u/>
      <sz val="11"/>
      <color theme="10"/>
      <name val="Calibri"/>
      <family val="2"/>
    </font>
    <font>
      <u/>
      <sz val="14"/>
      <color theme="10"/>
      <name val="Calibri"/>
      <family val="2"/>
    </font>
    <font>
      <sz val="14"/>
      <color theme="1"/>
      <name val="Times New Roman"/>
      <family val="1"/>
    </font>
  </fonts>
  <fills count="13">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theme="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22" fillId="0" borderId="0" applyNumberFormat="0" applyFill="0" applyBorder="0" applyAlignment="0" applyProtection="0"/>
  </cellStyleXfs>
  <cellXfs count="188">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vertical="top"/>
    </xf>
    <xf numFmtId="1" fontId="5" fillId="0" borderId="1" xfId="1" applyNumberFormat="1" applyFont="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4" borderId="1"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4" fillId="2" borderId="1" xfId="0" applyFont="1" applyFill="1" applyBorder="1" applyAlignment="1">
      <alignment horizontal="center" vertical="top"/>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0" borderId="1" xfId="0" applyFont="1" applyBorder="1" applyAlignment="1">
      <alignment horizontal="center"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NumberFormat="1" applyFont="1" applyFill="1" applyBorder="1" applyAlignment="1">
      <alignment horizontal="center" vertical="center" wrapText="1"/>
    </xf>
    <xf numFmtId="0" fontId="4" fillId="4" borderId="0" xfId="0" applyFont="1" applyFill="1" applyBorder="1" applyAlignment="1">
      <alignment vertical="top" wrapText="1"/>
    </xf>
    <xf numFmtId="1" fontId="6" fillId="4" borderId="1" xfId="1" applyNumberFormat="1" applyFont="1" applyFill="1" applyBorder="1" applyAlignment="1">
      <alignment horizontal="center" vertical="center" wrapText="1"/>
    </xf>
    <xf numFmtId="14" fontId="4" fillId="4" borderId="1" xfId="0" applyNumberFormat="1" applyFont="1" applyFill="1" applyBorder="1" applyAlignment="1">
      <alignment horizontal="left" vertical="top" wrapText="1"/>
    </xf>
    <xf numFmtId="1" fontId="3" fillId="0" borderId="0" xfId="0" applyNumberFormat="1" applyFont="1" applyAlignment="1">
      <alignment horizontal="center" vertical="top"/>
    </xf>
    <xf numFmtId="1" fontId="6" fillId="4" borderId="0" xfId="1" applyNumberFormat="1" applyFont="1" applyFill="1" applyBorder="1" applyAlignment="1">
      <alignment horizontal="center" vertical="center" wrapText="1"/>
    </xf>
    <xf numFmtId="1" fontId="9" fillId="4" borderId="1" xfId="1" applyNumberFormat="1" applyFont="1" applyFill="1" applyBorder="1" applyAlignment="1">
      <alignment horizontal="center" vertical="center" wrapText="1"/>
    </xf>
    <xf numFmtId="1" fontId="3" fillId="4" borderId="1" xfId="0" applyNumberFormat="1" applyFont="1" applyFill="1" applyBorder="1" applyAlignment="1">
      <alignment horizontal="center" vertical="top"/>
    </xf>
    <xf numFmtId="1" fontId="6" fillId="4" borderId="1" xfId="1" applyNumberFormat="1" applyFont="1" applyFill="1" applyBorder="1" applyAlignment="1">
      <alignment horizontal="center" vertical="center" wrapText="1"/>
    </xf>
    <xf numFmtId="1" fontId="8"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4" fillId="4" borderId="1" xfId="1" applyFont="1" applyFill="1" applyBorder="1" applyAlignment="1" applyProtection="1">
      <alignment horizontal="center" vertical="center" wrapText="1"/>
      <protection hidden="1"/>
    </xf>
    <xf numFmtId="1"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23" fillId="4" borderId="1" xfId="2" applyFont="1" applyFill="1" applyBorder="1" applyAlignment="1">
      <alignment horizontal="left" vertical="top" wrapText="1"/>
    </xf>
    <xf numFmtId="0" fontId="24" fillId="4" borderId="1" xfId="0" applyFont="1" applyFill="1" applyBorder="1" applyAlignment="1">
      <alignment horizontal="left"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9"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2" fillId="2" borderId="1" xfId="0" applyFont="1" applyFill="1" applyBorder="1" applyAlignment="1">
      <alignment horizontal="center" vertical="top"/>
    </xf>
    <xf numFmtId="0" fontId="3" fillId="4" borderId="1" xfId="0" applyFont="1" applyFill="1" applyBorder="1" applyAlignment="1">
      <alignment horizontal="left"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9" fontId="2" fillId="4" borderId="1" xfId="1" applyNumberFormat="1" applyFont="1" applyFill="1" applyBorder="1" applyAlignment="1" applyProtection="1">
      <alignment horizontal="left" vertical="top" wrapText="1"/>
      <protection hidden="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1" fontId="6" fillId="4" borderId="1" xfId="1" applyNumberFormat="1" applyFont="1" applyFill="1" applyBorder="1" applyAlignment="1">
      <alignment horizontal="center" vertical="center"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9" fontId="2" fillId="12" borderId="12" xfId="1" applyNumberFormat="1" applyFont="1" applyFill="1" applyBorder="1" applyAlignment="1" applyProtection="1">
      <alignment horizontal="center" vertical="center" wrapText="1"/>
      <protection hidden="1"/>
    </xf>
    <xf numFmtId="9" fontId="2" fillId="12" borderId="13" xfId="1" applyNumberFormat="1" applyFont="1" applyFill="1" applyBorder="1" applyAlignment="1" applyProtection="1">
      <alignment horizontal="center" vertical="center" wrapText="1"/>
      <protection hidden="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4" fillId="2" borderId="1" xfId="0" applyFont="1" applyFill="1" applyBorder="1" applyAlignment="1">
      <alignment horizontal="center" vertical="top"/>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4" fillId="0" borderId="1" xfId="0" applyFont="1" applyFill="1" applyBorder="1" applyAlignment="1">
      <alignment horizontal="left" vertical="top"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9" xfId="0" applyFont="1" applyBorder="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8" xfId="0" applyFont="1" applyBorder="1" applyAlignment="1">
      <alignment horizontal="left" vertical="top" wrapText="1"/>
    </xf>
    <xf numFmtId="0" fontId="4" fillId="0" borderId="13" xfId="0" applyFont="1" applyBorder="1" applyAlignment="1">
      <alignment horizontal="left" vertical="top" wrapText="1"/>
    </xf>
    <xf numFmtId="0" fontId="4" fillId="0" borderId="6" xfId="0" applyFont="1" applyBorder="1" applyAlignment="1">
      <alignment horizontal="left" vertical="top" wrapText="1"/>
    </xf>
    <xf numFmtId="14" fontId="4" fillId="4" borderId="2" xfId="0" applyNumberFormat="1" applyFont="1" applyFill="1" applyBorder="1" applyAlignment="1">
      <alignment horizontal="left" vertical="top" wrapText="1"/>
    </xf>
    <xf numFmtId="0" fontId="3" fillId="0" borderId="1" xfId="0" applyFont="1" applyBorder="1" applyAlignment="1">
      <alignment horizontal="left" vertical="top" wrapText="1"/>
    </xf>
    <xf numFmtId="0" fontId="9" fillId="4" borderId="1" xfId="0" applyFont="1" applyFill="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9" fillId="4" borderId="2" xfId="0" applyFont="1" applyFill="1" applyBorder="1" applyAlignment="1">
      <alignment horizontal="left" vertical="top" wrapText="1"/>
    </xf>
    <xf numFmtId="0" fontId="3"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3" fillId="4" borderId="5" xfId="0" applyFont="1" applyFill="1" applyBorder="1" applyAlignment="1">
      <alignment horizontal="left" vertical="top" wrapText="1"/>
    </xf>
    <xf numFmtId="9"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164" fontId="4" fillId="4" borderId="1" xfId="0" applyNumberFormat="1" applyFont="1" applyFill="1" applyBorder="1" applyAlignment="1">
      <alignment horizontal="left" vertical="top" wrapText="1"/>
    </xf>
    <xf numFmtId="0" fontId="4" fillId="4" borderId="0" xfId="0" applyFont="1" applyFill="1" applyBorder="1" applyAlignment="1">
      <alignment horizontal="center" vertical="top" wrapText="1"/>
    </xf>
    <xf numFmtId="0" fontId="2" fillId="4" borderId="1" xfId="0" applyFont="1" applyFill="1" applyBorder="1" applyAlignment="1">
      <alignment horizontal="left" vertical="center" wrapText="1"/>
    </xf>
    <xf numFmtId="0" fontId="3" fillId="0" borderId="1" xfId="0"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3" xfId="0" applyFont="1" applyBorder="1" applyAlignment="1">
      <alignment horizontal="left" vertical="top" wrapText="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0" fontId="6" fillId="4" borderId="2" xfId="1" applyNumberFormat="1" applyFont="1" applyFill="1" applyBorder="1" applyAlignment="1">
      <alignment horizontal="center" vertical="center" wrapText="1"/>
    </xf>
    <xf numFmtId="0" fontId="6" fillId="4" borderId="3" xfId="1" applyNumberFormat="1" applyFont="1" applyFill="1" applyBorder="1" applyAlignment="1">
      <alignment horizontal="center" vertical="center" wrapText="1"/>
    </xf>
    <xf numFmtId="0" fontId="6" fillId="4" borderId="5" xfId="1" applyNumberFormat="1" applyFont="1" applyFill="1" applyBorder="1" applyAlignment="1">
      <alignment horizontal="center" vertical="center" wrapText="1"/>
    </xf>
    <xf numFmtId="0" fontId="6" fillId="4" borderId="7" xfId="1" applyNumberFormat="1" applyFont="1" applyFill="1" applyBorder="1" applyAlignment="1">
      <alignment horizontal="center" vertical="center" wrapText="1"/>
    </xf>
    <xf numFmtId="0" fontId="6" fillId="4" borderId="4" xfId="1" applyNumberFormat="1" applyFont="1" applyFill="1" applyBorder="1" applyAlignment="1">
      <alignment horizontal="center" vertical="center" wrapText="1"/>
    </xf>
    <xf numFmtId="0" fontId="6" fillId="4" borderId="9" xfId="1" applyNumberFormat="1" applyFont="1" applyFill="1" applyBorder="1" applyAlignment="1">
      <alignment horizontal="center" vertical="center" wrapText="1"/>
    </xf>
    <xf numFmtId="0" fontId="6" fillId="4" borderId="12" xfId="1" applyNumberFormat="1" applyFont="1" applyFill="1" applyBorder="1" applyAlignment="1">
      <alignment horizontal="center" vertical="center" wrapText="1"/>
    </xf>
    <xf numFmtId="0" fontId="6" fillId="4" borderId="8" xfId="1" applyNumberFormat="1" applyFont="1" applyFill="1" applyBorder="1" applyAlignment="1">
      <alignment horizontal="center" vertical="center" wrapText="1"/>
    </xf>
    <xf numFmtId="0" fontId="6" fillId="4" borderId="13" xfId="1" applyNumberFormat="1" applyFont="1" applyFill="1" applyBorder="1" applyAlignment="1">
      <alignment horizontal="center" vertical="center"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0" borderId="0" xfId="0" applyFont="1" applyBorder="1" applyAlignment="1">
      <alignment horizontal="left" vertical="top"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EF2E8"/>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13</xdr:col>
      <xdr:colOff>598713</xdr:colOff>
      <xdr:row>153</xdr:row>
      <xdr:rowOff>136071</xdr:rowOff>
    </xdr:from>
    <xdr:to>
      <xdr:col>24</xdr:col>
      <xdr:colOff>385855</xdr:colOff>
      <xdr:row>207</xdr:row>
      <xdr:rowOff>72904</xdr:rowOff>
    </xdr:to>
    <xdr:pic>
      <xdr:nvPicPr>
        <xdr:cNvPr id="2" name="Picture 1"/>
        <xdr:cNvPicPr>
          <a:picLocks noChangeAspect="1"/>
        </xdr:cNvPicPr>
      </xdr:nvPicPr>
      <xdr:blipFill>
        <a:blip xmlns:r="http://schemas.openxmlformats.org/officeDocument/2006/relationships" r:embed="rId1"/>
        <a:stretch>
          <a:fillRect/>
        </a:stretch>
      </xdr:blipFill>
      <xdr:spPr>
        <a:xfrm>
          <a:off x="14858999" y="44835535"/>
          <a:ext cx="4685714" cy="4590476"/>
        </a:xfrm>
        <a:prstGeom prst="rect">
          <a:avLst/>
        </a:prstGeom>
      </xdr:spPr>
    </xdr:pic>
    <xdr:clientData/>
  </xdr:twoCellAnchor>
  <xdr:twoCellAnchor>
    <xdr:from>
      <xdr:col>8</xdr:col>
      <xdr:colOff>421822</xdr:colOff>
      <xdr:row>106</xdr:row>
      <xdr:rowOff>95250</xdr:rowOff>
    </xdr:from>
    <xdr:to>
      <xdr:col>18</xdr:col>
      <xdr:colOff>99738</xdr:colOff>
      <xdr:row>124</xdr:row>
      <xdr:rowOff>602061</xdr:rowOff>
    </xdr:to>
    <xdr:grpSp>
      <xdr:nvGrpSpPr>
        <xdr:cNvPr id="6" name="Group 5"/>
        <xdr:cNvGrpSpPr/>
      </xdr:nvGrpSpPr>
      <xdr:grpSpPr>
        <a:xfrm>
          <a:off x="10223234" y="33092838"/>
          <a:ext cx="8455857" cy="5400047"/>
          <a:chOff x="9688286" y="34562143"/>
          <a:chExt cx="7638095" cy="5895238"/>
        </a:xfrm>
      </xdr:grpSpPr>
      <xdr:pic>
        <xdr:nvPicPr>
          <xdr:cNvPr id="4" name="Picture 3"/>
          <xdr:cNvPicPr>
            <a:picLocks noChangeAspect="1"/>
          </xdr:cNvPicPr>
        </xdr:nvPicPr>
        <xdr:blipFill>
          <a:blip xmlns:r="http://schemas.openxmlformats.org/officeDocument/2006/relationships" r:embed="rId2"/>
          <a:stretch>
            <a:fillRect/>
          </a:stretch>
        </xdr:blipFill>
        <xdr:spPr>
          <a:xfrm>
            <a:off x="9688286" y="34562143"/>
            <a:ext cx="7638095" cy="5895238"/>
          </a:xfrm>
          <a:prstGeom prst="rect">
            <a:avLst/>
          </a:prstGeom>
        </xdr:spPr>
      </xdr:pic>
      <xdr:sp macro="" textlink="">
        <xdr:nvSpPr>
          <xdr:cNvPr id="5" name="Rectangle 4"/>
          <xdr:cNvSpPr/>
        </xdr:nvSpPr>
        <xdr:spPr>
          <a:xfrm>
            <a:off x="9824357" y="39732857"/>
            <a:ext cx="7402286" cy="24492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1</xdr:col>
      <xdr:colOff>445565</xdr:colOff>
      <xdr:row>288</xdr:row>
      <xdr:rowOff>114193</xdr:rowOff>
    </xdr:from>
    <xdr:to>
      <xdr:col>6</xdr:col>
      <xdr:colOff>960063</xdr:colOff>
      <xdr:row>307</xdr:row>
      <xdr:rowOff>23570</xdr:rowOff>
    </xdr:to>
    <xdr:pic>
      <xdr:nvPicPr>
        <xdr:cNvPr id="15" name="Picture 14"/>
        <xdr:cNvPicPr>
          <a:picLocks noChangeAspect="1"/>
        </xdr:cNvPicPr>
      </xdr:nvPicPr>
      <xdr:blipFill>
        <a:blip xmlns:r="http://schemas.openxmlformats.org/officeDocument/2006/relationships" r:embed="rId3"/>
        <a:stretch>
          <a:fillRect/>
        </a:stretch>
      </xdr:blipFill>
      <xdr:spPr>
        <a:xfrm>
          <a:off x="1670741" y="69515958"/>
          <a:ext cx="6640381" cy="4877318"/>
        </a:xfrm>
        <a:prstGeom prst="rect">
          <a:avLst/>
        </a:prstGeom>
        <a:ln>
          <a:solidFill>
            <a:schemeClr val="tx1"/>
          </a:solidFill>
        </a:ln>
      </xdr:spPr>
    </xdr:pic>
    <xdr:clientData/>
  </xdr:twoCellAnchor>
  <xdr:twoCellAnchor>
    <xdr:from>
      <xdr:col>0</xdr:col>
      <xdr:colOff>544285</xdr:colOff>
      <xdr:row>268</xdr:row>
      <xdr:rowOff>68035</xdr:rowOff>
    </xdr:from>
    <xdr:to>
      <xdr:col>7</xdr:col>
      <xdr:colOff>810985</xdr:colOff>
      <xdr:row>287</xdr:row>
      <xdr:rowOff>232681</xdr:rowOff>
    </xdr:to>
    <xdr:grpSp>
      <xdr:nvGrpSpPr>
        <xdr:cNvPr id="24" name="Group 23"/>
        <xdr:cNvGrpSpPr/>
      </xdr:nvGrpSpPr>
      <xdr:grpSpPr>
        <a:xfrm>
          <a:off x="544285" y="64240388"/>
          <a:ext cx="8842935" cy="5132587"/>
          <a:chOff x="544285" y="65613642"/>
          <a:chExt cx="8458200" cy="5076825"/>
        </a:xfrm>
      </xdr:grpSpPr>
      <xdr:pic>
        <xdr:nvPicPr>
          <xdr:cNvPr id="16" name="Picture 15"/>
          <xdr:cNvPicPr>
            <a:picLocks noChangeAspect="1"/>
          </xdr:cNvPicPr>
        </xdr:nvPicPr>
        <xdr:blipFill>
          <a:blip xmlns:r="http://schemas.openxmlformats.org/officeDocument/2006/relationships" r:embed="rId4"/>
          <a:stretch>
            <a:fillRect/>
          </a:stretch>
        </xdr:blipFill>
        <xdr:spPr>
          <a:xfrm>
            <a:off x="544285" y="65613642"/>
            <a:ext cx="8458200" cy="5076825"/>
          </a:xfrm>
          <a:prstGeom prst="rect">
            <a:avLst/>
          </a:prstGeom>
          <a:ln>
            <a:solidFill>
              <a:schemeClr val="tx1"/>
            </a:solidFill>
          </a:ln>
        </xdr:spPr>
      </xdr:pic>
      <xdr:sp macro="" textlink="">
        <xdr:nvSpPr>
          <xdr:cNvPr id="17" name="Rectangle 16"/>
          <xdr:cNvSpPr/>
        </xdr:nvSpPr>
        <xdr:spPr>
          <a:xfrm>
            <a:off x="4844143" y="69478072"/>
            <a:ext cx="1469571" cy="91167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8" name="TextBox 17"/>
          <xdr:cNvSpPr txBox="1"/>
        </xdr:nvSpPr>
        <xdr:spPr>
          <a:xfrm>
            <a:off x="4422321" y="69029036"/>
            <a:ext cx="2449286" cy="421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Wing</a:t>
            </a:r>
            <a:r>
              <a:rPr lang="en-IN" sz="2400" b="1" baseline="0">
                <a:solidFill>
                  <a:srgbClr val="FF0000"/>
                </a:solidFill>
              </a:rPr>
              <a:t> E - Catalina</a:t>
            </a:r>
            <a:endParaRPr lang="en-IN" sz="2400" b="1">
              <a:solidFill>
                <a:srgbClr val="FF0000"/>
              </a:solidFill>
            </a:endParaRPr>
          </a:p>
        </xdr:txBody>
      </xdr:sp>
    </xdr:grpSp>
    <xdr:clientData/>
  </xdr:twoCellAnchor>
  <xdr:twoCellAnchor>
    <xdr:from>
      <xdr:col>2</xdr:col>
      <xdr:colOff>117309</xdr:colOff>
      <xdr:row>319</xdr:row>
      <xdr:rowOff>54429</xdr:rowOff>
    </xdr:from>
    <xdr:to>
      <xdr:col>6</xdr:col>
      <xdr:colOff>13606</xdr:colOff>
      <xdr:row>335</xdr:row>
      <xdr:rowOff>9728</xdr:rowOff>
    </xdr:to>
    <xdr:pic>
      <xdr:nvPicPr>
        <xdr:cNvPr id="19" name="Picture 18"/>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2457738" y="76540179"/>
          <a:ext cx="4577154" cy="4091870"/>
        </a:xfrm>
        <a:prstGeom prst="rect">
          <a:avLst/>
        </a:prstGeom>
        <a:ln>
          <a:solidFill>
            <a:schemeClr val="tx1"/>
          </a:solidFill>
        </a:ln>
      </xdr:spPr>
    </xdr:pic>
    <xdr:clientData/>
  </xdr:twoCellAnchor>
  <xdr:twoCellAnchor>
    <xdr:from>
      <xdr:col>1</xdr:col>
      <xdr:colOff>1088575</xdr:colOff>
      <xdr:row>335</xdr:row>
      <xdr:rowOff>122474</xdr:rowOff>
    </xdr:from>
    <xdr:to>
      <xdr:col>6</xdr:col>
      <xdr:colOff>410733</xdr:colOff>
      <xdr:row>349</xdr:row>
      <xdr:rowOff>61886</xdr:rowOff>
    </xdr:to>
    <xdr:grpSp>
      <xdr:nvGrpSpPr>
        <xdr:cNvPr id="26" name="Group 25"/>
        <xdr:cNvGrpSpPr/>
      </xdr:nvGrpSpPr>
      <xdr:grpSpPr>
        <a:xfrm>
          <a:off x="2313751" y="79460121"/>
          <a:ext cx="5448041" cy="3600000"/>
          <a:chOff x="2394860" y="84881322"/>
          <a:chExt cx="5173230" cy="4763846"/>
        </a:xfrm>
      </xdr:grpSpPr>
      <xdr:pic>
        <xdr:nvPicPr>
          <xdr:cNvPr id="23" name="Picture 22"/>
          <xdr:cNvPicPr>
            <a:picLocks noChangeAspect="1"/>
          </xdr:cNvPicPr>
        </xdr:nvPicPr>
        <xdr:blipFill>
          <a:blip xmlns:r="http://schemas.openxmlformats.org/officeDocument/2006/relationships" r:embed="rId6"/>
          <a:stretch>
            <a:fillRect/>
          </a:stretch>
        </xdr:blipFill>
        <xdr:spPr>
          <a:xfrm>
            <a:off x="2394860" y="84881322"/>
            <a:ext cx="5173230" cy="4763846"/>
          </a:xfrm>
          <a:prstGeom prst="rect">
            <a:avLst/>
          </a:prstGeom>
          <a:ln>
            <a:solidFill>
              <a:schemeClr val="tx1"/>
            </a:solidFill>
          </a:ln>
        </xdr:spPr>
      </xdr:pic>
      <xdr:sp macro="" textlink="">
        <xdr:nvSpPr>
          <xdr:cNvPr id="25" name="Rectangle 24"/>
          <xdr:cNvSpPr/>
        </xdr:nvSpPr>
        <xdr:spPr>
          <a:xfrm rot="18355305">
            <a:off x="3452745" y="85419030"/>
            <a:ext cx="2795302" cy="3361156"/>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9</xdr:col>
      <xdr:colOff>13608</xdr:colOff>
      <xdr:row>222</xdr:row>
      <xdr:rowOff>108859</xdr:rowOff>
    </xdr:from>
    <xdr:to>
      <xdr:col>12</xdr:col>
      <xdr:colOff>13608</xdr:colOff>
      <xdr:row>224</xdr:row>
      <xdr:rowOff>13608</xdr:rowOff>
    </xdr:to>
    <xdr:sp macro="" textlink="">
      <xdr:nvSpPr>
        <xdr:cNvPr id="14" name="TextBox 13"/>
        <xdr:cNvSpPr txBox="1"/>
      </xdr:nvSpPr>
      <xdr:spPr>
        <a:xfrm>
          <a:off x="11634108" y="54619073"/>
          <a:ext cx="2449286" cy="421821"/>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Wing</a:t>
          </a:r>
          <a:r>
            <a:rPr lang="en-IN" sz="2400" b="1" baseline="0">
              <a:solidFill>
                <a:srgbClr val="FF0000"/>
              </a:solidFill>
            </a:rPr>
            <a:t> E - Catalina</a:t>
          </a:r>
          <a:endParaRPr lang="en-IN" sz="2400" b="1">
            <a:solidFill>
              <a:srgbClr val="FF0000"/>
            </a:solidFill>
          </a:endParaRPr>
        </a:p>
      </xdr:txBody>
    </xdr:sp>
    <xdr:clientData/>
  </xdr:twoCellAnchor>
  <xdr:twoCellAnchor>
    <xdr:from>
      <xdr:col>8</xdr:col>
      <xdr:colOff>394607</xdr:colOff>
      <xdr:row>222</xdr:row>
      <xdr:rowOff>40821</xdr:rowOff>
    </xdr:from>
    <xdr:to>
      <xdr:col>22</xdr:col>
      <xdr:colOff>218428</xdr:colOff>
      <xdr:row>253</xdr:row>
      <xdr:rowOff>148648</xdr:rowOff>
    </xdr:to>
    <xdr:grpSp>
      <xdr:nvGrpSpPr>
        <xdr:cNvPr id="7" name="Group 6"/>
        <xdr:cNvGrpSpPr/>
      </xdr:nvGrpSpPr>
      <xdr:grpSpPr>
        <a:xfrm>
          <a:off x="10196019" y="54538762"/>
          <a:ext cx="9244233" cy="8213415"/>
          <a:chOff x="217714" y="54156428"/>
          <a:chExt cx="8818143" cy="8898042"/>
        </a:xfrm>
      </xdr:grpSpPr>
      <xdr:pic>
        <xdr:nvPicPr>
          <xdr:cNvPr id="20" name="Picture 19" descr="insp-216666-1525.jpg (1079×810)"/>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5678969" y="60534470"/>
            <a:ext cx="3356888"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insp-216666-843.jpg (1079×810)"/>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4646721" y="57885449"/>
            <a:ext cx="3356888"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insp-216666-849.jpg (1079×810)"/>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1145609" y="57885449"/>
            <a:ext cx="3356888"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descr="insp-216666-877.jpg (959×1280)"/>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5793667" y="54156428"/>
            <a:ext cx="2697187"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descr="insp-216666-883.jpg (1079×810)"/>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930456" y="54156428"/>
            <a:ext cx="4795554" cy="360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insp-216666-931.jpg (1079×810)"/>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217714" y="60534470"/>
            <a:ext cx="3356888"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insp-216666-916.jpg (959×1280)"/>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3682770" y="60534470"/>
            <a:ext cx="1888031" cy="252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375605</xdr:colOff>
      <xdr:row>220</xdr:row>
      <xdr:rowOff>14941</xdr:rowOff>
    </xdr:from>
    <xdr:to>
      <xdr:col>7</xdr:col>
      <xdr:colOff>673510</xdr:colOff>
      <xdr:row>249</xdr:row>
      <xdr:rowOff>108924</xdr:rowOff>
    </xdr:to>
    <xdr:grpSp>
      <xdr:nvGrpSpPr>
        <xdr:cNvPr id="3" name="Group 2"/>
        <xdr:cNvGrpSpPr/>
      </xdr:nvGrpSpPr>
      <xdr:grpSpPr>
        <a:xfrm>
          <a:off x="375605" y="53989941"/>
          <a:ext cx="8874140" cy="7676630"/>
          <a:chOff x="375605" y="53989941"/>
          <a:chExt cx="8874140" cy="7676630"/>
        </a:xfrm>
      </xdr:grpSpPr>
      <xdr:pic>
        <xdr:nvPicPr>
          <xdr:cNvPr id="36" name="Picture 35"/>
          <xdr:cNvPicPr>
            <a:picLocks noChangeAspect="1"/>
          </xdr:cNvPicPr>
        </xdr:nvPicPr>
        <xdr:blipFill>
          <a:blip xmlns:r="http://schemas.openxmlformats.org/officeDocument/2006/relationships" r:embed="rId14"/>
          <a:stretch>
            <a:fillRect/>
          </a:stretch>
        </xdr:blipFill>
        <xdr:spPr>
          <a:xfrm>
            <a:off x="1255059" y="53989941"/>
            <a:ext cx="7193333" cy="5400000"/>
          </a:xfrm>
          <a:prstGeom prst="rect">
            <a:avLst/>
          </a:prstGeom>
          <a:ln>
            <a:solidFill>
              <a:schemeClr val="tx1"/>
            </a:solidFill>
          </a:ln>
        </xdr:spPr>
      </xdr:pic>
      <xdr:pic>
        <xdr:nvPicPr>
          <xdr:cNvPr id="37" name="Picture 3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3365078" y="59506571"/>
            <a:ext cx="2877333" cy="2160000"/>
          </a:xfrm>
          <a:prstGeom prst="rect">
            <a:avLst/>
          </a:prstGeom>
          <a:ln>
            <a:solidFill>
              <a:schemeClr val="tx1"/>
            </a:solidFill>
          </a:ln>
        </xdr:spPr>
      </xdr:pic>
      <xdr:pic>
        <xdr:nvPicPr>
          <xdr:cNvPr id="38" name="Picture 3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375605" y="59506571"/>
            <a:ext cx="2877333" cy="2160000"/>
          </a:xfrm>
          <a:prstGeom prst="rect">
            <a:avLst/>
          </a:prstGeom>
          <a:ln>
            <a:solidFill>
              <a:schemeClr val="tx1"/>
            </a:solidFill>
          </a:ln>
        </xdr:spPr>
      </xdr:pic>
      <xdr:pic>
        <xdr:nvPicPr>
          <xdr:cNvPr id="39" name="Picture 38"/>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6372412" y="59503234"/>
            <a:ext cx="2877333" cy="21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231322</xdr:colOff>
      <xdr:row>30</xdr:row>
      <xdr:rowOff>136071</xdr:rowOff>
    </xdr:to>
    <xdr:pic>
      <xdr:nvPicPr>
        <xdr:cNvPr id="2" name="Picture 1"/>
        <xdr:cNvPicPr>
          <a:picLocks noChangeAspect="1"/>
        </xdr:cNvPicPr>
      </xdr:nvPicPr>
      <xdr:blipFill rotWithShape="1">
        <a:blip xmlns:r="http://schemas.openxmlformats.org/officeDocument/2006/relationships" r:embed="rId1"/>
        <a:srcRect r="27937" b="20005"/>
        <a:stretch/>
      </xdr:blipFill>
      <xdr:spPr>
        <a:xfrm>
          <a:off x="0" y="0"/>
          <a:ext cx="9416143" cy="58510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AWCVLeCpMPdQjRF2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73"/>
  <sheetViews>
    <sheetView tabSelected="1" view="pageBreakPreview" zoomScale="85" zoomScaleNormal="85" zoomScaleSheetLayoutView="85" zoomScalePageLayoutView="70" workbookViewId="0">
      <selection activeCell="C3" sqref="C3:D3"/>
    </sheetView>
  </sheetViews>
  <sheetFormatPr defaultColWidth="9.1796875" defaultRowHeight="17.149999999999999" customHeight="1" x14ac:dyDescent="0.35"/>
  <cols>
    <col min="1" max="7" width="17.54296875" style="1" customWidth="1"/>
    <col min="8" max="8" width="17.54296875" style="4" customWidth="1"/>
    <col min="9" max="9" width="33.81640625" style="1" customWidth="1"/>
    <col min="10" max="10" width="12" style="1" bestFit="1" customWidth="1"/>
    <col min="11" max="11" width="15.54296875" style="1" bestFit="1" customWidth="1"/>
    <col min="12" max="19" width="9.1796875" style="1"/>
    <col min="20" max="22" width="0" style="1" hidden="1" customWidth="1"/>
    <col min="23" max="25" width="9.1796875" style="1"/>
    <col min="26" max="26" width="7.81640625" style="1" customWidth="1"/>
    <col min="27" max="16384" width="9.1796875" style="1"/>
  </cols>
  <sheetData>
    <row r="1" spans="1:11" ht="20.5" x14ac:dyDescent="0.35">
      <c r="A1" s="99" t="s">
        <v>38</v>
      </c>
      <c r="B1" s="100"/>
      <c r="C1" s="100"/>
      <c r="D1" s="100"/>
      <c r="E1" s="100"/>
      <c r="F1" s="100"/>
      <c r="G1" s="100"/>
      <c r="H1" s="101"/>
    </row>
    <row r="2" spans="1:11" ht="42" customHeight="1" x14ac:dyDescent="0.35">
      <c r="A2" s="92" t="s">
        <v>10</v>
      </c>
      <c r="B2" s="92"/>
      <c r="C2" s="93" t="s">
        <v>87</v>
      </c>
      <c r="D2" s="93"/>
      <c r="E2" s="92" t="s">
        <v>12</v>
      </c>
      <c r="F2" s="92"/>
      <c r="G2" s="151">
        <v>45841</v>
      </c>
      <c r="H2" s="151"/>
      <c r="J2" s="153"/>
      <c r="K2" s="153"/>
    </row>
    <row r="3" spans="1:11" ht="63" customHeight="1" x14ac:dyDescent="0.35">
      <c r="A3" s="92" t="s">
        <v>39</v>
      </c>
      <c r="B3" s="92"/>
      <c r="C3" s="154" t="s">
        <v>302</v>
      </c>
      <c r="D3" s="154"/>
      <c r="E3" s="92" t="s">
        <v>162</v>
      </c>
      <c r="F3" s="92"/>
      <c r="G3" s="151" t="s">
        <v>309</v>
      </c>
      <c r="H3" s="151"/>
    </row>
    <row r="4" spans="1:11" ht="43.5" customHeight="1" x14ac:dyDescent="0.35">
      <c r="A4" s="92" t="s">
        <v>36</v>
      </c>
      <c r="B4" s="92"/>
      <c r="C4" s="93" t="s">
        <v>310</v>
      </c>
      <c r="D4" s="93"/>
      <c r="E4" s="92" t="s">
        <v>33</v>
      </c>
      <c r="F4" s="92"/>
      <c r="G4" s="152" t="str">
        <f ca="1">TEXT(TODAY(),"DD/MM/YYYY")</f>
        <v>06/07/2025</v>
      </c>
      <c r="H4" s="152"/>
    </row>
    <row r="5" spans="1:11" ht="20.5" x14ac:dyDescent="0.35">
      <c r="A5" s="94" t="s">
        <v>40</v>
      </c>
      <c r="B5" s="94"/>
      <c r="C5" s="94"/>
      <c r="D5" s="94"/>
      <c r="E5" s="94"/>
      <c r="F5" s="94"/>
      <c r="G5" s="94"/>
      <c r="H5" s="94"/>
    </row>
    <row r="6" spans="1:11" ht="43.5" customHeight="1" x14ac:dyDescent="0.35">
      <c r="A6" s="92" t="s">
        <v>29</v>
      </c>
      <c r="B6" s="92"/>
      <c r="C6" s="93" t="s">
        <v>93</v>
      </c>
      <c r="D6" s="93"/>
      <c r="E6" s="92" t="s">
        <v>35</v>
      </c>
      <c r="F6" s="92"/>
      <c r="G6" s="95" t="s">
        <v>304</v>
      </c>
      <c r="H6" s="95"/>
    </row>
    <row r="7" spans="1:11" ht="43.5" customHeight="1" x14ac:dyDescent="0.35">
      <c r="A7" s="92" t="s">
        <v>42</v>
      </c>
      <c r="B7" s="92"/>
      <c r="C7" s="93" t="s">
        <v>249</v>
      </c>
      <c r="D7" s="93"/>
      <c r="E7" s="92" t="s">
        <v>43</v>
      </c>
      <c r="F7" s="92"/>
      <c r="G7" s="93" t="s">
        <v>250</v>
      </c>
      <c r="H7" s="93"/>
    </row>
    <row r="8" spans="1:11" ht="42" customHeight="1" x14ac:dyDescent="0.35">
      <c r="A8" s="92" t="s">
        <v>44</v>
      </c>
      <c r="B8" s="92"/>
      <c r="C8" s="93" t="s">
        <v>267</v>
      </c>
      <c r="D8" s="93"/>
      <c r="E8" s="93"/>
      <c r="F8" s="93"/>
      <c r="G8" s="93"/>
      <c r="H8" s="93"/>
    </row>
    <row r="9" spans="1:11" ht="45" customHeight="1" x14ac:dyDescent="0.35">
      <c r="A9" s="118" t="s">
        <v>153</v>
      </c>
      <c r="B9" s="43" t="s">
        <v>41</v>
      </c>
      <c r="C9" s="93" t="s">
        <v>251</v>
      </c>
      <c r="D9" s="93"/>
      <c r="E9" s="93"/>
      <c r="F9" s="93"/>
      <c r="G9" s="93"/>
      <c r="H9" s="93"/>
    </row>
    <row r="10" spans="1:11" ht="83.25" customHeight="1" x14ac:dyDescent="0.35">
      <c r="A10" s="118"/>
      <c r="B10" s="43" t="s">
        <v>11</v>
      </c>
      <c r="C10" s="93" t="s">
        <v>252</v>
      </c>
      <c r="D10" s="93"/>
      <c r="E10" s="93"/>
      <c r="F10" s="93"/>
      <c r="G10" s="93"/>
      <c r="H10" s="93"/>
    </row>
    <row r="11" spans="1:11" ht="82.5" customHeight="1" x14ac:dyDescent="0.35">
      <c r="A11" s="118"/>
      <c r="B11" s="43" t="s">
        <v>5</v>
      </c>
      <c r="C11" s="93" t="s">
        <v>252</v>
      </c>
      <c r="D11" s="93"/>
      <c r="E11" s="93"/>
      <c r="F11" s="93"/>
      <c r="G11" s="93"/>
      <c r="H11" s="93"/>
    </row>
    <row r="12" spans="1:11" ht="40.5" customHeight="1" x14ac:dyDescent="0.35">
      <c r="A12" s="120" t="s">
        <v>34</v>
      </c>
      <c r="B12" s="120"/>
      <c r="C12" s="95" t="s">
        <v>287</v>
      </c>
      <c r="D12" s="95"/>
      <c r="E12" s="95"/>
      <c r="F12" s="95"/>
      <c r="G12" s="95"/>
      <c r="H12" s="95"/>
    </row>
    <row r="13" spans="1:11" ht="20.149999999999999" customHeight="1" x14ac:dyDescent="0.35">
      <c r="A13" s="94" t="s">
        <v>45</v>
      </c>
      <c r="B13" s="94"/>
      <c r="C13" s="94"/>
      <c r="D13" s="94"/>
      <c r="E13" s="94"/>
      <c r="F13" s="94"/>
      <c r="G13" s="94"/>
      <c r="H13" s="94"/>
    </row>
    <row r="14" spans="1:11" ht="64.5" customHeight="1" x14ac:dyDescent="0.35">
      <c r="A14" s="92" t="s">
        <v>27</v>
      </c>
      <c r="B14" s="92" t="s">
        <v>4</v>
      </c>
      <c r="C14" s="93" t="s">
        <v>88</v>
      </c>
      <c r="D14" s="93"/>
      <c r="E14" s="92" t="s">
        <v>46</v>
      </c>
      <c r="F14" s="92" t="s">
        <v>4</v>
      </c>
      <c r="G14" s="93" t="s">
        <v>253</v>
      </c>
      <c r="H14" s="93"/>
    </row>
    <row r="15" spans="1:11" ht="41.25" customHeight="1" x14ac:dyDescent="0.35">
      <c r="A15" s="92" t="s">
        <v>47</v>
      </c>
      <c r="B15" s="92" t="s">
        <v>4</v>
      </c>
      <c r="C15" s="93" t="s">
        <v>254</v>
      </c>
      <c r="D15" s="93"/>
      <c r="E15" s="92" t="s">
        <v>48</v>
      </c>
      <c r="F15" s="92" t="s">
        <v>4</v>
      </c>
      <c r="G15" s="151">
        <v>48213</v>
      </c>
      <c r="H15" s="93"/>
    </row>
    <row r="16" spans="1:11" ht="41.25" customHeight="1" x14ac:dyDescent="0.35">
      <c r="A16" s="92" t="s">
        <v>49</v>
      </c>
      <c r="B16" s="92" t="s">
        <v>4</v>
      </c>
      <c r="C16" s="151">
        <v>45433</v>
      </c>
      <c r="D16" s="93"/>
      <c r="E16" s="92" t="s">
        <v>50</v>
      </c>
      <c r="F16" s="92" t="s">
        <v>4</v>
      </c>
      <c r="G16" s="150">
        <v>45433</v>
      </c>
      <c r="H16" s="93"/>
    </row>
    <row r="17" spans="1:9" ht="41.25" customHeight="1" x14ac:dyDescent="0.35">
      <c r="A17" s="92" t="s">
        <v>51</v>
      </c>
      <c r="B17" s="92" t="s">
        <v>4</v>
      </c>
      <c r="C17" s="151">
        <v>48213</v>
      </c>
      <c r="D17" s="93"/>
      <c r="E17" s="92" t="s">
        <v>52</v>
      </c>
      <c r="F17" s="92" t="s">
        <v>4</v>
      </c>
      <c r="G17" s="93" t="s">
        <v>255</v>
      </c>
      <c r="H17" s="93"/>
    </row>
    <row r="18" spans="1:9" ht="41.25" customHeight="1" x14ac:dyDescent="0.35">
      <c r="A18" s="92" t="s">
        <v>53</v>
      </c>
      <c r="B18" s="92" t="s">
        <v>4</v>
      </c>
      <c r="C18" s="93"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93"/>
      <c r="E18" s="92" t="s">
        <v>96</v>
      </c>
      <c r="F18" s="92" t="s">
        <v>4</v>
      </c>
      <c r="G18" s="93">
        <v>66751.62</v>
      </c>
      <c r="H18" s="93"/>
    </row>
    <row r="19" spans="1:9" ht="41.25" customHeight="1" x14ac:dyDescent="0.35">
      <c r="A19" s="92" t="s">
        <v>54</v>
      </c>
      <c r="B19" s="92" t="s">
        <v>4</v>
      </c>
      <c r="C19" s="93">
        <v>3</v>
      </c>
      <c r="D19" s="93"/>
      <c r="E19" s="92" t="s">
        <v>246</v>
      </c>
      <c r="F19" s="92" t="s">
        <v>4</v>
      </c>
      <c r="G19" s="93">
        <v>54316.22</v>
      </c>
      <c r="H19" s="93"/>
    </row>
    <row r="20" spans="1:9" ht="41.25" customHeight="1" x14ac:dyDescent="0.35">
      <c r="A20" s="92" t="s">
        <v>94</v>
      </c>
      <c r="B20" s="92" t="s">
        <v>4</v>
      </c>
      <c r="C20" s="93">
        <v>121217.905</v>
      </c>
      <c r="D20" s="93"/>
      <c r="E20" s="92" t="s">
        <v>95</v>
      </c>
      <c r="F20" s="92" t="s">
        <v>4</v>
      </c>
      <c r="G20" s="93">
        <v>57568.097999999998</v>
      </c>
      <c r="H20" s="93"/>
      <c r="I20" s="1" t="s">
        <v>300</v>
      </c>
    </row>
    <row r="21" spans="1:9" ht="41.25" customHeight="1" x14ac:dyDescent="0.35">
      <c r="A21" s="120" t="s">
        <v>56</v>
      </c>
      <c r="B21" s="120" t="s">
        <v>4</v>
      </c>
      <c r="C21" s="95" t="s">
        <v>286</v>
      </c>
      <c r="D21" s="95"/>
      <c r="E21" s="92" t="s">
        <v>55</v>
      </c>
      <c r="F21" s="92" t="s">
        <v>4</v>
      </c>
      <c r="G21" s="95" t="s">
        <v>256</v>
      </c>
      <c r="H21" s="95"/>
    </row>
    <row r="22" spans="1:9" ht="41.25" customHeight="1" x14ac:dyDescent="0.35">
      <c r="A22" s="92" t="s">
        <v>166</v>
      </c>
      <c r="B22" s="92" t="s">
        <v>4</v>
      </c>
      <c r="C22" s="93" t="s">
        <v>257</v>
      </c>
      <c r="D22" s="93"/>
      <c r="E22" s="135" t="s">
        <v>167</v>
      </c>
      <c r="F22" s="135" t="s">
        <v>4</v>
      </c>
      <c r="G22" s="95" t="s">
        <v>258</v>
      </c>
      <c r="H22" s="95"/>
    </row>
    <row r="23" spans="1:9" ht="28.5" customHeight="1" x14ac:dyDescent="0.35">
      <c r="A23" s="92" t="s">
        <v>164</v>
      </c>
      <c r="B23" s="92" t="s">
        <v>4</v>
      </c>
      <c r="C23" s="78" t="s">
        <v>306</v>
      </c>
      <c r="D23" s="79"/>
      <c r="E23" s="79"/>
      <c r="F23" s="79"/>
      <c r="G23" s="79"/>
      <c r="H23" s="79"/>
    </row>
    <row r="24" spans="1:9" ht="84" customHeight="1" x14ac:dyDescent="0.35">
      <c r="A24" s="120" t="s">
        <v>25</v>
      </c>
      <c r="B24" s="120" t="s">
        <v>4</v>
      </c>
      <c r="C24" s="93" t="s">
        <v>289</v>
      </c>
      <c r="D24" s="136"/>
      <c r="E24" s="136"/>
      <c r="F24" s="136"/>
      <c r="G24" s="136"/>
      <c r="H24" s="136"/>
    </row>
    <row r="25" spans="1:9" ht="24" customHeight="1" x14ac:dyDescent="0.35">
      <c r="A25" s="94" t="s">
        <v>20</v>
      </c>
      <c r="B25" s="94"/>
      <c r="C25" s="94"/>
      <c r="D25" s="94"/>
      <c r="E25" s="94"/>
      <c r="F25" s="94"/>
      <c r="G25" s="94"/>
      <c r="H25" s="94"/>
    </row>
    <row r="26" spans="1:9" ht="43.5" customHeight="1" x14ac:dyDescent="0.35">
      <c r="A26" s="155" t="s">
        <v>26</v>
      </c>
      <c r="B26" s="155" t="s">
        <v>4</v>
      </c>
      <c r="C26" s="95" t="str">
        <f>IF(AND(G26="Upper"),"Developed","Developing")</f>
        <v>Developing</v>
      </c>
      <c r="D26" s="95"/>
      <c r="E26" s="135" t="s">
        <v>13</v>
      </c>
      <c r="F26" s="135" t="s">
        <v>4</v>
      </c>
      <c r="G26" s="95" t="s">
        <v>168</v>
      </c>
      <c r="H26" s="95"/>
    </row>
    <row r="27" spans="1:9" ht="43.5" customHeight="1" x14ac:dyDescent="0.35">
      <c r="A27" s="135" t="s">
        <v>14</v>
      </c>
      <c r="B27" s="135" t="s">
        <v>4</v>
      </c>
      <c r="C27" s="95" t="s">
        <v>99</v>
      </c>
      <c r="D27" s="95"/>
      <c r="E27" s="135" t="s">
        <v>154</v>
      </c>
      <c r="F27" s="135" t="s">
        <v>4</v>
      </c>
      <c r="G27" s="95" t="s">
        <v>264</v>
      </c>
      <c r="H27" s="95"/>
    </row>
    <row r="28" spans="1:9" ht="43.5" customHeight="1" x14ac:dyDescent="0.35">
      <c r="A28" s="135" t="s">
        <v>23</v>
      </c>
      <c r="B28" s="135" t="s">
        <v>4</v>
      </c>
      <c r="C28" s="95" t="s">
        <v>98</v>
      </c>
      <c r="D28" s="95"/>
      <c r="E28" s="135" t="s">
        <v>16</v>
      </c>
      <c r="F28" s="135" t="s">
        <v>4</v>
      </c>
      <c r="G28" s="95" t="s">
        <v>259</v>
      </c>
      <c r="H28" s="95"/>
    </row>
    <row r="29" spans="1:9" ht="65.25" customHeight="1" x14ac:dyDescent="0.35">
      <c r="A29" s="135" t="s">
        <v>108</v>
      </c>
      <c r="B29" s="135" t="s">
        <v>4</v>
      </c>
      <c r="C29" s="95" t="s">
        <v>261</v>
      </c>
      <c r="D29" s="95"/>
      <c r="E29" s="135" t="s">
        <v>109</v>
      </c>
      <c r="F29" s="135" t="s">
        <v>4</v>
      </c>
      <c r="G29" s="95" t="s">
        <v>260</v>
      </c>
      <c r="H29" s="95"/>
    </row>
    <row r="30" spans="1:9" ht="103.5" customHeight="1" x14ac:dyDescent="0.35">
      <c r="A30" s="135" t="s">
        <v>17</v>
      </c>
      <c r="B30" s="135" t="s">
        <v>4</v>
      </c>
      <c r="C30" s="95" t="s">
        <v>262</v>
      </c>
      <c r="D30" s="95"/>
      <c r="E30" s="135" t="s">
        <v>15</v>
      </c>
      <c r="F30" s="135" t="s">
        <v>4</v>
      </c>
      <c r="G30" s="95" t="s">
        <v>263</v>
      </c>
      <c r="H30" s="95"/>
    </row>
    <row r="31" spans="1:9" ht="20.5" x14ac:dyDescent="0.35">
      <c r="A31" s="92" t="s">
        <v>114</v>
      </c>
      <c r="B31" s="92" t="s">
        <v>4</v>
      </c>
      <c r="C31" s="93" t="s">
        <v>115</v>
      </c>
      <c r="D31" s="93"/>
      <c r="E31" s="92" t="s">
        <v>116</v>
      </c>
      <c r="F31" s="92" t="s">
        <v>4</v>
      </c>
      <c r="G31" s="93" t="s">
        <v>115</v>
      </c>
      <c r="H31" s="93"/>
    </row>
    <row r="32" spans="1:9" ht="21.75" customHeight="1" x14ac:dyDescent="0.35">
      <c r="A32" s="92" t="s">
        <v>117</v>
      </c>
      <c r="B32" s="92" t="s">
        <v>4</v>
      </c>
      <c r="C32" s="93" t="s">
        <v>115</v>
      </c>
      <c r="D32" s="93"/>
      <c r="E32" s="93"/>
      <c r="F32" s="93"/>
      <c r="G32" s="93"/>
      <c r="H32" s="93"/>
    </row>
    <row r="33" spans="1:15" ht="20.5" x14ac:dyDescent="0.35">
      <c r="A33" s="119" t="s">
        <v>37</v>
      </c>
      <c r="B33" s="119"/>
      <c r="C33" s="119"/>
      <c r="D33" s="119"/>
      <c r="E33" s="119"/>
      <c r="F33" s="119"/>
      <c r="G33" s="119"/>
      <c r="H33" s="119"/>
    </row>
    <row r="34" spans="1:15" ht="43.5" customHeight="1" x14ac:dyDescent="0.35">
      <c r="A34" s="92" t="s">
        <v>18</v>
      </c>
      <c r="B34" s="92"/>
      <c r="C34" s="93" t="s">
        <v>100</v>
      </c>
      <c r="D34" s="93"/>
      <c r="E34" s="92" t="s">
        <v>19</v>
      </c>
      <c r="F34" s="92" t="s">
        <v>4</v>
      </c>
      <c r="G34" s="93" t="s">
        <v>101</v>
      </c>
      <c r="H34" s="93"/>
    </row>
    <row r="35" spans="1:15" ht="43.5" customHeight="1" x14ac:dyDescent="0.35">
      <c r="A35" s="92" t="s">
        <v>22</v>
      </c>
      <c r="B35" s="92"/>
      <c r="C35" s="93" t="s">
        <v>101</v>
      </c>
      <c r="D35" s="93"/>
      <c r="E35" s="92" t="s">
        <v>32</v>
      </c>
      <c r="F35" s="92" t="s">
        <v>4</v>
      </c>
      <c r="G35" s="95" t="s">
        <v>101</v>
      </c>
      <c r="H35" s="95"/>
    </row>
    <row r="36" spans="1:15" ht="20.5" x14ac:dyDescent="0.35">
      <c r="A36" s="92" t="s">
        <v>31</v>
      </c>
      <c r="B36" s="92"/>
      <c r="C36" s="93" t="s">
        <v>102</v>
      </c>
      <c r="D36" s="93"/>
      <c r="E36" s="92" t="s">
        <v>21</v>
      </c>
      <c r="F36" s="92" t="s">
        <v>4</v>
      </c>
      <c r="G36" s="93" t="s">
        <v>103</v>
      </c>
      <c r="H36" s="93"/>
    </row>
    <row r="37" spans="1:15" ht="20.5" x14ac:dyDescent="0.35">
      <c r="A37" s="94" t="s">
        <v>0</v>
      </c>
      <c r="B37" s="94"/>
      <c r="C37" s="94"/>
      <c r="D37" s="94"/>
      <c r="E37" s="94"/>
      <c r="F37" s="94"/>
      <c r="G37" s="94"/>
      <c r="H37" s="94"/>
    </row>
    <row r="38" spans="1:15" ht="20.5" x14ac:dyDescent="0.35">
      <c r="A38" s="89" t="s">
        <v>0</v>
      </c>
      <c r="B38" s="89"/>
      <c r="C38" s="89" t="s">
        <v>233</v>
      </c>
      <c r="D38" s="89"/>
      <c r="E38" s="89"/>
      <c r="F38" s="89" t="s">
        <v>7</v>
      </c>
      <c r="G38" s="89"/>
      <c r="H38" s="89"/>
      <c r="J38" s="156" t="s">
        <v>1</v>
      </c>
      <c r="K38" s="157"/>
      <c r="L38" s="45" t="s">
        <v>6</v>
      </c>
      <c r="M38" s="156" t="s">
        <v>2</v>
      </c>
      <c r="N38" s="157"/>
      <c r="O38" s="45" t="s">
        <v>3</v>
      </c>
    </row>
    <row r="39" spans="1:15" ht="20.5" x14ac:dyDescent="0.35">
      <c r="A39" s="118" t="s">
        <v>2</v>
      </c>
      <c r="B39" s="118"/>
      <c r="C39" s="91" t="s">
        <v>305</v>
      </c>
      <c r="D39" s="91"/>
      <c r="E39" s="91"/>
      <c r="F39" s="91" t="s">
        <v>265</v>
      </c>
      <c r="G39" s="91"/>
      <c r="H39" s="91"/>
    </row>
    <row r="40" spans="1:15" ht="20.5" x14ac:dyDescent="0.35">
      <c r="A40" s="118" t="s">
        <v>3</v>
      </c>
      <c r="B40" s="118"/>
      <c r="C40" s="91" t="s">
        <v>293</v>
      </c>
      <c r="D40" s="91"/>
      <c r="E40" s="91"/>
      <c r="F40" s="91" t="s">
        <v>291</v>
      </c>
      <c r="G40" s="91"/>
      <c r="H40" s="91"/>
    </row>
    <row r="41" spans="1:15" ht="20.5" x14ac:dyDescent="0.35">
      <c r="A41" s="118" t="s">
        <v>1</v>
      </c>
      <c r="B41" s="118"/>
      <c r="C41" s="91" t="s">
        <v>294</v>
      </c>
      <c r="D41" s="91"/>
      <c r="E41" s="91"/>
      <c r="F41" s="91" t="s">
        <v>292</v>
      </c>
      <c r="G41" s="91"/>
      <c r="H41" s="91"/>
    </row>
    <row r="42" spans="1:15" ht="20.5" x14ac:dyDescent="0.35">
      <c r="A42" s="118" t="s">
        <v>6</v>
      </c>
      <c r="B42" s="118"/>
      <c r="C42" s="91" t="s">
        <v>295</v>
      </c>
      <c r="D42" s="91"/>
      <c r="E42" s="91"/>
      <c r="F42" s="91" t="s">
        <v>266</v>
      </c>
      <c r="G42" s="91"/>
      <c r="H42" s="91"/>
    </row>
    <row r="43" spans="1:15" ht="51" customHeight="1" x14ac:dyDescent="0.35">
      <c r="A43" s="92" t="s">
        <v>234</v>
      </c>
      <c r="B43" s="92"/>
      <c r="C43" s="93" t="s">
        <v>98</v>
      </c>
      <c r="D43" s="93"/>
      <c r="E43" s="93"/>
      <c r="F43" s="93"/>
      <c r="G43" s="93"/>
      <c r="H43" s="93"/>
    </row>
    <row r="44" spans="1:15" ht="20.5" x14ac:dyDescent="0.35">
      <c r="A44" s="94" t="s">
        <v>57</v>
      </c>
      <c r="B44" s="94"/>
      <c r="C44" s="94"/>
      <c r="D44" s="94"/>
      <c r="E44" s="94"/>
      <c r="F44" s="94"/>
      <c r="G44" s="94"/>
      <c r="H44" s="94"/>
    </row>
    <row r="45" spans="1:15" ht="21" customHeight="1" x14ac:dyDescent="0.35">
      <c r="A45" s="89" t="s">
        <v>58</v>
      </c>
      <c r="B45" s="89"/>
      <c r="C45" s="45" t="s">
        <v>59</v>
      </c>
      <c r="D45" s="89" t="s">
        <v>152</v>
      </c>
      <c r="E45" s="89"/>
      <c r="F45" s="89"/>
      <c r="G45" s="89" t="s">
        <v>60</v>
      </c>
      <c r="H45" s="89"/>
    </row>
    <row r="46" spans="1:15" ht="39.75" customHeight="1" x14ac:dyDescent="0.35">
      <c r="A46" s="90" t="s">
        <v>307</v>
      </c>
      <c r="B46" s="90"/>
      <c r="C46" s="42" t="s">
        <v>89</v>
      </c>
      <c r="D46" s="91" t="s">
        <v>268</v>
      </c>
      <c r="E46" s="91"/>
      <c r="F46" s="91"/>
      <c r="G46" s="91" t="s">
        <v>269</v>
      </c>
      <c r="H46" s="91"/>
    </row>
    <row r="47" spans="1:15" ht="20.5" x14ac:dyDescent="0.35">
      <c r="A47" s="94" t="s">
        <v>61</v>
      </c>
      <c r="B47" s="94"/>
      <c r="C47" s="94"/>
      <c r="D47" s="94"/>
      <c r="E47" s="94"/>
      <c r="F47" s="94"/>
      <c r="G47" s="94"/>
      <c r="H47" s="94"/>
    </row>
    <row r="48" spans="1:15" ht="42.75" customHeight="1" x14ac:dyDescent="0.35">
      <c r="A48" s="135" t="s">
        <v>62</v>
      </c>
      <c r="B48" s="135" t="s">
        <v>4</v>
      </c>
      <c r="C48" s="95" t="s">
        <v>98</v>
      </c>
      <c r="D48" s="95"/>
      <c r="E48" s="95"/>
      <c r="F48" s="95"/>
      <c r="G48" s="95"/>
      <c r="H48" s="95"/>
    </row>
    <row r="49" spans="1:10" ht="44.25" customHeight="1" x14ac:dyDescent="0.35">
      <c r="A49" s="92" t="s">
        <v>63</v>
      </c>
      <c r="B49" s="92" t="s">
        <v>4</v>
      </c>
      <c r="C49" s="93" t="s">
        <v>270</v>
      </c>
      <c r="D49" s="93"/>
      <c r="E49" s="93"/>
      <c r="F49" s="93"/>
      <c r="G49" s="60" t="s">
        <v>235</v>
      </c>
      <c r="H49" s="66">
        <v>45001</v>
      </c>
    </row>
    <row r="50" spans="1:10" ht="61.5" customHeight="1" x14ac:dyDescent="0.35">
      <c r="A50" s="92" t="s">
        <v>64</v>
      </c>
      <c r="B50" s="92" t="s">
        <v>4</v>
      </c>
      <c r="C50" s="93" t="s">
        <v>290</v>
      </c>
      <c r="D50" s="93"/>
      <c r="E50" s="93"/>
      <c r="F50" s="93"/>
      <c r="G50" s="60" t="s">
        <v>235</v>
      </c>
      <c r="H50" s="66">
        <v>43024</v>
      </c>
    </row>
    <row r="51" spans="1:10" ht="69" customHeight="1" x14ac:dyDescent="0.35">
      <c r="A51" s="92" t="s">
        <v>64</v>
      </c>
      <c r="B51" s="92" t="s">
        <v>4</v>
      </c>
      <c r="C51" s="93" t="s">
        <v>271</v>
      </c>
      <c r="D51" s="93"/>
      <c r="E51" s="93"/>
      <c r="F51" s="93"/>
      <c r="G51" s="60" t="s">
        <v>235</v>
      </c>
      <c r="H51" s="66">
        <v>45001</v>
      </c>
    </row>
    <row r="52" spans="1:10" ht="44.25" customHeight="1" x14ac:dyDescent="0.35">
      <c r="A52" s="92" t="s">
        <v>247</v>
      </c>
      <c r="B52" s="92"/>
      <c r="C52" s="93" t="s">
        <v>270</v>
      </c>
      <c r="D52" s="93"/>
      <c r="E52" s="93"/>
      <c r="F52" s="93"/>
      <c r="G52" s="60" t="s">
        <v>235</v>
      </c>
      <c r="H52" s="66">
        <v>45001</v>
      </c>
    </row>
    <row r="53" spans="1:10" ht="20.25" customHeight="1" x14ac:dyDescent="0.35">
      <c r="A53" s="92"/>
      <c r="B53" s="92"/>
      <c r="C53" s="144" t="s">
        <v>308</v>
      </c>
      <c r="D53" s="145"/>
      <c r="E53" s="145"/>
      <c r="F53" s="145"/>
      <c r="G53" s="145"/>
      <c r="H53" s="146"/>
    </row>
    <row r="54" spans="1:10" ht="46.5" hidden="1" customHeight="1" x14ac:dyDescent="0.35">
      <c r="A54" s="92" t="s">
        <v>65</v>
      </c>
      <c r="B54" s="92" t="s">
        <v>4</v>
      </c>
      <c r="C54" s="93"/>
      <c r="D54" s="93"/>
      <c r="E54" s="93"/>
      <c r="F54" s="93"/>
      <c r="G54" s="60" t="s">
        <v>236</v>
      </c>
      <c r="H54" s="44"/>
    </row>
    <row r="55" spans="1:10" ht="45" hidden="1" customHeight="1" x14ac:dyDescent="0.35">
      <c r="A55" s="92" t="s">
        <v>67</v>
      </c>
      <c r="B55" s="92" t="s">
        <v>4</v>
      </c>
      <c r="C55" s="93"/>
      <c r="D55" s="93"/>
      <c r="E55" s="93"/>
      <c r="F55" s="93"/>
      <c r="G55" s="60" t="s">
        <v>236</v>
      </c>
      <c r="H55" s="44"/>
    </row>
    <row r="56" spans="1:10" ht="46.5" hidden="1" customHeight="1" x14ac:dyDescent="0.35">
      <c r="A56" s="92" t="s">
        <v>66</v>
      </c>
      <c r="B56" s="92" t="s">
        <v>4</v>
      </c>
      <c r="C56" s="93"/>
      <c r="D56" s="93"/>
      <c r="E56" s="93"/>
      <c r="F56" s="93"/>
      <c r="G56" s="60" t="s">
        <v>236</v>
      </c>
      <c r="H56" s="44"/>
    </row>
    <row r="57" spans="1:10" ht="45" hidden="1" customHeight="1" thickBot="1" x14ac:dyDescent="0.4">
      <c r="A57" s="92" t="s">
        <v>68</v>
      </c>
      <c r="B57" s="92" t="s">
        <v>4</v>
      </c>
      <c r="C57" s="93"/>
      <c r="D57" s="93"/>
      <c r="E57" s="93"/>
      <c r="F57" s="93"/>
      <c r="G57" s="60" t="s">
        <v>236</v>
      </c>
      <c r="H57" s="44"/>
    </row>
    <row r="58" spans="1:10" ht="21" thickBot="1" x14ac:dyDescent="0.4">
      <c r="A58" s="99" t="s">
        <v>69</v>
      </c>
      <c r="B58" s="100"/>
      <c r="C58" s="100"/>
      <c r="D58" s="100"/>
      <c r="E58" s="100"/>
      <c r="F58" s="100"/>
      <c r="G58" s="100"/>
      <c r="H58" s="101"/>
    </row>
    <row r="59" spans="1:10" ht="20.25" customHeight="1" x14ac:dyDescent="0.45">
      <c r="A59" s="98" t="str">
        <f>CONCATENATE((IF(OR(A46="",A46="NA"),"",A46)),"= ",(IF(OR(D46="",D46="NA"),"",D46)),".")</f>
        <v>Building 01 Wing E (Catalina) = 3B + Stilt/Gr + 2P + 3rd to 43rd Floor
.</v>
      </c>
      <c r="B59" s="98"/>
      <c r="C59" s="98"/>
      <c r="D59" s="75" t="s">
        <v>118</v>
      </c>
      <c r="E59" s="77" t="s">
        <v>105</v>
      </c>
      <c r="F59" s="77"/>
      <c r="G59" s="75" t="s">
        <v>119</v>
      </c>
      <c r="H59" s="75" t="s">
        <v>120</v>
      </c>
      <c r="I59" s="14" t="str">
        <f ca="1">(IF(E62&gt;99%,"All work completed. Please provide OC.",IF(E62&gt;89.8%,"Plinth, RCC, Brick, Plaster, Flooring, Wooden, Plumbing, Electrification, etc., work Completed. Finishing work is in process.",IF(E62&lt;94%,(IF(C62=0,"Work not yet Started.",IF(D62=25%,"Piling work in process",IF(D62=50%,"Excavation work in process",IF(D62=100%,"Excavation work Completed. ","0")))&amp;(IF(C63=0%,"",IF(C63=J64,"Footing work is process",IF(C63=J65,"Footing work Completed",IF(C63=J66,"1st Basement Completed",IF(C63=J67,"1st &amp; 2nd Basement Completed",IF(C63=J68,"1st to 3rd Basement Completed",IF(C63=J69,"1st to 4th Basement Completed",IF(C63=J70,"Plinth work is process",IF(C63=J71,"Plinth work completed","0")))))))))))&amp;(IF(C64=(E60+G60+H60),", RCC Slab",IF(C64&gt;0,", RCC upto "&amp;C64&amp;" Slab",""))&amp;(IF(C65=H60,", Brickwork",IF(C65&gt;0,", Brickwork upto "&amp;C65&amp;" Floor",""))&amp;(IF(C66=H60,", Internal Plaster",IF(C66&gt;0,", Internal Plaster upto "&amp;C66&amp;" Floor",""))&amp;(IF(C67=H60,", External Plaster",IF(C67&gt;0,", External Plaster upto "&amp;C67&amp;" Floor",""))&amp;(IF(C68=H60,", External Plumbing, Elevation and Waterproofing",IF(C68&gt;0,", External Plumbing, Elevation and Waterproofing upto "&amp;C68&amp;" Floor",""))&amp;(IF(C69=H60,", Flooring &amp; Fitting",IF(C69&gt;0,", Flooring &amp; Fitting upto "&amp;C69&amp;" Floor",""))&amp;(IF(C70=H60,", Wooden Work",IF(C70&gt;0,", Wooden Work upto "&amp;C70&amp;" Floor",""))&amp;(IF(C71=H60,", Electrical &amp; Sanitary fittings",IF(C71&gt;0,", Electrical &amp; Sanitary fittings upto "&amp;C71&amp;" Floor",""))&amp;(IF(C72&gt;0,", Finishing upto "&amp;C72&amp;" Floor","")&amp;(IF(C64&gt;0.5," Completed",""))))))))))))))))</f>
        <v>Excavation work Completed. Plinth work completed, RCC upto 3 Slab Completed</v>
      </c>
      <c r="J59" s="16"/>
    </row>
    <row r="60" spans="1:10" ht="27" customHeight="1" x14ac:dyDescent="0.45">
      <c r="A60" s="98"/>
      <c r="B60" s="98"/>
      <c r="C60" s="98"/>
      <c r="D60" s="75">
        <v>3</v>
      </c>
      <c r="E60" s="77">
        <v>1</v>
      </c>
      <c r="F60" s="77"/>
      <c r="G60" s="75">
        <v>0</v>
      </c>
      <c r="H60" s="75">
        <f ca="1">--TRIM(RIGHT(SUBSTITUTE(LEFT(A59,_xlfn.AGGREGATE(16,6,FIND({0,1,2,3,4,5,6,7,8,9},A59,ROW(INDIRECT("1:"&amp;LEN(A59)))),1))," ",REPT(" ",LEN(A59))),LEN(A59)))</f>
        <v>43</v>
      </c>
      <c r="I60" s="15" t="s">
        <v>124</v>
      </c>
      <c r="J60" s="16"/>
    </row>
    <row r="61" spans="1:10" ht="20.25" customHeight="1" x14ac:dyDescent="0.45">
      <c r="A61" s="115" t="s">
        <v>122</v>
      </c>
      <c r="B61" s="115"/>
      <c r="C61" s="74" t="s">
        <v>136</v>
      </c>
      <c r="D61" s="74" t="s">
        <v>137</v>
      </c>
      <c r="E61" s="115" t="s">
        <v>123</v>
      </c>
      <c r="F61" s="115"/>
      <c r="G61" s="26" t="s">
        <v>121</v>
      </c>
      <c r="H61" s="26"/>
      <c r="I61" s="18" t="s">
        <v>138</v>
      </c>
      <c r="J61" s="17">
        <f ca="1">H60*25%</f>
        <v>10.75</v>
      </c>
    </row>
    <row r="62" spans="1:10" ht="20.25" customHeight="1" x14ac:dyDescent="0.45">
      <c r="A62" s="147" t="s">
        <v>139</v>
      </c>
      <c r="B62" s="147"/>
      <c r="C62" s="75">
        <f ca="1">J63</f>
        <v>43</v>
      </c>
      <c r="D62" s="73">
        <f ca="1">((100/H60)*C62)/100</f>
        <v>1</v>
      </c>
      <c r="E62" s="170">
        <f ca="1">(((C62/H60*10)+(C63/H60*15)+(25/(E60+G60+H60)*C64)+(5/(H60)*C65)+(2.5/(H60)*C66)+(2.5/(H60)*C67)+(5/H60*C68)+(10/H60*C69)+(2.5/H60*C70)+(2.5/H60*C71)+(10/H60*C72)+(10/H60*C73))/100)</f>
        <v>0.26704545454545453</v>
      </c>
      <c r="F62" s="171"/>
      <c r="G62" s="147" t="str">
        <f ca="1">I59</f>
        <v>Excavation work Completed. Plinth work completed, RCC upto 3 Slab Completed</v>
      </c>
      <c r="H62" s="147"/>
      <c r="I62" s="18" t="s">
        <v>125</v>
      </c>
      <c r="J62" s="22">
        <f ca="1">H60*50%</f>
        <v>21.5</v>
      </c>
    </row>
    <row r="63" spans="1:10" ht="20.5" x14ac:dyDescent="0.45">
      <c r="A63" s="147" t="s">
        <v>106</v>
      </c>
      <c r="B63" s="147"/>
      <c r="C63" s="76">
        <f ca="1">J71</f>
        <v>42.999999999999993</v>
      </c>
      <c r="D63" s="73">
        <f ca="1">((100/H60)*C63)/100</f>
        <v>0.99999999999999989</v>
      </c>
      <c r="E63" s="172"/>
      <c r="F63" s="173"/>
      <c r="G63" s="147"/>
      <c r="H63" s="147"/>
      <c r="I63" s="18" t="s">
        <v>126</v>
      </c>
      <c r="J63" s="22">
        <f ca="1">H60</f>
        <v>43</v>
      </c>
    </row>
    <row r="64" spans="1:10" ht="21" customHeight="1" x14ac:dyDescent="0.5">
      <c r="A64" s="147" t="s">
        <v>140</v>
      </c>
      <c r="B64" s="147"/>
      <c r="C64" s="75">
        <v>3</v>
      </c>
      <c r="D64" s="73">
        <f ca="1">((100/(E60+G60+H60))*C64)/100</f>
        <v>6.8181818181818177E-2</v>
      </c>
      <c r="E64" s="172"/>
      <c r="F64" s="173"/>
      <c r="G64" s="147"/>
      <c r="H64" s="147"/>
      <c r="I64" s="18" t="s">
        <v>127</v>
      </c>
      <c r="J64" s="23">
        <f ca="1">(IF(D60&gt;1,(H60/(D60+2)),H60/4))</f>
        <v>8.6</v>
      </c>
    </row>
    <row r="65" spans="1:10" ht="21" customHeight="1" x14ac:dyDescent="0.5">
      <c r="A65" s="147" t="s">
        <v>141</v>
      </c>
      <c r="B65" s="147"/>
      <c r="C65" s="75">
        <v>0</v>
      </c>
      <c r="D65" s="73">
        <f ca="1">((100/H60)*C65)/100</f>
        <v>0</v>
      </c>
      <c r="E65" s="172"/>
      <c r="F65" s="173"/>
      <c r="G65" s="147"/>
      <c r="H65" s="147"/>
      <c r="I65" s="18" t="s">
        <v>128</v>
      </c>
      <c r="J65" s="23">
        <f ca="1">(IF(D60&gt;1,(H60/(D60+2)+J64),H60/4+J64))</f>
        <v>17.2</v>
      </c>
    </row>
    <row r="66" spans="1:10" ht="21" customHeight="1" x14ac:dyDescent="0.5">
      <c r="A66" s="148" t="s">
        <v>142</v>
      </c>
      <c r="B66" s="149"/>
      <c r="C66" s="75">
        <v>0</v>
      </c>
      <c r="D66" s="73">
        <f ca="1">((100/H60)*C66)/100</f>
        <v>0</v>
      </c>
      <c r="E66" s="172"/>
      <c r="F66" s="173"/>
      <c r="G66" s="147"/>
      <c r="H66" s="147"/>
      <c r="I66" s="18" t="s">
        <v>143</v>
      </c>
      <c r="J66" s="23">
        <f ca="1">(IF(D60&gt;1,(H60/(D60+2)+J65),0))</f>
        <v>25.799999999999997</v>
      </c>
    </row>
    <row r="67" spans="1:10" ht="21" customHeight="1" x14ac:dyDescent="0.5">
      <c r="A67" s="148" t="s">
        <v>174</v>
      </c>
      <c r="B67" s="149"/>
      <c r="C67" s="75">
        <v>0</v>
      </c>
      <c r="D67" s="73">
        <f ca="1">((100/H60)*C67)/100</f>
        <v>0</v>
      </c>
      <c r="E67" s="172"/>
      <c r="F67" s="173"/>
      <c r="G67" s="147"/>
      <c r="H67" s="147"/>
      <c r="I67" s="18" t="s">
        <v>144</v>
      </c>
      <c r="J67" s="23">
        <f ca="1">(IF(D60&gt;2,(H60/(D60+2)+J66),0))</f>
        <v>34.4</v>
      </c>
    </row>
    <row r="68" spans="1:10" ht="65.25" customHeight="1" x14ac:dyDescent="0.5">
      <c r="A68" s="148" t="s">
        <v>171</v>
      </c>
      <c r="B68" s="149"/>
      <c r="C68" s="75">
        <v>0</v>
      </c>
      <c r="D68" s="73">
        <f ca="1">((100/(H60))*C68)/100</f>
        <v>0</v>
      </c>
      <c r="E68" s="172"/>
      <c r="F68" s="173"/>
      <c r="G68" s="147"/>
      <c r="H68" s="147"/>
      <c r="I68" s="18" t="s">
        <v>146</v>
      </c>
      <c r="J68" s="24">
        <f>(IF(D60&gt;3,(H60/(D60+2)+J67),0))</f>
        <v>0</v>
      </c>
    </row>
    <row r="69" spans="1:10" ht="21" x14ac:dyDescent="0.5">
      <c r="A69" s="147" t="s">
        <v>145</v>
      </c>
      <c r="B69" s="147"/>
      <c r="C69" s="75">
        <v>0</v>
      </c>
      <c r="D69" s="73">
        <f ca="1">((100/(H60))*C69)/100</f>
        <v>0</v>
      </c>
      <c r="E69" s="172"/>
      <c r="F69" s="173"/>
      <c r="G69" s="147"/>
      <c r="H69" s="147"/>
      <c r="I69" s="18" t="s">
        <v>147</v>
      </c>
      <c r="J69" s="23">
        <f>(IF(D60&gt;4,(H60/(D60+2)+J68),0))</f>
        <v>0</v>
      </c>
    </row>
    <row r="70" spans="1:10" ht="21" customHeight="1" x14ac:dyDescent="0.5">
      <c r="A70" s="147" t="s">
        <v>173</v>
      </c>
      <c r="B70" s="147"/>
      <c r="C70" s="75">
        <v>0</v>
      </c>
      <c r="D70" s="73">
        <f ca="1">((100/H60)*C70)/100</f>
        <v>0</v>
      </c>
      <c r="E70" s="172"/>
      <c r="F70" s="173"/>
      <c r="G70" s="147"/>
      <c r="H70" s="147"/>
      <c r="I70" s="18" t="s">
        <v>129</v>
      </c>
      <c r="J70" s="23">
        <f>(IF(D60=1,(H60/(D60+3)+J65),IF(D60=0,(H60/4+J65),IF(D60&gt;1,0))))</f>
        <v>0</v>
      </c>
    </row>
    <row r="71" spans="1:10" ht="51.75" customHeight="1" thickBot="1" x14ac:dyDescent="0.55000000000000004">
      <c r="A71" s="147" t="s">
        <v>172</v>
      </c>
      <c r="B71" s="147"/>
      <c r="C71" s="75">
        <v>0</v>
      </c>
      <c r="D71" s="73">
        <f ca="1">((100/H60)*C71)/100</f>
        <v>0</v>
      </c>
      <c r="E71" s="172"/>
      <c r="F71" s="173"/>
      <c r="G71" s="147"/>
      <c r="H71" s="147"/>
      <c r="I71" s="20" t="s">
        <v>130</v>
      </c>
      <c r="J71" s="25">
        <f ca="1">(IF(D60&gt;1.5,(H60/(D60+2)+J64+MAX(0,J65-J64)+MAX(0,J66-J65)+MAX(0,J67-J66)+MAX(0,J68-J67)+MAX(0,J69-J68)),IF(D60=1,(H60/(D60+3)+J70),IF(D60=0,H60/4+J70))))</f>
        <v>42.999999999999993</v>
      </c>
    </row>
    <row r="72" spans="1:10" ht="20.5" x14ac:dyDescent="0.35">
      <c r="A72" s="147" t="s">
        <v>148</v>
      </c>
      <c r="B72" s="147"/>
      <c r="C72" s="75">
        <v>0</v>
      </c>
      <c r="D72" s="73">
        <f ca="1">((100/(H60))*C72)/100</f>
        <v>0</v>
      </c>
      <c r="E72" s="172"/>
      <c r="F72" s="173"/>
      <c r="G72" s="147"/>
      <c r="H72" s="147"/>
    </row>
    <row r="73" spans="1:10" ht="20.5" x14ac:dyDescent="0.35">
      <c r="A73" s="147" t="s">
        <v>149</v>
      </c>
      <c r="B73" s="147"/>
      <c r="C73" s="75">
        <v>0</v>
      </c>
      <c r="D73" s="73">
        <f ca="1">((100/(H60))*C73)/100</f>
        <v>0</v>
      </c>
      <c r="E73" s="174"/>
      <c r="F73" s="175"/>
      <c r="G73" s="147"/>
      <c r="H73" s="147"/>
    </row>
    <row r="74" spans="1:10" ht="21" hidden="1" thickBot="1" x14ac:dyDescent="0.4">
      <c r="A74" s="94" t="s">
        <v>69</v>
      </c>
      <c r="B74" s="94"/>
      <c r="C74" s="94"/>
      <c r="D74" s="94"/>
      <c r="E74" s="94"/>
      <c r="F74" s="94"/>
      <c r="G74" s="94"/>
      <c r="H74" s="94"/>
    </row>
    <row r="75" spans="1:10" ht="20.25" hidden="1" customHeight="1" x14ac:dyDescent="0.45">
      <c r="A75" s="98" t="e">
        <f>CONCATENATE((IF(OR(#REF!="",#REF!="NA"),"",#REF!)),"= ",(IF(OR(#REF!="",#REF!="NA"),"",#REF!)),".")</f>
        <v>#REF!</v>
      </c>
      <c r="B75" s="98"/>
      <c r="C75" s="98"/>
      <c r="D75" s="28" t="s">
        <v>118</v>
      </c>
      <c r="E75" s="77" t="s">
        <v>105</v>
      </c>
      <c r="F75" s="77"/>
      <c r="G75" s="28" t="s">
        <v>119</v>
      </c>
      <c r="H75" s="28" t="s">
        <v>120</v>
      </c>
      <c r="I75" s="14" t="e">
        <f ca="1">(IF(E78&gt;99%,"All work completed. Please provide OC.",IF(E78&gt;89.8%,"Plinth, RCC, Brick, Plaster, Flooring, Wooden, Plumbing, Electrification, etc., work Completed. Finishing work is in process.",IF(E78&lt;94%,(IF(C78=0,"Work not yet Started.",IF(D78=25%,"Piling work in process",IF(D78=50%,"Excavation work in process",IF(D78=100%,"Excavation work Completed. ","0")))&amp;(IF(C79=0%,"",IF(C79=J80,"Footing work is process",IF(C79=J81,"Footing work Completed",IF(C79=J82,"1st Basement Completed",IF(C79=J83,"1st &amp; 2nd Basement Completed",IF(C79=J84,"1st to 3rd Basement Completed",IF(C79=J85,"1st to 4th Basement Completed",IF(C79=J86,"Plinth work is process",IF(C79=J87,"Plinth work completed","0")))))))))))&amp;(IF(C80=(E76+G76+H76),", RCC Slab",IF(C80&gt;0,", RCC upto "&amp;C80&amp;" Slab",""))&amp;(IF(C81=H76,", Brickwork",IF(C81&gt;0,", Brickwork upto "&amp;C81&amp;" Floor",""))&amp;(IF(C82=H76,", Internal Plaster",IF(C82&gt;0,", Internal Plaster upto "&amp;C82&amp;" Floor",""))&amp;(IF(C83=H76,", External Plaster",IF(C83&gt;0,", External Plaster upto "&amp;C83&amp;" Floor",""))&amp;(IF(C84=H76,", External Plumbing, Elevation and Waterproofing",IF(C84&gt;0,", External Plumbing, Elevation and Waterproofing upto "&amp;C84&amp;" Floor",""))&amp;(IF(C85=H76,", Flooring &amp; Fitting",IF(C85&gt;0,", Flooring &amp; Fitting upto "&amp;C85&amp;" Floor",""))&amp;(IF(C86=H76,", Wooden Work",IF(C86&gt;0,", Wooden Work upto "&amp;C86&amp;" Floor",""))&amp;(IF(C87=H76,", Electrical &amp; Sanitary fittings",IF(C87&gt;0,", Electrical &amp; Sanitary fittings upto "&amp;C87&amp;" Floor",""))&amp;(IF(C88&gt;0,", Finishing upto "&amp;C88&amp;" Floor","")&amp;(IF(C80&gt;0.5," Completed",""))))))))))))))))</f>
        <v>#REF!</v>
      </c>
      <c r="J75" s="16"/>
    </row>
    <row r="76" spans="1:10" ht="20.5" hidden="1" x14ac:dyDescent="0.45">
      <c r="A76" s="98"/>
      <c r="B76" s="98"/>
      <c r="C76" s="98"/>
      <c r="D76" s="61">
        <f>IF(AND(ISNUMBER(SEARCH("1B",A75))),1,IF(AND(ISNUMBER(SEARCH("2B",A75))),2,IF(AND(ISNUMBER(SEARCH("3B",A75))),3,IF(AND(ISNUMBER(SEARCH("4B",A75))),4,IF(ISNUMBER(SEARCH("5B",A75)),5,0)))))</f>
        <v>0</v>
      </c>
      <c r="E76" s="77">
        <v>1</v>
      </c>
      <c r="F76" s="77"/>
      <c r="G76" s="61">
        <v>0</v>
      </c>
      <c r="H76" s="28" t="e">
        <f ca="1">--TRIM(RIGHT(SUBSTITUTE(LEFT(A75,_xlfn.AGGREGATE(16,6,FIND({0,1,2,3,4,5,6,7,8,9},A75,ROW(INDIRECT("1:"&amp;LEN(A75)))),1))," ",REPT(" ",LEN(A75))),LEN(A75)))</f>
        <v>#REF!</v>
      </c>
      <c r="I76" s="15" t="s">
        <v>124</v>
      </c>
      <c r="J76" s="16"/>
    </row>
    <row r="77" spans="1:10" ht="20.25" hidden="1" customHeight="1" x14ac:dyDescent="0.45">
      <c r="A77" s="115" t="s">
        <v>122</v>
      </c>
      <c r="B77" s="115"/>
      <c r="C77" s="41" t="s">
        <v>136</v>
      </c>
      <c r="D77" s="29" t="s">
        <v>137</v>
      </c>
      <c r="E77" s="115" t="s">
        <v>123</v>
      </c>
      <c r="F77" s="115"/>
      <c r="G77" s="26" t="s">
        <v>121</v>
      </c>
      <c r="H77" s="26"/>
      <c r="I77" s="18" t="s">
        <v>138</v>
      </c>
      <c r="J77" s="17" t="e">
        <f ca="1">H76*25%</f>
        <v>#REF!</v>
      </c>
    </row>
    <row r="78" spans="1:10" ht="20.25" hidden="1" customHeight="1" x14ac:dyDescent="0.45">
      <c r="A78" s="147" t="s">
        <v>139</v>
      </c>
      <c r="B78" s="147"/>
      <c r="C78" s="34" t="e">
        <f ca="1">J79</f>
        <v>#REF!</v>
      </c>
      <c r="D78" s="30" t="e">
        <f ca="1">((100/H76)*C78)/100</f>
        <v>#REF!</v>
      </c>
      <c r="E78" s="147" t="e">
        <f ca="1">(((C78/H76*10)+(C79/H76*25)+(25/(E76+G76+H76)*C80)+(5/(H76)*C81)+(2.5/(H76)*C82)+(2.5/(H76)*C83)+(5/H76*C84)+(2.5/H76*C85)+(2.5/H76*C86)+(5/H76*C87)+(10/H76*C88)+(5/H76*C89))/100)</f>
        <v>#REF!</v>
      </c>
      <c r="F78" s="147"/>
      <c r="G78" s="147" t="e">
        <f ca="1">I75</f>
        <v>#REF!</v>
      </c>
      <c r="H78" s="147"/>
      <c r="I78" s="18" t="s">
        <v>125</v>
      </c>
      <c r="J78" s="22" t="e">
        <f ca="1">H76*50%</f>
        <v>#REF!</v>
      </c>
    </row>
    <row r="79" spans="1:10" ht="20.5" hidden="1" x14ac:dyDescent="0.45">
      <c r="A79" s="147" t="s">
        <v>106</v>
      </c>
      <c r="B79" s="147"/>
      <c r="C79" s="36" t="e">
        <f ca="1">J87</f>
        <v>#REF!</v>
      </c>
      <c r="D79" s="30" t="e">
        <f ca="1">((100/H76)*C79)/100</f>
        <v>#REF!</v>
      </c>
      <c r="E79" s="147"/>
      <c r="F79" s="147"/>
      <c r="G79" s="147"/>
      <c r="H79" s="147"/>
      <c r="I79" s="18" t="s">
        <v>126</v>
      </c>
      <c r="J79" s="22" t="e">
        <f ca="1">H76</f>
        <v>#REF!</v>
      </c>
    </row>
    <row r="80" spans="1:10" ht="21" hidden="1" customHeight="1" x14ac:dyDescent="0.5">
      <c r="A80" s="147" t="s">
        <v>140</v>
      </c>
      <c r="B80" s="147"/>
      <c r="C80" s="34">
        <v>0</v>
      </c>
      <c r="D80" s="30" t="e">
        <f ca="1">((100/(E76+G76+H76))*C80)/100</f>
        <v>#REF!</v>
      </c>
      <c r="E80" s="147"/>
      <c r="F80" s="147"/>
      <c r="G80" s="147"/>
      <c r="H80" s="147"/>
      <c r="I80" s="18" t="s">
        <v>127</v>
      </c>
      <c r="J80" s="23" t="e">
        <f ca="1">(IF(D76&gt;1,(H76/(D76+2)),H76*0.2))</f>
        <v>#REF!</v>
      </c>
    </row>
    <row r="81" spans="1:10" ht="21" hidden="1" customHeight="1" x14ac:dyDescent="0.5">
      <c r="A81" s="147" t="s">
        <v>141</v>
      </c>
      <c r="B81" s="147"/>
      <c r="C81" s="34">
        <v>0</v>
      </c>
      <c r="D81" s="30" t="e">
        <f ca="1">((100/H76)*C81)/100</f>
        <v>#REF!</v>
      </c>
      <c r="E81" s="147"/>
      <c r="F81" s="147"/>
      <c r="G81" s="147"/>
      <c r="H81" s="147"/>
      <c r="I81" s="18" t="s">
        <v>128</v>
      </c>
      <c r="J81" s="23" t="e">
        <f ca="1">(IF(D76&gt;1,(H76/(D76+2)+J80),H76*0.2+J80))</f>
        <v>#REF!</v>
      </c>
    </row>
    <row r="82" spans="1:10" ht="21" hidden="1" customHeight="1" x14ac:dyDescent="0.5">
      <c r="A82" s="148" t="s">
        <v>142</v>
      </c>
      <c r="B82" s="149"/>
      <c r="C82" s="34">
        <v>0</v>
      </c>
      <c r="D82" s="30" t="e">
        <f ca="1">((100/H76)*C82)/100</f>
        <v>#REF!</v>
      </c>
      <c r="E82" s="147"/>
      <c r="F82" s="147"/>
      <c r="G82" s="147"/>
      <c r="H82" s="147"/>
      <c r="I82" s="18" t="s">
        <v>143</v>
      </c>
      <c r="J82" s="23">
        <f>(IF(D76&gt;1,(H76/(D76+2)+J81),0))</f>
        <v>0</v>
      </c>
    </row>
    <row r="83" spans="1:10" ht="21" hidden="1" customHeight="1" x14ac:dyDescent="0.5">
      <c r="A83" s="148" t="s">
        <v>174</v>
      </c>
      <c r="B83" s="149"/>
      <c r="C83" s="34">
        <v>0</v>
      </c>
      <c r="D83" s="30" t="e">
        <f ca="1">((100/H76)*C83)/100</f>
        <v>#REF!</v>
      </c>
      <c r="E83" s="147"/>
      <c r="F83" s="147"/>
      <c r="G83" s="147"/>
      <c r="H83" s="147"/>
      <c r="I83" s="18" t="s">
        <v>144</v>
      </c>
      <c r="J83" s="23">
        <f>(IF(D76&gt;2,(H76/(D76+2)+J82),0))</f>
        <v>0</v>
      </c>
    </row>
    <row r="84" spans="1:10" ht="57.75" hidden="1" customHeight="1" x14ac:dyDescent="0.5">
      <c r="A84" s="148" t="s">
        <v>171</v>
      </c>
      <c r="B84" s="149"/>
      <c r="C84" s="34">
        <v>0</v>
      </c>
      <c r="D84" s="30" t="e">
        <f ca="1">((100/(H76))*C84)/100</f>
        <v>#REF!</v>
      </c>
      <c r="E84" s="147"/>
      <c r="F84" s="147"/>
      <c r="G84" s="147"/>
      <c r="H84" s="147"/>
      <c r="I84" s="18" t="s">
        <v>146</v>
      </c>
      <c r="J84" s="24">
        <f>(IF(D76&gt;3,(H76/(D76+2)+J83),0))</f>
        <v>0</v>
      </c>
    </row>
    <row r="85" spans="1:10" ht="21" hidden="1" x14ac:dyDescent="0.5">
      <c r="A85" s="147" t="s">
        <v>145</v>
      </c>
      <c r="B85" s="147"/>
      <c r="C85" s="34">
        <v>0</v>
      </c>
      <c r="D85" s="30" t="e">
        <f ca="1">((100/(H76))*C85)/100</f>
        <v>#REF!</v>
      </c>
      <c r="E85" s="147"/>
      <c r="F85" s="147"/>
      <c r="G85" s="147"/>
      <c r="H85" s="147"/>
      <c r="I85" s="18" t="s">
        <v>147</v>
      </c>
      <c r="J85" s="23">
        <f>(IF(D76&gt;4,(H76/(D76+2)+J84),0))</f>
        <v>0</v>
      </c>
    </row>
    <row r="86" spans="1:10" ht="21" hidden="1" customHeight="1" x14ac:dyDescent="0.5">
      <c r="A86" s="147" t="s">
        <v>173</v>
      </c>
      <c r="B86" s="147"/>
      <c r="C86" s="34">
        <v>0</v>
      </c>
      <c r="D86" s="30" t="e">
        <f ca="1">((100/H76)*C86)/100</f>
        <v>#REF!</v>
      </c>
      <c r="E86" s="147"/>
      <c r="F86" s="147"/>
      <c r="G86" s="147"/>
      <c r="H86" s="147"/>
      <c r="I86" s="18" t="s">
        <v>129</v>
      </c>
      <c r="J86" s="23" t="e">
        <f ca="1">(IF(D76=1,(H76/(D76+3)+J81),IF(D76=0,(H76*0.3+J81),IF(D76&gt;1,0))))</f>
        <v>#REF!</v>
      </c>
    </row>
    <row r="87" spans="1:10" ht="21.5" hidden="1" thickBot="1" x14ac:dyDescent="0.55000000000000004">
      <c r="A87" s="147" t="s">
        <v>172</v>
      </c>
      <c r="B87" s="147"/>
      <c r="C87" s="34">
        <v>0</v>
      </c>
      <c r="D87" s="30" t="e">
        <f ca="1">((100/H76)*C87)/100</f>
        <v>#REF!</v>
      </c>
      <c r="E87" s="147"/>
      <c r="F87" s="147"/>
      <c r="G87" s="147"/>
      <c r="H87" s="147"/>
      <c r="I87" s="20" t="s">
        <v>130</v>
      </c>
      <c r="J87" s="25" t="e">
        <f ca="1">(IF(D76&gt;1.5,(H76/(D76+2)+J81+MAX(0,J82-J81)+MAX(0,J83-J82)+MAX(0,J84-J83)+MAX(0,J85-J84)+MAX(0,J86-J85)),IF(D76=1,(H76/(D76+3)+J86),IF(D76=0,H76*0.3+J86))))</f>
        <v>#REF!</v>
      </c>
    </row>
    <row r="88" spans="1:10" ht="20.5" hidden="1" x14ac:dyDescent="0.35">
      <c r="A88" s="147" t="s">
        <v>148</v>
      </c>
      <c r="B88" s="147"/>
      <c r="C88" s="34">
        <v>0</v>
      </c>
      <c r="D88" s="30" t="e">
        <f ca="1">((100/(H76))*C88)/100</f>
        <v>#REF!</v>
      </c>
      <c r="E88" s="147"/>
      <c r="F88" s="147"/>
      <c r="G88" s="147"/>
      <c r="H88" s="147"/>
    </row>
    <row r="89" spans="1:10" ht="20.5" hidden="1" x14ac:dyDescent="0.35">
      <c r="A89" s="147" t="s">
        <v>149</v>
      </c>
      <c r="B89" s="147"/>
      <c r="C89" s="34">
        <v>0</v>
      </c>
      <c r="D89" s="30" t="e">
        <f ca="1">((100/(H76))*C89)/100</f>
        <v>#REF!</v>
      </c>
      <c r="E89" s="147"/>
      <c r="F89" s="147"/>
      <c r="G89" s="147"/>
      <c r="H89" s="147"/>
    </row>
    <row r="90" spans="1:10" ht="21" hidden="1" thickBot="1" x14ac:dyDescent="0.4">
      <c r="A90" s="94" t="s">
        <v>69</v>
      </c>
      <c r="B90" s="94"/>
      <c r="C90" s="94"/>
      <c r="D90" s="94"/>
      <c r="E90" s="94"/>
      <c r="F90" s="94"/>
      <c r="G90" s="94"/>
      <c r="H90" s="94"/>
    </row>
    <row r="91" spans="1:10" ht="20.25" hidden="1" customHeight="1" x14ac:dyDescent="0.45">
      <c r="A91" s="98" t="e">
        <f>CONCATENATE((IF(OR(#REF!="",#REF!="NA"),"",#REF!)),"= ",(IF(OR(#REF!="",#REF!="NA"),"",#REF!)),".")</f>
        <v>#REF!</v>
      </c>
      <c r="B91" s="98"/>
      <c r="C91" s="98"/>
      <c r="D91" s="34" t="s">
        <v>118</v>
      </c>
      <c r="E91" s="77" t="s">
        <v>105</v>
      </c>
      <c r="F91" s="77"/>
      <c r="G91" s="34" t="s">
        <v>119</v>
      </c>
      <c r="H91" s="34" t="s">
        <v>120</v>
      </c>
      <c r="I91" s="14" t="e">
        <f ca="1">(IF(E94&gt;99%,"All work completed. Please provide OC.",IF(E94&gt;89.8%,"Plinth, RCC, Brick, Plaster, Flooring, Wooden, Plumbing, Electrification, etc., work Completed. Finishing work is in process.",IF(E94&lt;94%,(IF(C94=0,"Work not yet Started.",IF(D94=25%,"Piling work in process",IF(D94=50%,"Excavation work in process",IF(D94=100%,"Excavation work Completed. ","0")))&amp;(IF(C95=0%,"",IF(C95=J96,"Footing work is process",IF(C95=J97,"Footing work Completed",IF(C95=J98,"1st Basement Completed",IF(C95=J99,"1st &amp; 2nd Basement Completed",IF(C95=J100,"1st to 3rd Basement Completed",IF(C95=J101,"1st to 4th Basement Completed",IF(C95=J102,"Plinth work is process",IF(C95=J103,"Plinth work completed","0")))))))))))&amp;(IF(C96=(E92+G92+H92),", RCC Slab",IF(C96&gt;0,", RCC upto "&amp;C96&amp;" Slab",""))&amp;(IF(C97=H92,", Brickwork",IF(C97&gt;0,", Brickwork upto "&amp;C97&amp;" Floor",""))&amp;(IF(C98=H92,", Internal Plaster",IF(C98&gt;0,", Internal Plaster upto "&amp;C98&amp;" Floor",""))&amp;(IF(C99=H92,", External Plaster",IF(C99&gt;0,", External Plaster upto "&amp;C99&amp;" Floor",""))&amp;(IF(C100=H92,", External Plumbing, Elevation and Waterproofing",IF(C100&gt;0,", External Plumbing, Elevation and Waterproofing upto "&amp;C100&amp;" Floor",""))&amp;(IF(C101=H92,", Flooring &amp; Fitting",IF(C101&gt;0,", Flooring &amp; Fitting upto "&amp;C101&amp;" Floor",""))&amp;(IF(C102=H92,", Wooden Work",IF(C102&gt;0,", Wooden Work upto "&amp;C102&amp;" Floor",""))&amp;(IF(C103=H92,", Electrical &amp; Sanitary fittings",IF(C103&gt;0,", Electrical &amp; Sanitary fittings upto "&amp;C103&amp;" Floor",""))&amp;(IF(C104&gt;0,", Finishing upto "&amp;C104&amp;" Floor","")&amp;(IF(C96&gt;0.5," Completed",""))))))))))))))))</f>
        <v>#REF!</v>
      </c>
      <c r="J91" s="16"/>
    </row>
    <row r="92" spans="1:10" ht="20.5" hidden="1" x14ac:dyDescent="0.45">
      <c r="A92" s="98"/>
      <c r="B92" s="98"/>
      <c r="C92" s="98"/>
      <c r="D92" s="61">
        <f>IF(AND(ISNUMBER(SEARCH("1B",A91))),1,IF(AND(ISNUMBER(SEARCH("2B",A91))),2,IF(AND(ISNUMBER(SEARCH("3B",A91))),3,IF(AND(ISNUMBER(SEARCH("4B",A91))),4,IF(ISNUMBER(SEARCH("5B",A91)),5,0)))))</f>
        <v>0</v>
      </c>
      <c r="E92" s="77">
        <v>1</v>
      </c>
      <c r="F92" s="77"/>
      <c r="G92" s="61">
        <v>0</v>
      </c>
      <c r="H92" s="34" t="e">
        <f ca="1">--TRIM(RIGHT(SUBSTITUTE(LEFT(A91,_xlfn.AGGREGATE(16,6,FIND({0,1,2,3,4,5,6,7,8,9},A91,ROW(INDIRECT("1:"&amp;LEN(A91)))),1))," ",REPT(" ",LEN(A91))),LEN(A91)))</f>
        <v>#REF!</v>
      </c>
      <c r="I92" s="15" t="s">
        <v>124</v>
      </c>
      <c r="J92" s="16"/>
    </row>
    <row r="93" spans="1:10" ht="20.25" hidden="1" customHeight="1" x14ac:dyDescent="0.45">
      <c r="A93" s="115" t="s">
        <v>122</v>
      </c>
      <c r="B93" s="115"/>
      <c r="C93" s="41" t="s">
        <v>136</v>
      </c>
      <c r="D93" s="41" t="s">
        <v>137</v>
      </c>
      <c r="E93" s="115" t="s">
        <v>123</v>
      </c>
      <c r="F93" s="115"/>
      <c r="G93" s="26" t="s">
        <v>121</v>
      </c>
      <c r="H93" s="26"/>
      <c r="I93" s="18" t="s">
        <v>138</v>
      </c>
      <c r="J93" s="17" t="e">
        <f ca="1">H92*25%</f>
        <v>#REF!</v>
      </c>
    </row>
    <row r="94" spans="1:10" ht="20.25" hidden="1" customHeight="1" x14ac:dyDescent="0.45">
      <c r="A94" s="147" t="s">
        <v>139</v>
      </c>
      <c r="B94" s="147"/>
      <c r="C94" s="34" t="e">
        <f ca="1">J95</f>
        <v>#REF!</v>
      </c>
      <c r="D94" s="35" t="e">
        <f ca="1">((100/H92)*C94)/100</f>
        <v>#REF!</v>
      </c>
      <c r="E94" s="147" t="e">
        <f ca="1">(((C94/H92*10)+(C95/H92*25)+(25/(E92+G92+H92)*C96)+(5/(H92)*C97)+(2.5/(H92)*C98)+(2.5/(H92)*C99)+(5/H92*C100)+(2.5/H92*C101)+(2.5/H92*C102)+(5/H92*C103)+(10/H92*C104)+(5/H92*C105))/100)</f>
        <v>#REF!</v>
      </c>
      <c r="F94" s="147"/>
      <c r="G94" s="147" t="e">
        <f ca="1">I91</f>
        <v>#REF!</v>
      </c>
      <c r="H94" s="147"/>
      <c r="I94" s="18" t="s">
        <v>125</v>
      </c>
      <c r="J94" s="22" t="e">
        <f ca="1">H92*50%</f>
        <v>#REF!</v>
      </c>
    </row>
    <row r="95" spans="1:10" ht="20.5" hidden="1" x14ac:dyDescent="0.45">
      <c r="A95" s="147" t="s">
        <v>106</v>
      </c>
      <c r="B95" s="147"/>
      <c r="C95" s="36" t="e">
        <f ca="1">J103</f>
        <v>#REF!</v>
      </c>
      <c r="D95" s="35" t="e">
        <f ca="1">((100/H92)*C95)/100</f>
        <v>#REF!</v>
      </c>
      <c r="E95" s="147"/>
      <c r="F95" s="147"/>
      <c r="G95" s="147"/>
      <c r="H95" s="147"/>
      <c r="I95" s="18" t="s">
        <v>126</v>
      </c>
      <c r="J95" s="22" t="e">
        <f ca="1">H92</f>
        <v>#REF!</v>
      </c>
    </row>
    <row r="96" spans="1:10" ht="21" hidden="1" customHeight="1" x14ac:dyDescent="0.5">
      <c r="A96" s="147" t="s">
        <v>140</v>
      </c>
      <c r="B96" s="147"/>
      <c r="C96" s="34">
        <v>0</v>
      </c>
      <c r="D96" s="35" t="e">
        <f ca="1">((100/(E92+G92+H92))*C96)/100</f>
        <v>#REF!</v>
      </c>
      <c r="E96" s="147"/>
      <c r="F96" s="147"/>
      <c r="G96" s="147"/>
      <c r="H96" s="147"/>
      <c r="I96" s="18" t="s">
        <v>127</v>
      </c>
      <c r="J96" s="23" t="e">
        <f ca="1">(IF(D92&gt;1,(H92/(D92+2)),H92*0.2))</f>
        <v>#REF!</v>
      </c>
    </row>
    <row r="97" spans="1:11" ht="21" hidden="1" customHeight="1" x14ac:dyDescent="0.5">
      <c r="A97" s="147" t="s">
        <v>141</v>
      </c>
      <c r="B97" s="147"/>
      <c r="C97" s="34">
        <v>0</v>
      </c>
      <c r="D97" s="35" t="e">
        <f ca="1">((100/H92)*C97)/100</f>
        <v>#REF!</v>
      </c>
      <c r="E97" s="147"/>
      <c r="F97" s="147"/>
      <c r="G97" s="147"/>
      <c r="H97" s="147"/>
      <c r="I97" s="18" t="s">
        <v>128</v>
      </c>
      <c r="J97" s="23" t="e">
        <f ca="1">(IF(D92&gt;1,(H92/(D92+2)+J96),H92*0.2+J96))</f>
        <v>#REF!</v>
      </c>
    </row>
    <row r="98" spans="1:11" ht="21" hidden="1" customHeight="1" x14ac:dyDescent="0.5">
      <c r="A98" s="148" t="s">
        <v>142</v>
      </c>
      <c r="B98" s="149"/>
      <c r="C98" s="34">
        <v>0</v>
      </c>
      <c r="D98" s="35" t="e">
        <f ca="1">((100/H92)*C98)/100</f>
        <v>#REF!</v>
      </c>
      <c r="E98" s="147"/>
      <c r="F98" s="147"/>
      <c r="G98" s="147"/>
      <c r="H98" s="147"/>
      <c r="I98" s="18" t="s">
        <v>143</v>
      </c>
      <c r="J98" s="23">
        <f>(IF(D92&gt;1,(H92/(D92+2)+J97),0))</f>
        <v>0</v>
      </c>
    </row>
    <row r="99" spans="1:11" ht="21" hidden="1" customHeight="1" x14ac:dyDescent="0.5">
      <c r="A99" s="148" t="s">
        <v>174</v>
      </c>
      <c r="B99" s="149"/>
      <c r="C99" s="34">
        <v>0</v>
      </c>
      <c r="D99" s="35" t="e">
        <f ca="1">((100/H92)*C99)/100</f>
        <v>#REF!</v>
      </c>
      <c r="E99" s="147"/>
      <c r="F99" s="147"/>
      <c r="G99" s="147"/>
      <c r="H99" s="147"/>
      <c r="I99" s="18" t="s">
        <v>144</v>
      </c>
      <c r="J99" s="23">
        <f>(IF(D92&gt;2,(H92/(D92+2)+J98),0))</f>
        <v>0</v>
      </c>
    </row>
    <row r="100" spans="1:11" ht="57.75" hidden="1" customHeight="1" x14ac:dyDescent="0.5">
      <c r="A100" s="148" t="s">
        <v>171</v>
      </c>
      <c r="B100" s="149"/>
      <c r="C100" s="34">
        <v>0</v>
      </c>
      <c r="D100" s="35" t="e">
        <f ca="1">((100/(H92))*C100)/100</f>
        <v>#REF!</v>
      </c>
      <c r="E100" s="147"/>
      <c r="F100" s="147"/>
      <c r="G100" s="147"/>
      <c r="H100" s="147"/>
      <c r="I100" s="18" t="s">
        <v>146</v>
      </c>
      <c r="J100" s="24">
        <f>(IF(D92&gt;3,(H92/(D92+2)+J99),0))</f>
        <v>0</v>
      </c>
    </row>
    <row r="101" spans="1:11" ht="21" hidden="1" x14ac:dyDescent="0.5">
      <c r="A101" s="147" t="s">
        <v>145</v>
      </c>
      <c r="B101" s="147"/>
      <c r="C101" s="34">
        <v>0</v>
      </c>
      <c r="D101" s="35" t="e">
        <f ca="1">((100/(H92))*C101)/100</f>
        <v>#REF!</v>
      </c>
      <c r="E101" s="147"/>
      <c r="F101" s="147"/>
      <c r="G101" s="147"/>
      <c r="H101" s="147"/>
      <c r="I101" s="18" t="s">
        <v>147</v>
      </c>
      <c r="J101" s="23">
        <f>(IF(D92&gt;4,(H92/(D92+2)+J100),0))</f>
        <v>0</v>
      </c>
    </row>
    <row r="102" spans="1:11" ht="21" hidden="1" customHeight="1" x14ac:dyDescent="0.5">
      <c r="A102" s="147" t="s">
        <v>173</v>
      </c>
      <c r="B102" s="147"/>
      <c r="C102" s="34">
        <v>0</v>
      </c>
      <c r="D102" s="35" t="e">
        <f ca="1">((100/H92)*C102)/100</f>
        <v>#REF!</v>
      </c>
      <c r="E102" s="147"/>
      <c r="F102" s="147"/>
      <c r="G102" s="147"/>
      <c r="H102" s="147"/>
      <c r="I102" s="18" t="s">
        <v>129</v>
      </c>
      <c r="J102" s="23" t="e">
        <f ca="1">(IF(D92=1,(H92/(D92+3)+J97),IF(D92=0,(H92*0.3+J97),IF(D92&gt;1,0))))</f>
        <v>#REF!</v>
      </c>
    </row>
    <row r="103" spans="1:11" ht="21.5" hidden="1" thickBot="1" x14ac:dyDescent="0.55000000000000004">
      <c r="A103" s="147" t="s">
        <v>172</v>
      </c>
      <c r="B103" s="147"/>
      <c r="C103" s="34">
        <v>0</v>
      </c>
      <c r="D103" s="35" t="e">
        <f ca="1">((100/H92)*C103)/100</f>
        <v>#REF!</v>
      </c>
      <c r="E103" s="147"/>
      <c r="F103" s="147"/>
      <c r="G103" s="147"/>
      <c r="H103" s="147"/>
      <c r="I103" s="20" t="s">
        <v>130</v>
      </c>
      <c r="J103" s="25" t="e">
        <f ca="1">(IF(D92&gt;1.5,(H92/(D92+2)+J97+MAX(0,J98-J97)+MAX(0,J99-J98)+MAX(0,J100-J99)+MAX(0,J101-J100)+MAX(0,J102-J101)),IF(D92=1,(H92/(D92+3)+J102),IF(D92=0,H92*0.3+J102))))</f>
        <v>#REF!</v>
      </c>
    </row>
    <row r="104" spans="1:11" ht="20.5" hidden="1" x14ac:dyDescent="0.35">
      <c r="A104" s="147" t="s">
        <v>148</v>
      </c>
      <c r="B104" s="147"/>
      <c r="C104" s="34">
        <v>0</v>
      </c>
      <c r="D104" s="35" t="e">
        <f ca="1">((100/(H92))*C104)/100</f>
        <v>#REF!</v>
      </c>
      <c r="E104" s="147"/>
      <c r="F104" s="147"/>
      <c r="G104" s="147"/>
      <c r="H104" s="147"/>
    </row>
    <row r="105" spans="1:11" ht="20.5" hidden="1" x14ac:dyDescent="0.35">
      <c r="A105" s="147" t="s">
        <v>149</v>
      </c>
      <c r="B105" s="147"/>
      <c r="C105" s="34">
        <v>0</v>
      </c>
      <c r="D105" s="35" t="e">
        <f ca="1">((100/(H92))*C105)/100</f>
        <v>#REF!</v>
      </c>
      <c r="E105" s="147"/>
      <c r="F105" s="147"/>
      <c r="G105" s="147"/>
      <c r="H105" s="147"/>
    </row>
    <row r="106" spans="1:11" ht="36.75" customHeight="1" x14ac:dyDescent="0.45">
      <c r="A106" s="87" t="s">
        <v>131</v>
      </c>
      <c r="B106" s="88"/>
      <c r="C106" s="88"/>
      <c r="D106" s="88"/>
      <c r="E106" s="88"/>
      <c r="F106" s="88"/>
      <c r="G106" s="109">
        <f ca="1">AVERAGE(E62)</f>
        <v>0.26704545454545453</v>
      </c>
      <c r="H106" s="110"/>
      <c r="I106" s="18"/>
      <c r="J106" s="19"/>
      <c r="K106" s="19"/>
    </row>
    <row r="107" spans="1:11" ht="20.5" x14ac:dyDescent="0.35">
      <c r="A107" s="99" t="s">
        <v>73</v>
      </c>
      <c r="B107" s="100"/>
      <c r="C107" s="100"/>
      <c r="D107" s="100"/>
      <c r="E107" s="100"/>
      <c r="F107" s="100"/>
      <c r="G107" s="100"/>
      <c r="H107" s="101"/>
    </row>
    <row r="108" spans="1:11" ht="54.75" customHeight="1" x14ac:dyDescent="0.35">
      <c r="A108" s="107" t="s">
        <v>74</v>
      </c>
      <c r="B108" s="108"/>
      <c r="C108" s="104" t="s">
        <v>110</v>
      </c>
      <c r="D108" s="105"/>
      <c r="E108" s="107" t="s">
        <v>150</v>
      </c>
      <c r="F108" s="108" t="s">
        <v>4</v>
      </c>
      <c r="G108" s="102" t="s">
        <v>163</v>
      </c>
      <c r="H108" s="102"/>
    </row>
    <row r="109" spans="1:11" ht="44.25" customHeight="1" x14ac:dyDescent="0.35">
      <c r="A109" s="107" t="s">
        <v>160</v>
      </c>
      <c r="B109" s="108"/>
      <c r="C109" s="104" t="s">
        <v>301</v>
      </c>
      <c r="D109" s="105"/>
      <c r="E109" s="107" t="s">
        <v>161</v>
      </c>
      <c r="F109" s="108" t="s">
        <v>4</v>
      </c>
      <c r="G109" s="93" t="s">
        <v>151</v>
      </c>
      <c r="H109" s="93"/>
      <c r="I109" s="1">
        <f>10500-9500</f>
        <v>1000</v>
      </c>
    </row>
    <row r="110" spans="1:11" ht="20.5" x14ac:dyDescent="0.35">
      <c r="A110" s="107" t="s">
        <v>75</v>
      </c>
      <c r="B110" s="108"/>
      <c r="C110" s="144">
        <v>300000</v>
      </c>
      <c r="D110" s="146"/>
      <c r="E110" s="107" t="s">
        <v>104</v>
      </c>
      <c r="F110" s="108" t="s">
        <v>4</v>
      </c>
      <c r="G110" s="104" t="s">
        <v>111</v>
      </c>
      <c r="H110" s="105"/>
    </row>
    <row r="111" spans="1:11" ht="20.5" x14ac:dyDescent="0.35">
      <c r="A111" s="99" t="s">
        <v>72</v>
      </c>
      <c r="B111" s="100"/>
      <c r="C111" s="100"/>
      <c r="D111" s="100"/>
      <c r="E111" s="100"/>
      <c r="F111" s="100"/>
      <c r="G111" s="100"/>
      <c r="H111" s="101"/>
    </row>
    <row r="112" spans="1:11" ht="20.25" customHeight="1" x14ac:dyDescent="0.35">
      <c r="A112" s="107" t="s">
        <v>8</v>
      </c>
      <c r="B112" s="158"/>
      <c r="C112" s="158"/>
      <c r="D112" s="158"/>
      <c r="E112" s="158"/>
      <c r="F112" s="108"/>
      <c r="G112" s="159">
        <f>10400/10.764</f>
        <v>966.18357487922708</v>
      </c>
      <c r="H112" s="160"/>
    </row>
    <row r="113" spans="1:150 16226:16383" ht="20.25" customHeight="1" x14ac:dyDescent="0.35">
      <c r="A113" s="107" t="s">
        <v>28</v>
      </c>
      <c r="B113" s="158"/>
      <c r="C113" s="158"/>
      <c r="D113" s="158"/>
      <c r="E113" s="158"/>
      <c r="F113" s="108" t="s">
        <v>4</v>
      </c>
      <c r="G113" s="106">
        <f>60000/10.764</f>
        <v>5574.1360089186182</v>
      </c>
      <c r="H113" s="106"/>
    </row>
    <row r="114" spans="1:150 16226:16383" ht="20.25" customHeight="1" x14ac:dyDescent="0.35">
      <c r="A114" s="107" t="s">
        <v>112</v>
      </c>
      <c r="B114" s="158"/>
      <c r="C114" s="158"/>
      <c r="D114" s="158"/>
      <c r="E114" s="158"/>
      <c r="F114" s="108" t="s">
        <v>4</v>
      </c>
      <c r="G114" s="106">
        <f>G112*0.8</f>
        <v>772.94685990338166</v>
      </c>
      <c r="H114" s="106"/>
    </row>
    <row r="115" spans="1:150 16226:16383" ht="20.5" x14ac:dyDescent="0.35">
      <c r="A115" s="116" t="s">
        <v>297</v>
      </c>
      <c r="B115" s="117"/>
      <c r="C115" s="117"/>
      <c r="D115" s="117"/>
      <c r="E115" s="117"/>
      <c r="F115" s="117"/>
      <c r="G115" s="117"/>
      <c r="H115" s="82"/>
    </row>
    <row r="116" spans="1:150 16226:16383" s="3" customFormat="1" ht="20.5" x14ac:dyDescent="0.35">
      <c r="A116" s="83" t="s">
        <v>157</v>
      </c>
      <c r="B116" s="84"/>
      <c r="C116" s="83" t="s">
        <v>158</v>
      </c>
      <c r="D116" s="84"/>
      <c r="E116" s="83" t="s">
        <v>156</v>
      </c>
      <c r="F116" s="84"/>
      <c r="G116" s="83" t="s">
        <v>169</v>
      </c>
      <c r="H116" s="84"/>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WZB116" s="1"/>
      <c r="WZC116" s="1"/>
      <c r="WZD116" s="1"/>
      <c r="WZE116" s="1"/>
      <c r="WZF116" s="1"/>
      <c r="WZG116" s="1"/>
      <c r="WZH116" s="1"/>
      <c r="WZI116" s="1"/>
      <c r="WZJ116" s="1"/>
      <c r="WZK116" s="1"/>
      <c r="WZL116" s="1"/>
      <c r="WZM116" s="1"/>
      <c r="WZN116" s="1"/>
      <c r="WZO116" s="1"/>
      <c r="WZP116" s="1"/>
      <c r="WZQ116" s="1"/>
      <c r="WZR116" s="1"/>
      <c r="WZS116" s="1"/>
      <c r="WZT116" s="1"/>
      <c r="WZU116" s="1"/>
      <c r="WZV116" s="1"/>
      <c r="WZW116" s="1"/>
      <c r="WZX116" s="1"/>
      <c r="WZY116" s="1"/>
      <c r="WZZ116" s="1"/>
      <c r="XAA116" s="1"/>
      <c r="XAB116" s="1"/>
      <c r="XAC116" s="1"/>
      <c r="XAD116" s="1"/>
      <c r="XAE116" s="1"/>
      <c r="XAF116" s="1"/>
      <c r="XAG116" s="1"/>
      <c r="XAH116" s="1"/>
      <c r="XAI116" s="1"/>
      <c r="XAJ116" s="1"/>
      <c r="XAK116" s="1"/>
      <c r="XAL116" s="1"/>
      <c r="XAM116" s="1"/>
      <c r="XAN116" s="1"/>
      <c r="XAO116" s="1"/>
      <c r="XAP116" s="1"/>
      <c r="XAQ116" s="1"/>
      <c r="XAR116" s="1"/>
      <c r="XAS116" s="1"/>
      <c r="XAT116" s="1"/>
      <c r="XAU116" s="1"/>
      <c r="XAV116" s="1"/>
      <c r="XAW116" s="1"/>
      <c r="XAX116" s="1"/>
      <c r="XAY116" s="1"/>
      <c r="XAZ116" s="1"/>
      <c r="XBA116" s="1"/>
      <c r="XBB116" s="1"/>
      <c r="XBC116" s="1"/>
      <c r="XBD116" s="1"/>
      <c r="XBE116" s="1"/>
      <c r="XBF116" s="1"/>
      <c r="XBG116" s="1"/>
      <c r="XBH116" s="1"/>
      <c r="XBI116" s="1"/>
      <c r="XBJ116" s="1"/>
      <c r="XBK116" s="1"/>
      <c r="XBL116" s="1"/>
      <c r="XBM116" s="1"/>
      <c r="XBN116" s="1"/>
      <c r="XBO116" s="1"/>
      <c r="XBP116" s="1"/>
      <c r="XBQ116" s="1"/>
      <c r="XBR116" s="1"/>
      <c r="XBS116" s="1"/>
      <c r="XBT116" s="1"/>
      <c r="XBU116" s="1"/>
      <c r="XBV116" s="1"/>
      <c r="XBW116" s="1"/>
      <c r="XBX116" s="1"/>
      <c r="XBY116" s="1"/>
      <c r="XBZ116" s="1"/>
      <c r="XCA116" s="1"/>
      <c r="XCB116" s="1"/>
      <c r="XCC116" s="1"/>
      <c r="XCD116" s="1"/>
      <c r="XCE116" s="1"/>
      <c r="XCF116" s="1"/>
      <c r="XCG116" s="1"/>
      <c r="XCH116" s="1"/>
      <c r="XCI116" s="1"/>
      <c r="XCJ116" s="1"/>
      <c r="XCK116" s="1"/>
      <c r="XCL116" s="1"/>
      <c r="XCM116" s="1"/>
      <c r="XCN116" s="1"/>
      <c r="XCO116" s="1"/>
      <c r="XCP116" s="1"/>
      <c r="XCQ116" s="1"/>
      <c r="XCR116" s="1"/>
      <c r="XCS116" s="1"/>
      <c r="XCT116" s="1"/>
      <c r="XCU116" s="1"/>
      <c r="XCV116" s="1"/>
      <c r="XCW116" s="1"/>
      <c r="XCX116" s="1"/>
      <c r="XCY116" s="1"/>
      <c r="XCZ116" s="1"/>
      <c r="XDA116" s="1"/>
      <c r="XDB116" s="1"/>
      <c r="XDC116" s="1"/>
      <c r="XDD116" s="1"/>
      <c r="XDE116" s="1"/>
      <c r="XDF116" s="1"/>
      <c r="XDG116" s="1"/>
      <c r="XDH116" s="1"/>
      <c r="XDI116" s="1"/>
      <c r="XDJ116" s="1"/>
      <c r="XDK116" s="1"/>
      <c r="XDL116" s="1"/>
      <c r="XDM116" s="1"/>
      <c r="XDN116" s="1"/>
      <c r="XDO116" s="1"/>
      <c r="XDP116" s="1"/>
      <c r="XDQ116" s="1"/>
      <c r="XDR116" s="1"/>
      <c r="XDS116" s="1"/>
      <c r="XDT116" s="1"/>
      <c r="XDU116" s="1"/>
      <c r="XDV116" s="1"/>
      <c r="XDW116" s="1"/>
      <c r="XDX116" s="1"/>
      <c r="XDY116" s="1"/>
      <c r="XDZ116" s="1"/>
      <c r="XEA116" s="1"/>
      <c r="XEB116" s="1"/>
      <c r="XEC116" s="1"/>
      <c r="XED116" s="1"/>
      <c r="XEE116" s="1"/>
      <c r="XEF116" s="1"/>
      <c r="XEG116" s="1"/>
      <c r="XEH116" s="1"/>
      <c r="XEI116" s="1"/>
      <c r="XEJ116" s="1"/>
      <c r="XEK116" s="1"/>
      <c r="XEL116" s="1"/>
      <c r="XEM116" s="1"/>
      <c r="XEN116" s="1"/>
      <c r="XEO116" s="1"/>
      <c r="XEP116" s="1"/>
      <c r="XEQ116" s="1"/>
      <c r="XER116" s="1"/>
      <c r="XES116" s="1"/>
      <c r="XET116" s="1"/>
      <c r="XEU116" s="1"/>
      <c r="XEV116" s="1"/>
      <c r="XEW116" s="1"/>
      <c r="XEX116" s="1"/>
      <c r="XEY116" s="1"/>
      <c r="XEZ116" s="1"/>
      <c r="XFA116" s="1"/>
      <c r="XFB116" s="1"/>
      <c r="XFC116" s="1"/>
    </row>
    <row r="117" spans="1:150 16226:16383" s="3" customFormat="1" ht="20.5" x14ac:dyDescent="0.35">
      <c r="A117" s="85" t="s">
        <v>284</v>
      </c>
      <c r="B117" s="86"/>
      <c r="C117" s="85" t="s">
        <v>97</v>
      </c>
      <c r="D117" s="86"/>
      <c r="E117" s="85">
        <f>COUNT(E130:E142)</f>
        <v>13</v>
      </c>
      <c r="F117" s="86"/>
      <c r="G117" s="85">
        <f>SUM(H130:H142)</f>
        <v>3586.8608099999997</v>
      </c>
      <c r="H117" s="86"/>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WZB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row>
    <row r="118" spans="1:150 16226:16383" s="3" customFormat="1" ht="20.5" hidden="1" x14ac:dyDescent="0.35">
      <c r="A118" s="83" t="s">
        <v>159</v>
      </c>
      <c r="B118" s="84"/>
      <c r="C118" s="83" t="s">
        <v>97</v>
      </c>
      <c r="D118" s="84"/>
      <c r="E118" s="83">
        <f>SUM(E117)</f>
        <v>13</v>
      </c>
      <c r="F118" s="84"/>
      <c r="G118" s="83">
        <f>SUM(G117)</f>
        <v>3586.8608099999997</v>
      </c>
      <c r="H118" s="84"/>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WZB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row>
    <row r="119" spans="1:150 16226:16383" ht="20.5" x14ac:dyDescent="0.35">
      <c r="A119" s="116" t="s">
        <v>297</v>
      </c>
      <c r="B119" s="117"/>
      <c r="C119" s="117"/>
      <c r="D119" s="117"/>
      <c r="E119" s="117"/>
      <c r="F119" s="117"/>
      <c r="G119" s="117"/>
      <c r="H119" s="82"/>
    </row>
    <row r="120" spans="1:150 16226:16383" s="3" customFormat="1" ht="20.5" x14ac:dyDescent="0.35">
      <c r="A120" s="83" t="s">
        <v>157</v>
      </c>
      <c r="B120" s="84"/>
      <c r="C120" s="83" t="s">
        <v>158</v>
      </c>
      <c r="D120" s="84"/>
      <c r="E120" s="83" t="s">
        <v>156</v>
      </c>
      <c r="F120" s="84"/>
      <c r="G120" s="83" t="s">
        <v>169</v>
      </c>
      <c r="H120" s="84"/>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5" x14ac:dyDescent="0.35">
      <c r="A121" s="85" t="s">
        <v>285</v>
      </c>
      <c r="B121" s="86"/>
      <c r="C121" s="85" t="s">
        <v>97</v>
      </c>
      <c r="D121" s="86"/>
      <c r="E121" s="85">
        <f>COUNT(H147:H150)+COUNT(H154:H161)*32+COUNT(H163:H167)*9+COUNT(H169:H170)*9</f>
        <v>323</v>
      </c>
      <c r="F121" s="86"/>
      <c r="G121" s="85">
        <f>SUM(H147:H150)+SUM(H154:H161)*32+SUM(H163:H167)*9+SUM(H169:H170)*9</f>
        <v>197421.84586800003</v>
      </c>
      <c r="H121" s="86"/>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5" hidden="1" x14ac:dyDescent="0.35">
      <c r="A122" s="83" t="s">
        <v>159</v>
      </c>
      <c r="B122" s="84"/>
      <c r="C122" s="83" t="s">
        <v>97</v>
      </c>
      <c r="D122" s="84"/>
      <c r="E122" s="83">
        <f>SUM(E121)</f>
        <v>323</v>
      </c>
      <c r="F122" s="84"/>
      <c r="G122" s="83">
        <f>SUM(G121)</f>
        <v>197421.84586800003</v>
      </c>
      <c r="H122" s="84"/>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s="3" customFormat="1" ht="20.5" x14ac:dyDescent="0.35">
      <c r="A123" s="83" t="s">
        <v>248</v>
      </c>
      <c r="B123" s="84"/>
      <c r="C123" s="83" t="s">
        <v>97</v>
      </c>
      <c r="D123" s="84"/>
      <c r="E123" s="83">
        <f>SUM(E122+E118)</f>
        <v>336</v>
      </c>
      <c r="F123" s="84"/>
      <c r="G123" s="83">
        <f>SUM(G122+G118)</f>
        <v>201008.70667800005</v>
      </c>
      <c r="H123" s="84"/>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WZB123" s="1"/>
      <c r="WZC123" s="1"/>
      <c r="WZD123" s="1"/>
      <c r="WZE123" s="1"/>
      <c r="WZF123" s="1"/>
      <c r="WZG123" s="1"/>
      <c r="WZH123" s="1"/>
      <c r="WZI123" s="1"/>
      <c r="WZJ123" s="1"/>
      <c r="WZK123" s="1"/>
      <c r="WZL123" s="1"/>
      <c r="WZM123" s="1"/>
      <c r="WZN123" s="1"/>
      <c r="WZO123" s="1"/>
      <c r="WZP123" s="1"/>
      <c r="WZQ123" s="1"/>
      <c r="WZR123" s="1"/>
      <c r="WZS123" s="1"/>
      <c r="WZT123" s="1"/>
      <c r="WZU123" s="1"/>
      <c r="WZV123" s="1"/>
      <c r="WZW123" s="1"/>
      <c r="WZX123" s="1"/>
      <c r="WZY123" s="1"/>
      <c r="WZZ123" s="1"/>
      <c r="XAA123" s="1"/>
      <c r="XAB123" s="1"/>
      <c r="XAC123" s="1"/>
      <c r="XAD123" s="1"/>
      <c r="XAE123" s="1"/>
      <c r="XAF123" s="1"/>
      <c r="XAG123" s="1"/>
      <c r="XAH123" s="1"/>
      <c r="XAI123" s="1"/>
      <c r="XAJ123" s="1"/>
      <c r="XAK123" s="1"/>
      <c r="XAL123" s="1"/>
      <c r="XAM123" s="1"/>
      <c r="XAN123" s="1"/>
      <c r="XAO123" s="1"/>
      <c r="XAP123" s="1"/>
      <c r="XAQ123" s="1"/>
      <c r="XAR123" s="1"/>
      <c r="XAS123" s="1"/>
      <c r="XAT123" s="1"/>
      <c r="XAU123" s="1"/>
      <c r="XAV123" s="1"/>
      <c r="XAW123" s="1"/>
      <c r="XAX123" s="1"/>
      <c r="XAY123" s="1"/>
      <c r="XAZ123" s="1"/>
      <c r="XBA123" s="1"/>
      <c r="XBB123" s="1"/>
      <c r="XBC123" s="1"/>
      <c r="XBD123" s="1"/>
      <c r="XBE123" s="1"/>
      <c r="XBF123" s="1"/>
      <c r="XBG123" s="1"/>
      <c r="XBH123" s="1"/>
      <c r="XBI123" s="1"/>
      <c r="XBJ123" s="1"/>
      <c r="XBK123" s="1"/>
      <c r="XBL123" s="1"/>
      <c r="XBM123" s="1"/>
      <c r="XBN123" s="1"/>
      <c r="XBO123" s="1"/>
      <c r="XBP123" s="1"/>
      <c r="XBQ123" s="1"/>
      <c r="XBR123" s="1"/>
      <c r="XBS123" s="1"/>
      <c r="XBT123" s="1"/>
      <c r="XBU123" s="1"/>
      <c r="XBV123" s="1"/>
      <c r="XBW123" s="1"/>
      <c r="XBX123" s="1"/>
      <c r="XBY123" s="1"/>
      <c r="XBZ123" s="1"/>
      <c r="XCA123" s="1"/>
      <c r="XCB123" s="1"/>
      <c r="XCC123" s="1"/>
      <c r="XCD123" s="1"/>
      <c r="XCE123" s="1"/>
      <c r="XCF123" s="1"/>
      <c r="XCG123" s="1"/>
      <c r="XCH123" s="1"/>
      <c r="XCI123" s="1"/>
      <c r="XCJ123" s="1"/>
      <c r="XCK123" s="1"/>
      <c r="XCL123" s="1"/>
      <c r="XCM123" s="1"/>
      <c r="XCN123" s="1"/>
      <c r="XCO123" s="1"/>
      <c r="XCP123" s="1"/>
      <c r="XCQ123" s="1"/>
      <c r="XCR123" s="1"/>
      <c r="XCS123" s="1"/>
      <c r="XCT123" s="1"/>
      <c r="XCU123" s="1"/>
      <c r="XCV123" s="1"/>
      <c r="XCW123" s="1"/>
      <c r="XCX123" s="1"/>
      <c r="XCY123" s="1"/>
      <c r="XCZ123" s="1"/>
      <c r="XDA123" s="1"/>
      <c r="XDB123" s="1"/>
      <c r="XDC123" s="1"/>
      <c r="XDD123" s="1"/>
      <c r="XDE123" s="1"/>
      <c r="XDF123" s="1"/>
      <c r="XDG123" s="1"/>
      <c r="XDH123" s="1"/>
      <c r="XDI123" s="1"/>
      <c r="XDJ123" s="1"/>
      <c r="XDK123" s="1"/>
      <c r="XDL123" s="1"/>
      <c r="XDM123" s="1"/>
      <c r="XDN123" s="1"/>
      <c r="XDO123" s="1"/>
      <c r="XDP123" s="1"/>
      <c r="XDQ123" s="1"/>
      <c r="XDR123" s="1"/>
      <c r="XDS123" s="1"/>
      <c r="XDT123" s="1"/>
      <c r="XDU123" s="1"/>
      <c r="XDV123" s="1"/>
      <c r="XDW123" s="1"/>
      <c r="XDX123" s="1"/>
      <c r="XDY123" s="1"/>
      <c r="XDZ123" s="1"/>
      <c r="XEA123" s="1"/>
      <c r="XEB123" s="1"/>
      <c r="XEC123" s="1"/>
      <c r="XED123" s="1"/>
      <c r="XEE123" s="1"/>
      <c r="XEF123" s="1"/>
      <c r="XEG123" s="1"/>
      <c r="XEH123" s="1"/>
      <c r="XEI123" s="1"/>
      <c r="XEJ123" s="1"/>
      <c r="XEK123" s="1"/>
      <c r="XEL123" s="1"/>
      <c r="XEM123" s="1"/>
      <c r="XEN123" s="1"/>
      <c r="XEO123" s="1"/>
      <c r="XEP123" s="1"/>
      <c r="XEQ123" s="1"/>
      <c r="XER123" s="1"/>
      <c r="XES123" s="1"/>
      <c r="XET123" s="1"/>
      <c r="XEU123" s="1"/>
      <c r="XEV123" s="1"/>
      <c r="XEW123" s="1"/>
      <c r="XEX123" s="1"/>
      <c r="XEY123" s="1"/>
      <c r="XEZ123" s="1"/>
      <c r="XFA123" s="1"/>
      <c r="XFB123" s="1"/>
      <c r="XFC123" s="1"/>
    </row>
    <row r="124" spans="1:150 16226:16383" ht="20.5" x14ac:dyDescent="0.35">
      <c r="A124" s="80" t="s">
        <v>155</v>
      </c>
      <c r="B124" s="81"/>
      <c r="C124" s="81"/>
      <c r="D124" s="81"/>
      <c r="E124" s="81"/>
      <c r="F124" s="81"/>
      <c r="G124" s="81"/>
      <c r="H124" s="82"/>
    </row>
    <row r="125" spans="1:150 16226:16383" ht="66" customHeight="1" x14ac:dyDescent="0.35">
      <c r="A125" s="62" t="s">
        <v>237</v>
      </c>
      <c r="B125" s="40" t="s">
        <v>238</v>
      </c>
      <c r="C125" s="72" t="s">
        <v>239</v>
      </c>
      <c r="D125" s="27" t="s">
        <v>90</v>
      </c>
      <c r="E125" s="40" t="s">
        <v>170</v>
      </c>
      <c r="F125" s="39" t="s">
        <v>240</v>
      </c>
      <c r="G125" s="27" t="s">
        <v>92</v>
      </c>
      <c r="H125" s="27" t="s">
        <v>91</v>
      </c>
    </row>
    <row r="126" spans="1:150 16226:16383" s="3" customFormat="1" ht="20.5" x14ac:dyDescent="0.35">
      <c r="A126" s="137" t="s">
        <v>272</v>
      </c>
      <c r="B126" s="138"/>
      <c r="C126" s="138"/>
      <c r="D126" s="138"/>
      <c r="E126" s="138"/>
      <c r="F126" s="138"/>
      <c r="G126" s="138"/>
      <c r="H126" s="139"/>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0.5" x14ac:dyDescent="0.35">
      <c r="A127" s="137" t="s">
        <v>298</v>
      </c>
      <c r="B127" s="138"/>
      <c r="C127" s="138"/>
      <c r="D127" s="138"/>
      <c r="E127" s="138"/>
      <c r="F127" s="138"/>
      <c r="G127" s="138"/>
      <c r="H127" s="13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s="3" customFormat="1" ht="20.5" x14ac:dyDescent="0.35">
      <c r="A128" s="137" t="s">
        <v>273</v>
      </c>
      <c r="B128" s="138"/>
      <c r="C128" s="138"/>
      <c r="D128" s="138"/>
      <c r="E128" s="138"/>
      <c r="F128" s="138"/>
      <c r="G128" s="138"/>
      <c r="H128" s="139"/>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WZB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row>
    <row r="129" spans="1:150 16226:16383" s="3" customFormat="1" ht="20.5" x14ac:dyDescent="0.35">
      <c r="A129" s="137" t="s">
        <v>274</v>
      </c>
      <c r="B129" s="138"/>
      <c r="C129" s="138"/>
      <c r="D129" s="138"/>
      <c r="E129" s="138"/>
      <c r="F129" s="138"/>
      <c r="G129" s="138"/>
      <c r="H129" s="139"/>
      <c r="I129" s="1"/>
      <c r="J129" s="70">
        <f>10.764</f>
        <v>10.763999999999999</v>
      </c>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WZB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row>
    <row r="130" spans="1:150 16226:16383" s="3" customFormat="1" ht="20.5" x14ac:dyDescent="0.35">
      <c r="A130" s="103">
        <v>9</v>
      </c>
      <c r="B130" s="103"/>
      <c r="C130" s="63" t="s">
        <v>97</v>
      </c>
      <c r="D130" s="63" t="s">
        <v>275</v>
      </c>
      <c r="E130" s="70">
        <f>(3.65*5.55)*(10.764)</f>
        <v>218.05172999999999</v>
      </c>
      <c r="F130" s="65">
        <v>0</v>
      </c>
      <c r="G130" s="65">
        <v>0</v>
      </c>
      <c r="H130" s="65">
        <f>E130+F130+(IF(G130&lt;101,G130,IF(G130&lt;201,G130/2,IF(G130&lt;=301,G130/3,G130/4))))</f>
        <v>218.05172999999999</v>
      </c>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5" x14ac:dyDescent="0.35">
      <c r="A131" s="96">
        <f>A130+1</f>
        <v>10</v>
      </c>
      <c r="B131" s="97"/>
      <c r="C131" s="63" t="s">
        <v>97</v>
      </c>
      <c r="D131" s="63" t="s">
        <v>275</v>
      </c>
      <c r="E131" s="70">
        <f>(2.75*9.35+1.65*3.8)*(10.764)</f>
        <v>344.25962999999996</v>
      </c>
      <c r="F131" s="65">
        <v>0</v>
      </c>
      <c r="G131" s="65">
        <v>0</v>
      </c>
      <c r="H131" s="65">
        <f t="shared" ref="H131:H137" si="0">E131+F131+(IF(G131&lt;101,G131,IF(G131&lt;201,G131/2,IF(G131&lt;=301,G131/3,G131/4))))</f>
        <v>344.25962999999996</v>
      </c>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5" x14ac:dyDescent="0.35">
      <c r="A132" s="96">
        <f t="shared" ref="A132:A142" si="1">A131+1</f>
        <v>11</v>
      </c>
      <c r="B132" s="97"/>
      <c r="C132" s="63" t="s">
        <v>97</v>
      </c>
      <c r="D132" s="63" t="s">
        <v>275</v>
      </c>
      <c r="E132" s="70">
        <f>(2.85*7.35+1.38*1)*(10.764)</f>
        <v>240.33320999999995</v>
      </c>
      <c r="F132" s="65">
        <v>0</v>
      </c>
      <c r="G132" s="65">
        <v>0</v>
      </c>
      <c r="H132" s="65">
        <f t="shared" si="0"/>
        <v>240.33320999999995</v>
      </c>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customHeight="1" x14ac:dyDescent="0.35">
      <c r="A133" s="96">
        <f t="shared" si="1"/>
        <v>12</v>
      </c>
      <c r="B133" s="97"/>
      <c r="C133" s="63" t="s">
        <v>97</v>
      </c>
      <c r="D133" s="63" t="s">
        <v>275</v>
      </c>
      <c r="E133" s="70">
        <f>(3.05*8.45+1.5*1)*(10.764)</f>
        <v>293.56118999999995</v>
      </c>
      <c r="F133" s="65">
        <v>0</v>
      </c>
      <c r="G133" s="65">
        <v>0</v>
      </c>
      <c r="H133" s="65">
        <f t="shared" si="0"/>
        <v>293.56118999999995</v>
      </c>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customHeight="1" x14ac:dyDescent="0.35">
      <c r="A134" s="96">
        <f t="shared" si="1"/>
        <v>13</v>
      </c>
      <c r="B134" s="97"/>
      <c r="C134" s="63" t="s">
        <v>97</v>
      </c>
      <c r="D134" s="63" t="s">
        <v>275</v>
      </c>
      <c r="E134" s="70">
        <f>(3.05*8.45+1.45*1)*(10.764)</f>
        <v>293.02298999999994</v>
      </c>
      <c r="F134" s="65">
        <v>0</v>
      </c>
      <c r="G134" s="65">
        <v>0</v>
      </c>
      <c r="H134" s="65">
        <f t="shared" si="0"/>
        <v>293.02298999999994</v>
      </c>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customHeight="1" x14ac:dyDescent="0.35">
      <c r="A135" s="96">
        <f t="shared" si="1"/>
        <v>14</v>
      </c>
      <c r="B135" s="97"/>
      <c r="C135" s="63" t="s">
        <v>97</v>
      </c>
      <c r="D135" s="63" t="s">
        <v>275</v>
      </c>
      <c r="E135" s="70">
        <f>(2.85*7.35+1.3*1)*(10.764)</f>
        <v>239.47208999999998</v>
      </c>
      <c r="F135" s="65">
        <v>0</v>
      </c>
      <c r="G135" s="65">
        <v>0</v>
      </c>
      <c r="H135" s="65">
        <f t="shared" si="0"/>
        <v>239.47208999999998</v>
      </c>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customHeight="1" x14ac:dyDescent="0.35">
      <c r="A136" s="96">
        <f t="shared" si="1"/>
        <v>15</v>
      </c>
      <c r="B136" s="97"/>
      <c r="C136" s="63" t="s">
        <v>97</v>
      </c>
      <c r="D136" s="63" t="s">
        <v>275</v>
      </c>
      <c r="E136" s="70">
        <f>(2.75*9.35+1.65*3.8)*(10.764)</f>
        <v>344.25962999999996</v>
      </c>
      <c r="F136" s="65">
        <v>0</v>
      </c>
      <c r="G136" s="65">
        <v>0</v>
      </c>
      <c r="H136" s="65">
        <f t="shared" si="0"/>
        <v>344.25962999999996</v>
      </c>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customHeight="1" x14ac:dyDescent="0.35">
      <c r="A137" s="96">
        <f t="shared" si="1"/>
        <v>16</v>
      </c>
      <c r="B137" s="97"/>
      <c r="C137" s="63" t="s">
        <v>97</v>
      </c>
      <c r="D137" s="63" t="s">
        <v>275</v>
      </c>
      <c r="E137" s="70">
        <f>(3.1*5.4)*(10.764)</f>
        <v>180.18936000000002</v>
      </c>
      <c r="F137" s="65">
        <v>0</v>
      </c>
      <c r="G137" s="65">
        <v>0</v>
      </c>
      <c r="H137" s="65">
        <f t="shared" si="0"/>
        <v>180.18936000000002</v>
      </c>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customHeight="1" x14ac:dyDescent="0.35">
      <c r="A138" s="96">
        <f t="shared" si="1"/>
        <v>17</v>
      </c>
      <c r="B138" s="97"/>
      <c r="C138" s="63" t="s">
        <v>97</v>
      </c>
      <c r="D138" s="63" t="s">
        <v>275</v>
      </c>
      <c r="E138" s="70">
        <f>(2.75*9.35+1.65*3.8)*(10.764)</f>
        <v>344.25962999999996</v>
      </c>
      <c r="F138" s="65">
        <v>0</v>
      </c>
      <c r="G138" s="65">
        <v>0</v>
      </c>
      <c r="H138" s="65">
        <f t="shared" ref="H138:H142" si="2">E138+F138+(IF(G138&lt;101,G138,IF(G138&lt;201,G138/2,IF(G138&lt;=301,G138/3,G138/4))))</f>
        <v>344.25962999999996</v>
      </c>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customHeight="1" x14ac:dyDescent="0.35">
      <c r="A139" s="96">
        <f t="shared" si="1"/>
        <v>18</v>
      </c>
      <c r="B139" s="97"/>
      <c r="C139" s="63" t="s">
        <v>97</v>
      </c>
      <c r="D139" s="63" t="s">
        <v>275</v>
      </c>
      <c r="E139" s="70">
        <f>(3.05*8.45+1.5*1)*(10.764)</f>
        <v>293.56118999999995</v>
      </c>
      <c r="F139" s="65">
        <v>0</v>
      </c>
      <c r="G139" s="65">
        <v>0</v>
      </c>
      <c r="H139" s="65">
        <f t="shared" si="2"/>
        <v>293.56118999999995</v>
      </c>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35">
      <c r="A140" s="96">
        <f t="shared" si="1"/>
        <v>19</v>
      </c>
      <c r="B140" s="97"/>
      <c r="C140" s="63" t="s">
        <v>97</v>
      </c>
      <c r="D140" s="63" t="s">
        <v>275</v>
      </c>
      <c r="E140" s="70">
        <f>(2.85*7.35+1.3*1)*(10.764)</f>
        <v>239.47208999999998</v>
      </c>
      <c r="F140" s="65">
        <v>0</v>
      </c>
      <c r="G140" s="65">
        <v>0</v>
      </c>
      <c r="H140" s="65">
        <f t="shared" si="2"/>
        <v>239.47208999999998</v>
      </c>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35">
      <c r="A141" s="96">
        <f t="shared" si="1"/>
        <v>20</v>
      </c>
      <c r="B141" s="97"/>
      <c r="C141" s="63" t="s">
        <v>97</v>
      </c>
      <c r="D141" s="63" t="s">
        <v>275</v>
      </c>
      <c r="E141" s="70">
        <f>(2.75*9.35+1.65*3.8)*(10.764)</f>
        <v>344.25962999999996</v>
      </c>
      <c r="F141" s="65">
        <v>0</v>
      </c>
      <c r="G141" s="65">
        <v>0</v>
      </c>
      <c r="H141" s="65">
        <f t="shared" si="2"/>
        <v>344.25962999999996</v>
      </c>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35">
      <c r="A142" s="96">
        <f t="shared" si="1"/>
        <v>21</v>
      </c>
      <c r="B142" s="97"/>
      <c r="C142" s="63" t="s">
        <v>97</v>
      </c>
      <c r="D142" s="63" t="s">
        <v>275</v>
      </c>
      <c r="E142" s="70">
        <f>(3.65*5.4)*(10.764)</f>
        <v>212.15843999999998</v>
      </c>
      <c r="F142" s="65">
        <v>0</v>
      </c>
      <c r="G142" s="65">
        <v>0</v>
      </c>
      <c r="H142" s="65">
        <f t="shared" si="2"/>
        <v>212.15843999999998</v>
      </c>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5" x14ac:dyDescent="0.35">
      <c r="A143" s="137" t="s">
        <v>276</v>
      </c>
      <c r="B143" s="138"/>
      <c r="C143" s="138"/>
      <c r="D143" s="138"/>
      <c r="E143" s="138"/>
      <c r="F143" s="138"/>
      <c r="G143" s="138"/>
      <c r="H143" s="139"/>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5" x14ac:dyDescent="0.35">
      <c r="A144" s="137" t="s">
        <v>277</v>
      </c>
      <c r="B144" s="138"/>
      <c r="C144" s="138"/>
      <c r="D144" s="138"/>
      <c r="E144" s="138"/>
      <c r="F144" s="138"/>
      <c r="G144" s="138"/>
      <c r="H144" s="139"/>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5" x14ac:dyDescent="0.35">
      <c r="A145" s="103">
        <v>1</v>
      </c>
      <c r="B145" s="103"/>
      <c r="C145" s="164" t="s">
        <v>296</v>
      </c>
      <c r="D145" s="165"/>
      <c r="E145" s="165"/>
      <c r="F145" s="165"/>
      <c r="G145" s="166"/>
      <c r="H145" s="71" t="s">
        <v>97</v>
      </c>
      <c r="I145" s="67">
        <f>(3.1*4.05+2.75*2.15+2.75*3.4+2.9*3.7+1.25*2.1+2.1*1.25+1*2.85+1.5*2.1+0.9*3.6+1.2*0.6)</f>
        <v>53.7575</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5" x14ac:dyDescent="0.35">
      <c r="A146" s="96">
        <v>2</v>
      </c>
      <c r="B146" s="97"/>
      <c r="C146" s="167"/>
      <c r="D146" s="168"/>
      <c r="E146" s="168"/>
      <c r="F146" s="168"/>
      <c r="G146" s="169"/>
      <c r="H146" s="71" t="s">
        <v>97</v>
      </c>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5" x14ac:dyDescent="0.35">
      <c r="A147" s="103">
        <v>3</v>
      </c>
      <c r="B147" s="103"/>
      <c r="C147" s="63" t="s">
        <v>97</v>
      </c>
      <c r="D147" s="63" t="s">
        <v>279</v>
      </c>
      <c r="E147" s="70">
        <f>(56.423)*(10.764)</f>
        <v>607.33717200000001</v>
      </c>
      <c r="F147" s="70">
        <f>(1*(3.15+2.95+1.65))*(10.764)</f>
        <v>83.420999999999992</v>
      </c>
      <c r="G147" s="65">
        <v>0</v>
      </c>
      <c r="H147" s="65">
        <f>E147+F147+(IF(G147&lt;101,G147,IF(G147&lt;201,G147/2,IF(G147&lt;=301,G147/3,G147/4))))</f>
        <v>690.75817200000006</v>
      </c>
      <c r="I147" s="67">
        <f>(3.1*4.05+2.75*2.15+2.75*3.4+2.9*3.7+1.25*2.1+2.1*1.25+1*2.85+1.5*2.1+0.9*3.6+1.2*0.6)</f>
        <v>53.7575</v>
      </c>
      <c r="J147" s="1">
        <f>3.1*4.05+1*2.85+1.5*2.1+2.75*2.15+2.75*3.4+2.9*3.7+1.25*2.1+2.1*1.25+0.9*3.1+1.25*0.6</f>
        <v>53.337499999999999</v>
      </c>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5" x14ac:dyDescent="0.35">
      <c r="A148" s="96">
        <f>A147+1</f>
        <v>4</v>
      </c>
      <c r="B148" s="97"/>
      <c r="C148" s="63" t="s">
        <v>97</v>
      </c>
      <c r="D148" s="63" t="s">
        <v>279</v>
      </c>
      <c r="E148" s="70">
        <f>(56.423)*(10.764)</f>
        <v>607.33717200000001</v>
      </c>
      <c r="F148" s="70">
        <f>(1*(3.15+2.95+1.65))*(10.764)</f>
        <v>83.420999999999992</v>
      </c>
      <c r="G148" s="65">
        <v>0</v>
      </c>
      <c r="H148" s="65">
        <f t="shared" ref="H148:H150" si="3">E148+F148+(IF(G148&lt;101,G148,IF(G148&lt;201,G148/2,IF(G148&lt;=301,G148/3,G148/4))))</f>
        <v>690.75817200000006</v>
      </c>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5" x14ac:dyDescent="0.35">
      <c r="A149" s="96">
        <f t="shared" ref="A149:A152" si="4">A148+1</f>
        <v>5</v>
      </c>
      <c r="B149" s="97"/>
      <c r="C149" s="63" t="s">
        <v>97</v>
      </c>
      <c r="D149" s="63" t="s">
        <v>279</v>
      </c>
      <c r="E149" s="70">
        <f>(56.423)*(10.764)</f>
        <v>607.33717200000001</v>
      </c>
      <c r="F149" s="70">
        <f>(1*(3.15+2.95+1.65))*(10.764)</f>
        <v>83.420999999999992</v>
      </c>
      <c r="G149" s="65">
        <v>0</v>
      </c>
      <c r="H149" s="65">
        <f t="shared" si="3"/>
        <v>690.75817200000006</v>
      </c>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35">
      <c r="A150" s="96">
        <f t="shared" si="4"/>
        <v>6</v>
      </c>
      <c r="B150" s="97"/>
      <c r="C150" s="63" t="s">
        <v>97</v>
      </c>
      <c r="D150" s="63" t="s">
        <v>279</v>
      </c>
      <c r="E150" s="70">
        <f>(56.423)*(10.764)</f>
        <v>607.33717200000001</v>
      </c>
      <c r="F150" s="70">
        <f>(1*(3.15+2.95+1.65))*(10.764)</f>
        <v>83.420999999999992</v>
      </c>
      <c r="G150" s="65">
        <v>0</v>
      </c>
      <c r="H150" s="65">
        <f t="shared" si="3"/>
        <v>690.75817200000006</v>
      </c>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5" x14ac:dyDescent="0.35">
      <c r="A151" s="96">
        <f t="shared" si="4"/>
        <v>7</v>
      </c>
      <c r="B151" s="97"/>
      <c r="C151" s="164" t="s">
        <v>296</v>
      </c>
      <c r="D151" s="165"/>
      <c r="E151" s="165"/>
      <c r="F151" s="165"/>
      <c r="G151" s="166"/>
      <c r="H151" s="71" t="s">
        <v>97</v>
      </c>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35">
      <c r="A152" s="96">
        <f t="shared" si="4"/>
        <v>8</v>
      </c>
      <c r="B152" s="97"/>
      <c r="C152" s="167"/>
      <c r="D152" s="168"/>
      <c r="E152" s="168"/>
      <c r="F152" s="168"/>
      <c r="G152" s="169"/>
      <c r="H152" s="71" t="s">
        <v>97</v>
      </c>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40.5" customHeight="1" x14ac:dyDescent="0.35">
      <c r="A153" s="140" t="s">
        <v>280</v>
      </c>
      <c r="B153" s="141"/>
      <c r="C153" s="141"/>
      <c r="D153" s="141"/>
      <c r="E153" s="141"/>
      <c r="F153" s="141"/>
      <c r="G153" s="141"/>
      <c r="H153" s="142"/>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35">
      <c r="A154" s="103">
        <v>1</v>
      </c>
      <c r="B154" s="103"/>
      <c r="C154" s="63" t="s">
        <v>97</v>
      </c>
      <c r="D154" s="63" t="s">
        <v>281</v>
      </c>
      <c r="E154" s="70">
        <f>(28.782)*(10.764)</f>
        <v>309.80944799999997</v>
      </c>
      <c r="F154" s="70">
        <f>(1*(1.25+2.45+2.75)+1*2.75)*(10.764)</f>
        <v>99.02879999999999</v>
      </c>
      <c r="G154" s="65">
        <v>0</v>
      </c>
      <c r="H154" s="65">
        <f>E154+F154+(IF(G154&lt;101,G154,IF(G154&lt;201,G154/2,IF(G154&lt;=301,G154/3,G154/4))))</f>
        <v>408.83824799999996</v>
      </c>
      <c r="I154" s="67">
        <f>(3.75*2.85+2.45*1.95+2.75*2.4+0.9*1.5+1.2*1.8+0.9*1.6)</f>
        <v>27.015000000000001</v>
      </c>
      <c r="J154" s="68">
        <f>2.75+2.75+2.7+1.25</f>
        <v>9.4499999999999993</v>
      </c>
      <c r="K154" s="1"/>
      <c r="L154" s="1"/>
      <c r="M154" s="1"/>
      <c r="N154" s="1"/>
      <c r="O154" s="1"/>
      <c r="P154" s="1"/>
      <c r="Q154" s="1"/>
      <c r="R154" s="1"/>
      <c r="S154" s="1"/>
      <c r="T154" s="21" t="str">
        <f t="shared" ref="T154:T161" ca="1" si="5">U154&amp;""&amp;",..,"&amp;""&amp;V154</f>
        <v>3681001,..,4301</v>
      </c>
      <c r="U154" s="21">
        <f ca="1">(SUMPRODUCT(MID(0&amp;(LEFT(A153,SUM(LEN(A153)-LEN(SUBSTITUTE(A153,{"0","1","2","3"},""))))), LARGE(INDEX(ISNUMBER(--MID((LEFT(A153,SUM(LEN(A153)-LEN(SUBSTITUTE(A153,{"0","1","2","3"},""))))), ROW(INDIRECT("1:"&amp;LEN((LEFT(A153,SUM(LEN(A153)-LEN(SUBSTITUTE(A153,{"0","1","2","3"},"")))))))), 1)) * ROW(INDIRECT("1:"&amp;LEN((LEFT(A153,SUM(LEN(A153)-LEN(SUBSTITUTE(A153,{"0","1","2","3"},"")))))))), 0), ROW(INDIRECT("1:"&amp;LEN((LEFT(A153,SUM(LEN(A153)-LEN(SUBSTITUTE(A153,{"0","1","2","3"},"")))))))))+1, 1) * 10^ROW(INDIRECT("1:"&amp;LEN((LEFT(A153,SUM(LEN(A153)-LEN(SUBSTITUTE(A153,{"0","1","2","3"},""))))))))/10))*100+1</f>
        <v>3681001</v>
      </c>
      <c r="V154" s="21">
        <f ca="1">(SUMPRODUCT(MID(0&amp;(--TRIM(RIGHT(SUBSTITUTE(LEFT(A153,_xlfn.AGGREGATE(16,6,FIND({0,1,2,3,4,5,6,7,8,9},A153,ROW(INDIRECT("1:"&amp;LEN(A153)))),1))," ",REPT(" ",LEN(A153))),LEN(A153)))), LARGE(INDEX(ISNUMBER(--MID((--TRIM(RIGHT(SUBSTITUTE(LEFT(A153,_xlfn.AGGREGATE(16,6,FIND({0,1,2,3,4,5,6,7,8,9},A153,ROW(INDIRECT("1:"&amp;LEN(A153)))),1))," ",REPT(" ",LEN(A153))),LEN(A153)))), ROW(INDIRECT("1:"&amp;LEN((--TRIM(RIGHT(SUBSTITUTE(LEFT(A153,_xlfn.AGGREGATE(16,6,FIND({0,1,2,3,4,5,6,7,8,9},A153,ROW(INDIRECT("1:"&amp;LEN(A153)))),1))," ",REPT(" ",LEN(A153))),LEN(A153))))))), 1)) * ROW(INDIRECT("1:"&amp;LEN((--TRIM(RIGHT(SUBSTITUTE(LEFT(A153,_xlfn.AGGREGATE(16,6,FIND({0,1,2,3,4,5,6,7,8,9},A153,ROW(INDIRECT("1:"&amp;LEN(A153)))),1))," ",REPT(" ",LEN(A153))),LEN(A153))))))), 0), ROW(INDIRECT("1:"&amp;LEN((--TRIM(RIGHT(SUBSTITUTE(LEFT(A153,_xlfn.AGGREGATE(16,6,FIND({0,1,2,3,4,5,6,7,8,9},A153,ROW(INDIRECT("1:"&amp;LEN(A153)))),1))," ",REPT(" ",LEN(A153))),LEN(A153))))))))+1, 1) * 10^ROW(INDIRECT("1:"&amp;LEN((--TRIM(RIGHT(SUBSTITUTE(LEFT(A153,_xlfn.AGGREGATE(16,6,FIND({0,1,2,3,4,5,6,7,8,9},A153,ROW(INDIRECT("1:"&amp;LEN(A153)))),1))," ",REPT(" ",LEN(A153))),LEN(A153)))))))/10))*100+1</f>
        <v>4301</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35">
      <c r="A155" s="103">
        <v>2</v>
      </c>
      <c r="B155" s="103"/>
      <c r="C155" s="63" t="s">
        <v>97</v>
      </c>
      <c r="D155" s="63" t="s">
        <v>278</v>
      </c>
      <c r="E155" s="70">
        <f>(43.103)*(10.764)</f>
        <v>463.96069199999999</v>
      </c>
      <c r="F155" s="70">
        <f>(1*(2.15+2.45+2.75+2.2)+1*2.75)*(10.764)</f>
        <v>132.3972</v>
      </c>
      <c r="G155" s="65">
        <v>0</v>
      </c>
      <c r="H155" s="65">
        <f t="shared" ref="H155:H161" si="6">E155+F155+(IF(G155&lt;101,G155,IF(G155&lt;201,G155/2,IF(G155&lt;=301,G155/3,G155/4))))</f>
        <v>596.35789199999999</v>
      </c>
      <c r="I155" s="67">
        <f>(3.65*2.85+2.45*2.15+2.75*2.4+3.35*2.8+1.25*2.1+1.25*1.85+0.9*2.7+1.25*0.6)</f>
        <v>39.767499999999998</v>
      </c>
      <c r="J155" s="1"/>
      <c r="K155" s="1"/>
      <c r="L155" s="1"/>
      <c r="M155" s="1"/>
      <c r="N155" s="1"/>
      <c r="O155" s="1"/>
      <c r="P155" s="1"/>
      <c r="Q155" s="1"/>
      <c r="R155" s="1"/>
      <c r="S155" s="1"/>
      <c r="T155" s="21" t="str">
        <f t="shared" ca="1" si="5"/>
        <v>3681002,..,4302</v>
      </c>
      <c r="U155" s="21">
        <f ca="1">U154+1</f>
        <v>3681002</v>
      </c>
      <c r="V155" s="21">
        <f ca="1">V154+1</f>
        <v>4302</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35">
      <c r="A156" s="103">
        <v>3</v>
      </c>
      <c r="B156" s="103"/>
      <c r="C156" s="63" t="s">
        <v>97</v>
      </c>
      <c r="D156" s="63" t="s">
        <v>279</v>
      </c>
      <c r="E156" s="70">
        <f>(56.835)*(10.764)</f>
        <v>611.77193999999997</v>
      </c>
      <c r="F156" s="70">
        <f>(1*(3.15+2.95+2.75+1.65))*(10.764)</f>
        <v>113.02199999999999</v>
      </c>
      <c r="G156" s="65">
        <v>0</v>
      </c>
      <c r="H156" s="65">
        <f t="shared" si="6"/>
        <v>724.79394000000002</v>
      </c>
      <c r="I156" s="1"/>
      <c r="J156" s="1"/>
      <c r="K156" s="1"/>
      <c r="L156" s="1"/>
      <c r="M156" s="1"/>
      <c r="N156" s="1"/>
      <c r="O156" s="1"/>
      <c r="P156" s="1"/>
      <c r="Q156" s="1"/>
      <c r="R156" s="1"/>
      <c r="S156" s="1"/>
      <c r="T156" s="21" t="str">
        <f t="shared" ca="1" si="5"/>
        <v>3681003,..,4303</v>
      </c>
      <c r="U156" s="21">
        <f t="shared" ref="U156:V161" ca="1" si="7">U155+1</f>
        <v>3681003</v>
      </c>
      <c r="V156" s="21">
        <f t="shared" ca="1" si="7"/>
        <v>4303</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35">
      <c r="A157" s="103">
        <v>4</v>
      </c>
      <c r="B157" s="103"/>
      <c r="C157" s="63" t="s">
        <v>97</v>
      </c>
      <c r="D157" s="63" t="s">
        <v>279</v>
      </c>
      <c r="E157" s="70">
        <f>(56.835)*(10.764)</f>
        <v>611.77193999999997</v>
      </c>
      <c r="F157" s="70">
        <f>(1*(3.15+2.95+2.75+1.55))*(10.764)</f>
        <v>111.9456</v>
      </c>
      <c r="G157" s="65">
        <v>0</v>
      </c>
      <c r="H157" s="65">
        <f t="shared" si="6"/>
        <v>723.71753999999999</v>
      </c>
      <c r="I157" s="1"/>
      <c r="J157" s="1"/>
      <c r="K157" s="1"/>
      <c r="L157" s="1"/>
      <c r="M157" s="1"/>
      <c r="N157" s="1"/>
      <c r="O157" s="1"/>
      <c r="P157" s="1"/>
      <c r="Q157" s="1"/>
      <c r="R157" s="1"/>
      <c r="S157" s="1"/>
      <c r="T157" s="21" t="str">
        <f t="shared" ca="1" si="5"/>
        <v>3681004,..,4304</v>
      </c>
      <c r="U157" s="21">
        <f t="shared" ca="1" si="7"/>
        <v>3681004</v>
      </c>
      <c r="V157" s="21">
        <f t="shared" ca="1" si="7"/>
        <v>4304</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35">
      <c r="A158" s="103">
        <v>5</v>
      </c>
      <c r="B158" s="103"/>
      <c r="C158" s="63" t="s">
        <v>97</v>
      </c>
      <c r="D158" s="63" t="s">
        <v>279</v>
      </c>
      <c r="E158" s="70">
        <f>(56.835)*(10.764)</f>
        <v>611.77193999999997</v>
      </c>
      <c r="F158" s="70">
        <f>(1*(3.15+2.95+2.75+1.55))*(10.764)</f>
        <v>111.9456</v>
      </c>
      <c r="G158" s="65">
        <v>0</v>
      </c>
      <c r="H158" s="65">
        <f t="shared" si="6"/>
        <v>723.71753999999999</v>
      </c>
      <c r="I158" s="1"/>
      <c r="J158" s="1"/>
      <c r="K158" s="1"/>
      <c r="L158" s="1"/>
      <c r="M158" s="1"/>
      <c r="N158" s="1"/>
      <c r="O158" s="1"/>
      <c r="P158" s="1"/>
      <c r="Q158" s="1"/>
      <c r="R158" s="1"/>
      <c r="S158" s="1"/>
      <c r="T158" s="21" t="str">
        <f t="shared" ca="1" si="5"/>
        <v>3681005,..,4305</v>
      </c>
      <c r="U158" s="21">
        <f t="shared" ca="1" si="7"/>
        <v>3681005</v>
      </c>
      <c r="V158" s="21">
        <f t="shared" ca="1" si="7"/>
        <v>4305</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35">
      <c r="A159" s="103">
        <v>6</v>
      </c>
      <c r="B159" s="103"/>
      <c r="C159" s="63" t="s">
        <v>97</v>
      </c>
      <c r="D159" s="63" t="s">
        <v>279</v>
      </c>
      <c r="E159" s="70">
        <f>(56.835)*(10.764)</f>
        <v>611.77193999999997</v>
      </c>
      <c r="F159" s="70">
        <f>(1*(3.15+2.95+2.75+1.65))*(10.764)</f>
        <v>113.02199999999999</v>
      </c>
      <c r="G159" s="65">
        <v>0</v>
      </c>
      <c r="H159" s="65">
        <f t="shared" si="6"/>
        <v>724.79394000000002</v>
      </c>
      <c r="I159" s="1"/>
      <c r="J159" s="1"/>
      <c r="K159" s="1"/>
      <c r="L159" s="1"/>
      <c r="M159" s="1"/>
      <c r="N159" s="1"/>
      <c r="O159" s="1"/>
      <c r="P159" s="1"/>
      <c r="Q159" s="1"/>
      <c r="R159" s="1"/>
      <c r="S159" s="1"/>
      <c r="T159" s="21" t="str">
        <f t="shared" ca="1" si="5"/>
        <v>3681006,..,4306</v>
      </c>
      <c r="U159" s="21">
        <f t="shared" ca="1" si="7"/>
        <v>3681006</v>
      </c>
      <c r="V159" s="21">
        <f t="shared" ca="1" si="7"/>
        <v>4306</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35">
      <c r="A160" s="103">
        <v>7</v>
      </c>
      <c r="B160" s="103"/>
      <c r="C160" s="63" t="s">
        <v>97</v>
      </c>
      <c r="D160" s="63" t="s">
        <v>278</v>
      </c>
      <c r="E160" s="70">
        <f>(43.103)*(10.764)</f>
        <v>463.96069199999999</v>
      </c>
      <c r="F160" s="70">
        <f>(1*(2.15+2.35+2.75+2.2)+1*2.75)*(10.764)</f>
        <v>131.32079999999999</v>
      </c>
      <c r="G160" s="65">
        <v>0</v>
      </c>
      <c r="H160" s="65">
        <f t="shared" si="6"/>
        <v>595.28149199999996</v>
      </c>
      <c r="I160" s="1"/>
      <c r="J160" s="1"/>
      <c r="K160" s="1"/>
      <c r="L160" s="1"/>
      <c r="M160" s="1"/>
      <c r="N160" s="1"/>
      <c r="O160" s="1"/>
      <c r="P160" s="1"/>
      <c r="Q160" s="1"/>
      <c r="R160" s="1"/>
      <c r="S160" s="1"/>
      <c r="T160" s="21" t="str">
        <f t="shared" ca="1" si="5"/>
        <v>3681007,..,4307</v>
      </c>
      <c r="U160" s="21">
        <f t="shared" ca="1" si="7"/>
        <v>3681007</v>
      </c>
      <c r="V160" s="21">
        <f t="shared" ca="1" si="7"/>
        <v>4307</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35">
      <c r="A161" s="103">
        <v>8</v>
      </c>
      <c r="B161" s="103"/>
      <c r="C161" s="63" t="s">
        <v>97</v>
      </c>
      <c r="D161" s="63" t="s">
        <v>281</v>
      </c>
      <c r="E161" s="70">
        <f>(28.782)*(10.764)</f>
        <v>309.80944799999997</v>
      </c>
      <c r="F161" s="70">
        <f>(6.5+1*2.75)*(10.764)</f>
        <v>99.566999999999993</v>
      </c>
      <c r="G161" s="65">
        <v>0</v>
      </c>
      <c r="H161" s="65">
        <f t="shared" si="6"/>
        <v>409.37644799999998</v>
      </c>
      <c r="I161" s="1">
        <f>4900000/H161*1.5</f>
        <v>17954.134967725353</v>
      </c>
      <c r="J161" s="1"/>
      <c r="K161" s="1"/>
      <c r="L161" s="1"/>
      <c r="M161" s="1"/>
      <c r="N161" s="1"/>
      <c r="O161" s="1"/>
      <c r="P161" s="1"/>
      <c r="Q161" s="1"/>
      <c r="R161" s="1"/>
      <c r="S161" s="1"/>
      <c r="T161" s="21" t="str">
        <f t="shared" ca="1" si="5"/>
        <v>3681008,..,4308</v>
      </c>
      <c r="U161" s="21">
        <f t="shared" ca="1" si="7"/>
        <v>3681008</v>
      </c>
      <c r="V161" s="21">
        <f t="shared" ca="1" si="7"/>
        <v>4308</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5" x14ac:dyDescent="0.35">
      <c r="A162" s="140" t="s">
        <v>282</v>
      </c>
      <c r="B162" s="141"/>
      <c r="C162" s="141"/>
      <c r="D162" s="141"/>
      <c r="E162" s="141"/>
      <c r="F162" s="141"/>
      <c r="G162" s="141"/>
      <c r="H162" s="142"/>
      <c r="I162" s="1"/>
      <c r="J162" s="1"/>
      <c r="K162" s="1">
        <v>9000</v>
      </c>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customHeight="1" x14ac:dyDescent="0.35">
      <c r="A163" s="103">
        <v>1</v>
      </c>
      <c r="B163" s="103"/>
      <c r="C163" s="63" t="s">
        <v>97</v>
      </c>
      <c r="D163" s="63" t="s">
        <v>281</v>
      </c>
      <c r="E163" s="70">
        <f>(28.782)*(10.764)</f>
        <v>309.80944799999997</v>
      </c>
      <c r="F163" s="70">
        <f>(1*(1.25+2.45+2.75)+1*2.75)*(10.764)</f>
        <v>99.02879999999999</v>
      </c>
      <c r="G163" s="65">
        <v>0</v>
      </c>
      <c r="H163" s="65">
        <f>E163+F163+(IF(G163&lt;101,G163,IF(G163&lt;201,G163/2,IF(G163&lt;=301,G163/3,G163/4))))</f>
        <v>408.83824799999996</v>
      </c>
      <c r="I163" s="67">
        <f>H163*1.5</f>
        <v>613.25737199999992</v>
      </c>
      <c r="J163" s="68">
        <f>4900000/I163</f>
        <v>7990.1200111459902</v>
      </c>
      <c r="K163" s="1">
        <f>K$162*H163</f>
        <v>3679544.2319999998</v>
      </c>
      <c r="L163" s="1"/>
      <c r="M163" s="1"/>
      <c r="N163" s="1"/>
      <c r="O163" s="1"/>
      <c r="P163" s="1"/>
      <c r="Q163" s="1"/>
      <c r="R163" s="1"/>
      <c r="S163" s="1"/>
      <c r="T163" s="21" t="str">
        <f t="shared" ref="T163:T170" ca="1" si="8">U163&amp;""&amp;",..,"&amp;""&amp;V163</f>
        <v>71101,..,3901</v>
      </c>
      <c r="U163" s="21">
        <f ca="1">(SUMPRODUCT(MID(0&amp;(LEFT(A162,SUM(LEN(A162)-LEN(SUBSTITUTE(A162,{"0","1","2","3"},""))))), LARGE(INDEX(ISNUMBER(--MID((LEFT(A162,SUM(LEN(A162)-LEN(SUBSTITUTE(A162,{"0","1","2","3"},""))))), ROW(INDIRECT("1:"&amp;LEN((LEFT(A162,SUM(LEN(A162)-LEN(SUBSTITUTE(A162,{"0","1","2","3"},"")))))))), 1)) * ROW(INDIRECT("1:"&amp;LEN((LEFT(A162,SUM(LEN(A162)-LEN(SUBSTITUTE(A162,{"0","1","2","3"},"")))))))), 0), ROW(INDIRECT("1:"&amp;LEN((LEFT(A162,SUM(LEN(A162)-LEN(SUBSTITUTE(A162,{"0","1","2","3"},"")))))))))+1, 1) * 10^ROW(INDIRECT("1:"&amp;LEN((LEFT(A162,SUM(LEN(A162)-LEN(SUBSTITUTE(A162,{"0","1","2","3"},""))))))))/10))*100+1</f>
        <v>71101</v>
      </c>
      <c r="V163" s="21">
        <f ca="1">(SUMPRODUCT(MID(0&amp;(--TRIM(RIGHT(SUBSTITUTE(LEFT(A162,_xlfn.AGGREGATE(16,6,FIND({0,1,2,3,4,5,6,7,8,9},A162,ROW(INDIRECT("1:"&amp;LEN(A162)))),1))," ",REPT(" ",LEN(A162))),LEN(A162)))), LARGE(INDEX(ISNUMBER(--MID((--TRIM(RIGHT(SUBSTITUTE(LEFT(A162,_xlfn.AGGREGATE(16,6,FIND({0,1,2,3,4,5,6,7,8,9},A162,ROW(INDIRECT("1:"&amp;LEN(A162)))),1))," ",REPT(" ",LEN(A162))),LEN(A162)))), ROW(INDIRECT("1:"&amp;LEN((--TRIM(RIGHT(SUBSTITUTE(LEFT(A162,_xlfn.AGGREGATE(16,6,FIND({0,1,2,3,4,5,6,7,8,9},A162,ROW(INDIRECT("1:"&amp;LEN(A162)))),1))," ",REPT(" ",LEN(A162))),LEN(A162))))))), 1)) * ROW(INDIRECT("1:"&amp;LEN((--TRIM(RIGHT(SUBSTITUTE(LEFT(A162,_xlfn.AGGREGATE(16,6,FIND({0,1,2,3,4,5,6,7,8,9},A162,ROW(INDIRECT("1:"&amp;LEN(A162)))),1))," ",REPT(" ",LEN(A162))),LEN(A162))))))), 0), ROW(INDIRECT("1:"&amp;LEN((--TRIM(RIGHT(SUBSTITUTE(LEFT(A162,_xlfn.AGGREGATE(16,6,FIND({0,1,2,3,4,5,6,7,8,9},A162,ROW(INDIRECT("1:"&amp;LEN(A162)))),1))," ",REPT(" ",LEN(A162))),LEN(A162))))))))+1, 1) * 10^ROW(INDIRECT("1:"&amp;LEN((--TRIM(RIGHT(SUBSTITUTE(LEFT(A162,_xlfn.AGGREGATE(16,6,FIND({0,1,2,3,4,5,6,7,8,9},A162,ROW(INDIRECT("1:"&amp;LEN(A162)))),1))," ",REPT(" ",LEN(A162))),LEN(A162)))))))/10))*100+1</f>
        <v>3901</v>
      </c>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customHeight="1" x14ac:dyDescent="0.35">
      <c r="A164" s="103">
        <v>2</v>
      </c>
      <c r="B164" s="103"/>
      <c r="C164" s="63" t="s">
        <v>97</v>
      </c>
      <c r="D164" s="63" t="s">
        <v>278</v>
      </c>
      <c r="E164" s="70">
        <f>(43.103)*(10.764)</f>
        <v>463.96069199999999</v>
      </c>
      <c r="F164" s="70">
        <f>(1*(2.15+2.45+2.75+2.2)+1*2.75)*(10.764)</f>
        <v>132.3972</v>
      </c>
      <c r="G164" s="65">
        <v>0</v>
      </c>
      <c r="H164" s="65">
        <f t="shared" ref="H164:H170" si="9">E164+F164+(IF(G164&lt;101,G164,IF(G164&lt;201,G164/2,IF(G164&lt;=301,G164/3,G164/4))))</f>
        <v>596.35789199999999</v>
      </c>
      <c r="I164" s="67">
        <f t="shared" ref="I164:I170" si="10">H164*1.5</f>
        <v>894.53683799999999</v>
      </c>
      <c r="J164" s="68">
        <f>8400000/I164</f>
        <v>9390.3343531169376</v>
      </c>
      <c r="K164" s="1">
        <f>K$162*H164</f>
        <v>5367221.0279999999</v>
      </c>
      <c r="L164" s="1"/>
      <c r="M164" s="1"/>
      <c r="N164" s="1"/>
      <c r="O164" s="1"/>
      <c r="P164" s="1"/>
      <c r="Q164" s="1"/>
      <c r="R164" s="1"/>
      <c r="S164" s="1"/>
      <c r="T164" s="21" t="str">
        <f t="shared" ca="1" si="8"/>
        <v>71102,..,3902</v>
      </c>
      <c r="U164" s="21">
        <f ca="1">U163+1</f>
        <v>71102</v>
      </c>
      <c r="V164" s="21">
        <f ca="1">V163+1</f>
        <v>3902</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customHeight="1" x14ac:dyDescent="0.35">
      <c r="A165" s="103">
        <v>3</v>
      </c>
      <c r="B165" s="103"/>
      <c r="C165" s="63" t="s">
        <v>97</v>
      </c>
      <c r="D165" s="63" t="s">
        <v>279</v>
      </c>
      <c r="E165" s="70">
        <f>(56.835)*(10.764)</f>
        <v>611.77193999999997</v>
      </c>
      <c r="F165" s="70">
        <f>(1*(3.15+2.95+2.75+1.65))*(10.764)</f>
        <v>113.02199999999999</v>
      </c>
      <c r="G165" s="65">
        <v>0</v>
      </c>
      <c r="H165" s="65">
        <f t="shared" si="9"/>
        <v>724.79394000000002</v>
      </c>
      <c r="I165" s="67">
        <f t="shared" si="10"/>
        <v>1087.19091</v>
      </c>
      <c r="J165" s="68">
        <f t="shared" ref="J165:J169" si="11">4900000/I165</f>
        <v>4507.028117076512</v>
      </c>
      <c r="K165" s="1">
        <f t="shared" ref="K165:K170" si="12">K$162*H165</f>
        <v>6523145.46</v>
      </c>
      <c r="L165" s="1"/>
      <c r="M165" s="1"/>
      <c r="N165" s="1"/>
      <c r="O165" s="1"/>
      <c r="P165" s="1"/>
      <c r="Q165" s="1"/>
      <c r="R165" s="1"/>
      <c r="S165" s="1"/>
      <c r="T165" s="21" t="str">
        <f t="shared" ca="1" si="8"/>
        <v>71103,..,3903</v>
      </c>
      <c r="U165" s="21">
        <f t="shared" ref="U165:V165" ca="1" si="13">U164+1</f>
        <v>71103</v>
      </c>
      <c r="V165" s="21">
        <f t="shared" ca="1" si="13"/>
        <v>3903</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customHeight="1" x14ac:dyDescent="0.35">
      <c r="A166" s="103">
        <v>4</v>
      </c>
      <c r="B166" s="103"/>
      <c r="C166" s="63" t="s">
        <v>97</v>
      </c>
      <c r="D166" s="63" t="s">
        <v>279</v>
      </c>
      <c r="E166" s="70">
        <f>(56.835)*(10.764)</f>
        <v>611.77193999999997</v>
      </c>
      <c r="F166" s="70">
        <f>(1*(3.15+2.95+2.75+1.55))*(10.764)</f>
        <v>111.9456</v>
      </c>
      <c r="G166" s="65">
        <v>0</v>
      </c>
      <c r="H166" s="65">
        <f t="shared" si="9"/>
        <v>723.71753999999999</v>
      </c>
      <c r="I166" s="67">
        <f t="shared" si="10"/>
        <v>1085.5763099999999</v>
      </c>
      <c r="J166" s="68">
        <f t="shared" si="11"/>
        <v>4513.7315128035543</v>
      </c>
      <c r="K166" s="1">
        <f t="shared" si="12"/>
        <v>6513457.8599999994</v>
      </c>
      <c r="L166" s="1"/>
      <c r="M166" s="1"/>
      <c r="N166" s="1"/>
      <c r="O166" s="1"/>
      <c r="P166" s="1"/>
      <c r="Q166" s="1"/>
      <c r="R166" s="1"/>
      <c r="S166" s="1"/>
      <c r="T166" s="21" t="str">
        <f t="shared" ca="1" si="8"/>
        <v>71104,..,3904</v>
      </c>
      <c r="U166" s="21">
        <f t="shared" ref="U166:V166" ca="1" si="14">U165+1</f>
        <v>71104</v>
      </c>
      <c r="V166" s="21">
        <f t="shared" ca="1" si="14"/>
        <v>3904</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customHeight="1" x14ac:dyDescent="0.35">
      <c r="A167" s="103">
        <v>5</v>
      </c>
      <c r="B167" s="103"/>
      <c r="C167" s="63" t="s">
        <v>97</v>
      </c>
      <c r="D167" s="63" t="s">
        <v>279</v>
      </c>
      <c r="E167" s="70">
        <f>(56.835)*(10.764)</f>
        <v>611.77193999999997</v>
      </c>
      <c r="F167" s="70">
        <f>(1*(3.15+2.95+2.75+1.55))*(10.764)</f>
        <v>111.9456</v>
      </c>
      <c r="G167" s="65">
        <v>0</v>
      </c>
      <c r="H167" s="65">
        <f t="shared" si="9"/>
        <v>723.71753999999999</v>
      </c>
      <c r="I167" s="67">
        <f t="shared" si="10"/>
        <v>1085.5763099999999</v>
      </c>
      <c r="J167" s="68">
        <f t="shared" si="11"/>
        <v>4513.7315128035543</v>
      </c>
      <c r="K167" s="1">
        <f t="shared" si="12"/>
        <v>6513457.8599999994</v>
      </c>
      <c r="L167" s="1"/>
      <c r="M167" s="1"/>
      <c r="N167" s="1"/>
      <c r="O167" s="1"/>
      <c r="P167" s="1"/>
      <c r="Q167" s="1"/>
      <c r="R167" s="1"/>
      <c r="S167" s="1"/>
      <c r="T167" s="21" t="str">
        <f t="shared" ca="1" si="8"/>
        <v>71105,..,3905</v>
      </c>
      <c r="U167" s="21">
        <f t="shared" ref="U167:V167" ca="1" si="15">U166+1</f>
        <v>71105</v>
      </c>
      <c r="V167" s="21">
        <f t="shared" ca="1" si="15"/>
        <v>3905</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customHeight="1" x14ac:dyDescent="0.35">
      <c r="A168" s="103">
        <v>6</v>
      </c>
      <c r="B168" s="103"/>
      <c r="C168" s="63" t="s">
        <v>97</v>
      </c>
      <c r="D168" s="161" t="s">
        <v>283</v>
      </c>
      <c r="E168" s="162"/>
      <c r="F168" s="162"/>
      <c r="G168" s="162"/>
      <c r="H168" s="163"/>
      <c r="I168" s="67">
        <f t="shared" si="10"/>
        <v>0</v>
      </c>
      <c r="J168" s="68" t="e">
        <f t="shared" si="11"/>
        <v>#DIV/0!</v>
      </c>
      <c r="K168" s="1">
        <f t="shared" si="12"/>
        <v>0</v>
      </c>
      <c r="L168" s="1"/>
      <c r="M168" s="1"/>
      <c r="N168" s="1"/>
      <c r="O168" s="1"/>
      <c r="P168" s="1"/>
      <c r="Q168" s="1"/>
      <c r="R168" s="1"/>
      <c r="S168" s="1"/>
      <c r="T168" s="21" t="str">
        <f t="shared" ca="1" si="8"/>
        <v>71106,..,3906</v>
      </c>
      <c r="U168" s="21">
        <f t="shared" ref="U168:V168" ca="1" si="16">U167+1</f>
        <v>71106</v>
      </c>
      <c r="V168" s="21">
        <f t="shared" ca="1" si="16"/>
        <v>3906</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customHeight="1" x14ac:dyDescent="0.35">
      <c r="A169" s="103">
        <v>7</v>
      </c>
      <c r="B169" s="103"/>
      <c r="C169" s="63" t="s">
        <v>97</v>
      </c>
      <c r="D169" s="63" t="s">
        <v>278</v>
      </c>
      <c r="E169" s="70">
        <f>(43.103)*(10.764)</f>
        <v>463.96069199999999</v>
      </c>
      <c r="F169" s="70">
        <f>(1*(2.15+2.35+2.75+2.2)+1*2.75)*(10.764)</f>
        <v>131.32079999999999</v>
      </c>
      <c r="G169" s="65">
        <v>0</v>
      </c>
      <c r="H169" s="65">
        <f t="shared" si="9"/>
        <v>595.28149199999996</v>
      </c>
      <c r="I169" s="67">
        <f t="shared" si="10"/>
        <v>892.92223799999988</v>
      </c>
      <c r="J169" s="68">
        <f t="shared" si="11"/>
        <v>5487.5999179673254</v>
      </c>
      <c r="K169" s="1">
        <f t="shared" si="12"/>
        <v>5357533.4279999994</v>
      </c>
      <c r="L169" s="1"/>
      <c r="M169" s="1"/>
      <c r="N169" s="1"/>
      <c r="O169" s="1"/>
      <c r="P169" s="1"/>
      <c r="Q169" s="1"/>
      <c r="R169" s="1"/>
      <c r="S169" s="1"/>
      <c r="T169" s="21" t="str">
        <f t="shared" ca="1" si="8"/>
        <v>71107,..,3907</v>
      </c>
      <c r="U169" s="21">
        <f t="shared" ref="U169:V169" ca="1" si="17">U168+1</f>
        <v>71107</v>
      </c>
      <c r="V169" s="21">
        <f t="shared" ca="1" si="17"/>
        <v>3907</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customHeight="1" x14ac:dyDescent="0.35">
      <c r="A170" s="103">
        <v>8</v>
      </c>
      <c r="B170" s="103"/>
      <c r="C170" s="63" t="s">
        <v>97</v>
      </c>
      <c r="D170" s="63" t="s">
        <v>281</v>
      </c>
      <c r="E170" s="70">
        <f>(28.782)*(10.764)</f>
        <v>309.80944799999997</v>
      </c>
      <c r="F170" s="70">
        <f>(6.5+1*2.75)*(10.764)</f>
        <v>99.566999999999993</v>
      </c>
      <c r="G170" s="65">
        <v>0</v>
      </c>
      <c r="H170" s="65">
        <f t="shared" si="9"/>
        <v>409.37644799999998</v>
      </c>
      <c r="I170" s="67">
        <f t="shared" si="10"/>
        <v>614.06467199999997</v>
      </c>
      <c r="J170" s="68">
        <f>5740000/I170</f>
        <v>9347.5496339903439</v>
      </c>
      <c r="K170" s="1">
        <f t="shared" si="12"/>
        <v>3684388.0319999997</v>
      </c>
      <c r="L170" s="1"/>
      <c r="M170" s="1"/>
      <c r="N170" s="1"/>
      <c r="O170" s="1"/>
      <c r="P170" s="1"/>
      <c r="Q170" s="1"/>
      <c r="R170" s="1"/>
      <c r="S170" s="1"/>
      <c r="T170" s="21" t="str">
        <f t="shared" ca="1" si="8"/>
        <v>71108,..,3908</v>
      </c>
      <c r="U170" s="21">
        <f t="shared" ref="U170:V170" ca="1" si="18">U169+1</f>
        <v>71108</v>
      </c>
      <c r="V170" s="21">
        <f t="shared" ca="1" si="18"/>
        <v>3908</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5" hidden="1" x14ac:dyDescent="0.35">
      <c r="A171" s="137" t="s">
        <v>132</v>
      </c>
      <c r="B171" s="138"/>
      <c r="C171" s="138"/>
      <c r="D171" s="138"/>
      <c r="E171" s="138"/>
      <c r="F171" s="138"/>
      <c r="G171" s="138"/>
      <c r="H171" s="139"/>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5" hidden="1" x14ac:dyDescent="0.35">
      <c r="A172" s="103">
        <f>LEFT(A171,SUM(LEN(A171)-LEN(SUBSTITUTE(A171,{"0","1","2","3","4","5","6","7","8","9"},""))))*100+1</f>
        <v>101</v>
      </c>
      <c r="B172" s="103"/>
      <c r="C172" s="63"/>
      <c r="D172" s="63"/>
      <c r="E172" s="38">
        <v>0</v>
      </c>
      <c r="F172" s="37">
        <v>0</v>
      </c>
      <c r="G172" s="37">
        <v>0</v>
      </c>
      <c r="H172" s="5">
        <f>E172+F172+(IF(G172&lt;101,G172,IF(G172&lt;201,G172/2,IF(G172&lt;=301,G172/3,G172/4))))</f>
        <v>0</v>
      </c>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5" hidden="1" x14ac:dyDescent="0.35">
      <c r="A173" s="96">
        <f>A172+1</f>
        <v>102</v>
      </c>
      <c r="B173" s="97"/>
      <c r="C173" s="63"/>
      <c r="D173" s="63"/>
      <c r="E173" s="38"/>
      <c r="F173" s="37"/>
      <c r="G173" s="37"/>
      <c r="H173" s="37">
        <f t="shared" ref="H173:H179" si="19">E173+F173+(IF(G173&lt;101,G173,IF(G173&lt;201,G173/2,IF(G173&lt;=301,G173/3,G173/4))))</f>
        <v>0</v>
      </c>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5" hidden="1" x14ac:dyDescent="0.35">
      <c r="A174" s="96">
        <f t="shared" ref="A174:A179" si="20">A173+1</f>
        <v>103</v>
      </c>
      <c r="B174" s="97"/>
      <c r="C174" s="63"/>
      <c r="D174" s="63"/>
      <c r="E174" s="38"/>
      <c r="F174" s="37"/>
      <c r="G174" s="37"/>
      <c r="H174" s="37">
        <f t="shared" si="19"/>
        <v>0</v>
      </c>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hidden="1" customHeight="1" x14ac:dyDescent="0.35">
      <c r="A175" s="96">
        <f t="shared" si="20"/>
        <v>104</v>
      </c>
      <c r="B175" s="97"/>
      <c r="C175" s="63"/>
      <c r="D175" s="63"/>
      <c r="E175" s="38"/>
      <c r="F175" s="37"/>
      <c r="G175" s="37"/>
      <c r="H175" s="37">
        <f t="shared" si="19"/>
        <v>0</v>
      </c>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hidden="1" customHeight="1" x14ac:dyDescent="0.35">
      <c r="A176" s="96">
        <f t="shared" si="20"/>
        <v>105</v>
      </c>
      <c r="B176" s="97"/>
      <c r="C176" s="63"/>
      <c r="D176" s="63"/>
      <c r="E176" s="38"/>
      <c r="F176" s="37"/>
      <c r="G176" s="37"/>
      <c r="H176" s="37">
        <f t="shared" si="19"/>
        <v>0</v>
      </c>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hidden="1" customHeight="1" x14ac:dyDescent="0.35">
      <c r="A177" s="96">
        <f t="shared" si="20"/>
        <v>106</v>
      </c>
      <c r="B177" s="97"/>
      <c r="C177" s="63"/>
      <c r="D177" s="63"/>
      <c r="E177" s="38"/>
      <c r="F177" s="37"/>
      <c r="G177" s="37"/>
      <c r="H177" s="37">
        <f t="shared" si="19"/>
        <v>0</v>
      </c>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hidden="1" customHeight="1" x14ac:dyDescent="0.35">
      <c r="A178" s="96">
        <f t="shared" si="20"/>
        <v>107</v>
      </c>
      <c r="B178" s="97"/>
      <c r="C178" s="63"/>
      <c r="D178" s="63"/>
      <c r="E178" s="38"/>
      <c r="F178" s="37"/>
      <c r="G178" s="37"/>
      <c r="H178" s="37">
        <f t="shared" si="19"/>
        <v>0</v>
      </c>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hidden="1" customHeight="1" x14ac:dyDescent="0.35">
      <c r="A179" s="96">
        <f t="shared" si="20"/>
        <v>108</v>
      </c>
      <c r="B179" s="97"/>
      <c r="C179" s="63"/>
      <c r="D179" s="63"/>
      <c r="E179" s="38"/>
      <c r="F179" s="37"/>
      <c r="G179" s="37"/>
      <c r="H179" s="37">
        <f t="shared" si="19"/>
        <v>0</v>
      </c>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5" hidden="1" x14ac:dyDescent="0.35">
      <c r="A180" s="140" t="s">
        <v>133</v>
      </c>
      <c r="B180" s="141"/>
      <c r="C180" s="141"/>
      <c r="D180" s="141"/>
      <c r="E180" s="141"/>
      <c r="F180" s="141"/>
      <c r="G180" s="141"/>
      <c r="H180" s="142"/>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hidden="1" customHeight="1" x14ac:dyDescent="0.35">
      <c r="A181" s="103" t="str">
        <f ca="1">T181</f>
        <v>201,..,901</v>
      </c>
      <c r="B181" s="103"/>
      <c r="C181" s="63"/>
      <c r="D181" s="63"/>
      <c r="E181" s="38">
        <v>0</v>
      </c>
      <c r="F181" s="37">
        <v>0</v>
      </c>
      <c r="G181" s="37">
        <v>0</v>
      </c>
      <c r="H181" s="37">
        <f>E181+F181+(IF(G181&lt;101,G181,IF(G181&lt;201,G181/2,IF(G181&lt;=301,G181/3,G181/4))))</f>
        <v>0</v>
      </c>
      <c r="I181" s="1"/>
      <c r="J181" s="1"/>
      <c r="K181" s="1"/>
      <c r="L181" s="1"/>
      <c r="M181" s="1"/>
      <c r="N181" s="1"/>
      <c r="O181" s="1"/>
      <c r="P181" s="1"/>
      <c r="Q181" s="1"/>
      <c r="R181" s="1"/>
      <c r="S181" s="1"/>
      <c r="T181" s="21" t="str">
        <f t="shared" ref="T181:T188" ca="1" si="21">U181&amp;""&amp;",..,"&amp;""&amp;V181</f>
        <v>201,..,901</v>
      </c>
      <c r="U181" s="21">
        <f ca="1">(SUMPRODUCT(MID(0&amp;(LEFT(A180,SUM(LEN(A180)-LEN(SUBSTITUTE(A180,{"0","1","2","3"},""))))), LARGE(INDEX(ISNUMBER(--MID((LEFT(A180,SUM(LEN(A180)-LEN(SUBSTITUTE(A180,{"0","1","2","3"},""))))), ROW(INDIRECT("1:"&amp;LEN((LEFT(A180,SUM(LEN(A180)-LEN(SUBSTITUTE(A180,{"0","1","2","3"},"")))))))), 1)) * ROW(INDIRECT("1:"&amp;LEN((LEFT(A180,SUM(LEN(A180)-LEN(SUBSTITUTE(A180,{"0","1","2","3"},"")))))))), 0), ROW(INDIRECT("1:"&amp;LEN((LEFT(A180,SUM(LEN(A180)-LEN(SUBSTITUTE(A180,{"0","1","2","3"},"")))))))))+1, 1) * 10^ROW(INDIRECT("1:"&amp;LEN((LEFT(A180,SUM(LEN(A180)-LEN(SUBSTITUTE(A180,{"0","1","2","3"},""))))))))/10))*100+1</f>
        <v>201</v>
      </c>
      <c r="V181" s="21">
        <f ca="1">(SUMPRODUCT(MID(0&amp;(--TRIM(RIGHT(SUBSTITUTE(LEFT(A180,_xlfn.AGGREGATE(16,6,FIND({0,1,2,3,4,5,6,7,8,9},A180,ROW(INDIRECT("1:"&amp;LEN(A180)))),1))," ",REPT(" ",LEN(A180))),LEN(A180)))), LARGE(INDEX(ISNUMBER(--MID((--TRIM(RIGHT(SUBSTITUTE(LEFT(A180,_xlfn.AGGREGATE(16,6,FIND({0,1,2,3,4,5,6,7,8,9},A180,ROW(INDIRECT("1:"&amp;LEN(A180)))),1))," ",REPT(" ",LEN(A180))),LEN(A180)))), ROW(INDIRECT("1:"&amp;LEN((--TRIM(RIGHT(SUBSTITUTE(LEFT(A180,_xlfn.AGGREGATE(16,6,FIND({0,1,2,3,4,5,6,7,8,9},A180,ROW(INDIRECT("1:"&amp;LEN(A180)))),1))," ",REPT(" ",LEN(A180))),LEN(A180))))))), 1)) * ROW(INDIRECT("1:"&amp;LEN((--TRIM(RIGHT(SUBSTITUTE(LEFT(A180,_xlfn.AGGREGATE(16,6,FIND({0,1,2,3,4,5,6,7,8,9},A180,ROW(INDIRECT("1:"&amp;LEN(A180)))),1))," ",REPT(" ",LEN(A180))),LEN(A180))))))), 0), ROW(INDIRECT("1:"&amp;LEN((--TRIM(RIGHT(SUBSTITUTE(LEFT(A180,_xlfn.AGGREGATE(16,6,FIND({0,1,2,3,4,5,6,7,8,9},A180,ROW(INDIRECT("1:"&amp;LEN(A180)))),1))," ",REPT(" ",LEN(A180))),LEN(A180))))))))+1, 1) * 10^ROW(INDIRECT("1:"&amp;LEN((--TRIM(RIGHT(SUBSTITUTE(LEFT(A180,_xlfn.AGGREGATE(16,6,FIND({0,1,2,3,4,5,6,7,8,9},A180,ROW(INDIRECT("1:"&amp;LEN(A180)))),1))," ",REPT(" ",LEN(A180))),LEN(A180)))))))/10))*100+1</f>
        <v>901</v>
      </c>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s="3" customFormat="1" ht="20.25" hidden="1" customHeight="1" x14ac:dyDescent="0.35">
      <c r="A182" s="103" t="str">
        <f t="shared" ref="A182:A188" ca="1" si="22">T182</f>
        <v>202,..,902</v>
      </c>
      <c r="B182" s="103"/>
      <c r="C182" s="63"/>
      <c r="D182" s="63"/>
      <c r="E182" s="38"/>
      <c r="F182" s="37"/>
      <c r="G182" s="69"/>
      <c r="H182" s="37">
        <f t="shared" ref="H182:H188" si="23">E182+F182+(IF(G182&lt;101,G182,IF(G182&lt;201,G182/2,IF(G182&lt;=301,G182/3,G182/4))))</f>
        <v>0</v>
      </c>
      <c r="I182" s="1"/>
      <c r="J182" s="1"/>
      <c r="K182" s="1"/>
      <c r="L182" s="1"/>
      <c r="M182" s="1"/>
      <c r="N182" s="1"/>
      <c r="O182" s="1"/>
      <c r="P182" s="1"/>
      <c r="Q182" s="1"/>
      <c r="R182" s="1"/>
      <c r="S182" s="1"/>
      <c r="T182" s="21" t="str">
        <f t="shared" ca="1" si="21"/>
        <v>202,..,902</v>
      </c>
      <c r="U182" s="21">
        <f ca="1">U181+1</f>
        <v>202</v>
      </c>
      <c r="V182" s="21">
        <f ca="1">V181+1</f>
        <v>902</v>
      </c>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WZB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row>
    <row r="183" spans="1:150 16226:16383" s="3" customFormat="1" ht="20.25" hidden="1" customHeight="1" x14ac:dyDescent="0.35">
      <c r="A183" s="103" t="str">
        <f t="shared" ca="1" si="22"/>
        <v>203,..,903</v>
      </c>
      <c r="B183" s="103"/>
      <c r="C183" s="63"/>
      <c r="D183" s="63"/>
      <c r="E183" s="38"/>
      <c r="F183" s="37"/>
      <c r="G183" s="37"/>
      <c r="H183" s="37">
        <f t="shared" si="23"/>
        <v>0</v>
      </c>
      <c r="I183" s="1"/>
      <c r="J183" s="1"/>
      <c r="K183" s="1"/>
      <c r="L183" s="1"/>
      <c r="M183" s="1"/>
      <c r="N183" s="1"/>
      <c r="O183" s="1"/>
      <c r="P183" s="1"/>
      <c r="Q183" s="1"/>
      <c r="R183" s="1"/>
      <c r="S183" s="1"/>
      <c r="T183" s="21" t="str">
        <f t="shared" ca="1" si="21"/>
        <v>203,..,903</v>
      </c>
      <c r="U183" s="21">
        <f t="shared" ref="U183:U188" ca="1" si="24">U182+1</f>
        <v>203</v>
      </c>
      <c r="V183" s="21">
        <f t="shared" ref="V183:V188" ca="1" si="25">V182+1</f>
        <v>903</v>
      </c>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row>
    <row r="184" spans="1:150 16226:16383" s="3" customFormat="1" ht="20.25" hidden="1" customHeight="1" x14ac:dyDescent="0.35">
      <c r="A184" s="103" t="str">
        <f t="shared" ca="1" si="22"/>
        <v>204,..,904</v>
      </c>
      <c r="B184" s="103"/>
      <c r="C184" s="63"/>
      <c r="D184" s="63"/>
      <c r="E184" s="38"/>
      <c r="F184" s="37"/>
      <c r="G184" s="37"/>
      <c r="H184" s="37">
        <f t="shared" si="23"/>
        <v>0</v>
      </c>
      <c r="I184" s="1"/>
      <c r="J184" s="1"/>
      <c r="K184" s="1"/>
      <c r="L184" s="1"/>
      <c r="M184" s="1"/>
      <c r="N184" s="1"/>
      <c r="O184" s="1"/>
      <c r="P184" s="1"/>
      <c r="Q184" s="1"/>
      <c r="R184" s="1"/>
      <c r="S184" s="1"/>
      <c r="T184" s="21" t="str">
        <f t="shared" ca="1" si="21"/>
        <v>204,..,904</v>
      </c>
      <c r="U184" s="21">
        <f t="shared" ca="1" si="24"/>
        <v>204</v>
      </c>
      <c r="V184" s="21">
        <f t="shared" ca="1" si="25"/>
        <v>904</v>
      </c>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WZB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row>
    <row r="185" spans="1:150 16226:16383" s="3" customFormat="1" ht="20.25" hidden="1" customHeight="1" x14ac:dyDescent="0.35">
      <c r="A185" s="103" t="str">
        <f t="shared" ca="1" si="22"/>
        <v>205,..,905</v>
      </c>
      <c r="B185" s="103"/>
      <c r="C185" s="63"/>
      <c r="D185" s="63"/>
      <c r="E185" s="38"/>
      <c r="F185" s="37"/>
      <c r="G185" s="37"/>
      <c r="H185" s="37">
        <f t="shared" si="23"/>
        <v>0</v>
      </c>
      <c r="I185" s="1"/>
      <c r="J185" s="1"/>
      <c r="K185" s="1"/>
      <c r="L185" s="1"/>
      <c r="M185" s="1"/>
      <c r="N185" s="1"/>
      <c r="O185" s="1"/>
      <c r="P185" s="1"/>
      <c r="Q185" s="1"/>
      <c r="R185" s="1"/>
      <c r="S185" s="1"/>
      <c r="T185" s="21" t="str">
        <f t="shared" ca="1" si="21"/>
        <v>205,..,905</v>
      </c>
      <c r="U185" s="21">
        <f t="shared" ca="1" si="24"/>
        <v>205</v>
      </c>
      <c r="V185" s="21">
        <f t="shared" ca="1" si="25"/>
        <v>905</v>
      </c>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WZB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row>
    <row r="186" spans="1:150 16226:16383" s="3" customFormat="1" ht="20.25" hidden="1" customHeight="1" x14ac:dyDescent="0.35">
      <c r="A186" s="103" t="str">
        <f t="shared" ca="1" si="22"/>
        <v>206,..,906</v>
      </c>
      <c r="B186" s="103"/>
      <c r="C186" s="63"/>
      <c r="D186" s="63"/>
      <c r="E186" s="38"/>
      <c r="F186" s="37"/>
      <c r="G186" s="37"/>
      <c r="H186" s="37">
        <f t="shared" si="23"/>
        <v>0</v>
      </c>
      <c r="I186" s="1"/>
      <c r="J186" s="1"/>
      <c r="K186" s="1"/>
      <c r="L186" s="1"/>
      <c r="M186" s="1"/>
      <c r="N186" s="1"/>
      <c r="O186" s="1"/>
      <c r="P186" s="1"/>
      <c r="Q186" s="1"/>
      <c r="R186" s="1"/>
      <c r="S186" s="1"/>
      <c r="T186" s="21" t="str">
        <f t="shared" ca="1" si="21"/>
        <v>206,..,906</v>
      </c>
      <c r="U186" s="21">
        <f t="shared" ca="1" si="24"/>
        <v>206</v>
      </c>
      <c r="V186" s="21">
        <f t="shared" ca="1" si="25"/>
        <v>906</v>
      </c>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WZB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row>
    <row r="187" spans="1:150 16226:16383" s="3" customFormat="1" ht="20.25" hidden="1" customHeight="1" x14ac:dyDescent="0.35">
      <c r="A187" s="103" t="str">
        <f t="shared" ca="1" si="22"/>
        <v>207,..,907</v>
      </c>
      <c r="B187" s="103"/>
      <c r="C187" s="63"/>
      <c r="D187" s="63"/>
      <c r="E187" s="38"/>
      <c r="F187" s="37"/>
      <c r="G187" s="37"/>
      <c r="H187" s="37">
        <f t="shared" si="23"/>
        <v>0</v>
      </c>
      <c r="I187" s="1"/>
      <c r="J187" s="1"/>
      <c r="K187" s="1"/>
      <c r="L187" s="1"/>
      <c r="M187" s="1"/>
      <c r="N187" s="1"/>
      <c r="O187" s="1"/>
      <c r="P187" s="1"/>
      <c r="Q187" s="1"/>
      <c r="R187" s="1"/>
      <c r="S187" s="1"/>
      <c r="T187" s="21" t="str">
        <f t="shared" ca="1" si="21"/>
        <v>207,..,907</v>
      </c>
      <c r="U187" s="21">
        <f t="shared" ca="1" si="24"/>
        <v>207</v>
      </c>
      <c r="V187" s="21">
        <f t="shared" ca="1" si="25"/>
        <v>907</v>
      </c>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WZB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row>
    <row r="188" spans="1:150 16226:16383" s="3" customFormat="1" ht="20.25" hidden="1" customHeight="1" x14ac:dyDescent="0.35">
      <c r="A188" s="103" t="str">
        <f t="shared" ca="1" si="22"/>
        <v>208,..,908</v>
      </c>
      <c r="B188" s="103"/>
      <c r="C188" s="63"/>
      <c r="D188" s="63"/>
      <c r="E188" s="38"/>
      <c r="F188" s="37"/>
      <c r="G188" s="37"/>
      <c r="H188" s="37">
        <f t="shared" si="23"/>
        <v>0</v>
      </c>
      <c r="I188" s="1"/>
      <c r="J188" s="1"/>
      <c r="K188" s="1"/>
      <c r="L188" s="1"/>
      <c r="M188" s="1"/>
      <c r="N188" s="1"/>
      <c r="O188" s="1"/>
      <c r="P188" s="1"/>
      <c r="Q188" s="1"/>
      <c r="R188" s="1"/>
      <c r="S188" s="1"/>
      <c r="T188" s="21" t="str">
        <f t="shared" ca="1" si="21"/>
        <v>208,..,908</v>
      </c>
      <c r="U188" s="21">
        <f t="shared" ca="1" si="24"/>
        <v>208</v>
      </c>
      <c r="V188" s="21">
        <f t="shared" ca="1" si="25"/>
        <v>908</v>
      </c>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WZB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row>
    <row r="189" spans="1:150 16226:16383" s="3" customFormat="1" ht="20.5" hidden="1" x14ac:dyDescent="0.35">
      <c r="A189" s="140" t="s">
        <v>134</v>
      </c>
      <c r="B189" s="141"/>
      <c r="C189" s="141"/>
      <c r="D189" s="141"/>
      <c r="E189" s="141"/>
      <c r="F189" s="141"/>
      <c r="G189" s="141"/>
      <c r="H189" s="142"/>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WZB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row>
    <row r="190" spans="1:150 16226:16383" s="3" customFormat="1" ht="20.25" hidden="1" customHeight="1" x14ac:dyDescent="0.35">
      <c r="A190" s="103" t="str">
        <f ca="1">T190</f>
        <v>201 to 501</v>
      </c>
      <c r="B190" s="103"/>
      <c r="C190" s="63"/>
      <c r="D190" s="63"/>
      <c r="E190" s="38">
        <v>0</v>
      </c>
      <c r="F190" s="37">
        <v>0</v>
      </c>
      <c r="G190" s="37">
        <v>0</v>
      </c>
      <c r="H190" s="37">
        <f>E190+F190+(IF(G190&lt;101,G190,IF(G190&lt;201,G190/2,IF(G190&lt;=301,G190/3,G190/4))))</f>
        <v>0</v>
      </c>
      <c r="I190" s="1"/>
      <c r="J190" s="1"/>
      <c r="K190" s="1"/>
      <c r="L190" s="1"/>
      <c r="M190" s="1"/>
      <c r="N190" s="1"/>
      <c r="O190" s="1"/>
      <c r="P190" s="1"/>
      <c r="Q190" s="1"/>
      <c r="R190" s="1"/>
      <c r="S190" s="1"/>
      <c r="T190" s="21" t="str">
        <f ca="1">U190&amp;""&amp;" to "&amp;""&amp;V190</f>
        <v>201 to 501</v>
      </c>
      <c r="U190" s="21">
        <f ca="1">(SUMPRODUCT(MID(0&amp;(LEFT(A189,SUM(LEN(A189)-LEN(SUBSTITUTE(A189,{"0","1","2","3"},""))))), LARGE(INDEX(ISNUMBER(--MID((LEFT(A189,SUM(LEN(A189)-LEN(SUBSTITUTE(A189,{"0","1","2","3"},""))))), ROW(INDIRECT("1:"&amp;LEN((LEFT(A189,SUM(LEN(A189)-LEN(SUBSTITUTE(A189,{"0","1","2","3"},"")))))))), 1)) * ROW(INDIRECT("1:"&amp;LEN((LEFT(A189,SUM(LEN(A189)-LEN(SUBSTITUTE(A189,{"0","1","2","3"},"")))))))), 0), ROW(INDIRECT("1:"&amp;LEN((LEFT(A189,SUM(LEN(A189)-LEN(SUBSTITUTE(A189,{"0","1","2","3"},"")))))))))+1, 1) * 10^ROW(INDIRECT("1:"&amp;LEN((LEFT(A189,SUM(LEN(A189)-LEN(SUBSTITUTE(A189,{"0","1","2","3"},""))))))))/10))*100+1</f>
        <v>201</v>
      </c>
      <c r="V190" s="21">
        <f ca="1">(SUMPRODUCT(MID(0&amp;(--TRIM(RIGHT(SUBSTITUTE(LEFT(A189,_xlfn.AGGREGATE(16,6,FIND({0,1,2,3,4,5,6,7,8,9},A189,ROW(INDIRECT("1:"&amp;LEN(A189)))),1)),"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",LEN(A189))),LEN(A189)))))))/10))*100+1</f>
        <v>501</v>
      </c>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WZB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row>
    <row r="191" spans="1:150 16226:16383" s="3" customFormat="1" ht="20.25" hidden="1" customHeight="1" x14ac:dyDescent="0.35">
      <c r="A191" s="103" t="str">
        <f t="shared" ref="A191:A197" ca="1" si="26">T191</f>
        <v>202 to 502</v>
      </c>
      <c r="B191" s="103"/>
      <c r="C191" s="63"/>
      <c r="D191" s="63"/>
      <c r="E191" s="38"/>
      <c r="F191" s="37"/>
      <c r="G191" s="37"/>
      <c r="H191" s="37">
        <f t="shared" ref="H191:H197" si="27">E191+F191+(IF(G191&lt;101,G191,IF(G191&lt;201,G191/2,IF(G191&lt;=301,G191/3,G191/4))))</f>
        <v>0</v>
      </c>
      <c r="I191" s="1"/>
      <c r="J191" s="1"/>
      <c r="K191" s="1"/>
      <c r="L191" s="1"/>
      <c r="M191" s="1"/>
      <c r="N191" s="1"/>
      <c r="O191" s="1"/>
      <c r="P191" s="1"/>
      <c r="Q191" s="1"/>
      <c r="R191" s="1"/>
      <c r="S191" s="1"/>
      <c r="T191" s="21" t="str">
        <f t="shared" ref="T191:T197" ca="1" si="28">U191&amp;""&amp;" to "&amp;""&amp;V191</f>
        <v>202 to 502</v>
      </c>
      <c r="U191" s="21">
        <f ca="1">U190+1</f>
        <v>202</v>
      </c>
      <c r="V191" s="21">
        <f ca="1">V190+1</f>
        <v>502</v>
      </c>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WZB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row>
    <row r="192" spans="1:150 16226:16383" s="3" customFormat="1" ht="20.25" hidden="1" customHeight="1" x14ac:dyDescent="0.35">
      <c r="A192" s="103" t="str">
        <f t="shared" ca="1" si="26"/>
        <v>203 to 503</v>
      </c>
      <c r="B192" s="103"/>
      <c r="C192" s="63"/>
      <c r="D192" s="63"/>
      <c r="E192" s="38"/>
      <c r="F192" s="37"/>
      <c r="G192" s="37"/>
      <c r="H192" s="37">
        <f t="shared" si="27"/>
        <v>0</v>
      </c>
      <c r="I192" s="1"/>
      <c r="J192" s="1"/>
      <c r="K192" s="1"/>
      <c r="L192" s="1"/>
      <c r="M192" s="1"/>
      <c r="N192" s="1"/>
      <c r="O192" s="1"/>
      <c r="P192" s="1"/>
      <c r="Q192" s="1"/>
      <c r="R192" s="1"/>
      <c r="S192" s="1"/>
      <c r="T192" s="21" t="str">
        <f t="shared" ca="1" si="28"/>
        <v>203 to 503</v>
      </c>
      <c r="U192" s="21">
        <f t="shared" ref="U192:U197" ca="1" si="29">U191+1</f>
        <v>203</v>
      </c>
      <c r="V192" s="21">
        <f t="shared" ref="V192:V197" ca="1" si="30">V191+1</f>
        <v>503</v>
      </c>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WZB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row>
    <row r="193" spans="1:150 16226:16383" s="3" customFormat="1" ht="20.25" hidden="1" customHeight="1" x14ac:dyDescent="0.35">
      <c r="A193" s="103" t="str">
        <f t="shared" ca="1" si="26"/>
        <v>204 to 504</v>
      </c>
      <c r="B193" s="103"/>
      <c r="C193" s="63"/>
      <c r="D193" s="63"/>
      <c r="E193" s="38"/>
      <c r="F193" s="37"/>
      <c r="G193" s="37"/>
      <c r="H193" s="37">
        <f t="shared" si="27"/>
        <v>0</v>
      </c>
      <c r="I193" s="1"/>
      <c r="J193" s="1"/>
      <c r="K193" s="1"/>
      <c r="L193" s="1"/>
      <c r="M193" s="1"/>
      <c r="N193" s="1"/>
      <c r="O193" s="1"/>
      <c r="P193" s="1"/>
      <c r="Q193" s="1"/>
      <c r="R193" s="1"/>
      <c r="S193" s="1"/>
      <c r="T193" s="21" t="str">
        <f t="shared" ca="1" si="28"/>
        <v>204 to 504</v>
      </c>
      <c r="U193" s="21">
        <f t="shared" ca="1" si="29"/>
        <v>204</v>
      </c>
      <c r="V193" s="21">
        <f t="shared" ca="1" si="30"/>
        <v>504</v>
      </c>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WZB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row>
    <row r="194" spans="1:150 16226:16383" s="3" customFormat="1" ht="20.25" hidden="1" customHeight="1" x14ac:dyDescent="0.35">
      <c r="A194" s="103" t="str">
        <f t="shared" ca="1" si="26"/>
        <v>205 to 505</v>
      </c>
      <c r="B194" s="103"/>
      <c r="C194" s="63"/>
      <c r="D194" s="63"/>
      <c r="E194" s="38"/>
      <c r="F194" s="37"/>
      <c r="G194" s="37"/>
      <c r="H194" s="37">
        <f t="shared" si="27"/>
        <v>0</v>
      </c>
      <c r="I194" s="1"/>
      <c r="J194" s="1"/>
      <c r="K194" s="1"/>
      <c r="L194" s="1"/>
      <c r="M194" s="1"/>
      <c r="N194" s="1"/>
      <c r="O194" s="1"/>
      <c r="P194" s="1"/>
      <c r="Q194" s="1"/>
      <c r="R194" s="1"/>
      <c r="S194" s="1"/>
      <c r="T194" s="21" t="str">
        <f t="shared" ca="1" si="28"/>
        <v>205 to 505</v>
      </c>
      <c r="U194" s="21">
        <f t="shared" ca="1" si="29"/>
        <v>205</v>
      </c>
      <c r="V194" s="21">
        <f t="shared" ca="1" si="30"/>
        <v>505</v>
      </c>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WZB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row>
    <row r="195" spans="1:150 16226:16383" s="3" customFormat="1" ht="20.25" hidden="1" customHeight="1" x14ac:dyDescent="0.35">
      <c r="A195" s="103" t="str">
        <f t="shared" ca="1" si="26"/>
        <v>206 to 506</v>
      </c>
      <c r="B195" s="103"/>
      <c r="C195" s="63"/>
      <c r="D195" s="63"/>
      <c r="E195" s="38"/>
      <c r="F195" s="37"/>
      <c r="G195" s="37"/>
      <c r="H195" s="37">
        <f t="shared" si="27"/>
        <v>0</v>
      </c>
      <c r="I195" s="1"/>
      <c r="J195" s="1"/>
      <c r="K195" s="1"/>
      <c r="L195" s="1"/>
      <c r="M195" s="1"/>
      <c r="N195" s="1"/>
      <c r="O195" s="1"/>
      <c r="P195" s="1"/>
      <c r="Q195" s="1"/>
      <c r="R195" s="1"/>
      <c r="S195" s="1"/>
      <c r="T195" s="21" t="str">
        <f t="shared" ca="1" si="28"/>
        <v>206 to 506</v>
      </c>
      <c r="U195" s="21">
        <f t="shared" ca="1" si="29"/>
        <v>206</v>
      </c>
      <c r="V195" s="21">
        <f t="shared" ca="1" si="30"/>
        <v>506</v>
      </c>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WZB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row>
    <row r="196" spans="1:150 16226:16383" s="3" customFormat="1" ht="20.25" hidden="1" customHeight="1" x14ac:dyDescent="0.35">
      <c r="A196" s="103" t="str">
        <f t="shared" ca="1" si="26"/>
        <v>207 to 507</v>
      </c>
      <c r="B196" s="103"/>
      <c r="C196" s="63"/>
      <c r="D196" s="63"/>
      <c r="E196" s="38"/>
      <c r="F196" s="37"/>
      <c r="G196" s="37"/>
      <c r="H196" s="37">
        <f t="shared" si="27"/>
        <v>0</v>
      </c>
      <c r="I196" s="1"/>
      <c r="J196" s="1"/>
      <c r="K196" s="1"/>
      <c r="L196" s="1"/>
      <c r="M196" s="1"/>
      <c r="N196" s="1"/>
      <c r="O196" s="1"/>
      <c r="P196" s="1"/>
      <c r="Q196" s="1"/>
      <c r="R196" s="1"/>
      <c r="S196" s="1"/>
      <c r="T196" s="21" t="str">
        <f t="shared" ca="1" si="28"/>
        <v>207 to 507</v>
      </c>
      <c r="U196" s="21">
        <f t="shared" ca="1" si="29"/>
        <v>207</v>
      </c>
      <c r="V196" s="21">
        <f t="shared" ca="1" si="30"/>
        <v>507</v>
      </c>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WZB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row>
    <row r="197" spans="1:150 16226:16383" s="3" customFormat="1" ht="20.25" hidden="1" customHeight="1" x14ac:dyDescent="0.35">
      <c r="A197" s="103" t="str">
        <f t="shared" ca="1" si="26"/>
        <v>208 to 508</v>
      </c>
      <c r="B197" s="103"/>
      <c r="C197" s="63"/>
      <c r="D197" s="63"/>
      <c r="E197" s="38"/>
      <c r="F197" s="37"/>
      <c r="G197" s="37"/>
      <c r="H197" s="37">
        <f t="shared" si="27"/>
        <v>0</v>
      </c>
      <c r="I197" s="1"/>
      <c r="J197" s="1"/>
      <c r="K197" s="1"/>
      <c r="L197" s="1"/>
      <c r="M197" s="1"/>
      <c r="N197" s="1"/>
      <c r="O197" s="1"/>
      <c r="P197" s="1"/>
      <c r="Q197" s="1"/>
      <c r="R197" s="1"/>
      <c r="S197" s="1"/>
      <c r="T197" s="21" t="str">
        <f t="shared" ca="1" si="28"/>
        <v>208 to 508</v>
      </c>
      <c r="U197" s="21">
        <f t="shared" ca="1" si="29"/>
        <v>208</v>
      </c>
      <c r="V197" s="21">
        <f t="shared" ca="1" si="30"/>
        <v>508</v>
      </c>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WZB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row>
    <row r="198" spans="1:150 16226:16383" s="3" customFormat="1" ht="20.5" hidden="1" x14ac:dyDescent="0.35">
      <c r="A198" s="140" t="s">
        <v>135</v>
      </c>
      <c r="B198" s="141"/>
      <c r="C198" s="141"/>
      <c r="D198" s="141"/>
      <c r="E198" s="141"/>
      <c r="F198" s="141"/>
      <c r="G198" s="141"/>
      <c r="H198" s="142"/>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WZB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row>
    <row r="199" spans="1:150 16226:16383" s="3" customFormat="1" ht="20.25" hidden="1" customHeight="1" x14ac:dyDescent="0.35">
      <c r="A199" s="103" t="str">
        <f ca="1">T199</f>
        <v>201 &amp; 501</v>
      </c>
      <c r="B199" s="103"/>
      <c r="C199" s="63"/>
      <c r="D199" s="63"/>
      <c r="E199" s="38">
        <v>0</v>
      </c>
      <c r="F199" s="37">
        <v>0</v>
      </c>
      <c r="G199" s="37">
        <v>0</v>
      </c>
      <c r="H199" s="37">
        <f>E199+F199+(IF(G199&lt;101,G199,IF(G199&lt;201,G199/2,IF(G199&lt;=301,G199/3,G199/4))))</f>
        <v>0</v>
      </c>
      <c r="I199" s="1"/>
      <c r="J199" s="1"/>
      <c r="K199" s="1"/>
      <c r="L199" s="1"/>
      <c r="M199" s="1"/>
      <c r="N199" s="1"/>
      <c r="O199" s="1"/>
      <c r="P199" s="1"/>
      <c r="Q199" s="1"/>
      <c r="R199" s="1"/>
      <c r="S199" s="1"/>
      <c r="T199" s="21" t="str">
        <f ca="1">U199&amp;""&amp;" &amp; "&amp;""&amp;V199</f>
        <v>201 &amp; 501</v>
      </c>
      <c r="U199" s="21">
        <f ca="1">(SUMPRODUCT(MID(0&amp;(LEFT(A198,SUM(LEN(A198)-LEN(SUBSTITUTE(A198,{"0","1","2","3"},""))))), LARGE(INDEX(ISNUMBER(--MID((LEFT(A198,SUM(LEN(A198)-LEN(SUBSTITUTE(A198,{"0","1","2","3"},""))))), ROW(INDIRECT("1:"&amp;LEN((LEFT(A198,SUM(LEN(A198)-LEN(SUBSTITUTE(A198,{"0","1","2","3"},"")))))))), 1)) * ROW(INDIRECT("1:"&amp;LEN((LEFT(A198,SUM(LEN(A198)-LEN(SUBSTITUTE(A198,{"0","1","2","3"},"")))))))), 0), ROW(INDIRECT("1:"&amp;LEN((LEFT(A198,SUM(LEN(A198)-LEN(SUBSTITUTE(A198,{"0","1","2","3"},"")))))))))+1, 1) * 10^ROW(INDIRECT("1:"&amp;LEN((LEFT(A198,SUM(LEN(A198)-LEN(SUBSTITUTE(A198,{"0","1","2","3"},""))))))))/10))*100+1</f>
        <v>201</v>
      </c>
      <c r="V199" s="21">
        <f ca="1">(SUMPRODUCT(MID(0&amp;(--TRIM(RIGHT(SUBSTITUTE(LEFT(A198,_xlfn.AGGREGATE(16,6,FIND({0,1,2,3,4,5,6,7,8,9},A198,ROW(INDIRECT("1:"&amp;LEN(A198)))),1))," ",REPT(" ",LEN(A198))),LEN(A198)))), LARGE(INDEX(ISNUMBER(--MID((--TRIM(RIGHT(SUBSTITUTE(LEFT(A198,_xlfn.AGGREGATE(16,6,FIND({0,1,2,3,4,5,6,7,8,9},A198,ROW(INDIRECT("1:"&amp;LEN(A198)))),1))," ",REPT(" ",LEN(A198))),LEN(A198)))), ROW(INDIRECT("1:"&amp;LEN((--TRIM(RIGHT(SUBSTITUTE(LEFT(A198,_xlfn.AGGREGATE(16,6,FIND({0,1,2,3,4,5,6,7,8,9},A198,ROW(INDIRECT("1:"&amp;LEN(A198)))),1))," ",REPT(" ",LEN(A198))),LEN(A198))))))), 1)) * ROW(INDIRECT("1:"&amp;LEN((--TRIM(RIGHT(SUBSTITUTE(LEFT(A198,_xlfn.AGGREGATE(16,6,FIND({0,1,2,3,4,5,6,7,8,9},A198,ROW(INDIRECT("1:"&amp;LEN(A198)))),1))," ",REPT(" ",LEN(A198))),LEN(A198))))))), 0), ROW(INDIRECT("1:"&amp;LEN((--TRIM(RIGHT(SUBSTITUTE(LEFT(A198,_xlfn.AGGREGATE(16,6,FIND({0,1,2,3,4,5,6,7,8,9},A198,ROW(INDIRECT("1:"&amp;LEN(A198)))),1))," ",REPT(" ",LEN(A198))),LEN(A198))))))))+1, 1) * 10^ROW(INDIRECT("1:"&amp;LEN((--TRIM(RIGHT(SUBSTITUTE(LEFT(A198,_xlfn.AGGREGATE(16,6,FIND({0,1,2,3,4,5,6,7,8,9},A198,ROW(INDIRECT("1:"&amp;LEN(A198)))),1))," ",REPT(" ",LEN(A198))),LEN(A198)))))))/10))*100+1</f>
        <v>501</v>
      </c>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WZB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row>
    <row r="200" spans="1:150 16226:16383" s="3" customFormat="1" ht="20.25" hidden="1" customHeight="1" x14ac:dyDescent="0.35">
      <c r="A200" s="103" t="str">
        <f t="shared" ref="A200:A206" ca="1" si="31">T200</f>
        <v>202 &amp; 502</v>
      </c>
      <c r="B200" s="103"/>
      <c r="C200" s="63"/>
      <c r="D200" s="63"/>
      <c r="E200" s="38"/>
      <c r="F200" s="37"/>
      <c r="G200" s="37"/>
      <c r="H200" s="37">
        <f t="shared" ref="H200:H206" si="32">E200+F200+(IF(G200&lt;101,G200,IF(G200&lt;201,G200/2,IF(G200&lt;=301,G200/3,G200/4))))</f>
        <v>0</v>
      </c>
      <c r="I200" s="1"/>
      <c r="J200" s="1"/>
      <c r="K200" s="1"/>
      <c r="L200" s="1"/>
      <c r="M200" s="1"/>
      <c r="N200" s="1"/>
      <c r="O200" s="1"/>
      <c r="P200" s="1"/>
      <c r="Q200" s="1"/>
      <c r="R200" s="1"/>
      <c r="S200" s="1"/>
      <c r="T200" s="21" t="str">
        <f t="shared" ref="T200:T206" ca="1" si="33">U200&amp;""&amp;" &amp; "&amp;""&amp;V200</f>
        <v>202 &amp; 502</v>
      </c>
      <c r="U200" s="21">
        <f ca="1">U199+1</f>
        <v>202</v>
      </c>
      <c r="V200" s="21">
        <f ca="1">V199+1</f>
        <v>502</v>
      </c>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WZB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row>
    <row r="201" spans="1:150 16226:16383" s="3" customFormat="1" ht="20.25" hidden="1" customHeight="1" x14ac:dyDescent="0.35">
      <c r="A201" s="103" t="str">
        <f t="shared" ca="1" si="31"/>
        <v>203 &amp; 503</v>
      </c>
      <c r="B201" s="103"/>
      <c r="C201" s="63"/>
      <c r="D201" s="63"/>
      <c r="E201" s="38"/>
      <c r="F201" s="37"/>
      <c r="G201" s="37"/>
      <c r="H201" s="37">
        <f t="shared" si="32"/>
        <v>0</v>
      </c>
      <c r="I201" s="1"/>
      <c r="J201" s="1"/>
      <c r="K201" s="1"/>
      <c r="L201" s="1"/>
      <c r="M201" s="1"/>
      <c r="N201" s="1"/>
      <c r="O201" s="1"/>
      <c r="P201" s="1"/>
      <c r="Q201" s="1"/>
      <c r="R201" s="1"/>
      <c r="S201" s="1"/>
      <c r="T201" s="21" t="str">
        <f t="shared" ca="1" si="33"/>
        <v>203 &amp; 503</v>
      </c>
      <c r="U201" s="21">
        <f t="shared" ref="U201:U206" ca="1" si="34">U200+1</f>
        <v>203</v>
      </c>
      <c r="V201" s="21">
        <f t="shared" ref="V201:V206" ca="1" si="35">V200+1</f>
        <v>503</v>
      </c>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WZB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row>
    <row r="202" spans="1:150 16226:16383" s="3" customFormat="1" ht="20.25" hidden="1" customHeight="1" x14ac:dyDescent="0.35">
      <c r="A202" s="103" t="str">
        <f t="shared" ca="1" si="31"/>
        <v>204 &amp; 504</v>
      </c>
      <c r="B202" s="103"/>
      <c r="C202" s="63"/>
      <c r="D202" s="63"/>
      <c r="E202" s="38"/>
      <c r="F202" s="37"/>
      <c r="G202" s="37"/>
      <c r="H202" s="37">
        <f t="shared" si="32"/>
        <v>0</v>
      </c>
      <c r="I202" s="1"/>
      <c r="J202" s="1"/>
      <c r="K202" s="1"/>
      <c r="L202" s="1"/>
      <c r="M202" s="1"/>
      <c r="N202" s="1"/>
      <c r="O202" s="1"/>
      <c r="P202" s="1"/>
      <c r="Q202" s="1"/>
      <c r="R202" s="1"/>
      <c r="S202" s="1"/>
      <c r="T202" s="21" t="str">
        <f t="shared" ca="1" si="33"/>
        <v>204 &amp; 504</v>
      </c>
      <c r="U202" s="21">
        <f t="shared" ca="1" si="34"/>
        <v>204</v>
      </c>
      <c r="V202" s="21">
        <f t="shared" ca="1" si="35"/>
        <v>504</v>
      </c>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WZB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row>
    <row r="203" spans="1:150 16226:16383" s="3" customFormat="1" ht="20.25" hidden="1" customHeight="1" x14ac:dyDescent="0.35">
      <c r="A203" s="103" t="str">
        <f t="shared" ca="1" si="31"/>
        <v>205 &amp; 505</v>
      </c>
      <c r="B203" s="103"/>
      <c r="C203" s="63"/>
      <c r="D203" s="63"/>
      <c r="E203" s="38"/>
      <c r="F203" s="37"/>
      <c r="G203" s="37"/>
      <c r="H203" s="37">
        <f t="shared" si="32"/>
        <v>0</v>
      </c>
      <c r="I203" s="1"/>
      <c r="J203" s="1"/>
      <c r="K203" s="1"/>
      <c r="L203" s="1"/>
      <c r="M203" s="1"/>
      <c r="N203" s="1"/>
      <c r="O203" s="1"/>
      <c r="P203" s="1"/>
      <c r="Q203" s="1"/>
      <c r="R203" s="1"/>
      <c r="S203" s="1"/>
      <c r="T203" s="21" t="str">
        <f t="shared" ca="1" si="33"/>
        <v>205 &amp; 505</v>
      </c>
      <c r="U203" s="21">
        <f t="shared" ca="1" si="34"/>
        <v>205</v>
      </c>
      <c r="V203" s="21">
        <f t="shared" ca="1" si="35"/>
        <v>505</v>
      </c>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WZB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row>
    <row r="204" spans="1:150 16226:16383" s="3" customFormat="1" ht="20.25" hidden="1" customHeight="1" x14ac:dyDescent="0.35">
      <c r="A204" s="103" t="str">
        <f t="shared" ca="1" si="31"/>
        <v>206 &amp; 506</v>
      </c>
      <c r="B204" s="103"/>
      <c r="C204" s="63"/>
      <c r="D204" s="63"/>
      <c r="E204" s="38"/>
      <c r="F204" s="37"/>
      <c r="G204" s="37"/>
      <c r="H204" s="37">
        <f t="shared" si="32"/>
        <v>0</v>
      </c>
      <c r="I204" s="1"/>
      <c r="J204" s="1"/>
      <c r="K204" s="1"/>
      <c r="L204" s="1"/>
      <c r="M204" s="1"/>
      <c r="N204" s="1"/>
      <c r="O204" s="1"/>
      <c r="P204" s="1"/>
      <c r="Q204" s="1"/>
      <c r="R204" s="1"/>
      <c r="S204" s="1"/>
      <c r="T204" s="21" t="str">
        <f t="shared" ca="1" si="33"/>
        <v>206 &amp; 506</v>
      </c>
      <c r="U204" s="21">
        <f t="shared" ca="1" si="34"/>
        <v>206</v>
      </c>
      <c r="V204" s="21">
        <f t="shared" ca="1" si="35"/>
        <v>506</v>
      </c>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WZB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row>
    <row r="205" spans="1:150 16226:16383" s="3" customFormat="1" ht="20.25" hidden="1" customHeight="1" x14ac:dyDescent="0.35">
      <c r="A205" s="103" t="str">
        <f t="shared" ca="1" si="31"/>
        <v>207 &amp; 507</v>
      </c>
      <c r="B205" s="103"/>
      <c r="C205" s="63"/>
      <c r="D205" s="63"/>
      <c r="E205" s="38"/>
      <c r="F205" s="37"/>
      <c r="G205" s="37"/>
      <c r="H205" s="37">
        <f t="shared" si="32"/>
        <v>0</v>
      </c>
      <c r="I205" s="1"/>
      <c r="J205" s="1"/>
      <c r="K205" s="1"/>
      <c r="L205" s="1"/>
      <c r="M205" s="1"/>
      <c r="N205" s="1"/>
      <c r="O205" s="1"/>
      <c r="P205" s="1"/>
      <c r="Q205" s="1"/>
      <c r="R205" s="1"/>
      <c r="S205" s="1"/>
      <c r="T205" s="21" t="str">
        <f t="shared" ca="1" si="33"/>
        <v>207 &amp; 507</v>
      </c>
      <c r="U205" s="21">
        <f t="shared" ca="1" si="34"/>
        <v>207</v>
      </c>
      <c r="V205" s="21">
        <f t="shared" ca="1" si="35"/>
        <v>507</v>
      </c>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WZB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row>
    <row r="206" spans="1:150 16226:16383" s="3" customFormat="1" ht="20.25" hidden="1" customHeight="1" x14ac:dyDescent="0.35">
      <c r="A206" s="103" t="str">
        <f t="shared" ca="1" si="31"/>
        <v>208 &amp; 508</v>
      </c>
      <c r="B206" s="103"/>
      <c r="C206" s="63"/>
      <c r="D206" s="63"/>
      <c r="E206" s="38"/>
      <c r="F206" s="37"/>
      <c r="G206" s="37"/>
      <c r="H206" s="37">
        <f t="shared" si="32"/>
        <v>0</v>
      </c>
      <c r="I206" s="1"/>
      <c r="J206" s="1"/>
      <c r="K206" s="1"/>
      <c r="L206" s="1"/>
      <c r="M206" s="1"/>
      <c r="N206" s="1"/>
      <c r="O206" s="1"/>
      <c r="P206" s="1"/>
      <c r="Q206" s="1"/>
      <c r="R206" s="1"/>
      <c r="S206" s="1"/>
      <c r="T206" s="21" t="str">
        <f t="shared" ca="1" si="33"/>
        <v>208 &amp; 508</v>
      </c>
      <c r="U206" s="21">
        <f t="shared" ca="1" si="34"/>
        <v>208</v>
      </c>
      <c r="V206" s="21">
        <f t="shared" ca="1" si="35"/>
        <v>508</v>
      </c>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WZB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row>
    <row r="207" spans="1:150 16226:16383" ht="20.5" x14ac:dyDescent="0.35">
      <c r="A207" s="94" t="s">
        <v>70</v>
      </c>
      <c r="B207" s="94"/>
      <c r="C207" s="94"/>
      <c r="D207" s="94"/>
      <c r="E207" s="94"/>
      <c r="F207" s="94"/>
      <c r="G207" s="94"/>
      <c r="H207" s="94"/>
    </row>
    <row r="208" spans="1:150 16226:16383" ht="20.5" x14ac:dyDescent="0.35">
      <c r="A208" s="45" t="s">
        <v>241</v>
      </c>
      <c r="B208" s="144" t="s">
        <v>311</v>
      </c>
      <c r="C208" s="145"/>
      <c r="D208" s="145"/>
      <c r="E208" s="145"/>
      <c r="F208" s="145"/>
      <c r="G208" s="145"/>
      <c r="H208" s="146"/>
    </row>
    <row r="209" spans="1:8" ht="20.5" x14ac:dyDescent="0.35">
      <c r="A209" s="45" t="s">
        <v>241</v>
      </c>
      <c r="B209" s="122" t="s">
        <v>242</v>
      </c>
      <c r="C209" s="123"/>
      <c r="D209" s="123"/>
      <c r="E209" s="123"/>
      <c r="F209" s="123"/>
      <c r="G209" s="123"/>
      <c r="H209" s="124"/>
    </row>
    <row r="210" spans="1:8" ht="20.5" x14ac:dyDescent="0.35">
      <c r="A210" s="45" t="s">
        <v>241</v>
      </c>
      <c r="B210" s="122" t="s">
        <v>288</v>
      </c>
      <c r="C210" s="123"/>
      <c r="D210" s="123"/>
      <c r="E210" s="123"/>
      <c r="F210" s="123"/>
      <c r="G210" s="123"/>
      <c r="H210" s="124"/>
    </row>
    <row r="211" spans="1:8" ht="20.5" x14ac:dyDescent="0.35">
      <c r="A211" s="45" t="s">
        <v>241</v>
      </c>
      <c r="B211" s="122" t="s">
        <v>243</v>
      </c>
      <c r="C211" s="123"/>
      <c r="D211" s="123"/>
      <c r="E211" s="123"/>
      <c r="F211" s="123"/>
      <c r="G211" s="123"/>
      <c r="H211" s="124"/>
    </row>
    <row r="212" spans="1:8" ht="20.5" x14ac:dyDescent="0.35">
      <c r="A212" s="45" t="s">
        <v>241</v>
      </c>
      <c r="B212" s="122" t="s">
        <v>244</v>
      </c>
      <c r="C212" s="123"/>
      <c r="D212" s="123"/>
      <c r="E212" s="123"/>
      <c r="F212" s="123"/>
      <c r="G212" s="123"/>
      <c r="H212" s="124"/>
    </row>
    <row r="213" spans="1:8" ht="46.5" hidden="1" customHeight="1" x14ac:dyDescent="0.35">
      <c r="A213" s="45" t="s">
        <v>241</v>
      </c>
      <c r="B213" s="143" t="s">
        <v>245</v>
      </c>
      <c r="C213" s="123"/>
      <c r="D213" s="123"/>
      <c r="E213" s="123"/>
      <c r="F213" s="123"/>
      <c r="G213" s="123"/>
      <c r="H213" s="124"/>
    </row>
    <row r="214" spans="1:8" ht="24.75" customHeight="1" x14ac:dyDescent="0.35">
      <c r="A214" s="45" t="s">
        <v>241</v>
      </c>
      <c r="B214" s="144" t="s">
        <v>299</v>
      </c>
      <c r="C214" s="145"/>
      <c r="D214" s="145"/>
      <c r="E214" s="145"/>
      <c r="F214" s="145"/>
      <c r="G214" s="145"/>
      <c r="H214" s="146"/>
    </row>
    <row r="215" spans="1:8" ht="46.5" hidden="1" customHeight="1" x14ac:dyDescent="0.35">
      <c r="A215" s="2" t="s">
        <v>241</v>
      </c>
      <c r="B215" s="143" t="s">
        <v>245</v>
      </c>
      <c r="C215" s="123"/>
      <c r="D215" s="123"/>
      <c r="E215" s="123"/>
      <c r="F215" s="123"/>
      <c r="G215" s="123"/>
      <c r="H215" s="124"/>
    </row>
    <row r="216" spans="1:8" ht="20.5" x14ac:dyDescent="0.35">
      <c r="A216" s="121" t="s">
        <v>76</v>
      </c>
      <c r="B216" s="121"/>
      <c r="C216" s="121"/>
      <c r="D216" s="121"/>
      <c r="E216" s="121"/>
      <c r="F216" s="121"/>
      <c r="G216" s="121"/>
      <c r="H216" s="121"/>
    </row>
    <row r="217" spans="1:8" ht="20.5" x14ac:dyDescent="0.35">
      <c r="A217" s="92" t="s">
        <v>71</v>
      </c>
      <c r="B217" s="92"/>
      <c r="C217" s="92"/>
      <c r="D217" s="122" t="str">
        <f>C3</f>
        <v>Arihant Aspire Phase III Building 01(Wing E - Catalina)</v>
      </c>
      <c r="E217" s="123"/>
      <c r="F217" s="123"/>
      <c r="G217" s="123"/>
      <c r="H217" s="124"/>
    </row>
    <row r="218" spans="1:8" ht="40.5" customHeight="1" x14ac:dyDescent="0.35">
      <c r="A218" s="92" t="s">
        <v>107</v>
      </c>
      <c r="B218" s="92"/>
      <c r="C218" s="92"/>
      <c r="D218" s="122" t="str">
        <f>C9</f>
        <v>Arihant Aspire ( Phase III), Palaspe Phata, Panvel, Navi Mumbai, Maharashtra 410221</v>
      </c>
      <c r="E218" s="123"/>
      <c r="F218" s="123"/>
      <c r="G218" s="123"/>
      <c r="H218" s="124"/>
    </row>
    <row r="219" spans="1:8" ht="20.25" customHeight="1" x14ac:dyDescent="0.35">
      <c r="A219" s="133" t="s">
        <v>113</v>
      </c>
      <c r="B219" s="133"/>
      <c r="C219" s="133"/>
      <c r="D219" s="134" t="str">
        <f>G3</f>
        <v>03/07/2025 @04:55 PM</v>
      </c>
      <c r="E219" s="123"/>
      <c r="F219" s="123"/>
      <c r="G219" s="123"/>
      <c r="H219" s="124"/>
    </row>
    <row r="220" spans="1:8" ht="20.5" x14ac:dyDescent="0.35">
      <c r="A220" s="9"/>
      <c r="B220" s="10"/>
      <c r="C220" s="10"/>
      <c r="D220" s="10"/>
      <c r="E220" s="10"/>
      <c r="F220" s="10"/>
      <c r="G220" s="10"/>
      <c r="H220" s="6"/>
    </row>
    <row r="221" spans="1:8" ht="20.5" x14ac:dyDescent="0.35">
      <c r="A221" s="11"/>
      <c r="B221" s="64"/>
      <c r="C221" s="64"/>
      <c r="D221" s="64"/>
      <c r="E221" s="64"/>
      <c r="F221" s="64"/>
      <c r="G221" s="64"/>
      <c r="H221" s="7"/>
    </row>
    <row r="222" spans="1:8" ht="20.5" x14ac:dyDescent="0.35">
      <c r="A222" s="11"/>
      <c r="B222" s="64"/>
      <c r="C222" s="64"/>
      <c r="D222" s="64"/>
      <c r="E222" s="64"/>
      <c r="F222" s="64"/>
      <c r="G222" s="64"/>
      <c r="H222" s="7"/>
    </row>
    <row r="223" spans="1:8" ht="20.5" x14ac:dyDescent="0.35">
      <c r="A223" s="11"/>
      <c r="B223" s="64"/>
      <c r="C223" s="64"/>
      <c r="D223" s="64"/>
      <c r="E223" s="64"/>
      <c r="F223" s="64"/>
      <c r="G223" s="64"/>
      <c r="H223" s="7"/>
    </row>
    <row r="224" spans="1:8" ht="20.5" x14ac:dyDescent="0.35">
      <c r="A224" s="11"/>
      <c r="B224" s="64"/>
      <c r="C224" s="64"/>
      <c r="D224" s="64"/>
      <c r="E224" s="64"/>
      <c r="F224" s="64"/>
      <c r="G224" s="64"/>
      <c r="H224" s="7"/>
    </row>
    <row r="225" spans="1:8" ht="20.5" x14ac:dyDescent="0.35">
      <c r="A225" s="11"/>
      <c r="B225" s="64"/>
      <c r="C225" s="64"/>
      <c r="D225" s="64"/>
      <c r="E225" s="64"/>
      <c r="F225" s="64"/>
      <c r="G225" s="64"/>
      <c r="H225" s="7"/>
    </row>
    <row r="226" spans="1:8" ht="20.5" x14ac:dyDescent="0.35">
      <c r="A226" s="11"/>
      <c r="B226" s="64"/>
      <c r="C226" s="64"/>
      <c r="D226" s="64"/>
      <c r="E226" s="64"/>
      <c r="F226" s="64"/>
      <c r="G226" s="64"/>
      <c r="H226" s="7"/>
    </row>
    <row r="227" spans="1:8" ht="20.5" x14ac:dyDescent="0.35">
      <c r="A227" s="11"/>
      <c r="B227" s="64"/>
      <c r="C227" s="64"/>
      <c r="D227" s="64"/>
      <c r="E227" s="64"/>
      <c r="F227" s="64"/>
      <c r="G227" s="64"/>
      <c r="H227" s="7"/>
    </row>
    <row r="228" spans="1:8" ht="20.5" x14ac:dyDescent="0.35">
      <c r="A228" s="11"/>
      <c r="B228" s="64"/>
      <c r="C228" s="64"/>
      <c r="D228" s="64"/>
      <c r="E228" s="64"/>
      <c r="F228" s="64"/>
      <c r="G228" s="64"/>
      <c r="H228" s="7"/>
    </row>
    <row r="229" spans="1:8" ht="20.5" x14ac:dyDescent="0.35">
      <c r="A229" s="11"/>
      <c r="B229" s="64"/>
      <c r="C229" s="64"/>
      <c r="D229" s="64"/>
      <c r="E229" s="64"/>
      <c r="F229" s="64"/>
      <c r="G229" s="64"/>
      <c r="H229" s="7"/>
    </row>
    <row r="230" spans="1:8" ht="20.5" x14ac:dyDescent="0.35">
      <c r="A230" s="11"/>
      <c r="B230" s="64"/>
      <c r="C230" s="64"/>
      <c r="D230" s="64"/>
      <c r="E230" s="64"/>
      <c r="F230" s="64"/>
      <c r="G230" s="64"/>
      <c r="H230" s="7"/>
    </row>
    <row r="231" spans="1:8" ht="20.5" x14ac:dyDescent="0.35">
      <c r="A231" s="11"/>
      <c r="B231" s="64"/>
      <c r="C231" s="64"/>
      <c r="D231" s="64"/>
      <c r="E231" s="64"/>
      <c r="F231" s="64"/>
      <c r="G231" s="64"/>
      <c r="H231" s="7"/>
    </row>
    <row r="232" spans="1:8" ht="20.5" x14ac:dyDescent="0.35">
      <c r="A232" s="11"/>
      <c r="B232" s="64"/>
      <c r="C232" s="64"/>
      <c r="D232" s="64"/>
      <c r="E232" s="64"/>
      <c r="F232" s="64"/>
      <c r="G232" s="64"/>
      <c r="H232" s="7"/>
    </row>
    <row r="233" spans="1:8" ht="20.5" x14ac:dyDescent="0.35">
      <c r="A233" s="11"/>
      <c r="B233" s="64"/>
      <c r="C233" s="64"/>
      <c r="D233" s="64"/>
      <c r="E233" s="64"/>
      <c r="F233" s="64"/>
      <c r="G233" s="64"/>
      <c r="H233" s="7"/>
    </row>
    <row r="234" spans="1:8" ht="20.5" x14ac:dyDescent="0.35">
      <c r="A234" s="11"/>
      <c r="B234" s="64"/>
      <c r="C234" s="64"/>
      <c r="D234" s="64"/>
      <c r="E234" s="64"/>
      <c r="F234" s="64"/>
      <c r="G234" s="64"/>
      <c r="H234" s="7"/>
    </row>
    <row r="235" spans="1:8" ht="20.5" x14ac:dyDescent="0.35">
      <c r="A235" s="11"/>
      <c r="B235" s="64"/>
      <c r="C235" s="64"/>
      <c r="D235" s="64"/>
      <c r="E235" s="64"/>
      <c r="F235" s="64"/>
      <c r="G235" s="64"/>
      <c r="H235" s="7"/>
    </row>
    <row r="236" spans="1:8" ht="20.5" x14ac:dyDescent="0.35">
      <c r="A236" s="11"/>
      <c r="B236" s="64"/>
      <c r="C236" s="64"/>
      <c r="D236" s="64"/>
      <c r="E236" s="64"/>
      <c r="F236" s="64"/>
      <c r="G236" s="64"/>
      <c r="H236" s="7"/>
    </row>
    <row r="237" spans="1:8" ht="20.5" x14ac:dyDescent="0.35">
      <c r="A237" s="11"/>
      <c r="B237" s="64"/>
      <c r="C237" s="64"/>
      <c r="D237" s="64"/>
      <c r="E237" s="64"/>
      <c r="F237" s="64"/>
      <c r="G237" s="64"/>
      <c r="H237" s="7"/>
    </row>
    <row r="238" spans="1:8" ht="20.5" x14ac:dyDescent="0.35">
      <c r="A238" s="11"/>
      <c r="B238" s="64"/>
      <c r="C238" s="64"/>
      <c r="D238" s="64"/>
      <c r="E238" s="64"/>
      <c r="F238" s="64"/>
      <c r="G238" s="64"/>
      <c r="H238" s="7"/>
    </row>
    <row r="239" spans="1:8" ht="20.5" x14ac:dyDescent="0.35">
      <c r="A239" s="11"/>
      <c r="B239" s="64"/>
      <c r="C239" s="64"/>
      <c r="D239" s="64"/>
      <c r="E239" s="64"/>
      <c r="F239" s="64"/>
      <c r="G239" s="64"/>
      <c r="H239" s="7"/>
    </row>
    <row r="240" spans="1:8" ht="20.5" x14ac:dyDescent="0.35">
      <c r="A240" s="11"/>
      <c r="B240" s="64"/>
      <c r="C240" s="64"/>
      <c r="D240" s="64"/>
      <c r="E240" s="64"/>
      <c r="F240" s="64"/>
      <c r="G240" s="64"/>
      <c r="H240" s="7"/>
    </row>
    <row r="241" spans="1:8" ht="20.5" x14ac:dyDescent="0.35">
      <c r="A241" s="11"/>
      <c r="B241" s="64"/>
      <c r="C241" s="64"/>
      <c r="D241" s="64"/>
      <c r="E241" s="64"/>
      <c r="F241" s="64"/>
      <c r="G241" s="64"/>
      <c r="H241" s="7"/>
    </row>
    <row r="242" spans="1:8" ht="20.5" x14ac:dyDescent="0.35">
      <c r="A242" s="11"/>
      <c r="B242" s="64"/>
      <c r="C242" s="64"/>
      <c r="D242" s="64"/>
      <c r="E242" s="64"/>
      <c r="F242" s="64"/>
      <c r="G242" s="64"/>
      <c r="H242" s="7"/>
    </row>
    <row r="243" spans="1:8" ht="20.5" x14ac:dyDescent="0.35">
      <c r="A243" s="11"/>
      <c r="B243" s="64"/>
      <c r="C243" s="64"/>
      <c r="D243" s="64"/>
      <c r="E243" s="64"/>
      <c r="F243" s="64"/>
      <c r="G243" s="64"/>
      <c r="H243" s="7"/>
    </row>
    <row r="244" spans="1:8" ht="20.5" x14ac:dyDescent="0.35">
      <c r="A244" s="11"/>
      <c r="B244" s="64"/>
      <c r="C244" s="64"/>
      <c r="D244" s="64"/>
      <c r="E244" s="64"/>
      <c r="F244" s="64"/>
      <c r="G244" s="64"/>
      <c r="H244" s="7"/>
    </row>
    <row r="245" spans="1:8" ht="20.5" x14ac:dyDescent="0.35">
      <c r="A245" s="11"/>
      <c r="B245" s="64"/>
      <c r="C245" s="64"/>
      <c r="D245" s="64"/>
      <c r="E245" s="64"/>
      <c r="F245" s="64"/>
      <c r="G245" s="64"/>
      <c r="H245" s="7"/>
    </row>
    <row r="246" spans="1:8" ht="20.5" x14ac:dyDescent="0.35">
      <c r="A246" s="11"/>
      <c r="B246" s="64"/>
      <c r="C246" s="64"/>
      <c r="D246" s="64"/>
      <c r="E246" s="64"/>
      <c r="F246" s="64"/>
      <c r="G246" s="64"/>
      <c r="H246" s="7"/>
    </row>
    <row r="247" spans="1:8" ht="20.5" x14ac:dyDescent="0.35">
      <c r="A247" s="11"/>
      <c r="B247" s="64"/>
      <c r="C247" s="64"/>
      <c r="D247" s="64"/>
      <c r="E247" s="64"/>
      <c r="F247" s="64"/>
      <c r="G247" s="64"/>
      <c r="H247" s="7"/>
    </row>
    <row r="248" spans="1:8" ht="20.5" x14ac:dyDescent="0.35">
      <c r="A248" s="11"/>
      <c r="B248" s="64"/>
      <c r="C248" s="64"/>
      <c r="D248" s="64"/>
      <c r="E248" s="64"/>
      <c r="F248" s="64"/>
      <c r="G248" s="64"/>
      <c r="H248" s="7"/>
    </row>
    <row r="249" spans="1:8" ht="20.5" x14ac:dyDescent="0.35">
      <c r="A249" s="11"/>
      <c r="B249" s="64"/>
      <c r="C249" s="64"/>
      <c r="D249" s="64"/>
      <c r="E249" s="64"/>
      <c r="F249" s="64"/>
      <c r="G249" s="64"/>
      <c r="H249" s="7"/>
    </row>
    <row r="250" spans="1:8" ht="20.5" x14ac:dyDescent="0.35">
      <c r="A250" s="11"/>
      <c r="B250" s="64"/>
      <c r="C250" s="64"/>
      <c r="D250" s="64"/>
      <c r="E250" s="64"/>
      <c r="F250" s="64"/>
      <c r="G250" s="64"/>
      <c r="H250" s="7"/>
    </row>
    <row r="251" spans="1:8" ht="20.5" x14ac:dyDescent="0.35">
      <c r="A251" s="11"/>
      <c r="B251" s="64"/>
      <c r="C251" s="64"/>
      <c r="D251" s="64"/>
      <c r="E251" s="64"/>
      <c r="F251" s="64"/>
      <c r="G251" s="64"/>
      <c r="H251" s="7"/>
    </row>
    <row r="252" spans="1:8" ht="20.5" x14ac:dyDescent="0.35">
      <c r="A252" s="11"/>
      <c r="B252" s="64"/>
      <c r="C252" s="64"/>
      <c r="D252" s="64"/>
      <c r="E252" s="64"/>
      <c r="F252" s="64"/>
      <c r="G252" s="64"/>
      <c r="H252" s="7"/>
    </row>
    <row r="253" spans="1:8" ht="20.5" x14ac:dyDescent="0.35">
      <c r="A253" s="11"/>
      <c r="B253" s="64"/>
      <c r="C253" s="64"/>
      <c r="D253" s="64"/>
      <c r="E253" s="64"/>
      <c r="F253" s="64"/>
      <c r="G253" s="64"/>
      <c r="H253" s="7"/>
    </row>
    <row r="254" spans="1:8" ht="20.5" x14ac:dyDescent="0.35">
      <c r="A254" s="11"/>
      <c r="B254" s="64"/>
      <c r="C254" s="64"/>
      <c r="D254" s="64"/>
      <c r="E254" s="64"/>
      <c r="F254" s="64"/>
      <c r="G254" s="64"/>
      <c r="H254" s="7"/>
    </row>
    <row r="255" spans="1:8" ht="20.5" x14ac:dyDescent="0.35">
      <c r="A255" s="11"/>
      <c r="B255" s="64"/>
      <c r="C255" s="64"/>
      <c r="D255" s="64"/>
      <c r="E255" s="64"/>
      <c r="F255" s="64"/>
      <c r="G255" s="64"/>
      <c r="H255" s="7"/>
    </row>
    <row r="256" spans="1:8" ht="20.5" x14ac:dyDescent="0.35">
      <c r="A256" s="11"/>
      <c r="B256" s="64"/>
      <c r="C256" s="64"/>
      <c r="D256" s="64"/>
      <c r="E256" s="64"/>
      <c r="F256" s="64"/>
      <c r="G256" s="64"/>
      <c r="H256" s="7"/>
    </row>
    <row r="257" spans="1:8" ht="20.5" hidden="1" x14ac:dyDescent="0.35">
      <c r="A257" s="11"/>
      <c r="B257" s="64"/>
      <c r="C257" s="64"/>
      <c r="D257" s="64"/>
      <c r="E257" s="64"/>
      <c r="F257" s="64"/>
      <c r="G257" s="64"/>
      <c r="H257" s="7"/>
    </row>
    <row r="258" spans="1:8" ht="20.5" hidden="1" x14ac:dyDescent="0.35">
      <c r="A258" s="11"/>
      <c r="B258" s="64"/>
      <c r="C258" s="64"/>
      <c r="D258" s="64"/>
      <c r="E258" s="64"/>
      <c r="F258" s="64"/>
      <c r="G258" s="64"/>
      <c r="H258" s="7"/>
    </row>
    <row r="259" spans="1:8" ht="20.5" hidden="1" x14ac:dyDescent="0.35">
      <c r="A259" s="11"/>
      <c r="B259" s="64"/>
      <c r="C259" s="64"/>
      <c r="D259" s="64"/>
      <c r="E259" s="64"/>
      <c r="F259" s="64"/>
      <c r="G259" s="64"/>
      <c r="H259" s="7"/>
    </row>
    <row r="260" spans="1:8" ht="20.5" hidden="1" x14ac:dyDescent="0.35">
      <c r="A260" s="11"/>
      <c r="B260" s="64"/>
      <c r="C260" s="64"/>
      <c r="D260" s="64"/>
      <c r="E260" s="64"/>
      <c r="F260" s="64"/>
      <c r="G260" s="64"/>
      <c r="H260" s="7"/>
    </row>
    <row r="261" spans="1:8" ht="20.5" hidden="1" x14ac:dyDescent="0.35">
      <c r="A261" s="11"/>
      <c r="B261" s="64"/>
      <c r="C261" s="64"/>
      <c r="D261" s="64"/>
      <c r="E261" s="64"/>
      <c r="F261" s="64"/>
      <c r="G261" s="64"/>
      <c r="H261" s="7"/>
    </row>
    <row r="262" spans="1:8" ht="20.5" hidden="1" x14ac:dyDescent="0.35">
      <c r="A262" s="11"/>
      <c r="B262" s="64"/>
      <c r="C262" s="64"/>
      <c r="D262" s="64"/>
      <c r="E262" s="64"/>
      <c r="F262" s="64"/>
      <c r="G262" s="64"/>
      <c r="H262" s="7"/>
    </row>
    <row r="263" spans="1:8" ht="20.5" hidden="1" x14ac:dyDescent="0.35">
      <c r="A263" s="11"/>
      <c r="B263" s="64"/>
      <c r="C263" s="64"/>
      <c r="D263" s="64"/>
      <c r="E263" s="64"/>
      <c r="F263" s="64"/>
      <c r="G263" s="64"/>
      <c r="H263" s="7"/>
    </row>
    <row r="264" spans="1:8" ht="20.5" hidden="1" x14ac:dyDescent="0.35">
      <c r="A264" s="11"/>
      <c r="B264" s="64"/>
      <c r="C264" s="64"/>
      <c r="D264" s="64"/>
      <c r="E264" s="64"/>
      <c r="F264" s="64"/>
      <c r="G264" s="64"/>
      <c r="H264" s="7"/>
    </row>
    <row r="265" spans="1:8" ht="20.5" hidden="1" x14ac:dyDescent="0.35">
      <c r="A265" s="11"/>
      <c r="B265" s="64"/>
      <c r="C265" s="64"/>
      <c r="D265" s="64"/>
      <c r="E265" s="64"/>
      <c r="F265" s="64"/>
      <c r="G265" s="64"/>
      <c r="H265" s="7"/>
    </row>
    <row r="266" spans="1:8" ht="20.5" x14ac:dyDescent="0.35">
      <c r="A266" s="12"/>
      <c r="B266" s="13"/>
      <c r="C266" s="13"/>
      <c r="D266" s="13"/>
      <c r="E266" s="13"/>
      <c r="F266" s="13"/>
      <c r="G266" s="13"/>
      <c r="H266" s="8"/>
    </row>
    <row r="267" spans="1:8" ht="20.5" x14ac:dyDescent="0.35">
      <c r="A267" s="94" t="s">
        <v>165</v>
      </c>
      <c r="B267" s="94"/>
      <c r="C267" s="94"/>
      <c r="D267" s="94"/>
      <c r="E267" s="94"/>
      <c r="F267" s="94"/>
      <c r="G267" s="94"/>
      <c r="H267" s="94"/>
    </row>
    <row r="268" spans="1:8" ht="20.5" x14ac:dyDescent="0.35">
      <c r="A268" s="9"/>
      <c r="B268" s="10"/>
      <c r="C268" s="10"/>
      <c r="D268" s="10"/>
      <c r="E268" s="10"/>
      <c r="F268" s="10"/>
      <c r="G268" s="10"/>
      <c r="H268" s="6"/>
    </row>
    <row r="269" spans="1:8" ht="20.5" x14ac:dyDescent="0.35">
      <c r="A269" s="11"/>
      <c r="B269" s="64"/>
      <c r="C269" s="64"/>
      <c r="D269" s="64"/>
      <c r="E269" s="64"/>
      <c r="F269" s="64"/>
      <c r="G269" s="64"/>
      <c r="H269" s="7"/>
    </row>
    <row r="270" spans="1:8" ht="20.5" x14ac:dyDescent="0.35">
      <c r="A270" s="11"/>
      <c r="B270" s="64"/>
      <c r="C270" s="64"/>
      <c r="D270" s="64"/>
      <c r="E270" s="64"/>
      <c r="F270" s="64"/>
      <c r="G270" s="64"/>
      <c r="H270" s="7"/>
    </row>
    <row r="271" spans="1:8" ht="20.5" x14ac:dyDescent="0.35">
      <c r="A271" s="11"/>
      <c r="B271" s="64"/>
      <c r="C271" s="64"/>
      <c r="D271" s="64"/>
      <c r="E271" s="64"/>
      <c r="F271" s="64"/>
      <c r="G271" s="64"/>
      <c r="H271" s="7"/>
    </row>
    <row r="272" spans="1:8" ht="20.5" x14ac:dyDescent="0.35">
      <c r="A272" s="11"/>
      <c r="B272" s="64"/>
      <c r="C272" s="64"/>
      <c r="D272" s="64"/>
      <c r="E272" s="64"/>
      <c r="F272" s="64"/>
      <c r="G272" s="64"/>
      <c r="H272" s="7"/>
    </row>
    <row r="273" spans="1:8" ht="20.5" x14ac:dyDescent="0.35">
      <c r="A273" s="11"/>
      <c r="B273" s="64"/>
      <c r="C273" s="64"/>
      <c r="D273" s="64"/>
      <c r="E273" s="64"/>
      <c r="F273" s="64"/>
      <c r="G273" s="64"/>
      <c r="H273" s="7"/>
    </row>
    <row r="274" spans="1:8" ht="20.5" x14ac:dyDescent="0.35">
      <c r="A274" s="11"/>
      <c r="B274" s="64"/>
      <c r="C274" s="64"/>
      <c r="D274" s="64"/>
      <c r="E274" s="64"/>
      <c r="F274" s="64"/>
      <c r="G274" s="64"/>
      <c r="H274" s="7"/>
    </row>
    <row r="275" spans="1:8" ht="20.5" x14ac:dyDescent="0.35">
      <c r="A275" s="11"/>
      <c r="B275" s="64"/>
      <c r="C275" s="64"/>
      <c r="D275" s="64"/>
      <c r="E275" s="64"/>
      <c r="F275" s="64"/>
      <c r="G275" s="64"/>
      <c r="H275" s="7"/>
    </row>
    <row r="276" spans="1:8" ht="20.5" x14ac:dyDescent="0.35">
      <c r="A276" s="11"/>
      <c r="B276" s="64"/>
      <c r="C276" s="64"/>
      <c r="D276" s="64"/>
      <c r="E276" s="64"/>
      <c r="F276" s="64"/>
      <c r="G276" s="64"/>
      <c r="H276" s="7"/>
    </row>
    <row r="277" spans="1:8" ht="20.5" x14ac:dyDescent="0.35">
      <c r="A277" s="11"/>
      <c r="B277" s="64"/>
      <c r="C277" s="64"/>
      <c r="D277" s="64"/>
      <c r="E277" s="64"/>
      <c r="F277" s="64"/>
      <c r="G277" s="64"/>
      <c r="H277" s="7"/>
    </row>
    <row r="278" spans="1:8" ht="20.5" x14ac:dyDescent="0.35">
      <c r="A278" s="11"/>
      <c r="B278" s="64"/>
      <c r="C278" s="64"/>
      <c r="D278" s="64"/>
      <c r="E278" s="64"/>
      <c r="F278" s="64"/>
      <c r="G278" s="64"/>
      <c r="H278" s="7"/>
    </row>
    <row r="279" spans="1:8" ht="20.5" x14ac:dyDescent="0.35">
      <c r="A279" s="11"/>
      <c r="B279" s="64"/>
      <c r="C279" s="64"/>
      <c r="D279" s="64"/>
      <c r="E279" s="64"/>
      <c r="F279" s="64"/>
      <c r="G279" s="64"/>
      <c r="H279" s="7"/>
    </row>
    <row r="280" spans="1:8" ht="20.5" x14ac:dyDescent="0.35">
      <c r="A280" s="11"/>
      <c r="B280" s="64"/>
      <c r="C280" s="64"/>
      <c r="D280" s="64"/>
      <c r="E280" s="64"/>
      <c r="F280" s="64"/>
      <c r="G280" s="64"/>
      <c r="H280" s="7"/>
    </row>
    <row r="281" spans="1:8" ht="20.5" x14ac:dyDescent="0.35">
      <c r="A281" s="11"/>
      <c r="B281" s="64"/>
      <c r="C281" s="64"/>
      <c r="D281" s="64"/>
      <c r="E281" s="64"/>
      <c r="F281" s="64"/>
      <c r="G281" s="64"/>
      <c r="H281" s="7"/>
    </row>
    <row r="282" spans="1:8" ht="20.5" x14ac:dyDescent="0.35">
      <c r="A282" s="11"/>
      <c r="B282" s="64"/>
      <c r="C282" s="64"/>
      <c r="D282" s="64"/>
      <c r="E282" s="64"/>
      <c r="F282" s="64"/>
      <c r="G282" s="64"/>
      <c r="H282" s="7"/>
    </row>
    <row r="283" spans="1:8" ht="20.5" x14ac:dyDescent="0.35">
      <c r="A283" s="11"/>
      <c r="B283" s="64"/>
      <c r="C283" s="64"/>
      <c r="D283" s="64"/>
      <c r="E283" s="64"/>
      <c r="F283" s="64"/>
      <c r="G283" s="64"/>
      <c r="H283" s="7"/>
    </row>
    <row r="284" spans="1:8" ht="20.5" x14ac:dyDescent="0.35">
      <c r="A284" s="11"/>
      <c r="B284" s="64"/>
      <c r="C284" s="64"/>
      <c r="D284" s="64"/>
      <c r="E284" s="64"/>
      <c r="F284" s="64"/>
      <c r="G284" s="64"/>
      <c r="H284" s="7"/>
    </row>
    <row r="285" spans="1:8" ht="20.5" x14ac:dyDescent="0.35">
      <c r="A285" s="11"/>
      <c r="B285" s="64"/>
      <c r="C285" s="64"/>
      <c r="D285" s="64"/>
      <c r="E285" s="64"/>
      <c r="F285" s="64"/>
      <c r="G285" s="64"/>
      <c r="H285" s="7"/>
    </row>
    <row r="286" spans="1:8" ht="20.5" x14ac:dyDescent="0.35">
      <c r="A286" s="11"/>
      <c r="B286" s="64"/>
      <c r="C286" s="64"/>
      <c r="D286" s="64"/>
      <c r="E286" s="64"/>
      <c r="F286" s="64"/>
      <c r="G286" s="64"/>
      <c r="H286" s="7"/>
    </row>
    <row r="287" spans="1:8" ht="20.5" x14ac:dyDescent="0.35">
      <c r="A287" s="11"/>
      <c r="B287" s="64"/>
      <c r="C287" s="64"/>
      <c r="D287" s="64"/>
      <c r="E287" s="64"/>
      <c r="F287" s="64"/>
      <c r="G287" s="64"/>
      <c r="H287" s="7"/>
    </row>
    <row r="288" spans="1:8" ht="20.5" x14ac:dyDescent="0.35">
      <c r="A288" s="11"/>
      <c r="B288" s="64"/>
      <c r="C288" s="64"/>
      <c r="D288" s="64"/>
      <c r="E288" s="64"/>
      <c r="F288" s="64"/>
      <c r="G288" s="64"/>
      <c r="H288" s="7"/>
    </row>
    <row r="289" spans="1:8" ht="20.5" x14ac:dyDescent="0.35">
      <c r="A289" s="11"/>
      <c r="B289" s="64"/>
      <c r="C289" s="64"/>
      <c r="D289" s="64"/>
      <c r="E289" s="64"/>
      <c r="F289" s="64"/>
      <c r="G289" s="64"/>
      <c r="H289" s="7"/>
    </row>
    <row r="290" spans="1:8" ht="20.5" x14ac:dyDescent="0.35">
      <c r="A290" s="11"/>
      <c r="B290" s="64"/>
      <c r="C290" s="64"/>
      <c r="D290" s="64"/>
      <c r="E290" s="64"/>
      <c r="F290" s="64"/>
      <c r="G290" s="64"/>
      <c r="H290" s="7"/>
    </row>
    <row r="291" spans="1:8" ht="20.5" x14ac:dyDescent="0.35">
      <c r="A291" s="11"/>
      <c r="B291" s="64"/>
      <c r="C291" s="64"/>
      <c r="D291" s="64"/>
      <c r="E291" s="64"/>
      <c r="F291" s="64"/>
      <c r="G291" s="64"/>
      <c r="H291" s="7"/>
    </row>
    <row r="292" spans="1:8" ht="20.5" x14ac:dyDescent="0.35">
      <c r="A292" s="11"/>
      <c r="B292" s="64"/>
      <c r="C292" s="64"/>
      <c r="D292" s="64"/>
      <c r="E292" s="64"/>
      <c r="F292" s="64"/>
      <c r="G292" s="64"/>
      <c r="H292" s="7"/>
    </row>
    <row r="293" spans="1:8" ht="20.5" x14ac:dyDescent="0.35">
      <c r="A293" s="11"/>
      <c r="B293" s="64"/>
      <c r="C293" s="64"/>
      <c r="D293" s="64"/>
      <c r="E293" s="64"/>
      <c r="F293" s="64"/>
      <c r="G293" s="64"/>
      <c r="H293" s="7"/>
    </row>
    <row r="294" spans="1:8" ht="20.5" x14ac:dyDescent="0.35">
      <c r="A294" s="11"/>
      <c r="B294" s="64"/>
      <c r="C294" s="64"/>
      <c r="D294" s="64"/>
      <c r="E294" s="64"/>
      <c r="F294" s="64"/>
      <c r="G294" s="64"/>
      <c r="H294" s="7"/>
    </row>
    <row r="295" spans="1:8" ht="20.5" x14ac:dyDescent="0.35">
      <c r="A295" s="11"/>
      <c r="B295" s="64"/>
      <c r="C295" s="64"/>
      <c r="D295" s="64"/>
      <c r="E295" s="64"/>
      <c r="F295" s="64"/>
      <c r="G295" s="64"/>
      <c r="H295" s="7"/>
    </row>
    <row r="296" spans="1:8" ht="20.5" x14ac:dyDescent="0.35">
      <c r="A296" s="11"/>
      <c r="B296" s="64"/>
      <c r="C296" s="64"/>
      <c r="D296" s="64"/>
      <c r="E296" s="64"/>
      <c r="F296" s="64"/>
      <c r="G296" s="64"/>
      <c r="H296" s="7"/>
    </row>
    <row r="297" spans="1:8" ht="20.5" x14ac:dyDescent="0.35">
      <c r="A297" s="11"/>
      <c r="B297" s="64"/>
      <c r="C297" s="64"/>
      <c r="D297" s="64"/>
      <c r="E297" s="64"/>
      <c r="F297" s="64"/>
      <c r="G297" s="64"/>
      <c r="H297" s="7"/>
    </row>
    <row r="298" spans="1:8" ht="20.5" x14ac:dyDescent="0.35">
      <c r="A298" s="11"/>
      <c r="B298" s="64"/>
      <c r="C298" s="64"/>
      <c r="D298" s="64"/>
      <c r="E298" s="64"/>
      <c r="F298" s="64"/>
      <c r="G298" s="64"/>
      <c r="H298" s="7"/>
    </row>
    <row r="299" spans="1:8" ht="20.5" x14ac:dyDescent="0.35">
      <c r="A299" s="11"/>
      <c r="B299" s="64"/>
      <c r="C299" s="64"/>
      <c r="D299" s="64"/>
      <c r="E299" s="64"/>
      <c r="F299" s="64"/>
      <c r="G299" s="64"/>
      <c r="H299" s="7"/>
    </row>
    <row r="300" spans="1:8" ht="20.5" x14ac:dyDescent="0.35">
      <c r="A300" s="11"/>
      <c r="B300" s="64"/>
      <c r="C300" s="64"/>
      <c r="D300" s="64"/>
      <c r="E300" s="64"/>
      <c r="F300" s="64"/>
      <c r="G300" s="64"/>
      <c r="H300" s="7"/>
    </row>
    <row r="301" spans="1:8" ht="20.5" x14ac:dyDescent="0.35">
      <c r="A301" s="11"/>
      <c r="B301" s="64"/>
      <c r="C301" s="64"/>
      <c r="D301" s="64"/>
      <c r="E301" s="64"/>
      <c r="F301" s="64"/>
      <c r="G301" s="64"/>
      <c r="H301" s="7"/>
    </row>
    <row r="302" spans="1:8" ht="20.5" x14ac:dyDescent="0.35">
      <c r="A302" s="11"/>
      <c r="B302" s="64"/>
      <c r="C302" s="64"/>
      <c r="D302" s="64"/>
      <c r="E302" s="64"/>
      <c r="F302" s="64"/>
      <c r="G302" s="64"/>
      <c r="H302" s="7"/>
    </row>
    <row r="303" spans="1:8" ht="20.5" x14ac:dyDescent="0.35">
      <c r="A303" s="11"/>
      <c r="B303" s="64"/>
      <c r="C303" s="64"/>
      <c r="D303" s="64"/>
      <c r="E303" s="64"/>
      <c r="F303" s="64"/>
      <c r="G303" s="64"/>
      <c r="H303" s="7"/>
    </row>
    <row r="304" spans="1:8" ht="20.5" x14ac:dyDescent="0.35">
      <c r="A304" s="11"/>
      <c r="B304" s="64"/>
      <c r="C304" s="64"/>
      <c r="D304" s="64"/>
      <c r="E304" s="64"/>
      <c r="F304" s="64"/>
      <c r="G304" s="64"/>
      <c r="H304" s="7"/>
    </row>
    <row r="305" spans="1:8" ht="20.5" x14ac:dyDescent="0.35">
      <c r="A305" s="11"/>
      <c r="B305" s="64"/>
      <c r="C305" s="64"/>
      <c r="D305" s="64"/>
      <c r="E305" s="64"/>
      <c r="F305" s="64"/>
      <c r="G305" s="64"/>
      <c r="H305" s="7"/>
    </row>
    <row r="306" spans="1:8" ht="20.5" x14ac:dyDescent="0.35">
      <c r="A306" s="11"/>
      <c r="B306" s="64"/>
      <c r="C306" s="64"/>
      <c r="D306" s="64"/>
      <c r="E306" s="64"/>
      <c r="F306" s="64"/>
      <c r="G306" s="64"/>
      <c r="H306" s="7"/>
    </row>
    <row r="307" spans="1:8" ht="20.5" x14ac:dyDescent="0.35">
      <c r="A307" s="11"/>
      <c r="B307" s="64"/>
      <c r="C307" s="64"/>
      <c r="D307" s="64"/>
      <c r="E307" s="64"/>
      <c r="F307" s="64"/>
      <c r="G307" s="64"/>
      <c r="H307" s="7"/>
    </row>
    <row r="308" spans="1:8" ht="20.5" x14ac:dyDescent="0.35">
      <c r="A308" s="11"/>
      <c r="B308" s="64"/>
      <c r="C308" s="64"/>
      <c r="D308" s="64"/>
      <c r="E308" s="64"/>
      <c r="F308" s="64"/>
      <c r="G308" s="64"/>
      <c r="H308" s="7"/>
    </row>
    <row r="309" spans="1:8" ht="20.5" hidden="1" x14ac:dyDescent="0.35">
      <c r="A309" s="11"/>
      <c r="B309" s="64"/>
      <c r="C309" s="64"/>
      <c r="D309" s="64"/>
      <c r="E309" s="64"/>
      <c r="F309" s="64"/>
      <c r="G309" s="64"/>
      <c r="H309" s="7"/>
    </row>
    <row r="310" spans="1:8" ht="20.5" hidden="1" x14ac:dyDescent="0.35">
      <c r="A310" s="11"/>
      <c r="B310" s="64"/>
      <c r="C310" s="64"/>
      <c r="D310" s="64"/>
      <c r="E310" s="64"/>
      <c r="F310" s="64"/>
      <c r="G310" s="64"/>
      <c r="H310" s="7"/>
    </row>
    <row r="311" spans="1:8" ht="20.5" hidden="1" x14ac:dyDescent="0.35">
      <c r="A311" s="11"/>
      <c r="B311" s="64"/>
      <c r="C311" s="64"/>
      <c r="D311" s="64"/>
      <c r="E311" s="64"/>
      <c r="F311" s="64"/>
      <c r="G311" s="64"/>
      <c r="H311" s="7"/>
    </row>
    <row r="312" spans="1:8" ht="20.5" hidden="1" x14ac:dyDescent="0.35">
      <c r="A312" s="11"/>
      <c r="B312" s="64"/>
      <c r="C312" s="64"/>
      <c r="D312" s="64"/>
      <c r="E312" s="64"/>
      <c r="F312" s="64"/>
      <c r="G312" s="64"/>
      <c r="H312" s="7"/>
    </row>
    <row r="313" spans="1:8" ht="20.5" hidden="1" x14ac:dyDescent="0.35">
      <c r="A313" s="11"/>
      <c r="B313" s="64"/>
      <c r="C313" s="64"/>
      <c r="D313" s="64"/>
      <c r="E313" s="64"/>
      <c r="F313" s="64"/>
      <c r="G313" s="64"/>
      <c r="H313" s="7"/>
    </row>
    <row r="314" spans="1:8" ht="20.5" hidden="1" x14ac:dyDescent="0.35">
      <c r="A314" s="11"/>
      <c r="B314" s="64"/>
      <c r="C314" s="64"/>
      <c r="D314" s="64"/>
      <c r="E314" s="64"/>
      <c r="F314" s="64"/>
      <c r="G314" s="64"/>
      <c r="H314" s="7"/>
    </row>
    <row r="315" spans="1:8" ht="20.5" hidden="1" x14ac:dyDescent="0.35">
      <c r="A315" s="11"/>
      <c r="B315" s="64"/>
      <c r="C315" s="64"/>
      <c r="D315" s="64"/>
      <c r="E315" s="64"/>
      <c r="F315" s="64"/>
      <c r="G315" s="64"/>
      <c r="H315" s="7"/>
    </row>
    <row r="316" spans="1:8" ht="20.5" hidden="1" x14ac:dyDescent="0.35">
      <c r="A316" s="11"/>
      <c r="B316" s="64"/>
      <c r="C316" s="64"/>
      <c r="D316" s="64"/>
      <c r="E316" s="64"/>
      <c r="F316" s="64"/>
      <c r="G316" s="64"/>
      <c r="H316" s="7"/>
    </row>
    <row r="317" spans="1:8" ht="20.5" hidden="1" x14ac:dyDescent="0.35">
      <c r="A317" s="11"/>
      <c r="B317" s="64"/>
      <c r="C317" s="64"/>
      <c r="D317" s="64"/>
      <c r="E317" s="64"/>
      <c r="F317" s="64"/>
      <c r="G317" s="64"/>
      <c r="H317" s="7"/>
    </row>
    <row r="318" spans="1:8" ht="20.5" x14ac:dyDescent="0.35">
      <c r="A318" s="12"/>
      <c r="B318" s="13"/>
      <c r="C318" s="13"/>
      <c r="D318" s="13"/>
      <c r="E318" s="13"/>
      <c r="F318" s="13"/>
      <c r="G318" s="13"/>
      <c r="H318" s="8"/>
    </row>
    <row r="319" spans="1:8" ht="20.5" x14ac:dyDescent="0.35">
      <c r="A319" s="99" t="s">
        <v>77</v>
      </c>
      <c r="B319" s="100"/>
      <c r="C319" s="100"/>
      <c r="D319" s="100"/>
      <c r="E319" s="100"/>
      <c r="F319" s="100"/>
      <c r="G319" s="100"/>
      <c r="H319" s="101"/>
    </row>
    <row r="320" spans="1:8" ht="20.5" x14ac:dyDescent="0.35">
      <c r="A320" s="9"/>
      <c r="B320" s="10"/>
      <c r="C320" s="10"/>
      <c r="D320" s="10"/>
      <c r="E320" s="10"/>
      <c r="F320" s="10"/>
      <c r="G320" s="10"/>
      <c r="H320" s="6"/>
    </row>
    <row r="321" spans="1:8" ht="20.5" x14ac:dyDescent="0.35">
      <c r="A321" s="11"/>
      <c r="B321" s="64"/>
      <c r="C321" s="64"/>
      <c r="D321" s="64"/>
      <c r="E321" s="64"/>
      <c r="F321" s="64"/>
      <c r="G321" s="64"/>
      <c r="H321" s="7"/>
    </row>
    <row r="322" spans="1:8" ht="20.5" x14ac:dyDescent="0.35">
      <c r="A322" s="11"/>
      <c r="B322" s="64"/>
      <c r="C322" s="64"/>
      <c r="D322" s="64"/>
      <c r="E322" s="64"/>
      <c r="F322" s="64"/>
      <c r="G322" s="64"/>
      <c r="H322" s="7"/>
    </row>
    <row r="323" spans="1:8" ht="20.5" x14ac:dyDescent="0.35">
      <c r="A323" s="11"/>
      <c r="B323" s="64"/>
      <c r="C323" s="64"/>
      <c r="D323" s="64"/>
      <c r="E323" s="64"/>
      <c r="F323" s="64"/>
      <c r="G323" s="64"/>
      <c r="H323" s="7"/>
    </row>
    <row r="324" spans="1:8" ht="20.5" x14ac:dyDescent="0.35">
      <c r="A324" s="11"/>
      <c r="B324" s="64"/>
      <c r="C324" s="64"/>
      <c r="D324" s="64"/>
      <c r="E324" s="64"/>
      <c r="F324" s="64"/>
      <c r="G324" s="64"/>
      <c r="H324" s="7"/>
    </row>
    <row r="325" spans="1:8" ht="20.5" x14ac:dyDescent="0.35">
      <c r="A325" s="11"/>
      <c r="B325" s="64"/>
      <c r="C325" s="64"/>
      <c r="D325" s="64"/>
      <c r="E325" s="64"/>
      <c r="F325" s="64"/>
      <c r="G325" s="64"/>
      <c r="H325" s="7"/>
    </row>
    <row r="326" spans="1:8" ht="20.5" x14ac:dyDescent="0.35">
      <c r="A326" s="11"/>
      <c r="B326" s="64"/>
      <c r="C326" s="64"/>
      <c r="D326" s="64"/>
      <c r="E326" s="64"/>
      <c r="F326" s="64"/>
      <c r="G326" s="64"/>
      <c r="H326" s="7"/>
    </row>
    <row r="327" spans="1:8" ht="20.5" x14ac:dyDescent="0.35">
      <c r="A327" s="11"/>
      <c r="B327" s="64"/>
      <c r="C327" s="64"/>
      <c r="D327" s="64"/>
      <c r="E327" s="64"/>
      <c r="F327" s="64"/>
      <c r="G327" s="64"/>
      <c r="H327" s="7"/>
    </row>
    <row r="328" spans="1:8" ht="20.5" x14ac:dyDescent="0.35">
      <c r="A328" s="11"/>
      <c r="B328" s="64"/>
      <c r="C328" s="64"/>
      <c r="D328" s="64"/>
      <c r="E328" s="64"/>
      <c r="F328" s="64"/>
      <c r="G328" s="64"/>
      <c r="H328" s="7"/>
    </row>
    <row r="329" spans="1:8" ht="20.5" x14ac:dyDescent="0.35">
      <c r="A329" s="11"/>
      <c r="B329" s="64"/>
      <c r="C329" s="64"/>
      <c r="D329" s="64"/>
      <c r="E329" s="64"/>
      <c r="F329" s="64"/>
      <c r="G329" s="64"/>
      <c r="H329" s="7"/>
    </row>
    <row r="330" spans="1:8" ht="20.5" x14ac:dyDescent="0.35">
      <c r="A330" s="11"/>
      <c r="B330" s="64"/>
      <c r="C330" s="64"/>
      <c r="D330" s="64"/>
      <c r="E330" s="64"/>
      <c r="F330" s="64"/>
      <c r="G330" s="64"/>
      <c r="H330" s="7"/>
    </row>
    <row r="331" spans="1:8" ht="20.5" x14ac:dyDescent="0.35">
      <c r="A331" s="11"/>
      <c r="B331" s="64"/>
      <c r="C331" s="64"/>
      <c r="D331" s="64"/>
      <c r="E331" s="64"/>
      <c r="F331" s="64"/>
      <c r="G331" s="64"/>
      <c r="H331" s="7"/>
    </row>
    <row r="332" spans="1:8" ht="20.5" x14ac:dyDescent="0.35">
      <c r="A332" s="11"/>
      <c r="B332" s="64"/>
      <c r="C332" s="64"/>
      <c r="D332" s="64"/>
      <c r="E332" s="64"/>
      <c r="F332" s="64"/>
      <c r="G332" s="64"/>
      <c r="H332" s="7"/>
    </row>
    <row r="333" spans="1:8" ht="20.5" x14ac:dyDescent="0.35">
      <c r="A333" s="11"/>
      <c r="B333" s="64"/>
      <c r="C333" s="64"/>
      <c r="D333" s="64"/>
      <c r="E333" s="64"/>
      <c r="F333" s="64"/>
      <c r="G333" s="64"/>
      <c r="H333" s="7"/>
    </row>
    <row r="334" spans="1:8" ht="20.5" x14ac:dyDescent="0.35">
      <c r="A334" s="11"/>
      <c r="B334" s="64"/>
      <c r="C334" s="64"/>
      <c r="D334" s="64"/>
      <c r="E334" s="64"/>
      <c r="F334" s="64"/>
      <c r="G334" s="64"/>
      <c r="H334" s="7"/>
    </row>
    <row r="335" spans="1:8" ht="20.5" x14ac:dyDescent="0.35">
      <c r="A335" s="11"/>
      <c r="B335" s="64"/>
      <c r="C335" s="64"/>
      <c r="D335" s="64"/>
      <c r="E335" s="64"/>
      <c r="F335" s="64"/>
      <c r="G335" s="64"/>
      <c r="H335" s="7"/>
    </row>
    <row r="336" spans="1:8" ht="20.5" x14ac:dyDescent="0.35">
      <c r="A336" s="11"/>
      <c r="B336" s="64"/>
      <c r="C336" s="64"/>
      <c r="D336" s="64"/>
      <c r="E336" s="64"/>
      <c r="F336" s="64"/>
      <c r="G336" s="64"/>
      <c r="H336" s="7"/>
    </row>
    <row r="337" spans="1:8" ht="20.5" x14ac:dyDescent="0.35">
      <c r="A337" s="11"/>
      <c r="B337" s="64"/>
      <c r="C337" s="64"/>
      <c r="D337" s="64"/>
      <c r="E337" s="64"/>
      <c r="F337" s="64"/>
      <c r="G337" s="64"/>
      <c r="H337" s="7"/>
    </row>
    <row r="338" spans="1:8" ht="20.5" x14ac:dyDescent="0.35">
      <c r="A338" s="11"/>
      <c r="B338" s="64"/>
      <c r="C338" s="64"/>
      <c r="D338" s="64"/>
      <c r="E338" s="64"/>
      <c r="F338" s="64"/>
      <c r="G338" s="64"/>
      <c r="H338" s="7"/>
    </row>
    <row r="339" spans="1:8" ht="20.5" x14ac:dyDescent="0.35">
      <c r="A339" s="11"/>
      <c r="B339" s="64"/>
      <c r="C339" s="64"/>
      <c r="D339" s="64"/>
      <c r="E339" s="64"/>
      <c r="F339" s="64"/>
      <c r="G339" s="64"/>
      <c r="H339" s="7"/>
    </row>
    <row r="340" spans="1:8" ht="20.5" x14ac:dyDescent="0.35">
      <c r="A340" s="11"/>
      <c r="B340" s="64"/>
      <c r="C340" s="64"/>
      <c r="D340" s="64"/>
      <c r="E340" s="64"/>
      <c r="F340" s="64"/>
      <c r="G340" s="64"/>
      <c r="H340" s="7"/>
    </row>
    <row r="341" spans="1:8" ht="20.5" x14ac:dyDescent="0.35">
      <c r="A341" s="11"/>
      <c r="B341" s="64"/>
      <c r="C341" s="64"/>
      <c r="D341" s="64"/>
      <c r="E341" s="64"/>
      <c r="F341" s="64"/>
      <c r="G341" s="64"/>
      <c r="H341" s="7"/>
    </row>
    <row r="342" spans="1:8" ht="20.5" x14ac:dyDescent="0.35">
      <c r="A342" s="11"/>
      <c r="B342" s="64"/>
      <c r="C342" s="64"/>
      <c r="D342" s="64"/>
      <c r="E342" s="64"/>
      <c r="F342" s="64"/>
      <c r="G342" s="64"/>
      <c r="H342" s="7"/>
    </row>
    <row r="343" spans="1:8" ht="20.5" x14ac:dyDescent="0.35">
      <c r="A343" s="11"/>
      <c r="B343" s="64"/>
      <c r="C343" s="64"/>
      <c r="D343" s="64"/>
      <c r="E343" s="64"/>
      <c r="F343" s="64"/>
      <c r="G343" s="64"/>
      <c r="H343" s="7"/>
    </row>
    <row r="344" spans="1:8" ht="20.5" x14ac:dyDescent="0.35">
      <c r="A344" s="11"/>
      <c r="B344" s="64"/>
      <c r="C344" s="64"/>
      <c r="D344" s="64"/>
      <c r="E344" s="64"/>
      <c r="F344" s="64"/>
      <c r="G344" s="64"/>
      <c r="H344" s="7"/>
    </row>
    <row r="345" spans="1:8" ht="20.5" x14ac:dyDescent="0.35">
      <c r="A345" s="11"/>
      <c r="B345" s="64"/>
      <c r="C345" s="64"/>
      <c r="D345" s="64"/>
      <c r="E345" s="64"/>
      <c r="F345" s="64"/>
      <c r="G345" s="64"/>
      <c r="H345" s="7"/>
    </row>
    <row r="346" spans="1:8" ht="20.5" x14ac:dyDescent="0.35">
      <c r="A346" s="11"/>
      <c r="B346" s="64"/>
      <c r="C346" s="64"/>
      <c r="D346" s="64"/>
      <c r="E346" s="64"/>
      <c r="F346" s="64"/>
      <c r="G346" s="64"/>
      <c r="H346" s="7"/>
    </row>
    <row r="347" spans="1:8" ht="20.5" x14ac:dyDescent="0.35">
      <c r="A347" s="11"/>
      <c r="B347" s="64"/>
      <c r="C347" s="64"/>
      <c r="D347" s="64"/>
      <c r="E347" s="64"/>
      <c r="F347" s="64"/>
      <c r="G347" s="64"/>
      <c r="H347" s="7"/>
    </row>
    <row r="348" spans="1:8" ht="20.5" x14ac:dyDescent="0.35">
      <c r="A348" s="11"/>
      <c r="B348" s="64"/>
      <c r="C348" s="64"/>
      <c r="D348" s="64"/>
      <c r="E348" s="64"/>
      <c r="F348" s="64"/>
      <c r="G348" s="64"/>
      <c r="H348" s="7"/>
    </row>
    <row r="349" spans="1:8" ht="20.5" x14ac:dyDescent="0.35">
      <c r="A349" s="11"/>
      <c r="B349" s="64"/>
      <c r="C349" s="64"/>
      <c r="D349" s="64"/>
      <c r="E349" s="64"/>
      <c r="F349" s="64"/>
      <c r="G349" s="64"/>
      <c r="H349" s="7"/>
    </row>
    <row r="350" spans="1:8" ht="20.5" x14ac:dyDescent="0.35">
      <c r="A350" s="11"/>
      <c r="B350" s="64"/>
      <c r="C350" s="64"/>
      <c r="D350" s="64"/>
      <c r="E350" s="64"/>
      <c r="F350" s="64"/>
      <c r="G350" s="64"/>
      <c r="H350" s="7"/>
    </row>
    <row r="351" spans="1:8" ht="20.5" x14ac:dyDescent="0.35">
      <c r="A351" s="11"/>
      <c r="B351" s="64"/>
      <c r="C351" s="64"/>
      <c r="D351" s="64"/>
      <c r="E351" s="64"/>
      <c r="F351" s="64"/>
      <c r="G351" s="64"/>
      <c r="H351" s="7"/>
    </row>
    <row r="352" spans="1:8" ht="20.5" x14ac:dyDescent="0.35">
      <c r="A352" s="11"/>
      <c r="B352" s="64"/>
      <c r="C352" s="64"/>
      <c r="D352" s="64"/>
      <c r="E352" s="64"/>
      <c r="F352" s="64"/>
      <c r="G352" s="64"/>
      <c r="H352" s="7"/>
    </row>
    <row r="353" spans="1:11" ht="20.5" hidden="1" x14ac:dyDescent="0.35">
      <c r="A353" s="11"/>
      <c r="B353" s="64"/>
      <c r="C353" s="64"/>
      <c r="D353" s="64"/>
      <c r="E353" s="64"/>
      <c r="F353" s="64"/>
      <c r="G353" s="64"/>
      <c r="H353" s="7"/>
    </row>
    <row r="354" spans="1:11" ht="20.5" hidden="1" x14ac:dyDescent="0.35">
      <c r="A354" s="11"/>
      <c r="B354" s="64"/>
      <c r="C354" s="64"/>
      <c r="D354" s="64"/>
      <c r="E354" s="64"/>
      <c r="F354" s="64"/>
      <c r="G354" s="64"/>
      <c r="H354" s="7"/>
    </row>
    <row r="355" spans="1:11" ht="20.5" hidden="1" x14ac:dyDescent="0.35">
      <c r="A355" s="11"/>
      <c r="B355" s="64"/>
      <c r="C355" s="64"/>
      <c r="D355" s="64"/>
      <c r="E355" s="64"/>
      <c r="F355" s="64"/>
      <c r="G355" s="64"/>
      <c r="H355" s="7"/>
    </row>
    <row r="356" spans="1:11" ht="20.5" hidden="1" x14ac:dyDescent="0.35">
      <c r="A356" s="11"/>
      <c r="B356" s="64"/>
      <c r="C356" s="64"/>
      <c r="D356" s="64"/>
      <c r="E356" s="64"/>
      <c r="F356" s="64"/>
      <c r="G356" s="64"/>
      <c r="H356" s="7"/>
    </row>
    <row r="357" spans="1:11" ht="20.5" hidden="1" x14ac:dyDescent="0.35">
      <c r="A357" s="11"/>
      <c r="B357" s="64"/>
      <c r="C357" s="64"/>
      <c r="D357" s="64"/>
      <c r="E357" s="64"/>
      <c r="F357" s="64"/>
      <c r="G357" s="64"/>
      <c r="H357" s="7"/>
    </row>
    <row r="358" spans="1:11" ht="20.5" hidden="1" x14ac:dyDescent="0.35">
      <c r="A358" s="11"/>
      <c r="B358" s="64"/>
      <c r="C358" s="64"/>
      <c r="D358" s="64"/>
      <c r="E358" s="64"/>
      <c r="F358" s="64"/>
      <c r="G358" s="64"/>
      <c r="H358" s="7"/>
    </row>
    <row r="359" spans="1:11" ht="20.5" hidden="1" x14ac:dyDescent="0.35">
      <c r="A359" s="11"/>
      <c r="B359" s="64"/>
      <c r="C359" s="64"/>
      <c r="D359" s="64"/>
      <c r="E359" s="64"/>
      <c r="F359" s="64"/>
      <c r="G359" s="64"/>
      <c r="H359" s="7"/>
    </row>
    <row r="360" spans="1:11" ht="20.5" hidden="1" x14ac:dyDescent="0.35">
      <c r="A360" s="11"/>
      <c r="B360" s="64"/>
      <c r="C360" s="64"/>
      <c r="D360" s="64"/>
      <c r="E360" s="64"/>
      <c r="F360" s="64"/>
      <c r="G360" s="64"/>
      <c r="H360" s="7"/>
    </row>
    <row r="361" spans="1:11" ht="20.5" hidden="1" x14ac:dyDescent="0.35">
      <c r="A361" s="11"/>
      <c r="B361" s="64"/>
      <c r="C361" s="64"/>
      <c r="D361" s="64"/>
      <c r="E361" s="64"/>
      <c r="F361" s="64"/>
      <c r="G361" s="64"/>
      <c r="H361" s="7"/>
    </row>
    <row r="362" spans="1:11" ht="20.5" hidden="1" x14ac:dyDescent="0.35">
      <c r="A362" s="11"/>
      <c r="B362" s="64"/>
      <c r="C362" s="64"/>
      <c r="D362" s="64"/>
      <c r="E362" s="64"/>
      <c r="F362" s="64"/>
      <c r="G362" s="64"/>
      <c r="H362" s="7"/>
    </row>
    <row r="363" spans="1:11" ht="20.5" x14ac:dyDescent="0.35">
      <c r="A363" s="94" t="s">
        <v>24</v>
      </c>
      <c r="B363" s="94"/>
      <c r="C363" s="94"/>
      <c r="D363" s="94"/>
      <c r="E363" s="94"/>
      <c r="F363" s="94"/>
      <c r="G363" s="94"/>
      <c r="H363" s="94"/>
    </row>
    <row r="364" spans="1:11" ht="20.5" x14ac:dyDescent="0.35">
      <c r="A364" s="125" t="s">
        <v>78</v>
      </c>
      <c r="B364" s="126"/>
      <c r="C364" s="126"/>
      <c r="D364" s="126"/>
      <c r="E364" s="126"/>
      <c r="F364" s="126"/>
      <c r="G364" s="126"/>
      <c r="H364" s="127"/>
    </row>
    <row r="365" spans="1:11" ht="20.5" x14ac:dyDescent="0.35">
      <c r="A365" s="128" t="s">
        <v>79</v>
      </c>
      <c r="B365" s="187"/>
      <c r="C365" s="187"/>
      <c r="D365" s="187"/>
      <c r="E365" s="187"/>
      <c r="F365" s="187"/>
      <c r="G365" s="187"/>
      <c r="H365" s="129"/>
    </row>
    <row r="366" spans="1:11" ht="45" customHeight="1" x14ac:dyDescent="0.35">
      <c r="A366" s="128" t="s">
        <v>80</v>
      </c>
      <c r="B366" s="187"/>
      <c r="C366" s="187"/>
      <c r="D366" s="187"/>
      <c r="E366" s="187"/>
      <c r="F366" s="187"/>
      <c r="G366" s="187"/>
      <c r="H366" s="129"/>
    </row>
    <row r="367" spans="1:11" ht="42.75" customHeight="1" x14ac:dyDescent="0.35">
      <c r="A367" s="128" t="s">
        <v>81</v>
      </c>
      <c r="B367" s="187"/>
      <c r="C367" s="187"/>
      <c r="D367" s="187"/>
      <c r="E367" s="187"/>
      <c r="F367" s="187"/>
      <c r="G367" s="187"/>
      <c r="H367" s="129"/>
      <c r="K367" s="4"/>
    </row>
    <row r="368" spans="1:11" ht="20.5" x14ac:dyDescent="0.35">
      <c r="A368" s="128" t="s">
        <v>82</v>
      </c>
      <c r="B368" s="187"/>
      <c r="C368" s="187"/>
      <c r="D368" s="187"/>
      <c r="E368" s="187"/>
      <c r="F368" s="187"/>
      <c r="G368" s="187"/>
      <c r="H368" s="129"/>
    </row>
    <row r="369" spans="1:8" ht="20.5" x14ac:dyDescent="0.35">
      <c r="A369" s="128" t="s">
        <v>83</v>
      </c>
      <c r="B369" s="187"/>
      <c r="C369" s="187"/>
      <c r="D369" s="187"/>
      <c r="E369" s="187"/>
      <c r="F369" s="187"/>
      <c r="G369" s="187"/>
      <c r="H369" s="129"/>
    </row>
    <row r="370" spans="1:8" ht="45" hidden="1" customHeight="1" x14ac:dyDescent="0.35">
      <c r="A370" s="128" t="s">
        <v>84</v>
      </c>
      <c r="B370" s="187"/>
      <c r="C370" s="187"/>
      <c r="D370" s="187"/>
      <c r="E370" s="187"/>
      <c r="F370" s="187"/>
      <c r="G370" s="187"/>
      <c r="H370" s="129"/>
    </row>
    <row r="371" spans="1:8" ht="45" hidden="1" customHeight="1" x14ac:dyDescent="0.35">
      <c r="A371" s="128" t="s">
        <v>85</v>
      </c>
      <c r="B371" s="187"/>
      <c r="C371" s="187"/>
      <c r="D371" s="187"/>
      <c r="E371" s="187"/>
      <c r="F371" s="187"/>
      <c r="G371" s="187"/>
      <c r="H371" s="129"/>
    </row>
    <row r="372" spans="1:8" ht="20.5" x14ac:dyDescent="0.35">
      <c r="A372" s="130" t="s">
        <v>86</v>
      </c>
      <c r="B372" s="131"/>
      <c r="C372" s="131"/>
      <c r="D372" s="131"/>
      <c r="E372" s="131"/>
      <c r="F372" s="131"/>
      <c r="G372" s="131"/>
      <c r="H372" s="132"/>
    </row>
    <row r="373" spans="1:8" ht="57" customHeight="1" x14ac:dyDescent="0.35">
      <c r="A373" s="111" t="s">
        <v>30</v>
      </c>
      <c r="B373" s="112"/>
      <c r="C373" s="113" t="s">
        <v>303</v>
      </c>
      <c r="D373" s="114"/>
      <c r="E373" s="111" t="s">
        <v>9</v>
      </c>
      <c r="F373" s="112"/>
      <c r="G373" s="91"/>
      <c r="H373" s="91"/>
    </row>
  </sheetData>
  <mergeCells count="388">
    <mergeCell ref="A58:H58"/>
    <mergeCell ref="A59:C60"/>
    <mergeCell ref="E59:F59"/>
    <mergeCell ref="E60:F60"/>
    <mergeCell ref="A61:B61"/>
    <mergeCell ref="E61:F61"/>
    <mergeCell ref="A62:B62"/>
    <mergeCell ref="E62:F73"/>
    <mergeCell ref="G62:H73"/>
    <mergeCell ref="A63:B63"/>
    <mergeCell ref="A64:B64"/>
    <mergeCell ref="A65:B65"/>
    <mergeCell ref="A66:B66"/>
    <mergeCell ref="A67:B67"/>
    <mergeCell ref="A68:B68"/>
    <mergeCell ref="A69:B69"/>
    <mergeCell ref="A70:B70"/>
    <mergeCell ref="A71:B71"/>
    <mergeCell ref="A72:B72"/>
    <mergeCell ref="A73:B73"/>
    <mergeCell ref="G112:H112"/>
    <mergeCell ref="A109:B109"/>
    <mergeCell ref="A167:B167"/>
    <mergeCell ref="A168:B168"/>
    <mergeCell ref="A169:B169"/>
    <mergeCell ref="A170:B170"/>
    <mergeCell ref="D168:H168"/>
    <mergeCell ref="A145:B145"/>
    <mergeCell ref="A146:B146"/>
    <mergeCell ref="C145:G146"/>
    <mergeCell ref="A151:B151"/>
    <mergeCell ref="A152:B152"/>
    <mergeCell ref="C151:G152"/>
    <mergeCell ref="A158:B158"/>
    <mergeCell ref="A159:B159"/>
    <mergeCell ref="A160:B160"/>
    <mergeCell ref="A161:B161"/>
    <mergeCell ref="A162:H162"/>
    <mergeCell ref="A163:B163"/>
    <mergeCell ref="A164:B164"/>
    <mergeCell ref="A165:B165"/>
    <mergeCell ref="A166:B166"/>
    <mergeCell ref="A100:B100"/>
    <mergeCell ref="A101:B101"/>
    <mergeCell ref="A102:B102"/>
    <mergeCell ref="A103:B103"/>
    <mergeCell ref="A104:B104"/>
    <mergeCell ref="A105:B105"/>
    <mergeCell ref="A94:B94"/>
    <mergeCell ref="E94:F105"/>
    <mergeCell ref="A128:H128"/>
    <mergeCell ref="A126:H126"/>
    <mergeCell ref="A127:H127"/>
    <mergeCell ref="A108:B108"/>
    <mergeCell ref="C108:D108"/>
    <mergeCell ref="C109:D109"/>
    <mergeCell ref="C110:D110"/>
    <mergeCell ref="E110:F110"/>
    <mergeCell ref="A112:F112"/>
    <mergeCell ref="A113:F113"/>
    <mergeCell ref="A114:F114"/>
    <mergeCell ref="A119:H119"/>
    <mergeCell ref="A121:B121"/>
    <mergeCell ref="G121:H121"/>
    <mergeCell ref="G122:H122"/>
    <mergeCell ref="A122:B122"/>
    <mergeCell ref="C53:H53"/>
    <mergeCell ref="A50:B50"/>
    <mergeCell ref="C50:F50"/>
    <mergeCell ref="A120:B120"/>
    <mergeCell ref="E120:F120"/>
    <mergeCell ref="G120:H120"/>
    <mergeCell ref="E77:F77"/>
    <mergeCell ref="A78:B78"/>
    <mergeCell ref="A90:H90"/>
    <mergeCell ref="A91:C92"/>
    <mergeCell ref="E91:F91"/>
    <mergeCell ref="E92:F92"/>
    <mergeCell ref="A93:B93"/>
    <mergeCell ref="E93:F93"/>
    <mergeCell ref="G94:H105"/>
    <mergeCell ref="A95:B95"/>
    <mergeCell ref="A96:B96"/>
    <mergeCell ref="A97:B97"/>
    <mergeCell ref="A98:B98"/>
    <mergeCell ref="A99:B99"/>
    <mergeCell ref="C56:F56"/>
    <mergeCell ref="A54:B54"/>
    <mergeCell ref="A55:B55"/>
    <mergeCell ref="C52:F52"/>
    <mergeCell ref="A34:B34"/>
    <mergeCell ref="A35:B35"/>
    <mergeCell ref="A36:B36"/>
    <mergeCell ref="C34:D34"/>
    <mergeCell ref="C35:D35"/>
    <mergeCell ref="C36:D36"/>
    <mergeCell ref="G34:H34"/>
    <mergeCell ref="J38:K38"/>
    <mergeCell ref="M38:N38"/>
    <mergeCell ref="C38:E38"/>
    <mergeCell ref="F38:H38"/>
    <mergeCell ref="A31:B31"/>
    <mergeCell ref="A32:B32"/>
    <mergeCell ref="E26:F26"/>
    <mergeCell ref="E27:F27"/>
    <mergeCell ref="E28:F28"/>
    <mergeCell ref="E29:F29"/>
    <mergeCell ref="E30:F30"/>
    <mergeCell ref="E31:F31"/>
    <mergeCell ref="C28:D28"/>
    <mergeCell ref="C29:D29"/>
    <mergeCell ref="C30:D30"/>
    <mergeCell ref="C31:D31"/>
    <mergeCell ref="C32:H32"/>
    <mergeCell ref="A26:B26"/>
    <mergeCell ref="A27:B27"/>
    <mergeCell ref="A28:B28"/>
    <mergeCell ref="A29:B29"/>
    <mergeCell ref="A30:B30"/>
    <mergeCell ref="A14:B14"/>
    <mergeCell ref="A15:B15"/>
    <mergeCell ref="A16:B16"/>
    <mergeCell ref="A17:B17"/>
    <mergeCell ref="A18:B18"/>
    <mergeCell ref="A19:B19"/>
    <mergeCell ref="A20:B20"/>
    <mergeCell ref="A21:B21"/>
    <mergeCell ref="A22:B22"/>
    <mergeCell ref="E15:F15"/>
    <mergeCell ref="E16:F16"/>
    <mergeCell ref="E17:F17"/>
    <mergeCell ref="E18:F18"/>
    <mergeCell ref="E19:F19"/>
    <mergeCell ref="E20:F20"/>
    <mergeCell ref="E21:F21"/>
    <mergeCell ref="E22:F22"/>
    <mergeCell ref="C14:D14"/>
    <mergeCell ref="C15:D15"/>
    <mergeCell ref="C16:D16"/>
    <mergeCell ref="C17:D17"/>
    <mergeCell ref="C18:D18"/>
    <mergeCell ref="C19:D19"/>
    <mergeCell ref="C20:D20"/>
    <mergeCell ref="C21:D21"/>
    <mergeCell ref="C22:D22"/>
    <mergeCell ref="E14:F14"/>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E3:F3"/>
    <mergeCell ref="E4:F4"/>
    <mergeCell ref="E78:F89"/>
    <mergeCell ref="G78:H89"/>
    <mergeCell ref="A79:B79"/>
    <mergeCell ref="A80:B80"/>
    <mergeCell ref="A81:B81"/>
    <mergeCell ref="A82:B82"/>
    <mergeCell ref="A83:B83"/>
    <mergeCell ref="A84:B84"/>
    <mergeCell ref="A85:B85"/>
    <mergeCell ref="A86:B86"/>
    <mergeCell ref="A87:B87"/>
    <mergeCell ref="A88:B88"/>
    <mergeCell ref="A89:B89"/>
    <mergeCell ref="C27:D27"/>
    <mergeCell ref="G14:H14"/>
    <mergeCell ref="G16:H16"/>
    <mergeCell ref="G17:H17"/>
    <mergeCell ref="G15:H15"/>
    <mergeCell ref="G18:H18"/>
    <mergeCell ref="G19:H19"/>
    <mergeCell ref="G46:H46"/>
    <mergeCell ref="G31:H31"/>
    <mergeCell ref="A197:B197"/>
    <mergeCell ref="B215:H215"/>
    <mergeCell ref="B209:H209"/>
    <mergeCell ref="B208:H208"/>
    <mergeCell ref="B212:H212"/>
    <mergeCell ref="B211:H211"/>
    <mergeCell ref="B210:H210"/>
    <mergeCell ref="B213:H213"/>
    <mergeCell ref="A194:B194"/>
    <mergeCell ref="A195:B195"/>
    <mergeCell ref="A196:B196"/>
    <mergeCell ref="A205:B205"/>
    <mergeCell ref="A206:B206"/>
    <mergeCell ref="A202:B202"/>
    <mergeCell ref="A203:B203"/>
    <mergeCell ref="A204:B204"/>
    <mergeCell ref="A198:H198"/>
    <mergeCell ref="A199:B199"/>
    <mergeCell ref="A200:B200"/>
    <mergeCell ref="A201:B201"/>
    <mergeCell ref="B214:H214"/>
    <mergeCell ref="A188:B188"/>
    <mergeCell ref="A183:B183"/>
    <mergeCell ref="A189:H189"/>
    <mergeCell ref="A190:B190"/>
    <mergeCell ref="A182:B182"/>
    <mergeCell ref="A180:H180"/>
    <mergeCell ref="A181:B181"/>
    <mergeCell ref="E123:F123"/>
    <mergeCell ref="C122:D122"/>
    <mergeCell ref="A171:H171"/>
    <mergeCell ref="A123:B123"/>
    <mergeCell ref="G123:H123"/>
    <mergeCell ref="A174:B174"/>
    <mergeCell ref="A175:B175"/>
    <mergeCell ref="A129:H129"/>
    <mergeCell ref="A130:B130"/>
    <mergeCell ref="A131:B131"/>
    <mergeCell ref="A132:B132"/>
    <mergeCell ref="A133:B133"/>
    <mergeCell ref="A134:B134"/>
    <mergeCell ref="A144:H144"/>
    <mergeCell ref="A147:B147"/>
    <mergeCell ref="A148:B148"/>
    <mergeCell ref="A149:B149"/>
    <mergeCell ref="A186:B186"/>
    <mergeCell ref="A184:B184"/>
    <mergeCell ref="E122:F122"/>
    <mergeCell ref="E121:F121"/>
    <mergeCell ref="C120:D120"/>
    <mergeCell ref="C121:D121"/>
    <mergeCell ref="C123:D123"/>
    <mergeCell ref="A185:B185"/>
    <mergeCell ref="A187:B187"/>
    <mergeCell ref="A150:B150"/>
    <mergeCell ref="A135:B135"/>
    <mergeCell ref="A136:B136"/>
    <mergeCell ref="A137:B137"/>
    <mergeCell ref="A138:B138"/>
    <mergeCell ref="A139:B139"/>
    <mergeCell ref="A140:B140"/>
    <mergeCell ref="A141:B141"/>
    <mergeCell ref="A142:B142"/>
    <mergeCell ref="A143:H143"/>
    <mergeCell ref="A153:H153"/>
    <mergeCell ref="A154:B154"/>
    <mergeCell ref="A155:B155"/>
    <mergeCell ref="A156:B156"/>
    <mergeCell ref="A157:B157"/>
    <mergeCell ref="G22:H22"/>
    <mergeCell ref="G29:H29"/>
    <mergeCell ref="F42:H42"/>
    <mergeCell ref="C43:H43"/>
    <mergeCell ref="E34:F34"/>
    <mergeCell ref="E35:F35"/>
    <mergeCell ref="E36:F36"/>
    <mergeCell ref="C39:E39"/>
    <mergeCell ref="F39:H39"/>
    <mergeCell ref="F40:H40"/>
    <mergeCell ref="C40:E40"/>
    <mergeCell ref="C41:E41"/>
    <mergeCell ref="F41:H41"/>
    <mergeCell ref="G36:H36"/>
    <mergeCell ref="G35:H35"/>
    <mergeCell ref="C24:H24"/>
    <mergeCell ref="A43:B43"/>
    <mergeCell ref="A38:B38"/>
    <mergeCell ref="A42:B42"/>
    <mergeCell ref="C42:E42"/>
    <mergeCell ref="A41:B41"/>
    <mergeCell ref="A39:B39"/>
    <mergeCell ref="A40:B40"/>
    <mergeCell ref="A48:B48"/>
    <mergeCell ref="A51:B51"/>
    <mergeCell ref="A49:B49"/>
    <mergeCell ref="C48:H48"/>
    <mergeCell ref="C49:F49"/>
    <mergeCell ref="C51:F51"/>
    <mergeCell ref="A52:B53"/>
    <mergeCell ref="A23:B23"/>
    <mergeCell ref="A24:B24"/>
    <mergeCell ref="A173:B173"/>
    <mergeCell ref="G373:H373"/>
    <mergeCell ref="A216:H216"/>
    <mergeCell ref="D218:H218"/>
    <mergeCell ref="A364:H364"/>
    <mergeCell ref="A370:H370"/>
    <mergeCell ref="A371:H371"/>
    <mergeCell ref="A372:H372"/>
    <mergeCell ref="A365:H365"/>
    <mergeCell ref="A366:H366"/>
    <mergeCell ref="A367:H367"/>
    <mergeCell ref="A368:H368"/>
    <mergeCell ref="A218:C218"/>
    <mergeCell ref="A363:H363"/>
    <mergeCell ref="A369:H369"/>
    <mergeCell ref="A319:H319"/>
    <mergeCell ref="D217:H217"/>
    <mergeCell ref="A219:C219"/>
    <mergeCell ref="D219:H219"/>
    <mergeCell ref="A267:H267"/>
    <mergeCell ref="E373:F373"/>
    <mergeCell ref="A373:B373"/>
    <mergeCell ref="C373:D373"/>
    <mergeCell ref="A193:B193"/>
    <mergeCell ref="A77:B77"/>
    <mergeCell ref="A1:H1"/>
    <mergeCell ref="A217:C217"/>
    <mergeCell ref="G27:H27"/>
    <mergeCell ref="G28:H28"/>
    <mergeCell ref="A37:H37"/>
    <mergeCell ref="A44:H44"/>
    <mergeCell ref="A47:H47"/>
    <mergeCell ref="A115:H115"/>
    <mergeCell ref="G113:H113"/>
    <mergeCell ref="G7:H7"/>
    <mergeCell ref="G45:H45"/>
    <mergeCell ref="A25:H25"/>
    <mergeCell ref="G26:H26"/>
    <mergeCell ref="G20:H20"/>
    <mergeCell ref="G21:H21"/>
    <mergeCell ref="A9:A11"/>
    <mergeCell ref="G6:H6"/>
    <mergeCell ref="A5:H5"/>
    <mergeCell ref="A33:H33"/>
    <mergeCell ref="G30:H30"/>
    <mergeCell ref="A13:H13"/>
    <mergeCell ref="C26:D26"/>
    <mergeCell ref="C57:F57"/>
    <mergeCell ref="A176:B176"/>
    <mergeCell ref="A74:H74"/>
    <mergeCell ref="A75:C76"/>
    <mergeCell ref="E75:F75"/>
    <mergeCell ref="A207:H207"/>
    <mergeCell ref="A107:H107"/>
    <mergeCell ref="G108:H108"/>
    <mergeCell ref="A177:B177"/>
    <mergeCell ref="A178:B178"/>
    <mergeCell ref="A179:B179"/>
    <mergeCell ref="A172:B172"/>
    <mergeCell ref="G110:H110"/>
    <mergeCell ref="G114:H114"/>
    <mergeCell ref="A111:H111"/>
    <mergeCell ref="E108:F108"/>
    <mergeCell ref="G106:H106"/>
    <mergeCell ref="A110:B110"/>
    <mergeCell ref="E109:F109"/>
    <mergeCell ref="G109:H109"/>
    <mergeCell ref="A191:B191"/>
    <mergeCell ref="A192:B192"/>
    <mergeCell ref="E76:F76"/>
    <mergeCell ref="C23:H23"/>
    <mergeCell ref="A124:H124"/>
    <mergeCell ref="E116:F116"/>
    <mergeCell ref="E117:F117"/>
    <mergeCell ref="E118:F118"/>
    <mergeCell ref="A116:B116"/>
    <mergeCell ref="A117:B117"/>
    <mergeCell ref="C116:D116"/>
    <mergeCell ref="A118:B118"/>
    <mergeCell ref="C117:D117"/>
    <mergeCell ref="G116:H116"/>
    <mergeCell ref="G117:H117"/>
    <mergeCell ref="G118:H118"/>
    <mergeCell ref="C118:D118"/>
    <mergeCell ref="A106:F106"/>
    <mergeCell ref="A45:B45"/>
    <mergeCell ref="A46:B46"/>
    <mergeCell ref="D46:F46"/>
    <mergeCell ref="D45:F45"/>
    <mergeCell ref="A56:B56"/>
    <mergeCell ref="A57:B57"/>
    <mergeCell ref="C54:F54"/>
    <mergeCell ref="C55:F55"/>
  </mergeCells>
  <dataValidations count="7">
    <dataValidation type="list" allowBlank="1" showInputMessage="1" showErrorMessage="1" sqref="G6:H6">
      <formula1>"Mr.Rushil Sanghvi,Mr.Fahad Quershi,Mr.Vaibhav Gite,Miss Ankita Mohite"</formula1>
    </dataValidation>
    <dataValidation type="list" allowBlank="1" showInputMessage="1" showErrorMessage="1" sqref="G26:H26">
      <formula1>"Middle,Upper"</formula1>
    </dataValidation>
    <dataValidation type="list" allowBlank="1" showInputMessage="1" showErrorMessage="1" sqref="C110">
      <formula1>"300000,350000,400000,500000,600000,700000,800000,900000,1000000,1200000,1400000,1500000,1600000"</formula1>
    </dataValidation>
    <dataValidation type="list" allowBlank="1" showInputMessage="1" showErrorMessage="1" sqref="F125">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48:H48 G35:H35">
      <formula1>"Yes,No"</formula1>
    </dataValidation>
    <dataValidation type="list" allowBlank="1" showInputMessage="1" showErrorMessage="1" sqref="C125">
      <formula1>"Sale /         Rehab /           PAP,Sale / Mhada,Sale / Landowner"</formula1>
    </dataValidation>
  </dataValidations>
  <hyperlinks>
    <hyperlink ref="C23" r:id="rId1"/>
  </hyperlinks>
  <printOptions horizontalCentered="1"/>
  <pageMargins left="0.27559055118110237" right="0.27559055118110237" top="0.70866141732283472" bottom="0.47244094488188981" header="0.15748031496062992" footer="0.15748031496062992"/>
  <pageSetup paperSize="9" scale="69" fitToHeight="0" orientation="portrait" r:id="rId2"/>
  <headerFooter>
    <oddHeader>&amp;C&amp;25&amp;G</oddHeader>
    <oddFooter>&amp;L&amp;"Times New Roman,Bold"&amp;16Ref No: &amp;F&amp;R&amp;"Times New Roman,Bold"&amp;16&amp;P</oddFooter>
  </headerFooter>
  <rowBreaks count="3" manualBreakCount="3">
    <brk id="215" max="8" man="1"/>
    <brk id="266" max="16383" man="1"/>
    <brk id="318"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22:R24"/>
  <sheetViews>
    <sheetView topLeftCell="A11" zoomScale="70" zoomScaleNormal="70" workbookViewId="0">
      <selection activeCell="N38" sqref="N38"/>
    </sheetView>
  </sheetViews>
  <sheetFormatPr defaultRowHeight="14.5" x14ac:dyDescent="0.35"/>
  <cols>
    <col min="18" max="18" width="26.7265625" customWidth="1"/>
  </cols>
  <sheetData>
    <row r="22" spans="18:18" x14ac:dyDescent="0.35">
      <c r="R22">
        <f>13300/10.764</f>
        <v>1235.6001486436269</v>
      </c>
    </row>
    <row r="24" spans="18:18" x14ac:dyDescent="0.35">
      <c r="R24">
        <f>44500/10.764</f>
        <v>4134.1508732813081</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topLeftCell="A19" zoomScale="70" zoomScaleNormal="70" workbookViewId="0">
      <selection activeCell="C29" sqref="C29"/>
    </sheetView>
  </sheetViews>
  <sheetFormatPr defaultRowHeight="14.5" x14ac:dyDescent="0.35"/>
  <cols>
    <col min="1" max="1" width="23" customWidth="1"/>
    <col min="2" max="2" width="25.7265625" customWidth="1"/>
    <col min="3" max="3" width="17.7265625" customWidth="1"/>
    <col min="4" max="4" width="16" bestFit="1" customWidth="1"/>
    <col min="5" max="9" width="25.7265625" customWidth="1"/>
  </cols>
  <sheetData>
    <row r="3" spans="1:11" s="1" customFormat="1" ht="21" thickBot="1" x14ac:dyDescent="0.4">
      <c r="A3" s="94" t="s">
        <v>69</v>
      </c>
      <c r="B3" s="94"/>
      <c r="C3" s="94"/>
      <c r="D3" s="94"/>
      <c r="E3" s="94"/>
      <c r="F3" s="94"/>
      <c r="G3" s="94"/>
      <c r="H3" s="94"/>
      <c r="I3" s="94"/>
    </row>
    <row r="4" spans="1:11" s="1" customFormat="1" ht="20.25" customHeight="1" x14ac:dyDescent="0.45">
      <c r="A4" s="185">
        <v>1</v>
      </c>
      <c r="B4" s="185"/>
      <c r="C4" s="185"/>
      <c r="D4" s="186" t="s">
        <v>4</v>
      </c>
      <c r="E4" s="32" t="s">
        <v>118</v>
      </c>
      <c r="F4" s="77" t="s">
        <v>105</v>
      </c>
      <c r="G4" s="77"/>
      <c r="H4" s="32" t="s">
        <v>119</v>
      </c>
      <c r="I4" s="32" t="s">
        <v>120</v>
      </c>
      <c r="J4" s="14"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6"/>
    </row>
    <row r="5" spans="1:11" s="1" customFormat="1" ht="20.5" x14ac:dyDescent="0.45">
      <c r="A5" s="185"/>
      <c r="B5" s="185"/>
      <c r="C5" s="185"/>
      <c r="D5" s="186"/>
      <c r="E5" s="32">
        <v>3</v>
      </c>
      <c r="F5" s="77">
        <v>1</v>
      </c>
      <c r="G5" s="77"/>
      <c r="H5" s="32">
        <v>0</v>
      </c>
      <c r="I5" s="32">
        <f ca="1">--TRIM(RIGHT(SUBSTITUTE(LEFT(A4,_xlfn.AGGREGATE(16,6,FIND({0,1,2,3,4,5,6,7,8,9},A4,ROW(INDIRECT("1:"&amp;LEN(A4)))),1))," ",REPT(" ",LEN(A4))),LEN(A4)))</f>
        <v>1</v>
      </c>
      <c r="J5" s="15" t="s">
        <v>124</v>
      </c>
      <c r="K5" s="16"/>
    </row>
    <row r="6" spans="1:11" s="1" customFormat="1" ht="20.25" customHeight="1" x14ac:dyDescent="0.45">
      <c r="A6" s="115" t="s">
        <v>122</v>
      </c>
      <c r="B6" s="115"/>
      <c r="C6" s="115" t="s">
        <v>136</v>
      </c>
      <c r="D6" s="115"/>
      <c r="E6" s="33" t="s">
        <v>137</v>
      </c>
      <c r="F6" s="115" t="s">
        <v>123</v>
      </c>
      <c r="G6" s="115"/>
      <c r="H6" s="26" t="s">
        <v>121</v>
      </c>
      <c r="I6" s="26"/>
      <c r="J6" s="18" t="s">
        <v>138</v>
      </c>
      <c r="K6" s="17">
        <f ca="1">I5*25%</f>
        <v>0.25</v>
      </c>
    </row>
    <row r="7" spans="1:11" s="1" customFormat="1" ht="20.25" customHeight="1" x14ac:dyDescent="0.45">
      <c r="A7" s="147" t="s">
        <v>139</v>
      </c>
      <c r="B7" s="147"/>
      <c r="C7" s="77">
        <f ca="1">K8</f>
        <v>1</v>
      </c>
      <c r="D7" s="77"/>
      <c r="E7" s="31">
        <f ca="1">((100/I5)*C7)/100</f>
        <v>1</v>
      </c>
      <c r="F7" s="147">
        <f ca="1">(((C7/I5*10)+(C8/I5*25)+(25/(F5+H5+I5)*C9)+(5/(I5)*C10)+(2.5/(I5)*C11)+(2.5/(I5)*C12)+(5/I5*C13)+(2.5/I5*C14)+(2.5/I5*C15)+(5/I5*C16)+(10/I5*C17)+(5/I5*C18))/100)</f>
        <v>0.35</v>
      </c>
      <c r="G7" s="147"/>
      <c r="H7" s="147" t="str">
        <f ca="1">J4</f>
        <v>Excavation work Completed. Plinth work completed</v>
      </c>
      <c r="I7" s="147"/>
      <c r="J7" s="18" t="s">
        <v>125</v>
      </c>
      <c r="K7" s="22">
        <f ca="1">I5*50%</f>
        <v>0.5</v>
      </c>
    </row>
    <row r="8" spans="1:11" s="1" customFormat="1" ht="20.5" x14ac:dyDescent="0.45">
      <c r="A8" s="147" t="s">
        <v>106</v>
      </c>
      <c r="B8" s="147"/>
      <c r="C8" s="184">
        <f ca="1">K16</f>
        <v>1</v>
      </c>
      <c r="D8" s="77"/>
      <c r="E8" s="31">
        <f ca="1">((100/I5)*C8)/100</f>
        <v>1</v>
      </c>
      <c r="F8" s="147"/>
      <c r="G8" s="147"/>
      <c r="H8" s="147"/>
      <c r="I8" s="147"/>
      <c r="J8" s="18" t="s">
        <v>126</v>
      </c>
      <c r="K8" s="22">
        <f ca="1">I5</f>
        <v>1</v>
      </c>
    </row>
    <row r="9" spans="1:11" s="1" customFormat="1" ht="21" customHeight="1" x14ac:dyDescent="0.5">
      <c r="A9" s="147" t="s">
        <v>140</v>
      </c>
      <c r="B9" s="147"/>
      <c r="C9" s="77">
        <v>0</v>
      </c>
      <c r="D9" s="77"/>
      <c r="E9" s="31">
        <f ca="1">((100/(F5+H5+I5))*C9)/100</f>
        <v>0</v>
      </c>
      <c r="F9" s="147"/>
      <c r="G9" s="147"/>
      <c r="H9" s="147"/>
      <c r="I9" s="147"/>
      <c r="J9" s="18" t="s">
        <v>127</v>
      </c>
      <c r="K9" s="23">
        <f ca="1">(IF(E5&gt;1,(I5/(E5+2)),I5*0.2))</f>
        <v>0.2</v>
      </c>
    </row>
    <row r="10" spans="1:11" s="1" customFormat="1" ht="21" customHeight="1" x14ac:dyDescent="0.5">
      <c r="A10" s="147" t="s">
        <v>141</v>
      </c>
      <c r="B10" s="147"/>
      <c r="C10" s="77">
        <v>0</v>
      </c>
      <c r="D10" s="77"/>
      <c r="E10" s="31">
        <f ca="1">((100/I5)*C10)/100</f>
        <v>0</v>
      </c>
      <c r="F10" s="147"/>
      <c r="G10" s="147"/>
      <c r="H10" s="147"/>
      <c r="I10" s="147"/>
      <c r="J10" s="18" t="s">
        <v>128</v>
      </c>
      <c r="K10" s="23">
        <f ca="1">(IF(E5&gt;1,(I5/(E5+2)+K9),I5*0.2+K9))</f>
        <v>0.4</v>
      </c>
    </row>
    <row r="11" spans="1:11" s="1" customFormat="1" ht="21" customHeight="1" x14ac:dyDescent="0.5">
      <c r="A11" s="148" t="s">
        <v>142</v>
      </c>
      <c r="B11" s="149"/>
      <c r="C11" s="77">
        <v>0</v>
      </c>
      <c r="D11" s="77"/>
      <c r="E11" s="31">
        <f ca="1">((100/I5)*C11)/100</f>
        <v>0</v>
      </c>
      <c r="F11" s="147"/>
      <c r="G11" s="147"/>
      <c r="H11" s="147"/>
      <c r="I11" s="147"/>
      <c r="J11" s="18" t="s">
        <v>143</v>
      </c>
      <c r="K11" s="23">
        <f ca="1">(IF(E5&gt;1,(I5/(E5+2)+K10),0))</f>
        <v>0.60000000000000009</v>
      </c>
    </row>
    <row r="12" spans="1:11" s="1" customFormat="1" ht="21" customHeight="1" x14ac:dyDescent="0.5">
      <c r="A12" s="148" t="s">
        <v>174</v>
      </c>
      <c r="B12" s="149"/>
      <c r="C12" s="77">
        <v>0</v>
      </c>
      <c r="D12" s="77"/>
      <c r="E12" s="31">
        <f ca="1">((100/I5)*C12)/100</f>
        <v>0</v>
      </c>
      <c r="F12" s="147"/>
      <c r="G12" s="147"/>
      <c r="H12" s="147"/>
      <c r="I12" s="147"/>
      <c r="J12" s="18" t="s">
        <v>144</v>
      </c>
      <c r="K12" s="23">
        <f ca="1">(IF(E5&gt;2,(I5/(E5+2)+K11),0))</f>
        <v>0.8</v>
      </c>
    </row>
    <row r="13" spans="1:11" s="1" customFormat="1" ht="57.75" customHeight="1" x14ac:dyDescent="0.5">
      <c r="A13" s="148" t="s">
        <v>171</v>
      </c>
      <c r="B13" s="149"/>
      <c r="C13" s="77">
        <v>0</v>
      </c>
      <c r="D13" s="77"/>
      <c r="E13" s="31">
        <f ca="1">((100/(I5))*C13)/100</f>
        <v>0</v>
      </c>
      <c r="F13" s="147"/>
      <c r="G13" s="147"/>
      <c r="H13" s="147"/>
      <c r="I13" s="147"/>
      <c r="J13" s="18" t="s">
        <v>146</v>
      </c>
      <c r="K13" s="24">
        <f>(IF(E5&gt;3,(I5/(E5+2)+K12),0))</f>
        <v>0</v>
      </c>
    </row>
    <row r="14" spans="1:11" s="1" customFormat="1" ht="21" x14ac:dyDescent="0.5">
      <c r="A14" s="147" t="s">
        <v>145</v>
      </c>
      <c r="B14" s="147"/>
      <c r="C14" s="77">
        <v>0</v>
      </c>
      <c r="D14" s="77"/>
      <c r="E14" s="31">
        <f ca="1">((100/(I5))*C14)/100</f>
        <v>0</v>
      </c>
      <c r="F14" s="147"/>
      <c r="G14" s="147"/>
      <c r="H14" s="147"/>
      <c r="I14" s="147"/>
      <c r="J14" s="18" t="s">
        <v>147</v>
      </c>
      <c r="K14" s="23">
        <f>(IF(E5&gt;4,(I5/(E5+2)+K13),0))</f>
        <v>0</v>
      </c>
    </row>
    <row r="15" spans="1:11" s="1" customFormat="1" ht="21" customHeight="1" x14ac:dyDescent="0.5">
      <c r="A15" s="147" t="s">
        <v>173</v>
      </c>
      <c r="B15" s="147"/>
      <c r="C15" s="77">
        <v>0</v>
      </c>
      <c r="D15" s="77"/>
      <c r="E15" s="31">
        <f ca="1">((100/I5)*C15)/100</f>
        <v>0</v>
      </c>
      <c r="F15" s="147"/>
      <c r="G15" s="147"/>
      <c r="H15" s="147"/>
      <c r="I15" s="147"/>
      <c r="J15" s="18" t="s">
        <v>129</v>
      </c>
      <c r="K15" s="23">
        <f>(IF(E5=1,(I5/(E5+3)+K10),IF(E5=0,(I5*0.3+K10),IF(E5&gt;1,0))))</f>
        <v>0</v>
      </c>
    </row>
    <row r="16" spans="1:11" s="1" customFormat="1" ht="21.5" thickBot="1" x14ac:dyDescent="0.55000000000000004">
      <c r="A16" s="147" t="s">
        <v>172</v>
      </c>
      <c r="B16" s="147"/>
      <c r="C16" s="77">
        <v>0</v>
      </c>
      <c r="D16" s="77"/>
      <c r="E16" s="31">
        <f ca="1">((100/I5)*C16)/100</f>
        <v>0</v>
      </c>
      <c r="F16" s="147"/>
      <c r="G16" s="147"/>
      <c r="H16" s="147"/>
      <c r="I16" s="147"/>
      <c r="J16" s="20" t="s">
        <v>130</v>
      </c>
      <c r="K16" s="25">
        <f ca="1">(IF(E5&gt;1.5,(I5/(E5+2)+K10+MAX(0,K11-K10)+MAX(0,K12-K11)+MAX(0,K13-K12)+MAX(0,K14-K13)+MAX(0,K15-K14)),IF(E5=1,(I5/(E5+3)+K15),IF(E5=0,I5*0.3+K15))))</f>
        <v>1</v>
      </c>
    </row>
    <row r="17" spans="1:9" s="1" customFormat="1" ht="20.5" x14ac:dyDescent="0.35">
      <c r="A17" s="147" t="s">
        <v>148</v>
      </c>
      <c r="B17" s="147"/>
      <c r="C17" s="77">
        <v>0</v>
      </c>
      <c r="D17" s="77"/>
      <c r="E17" s="31">
        <f ca="1">((100/(I5))*C17)/100</f>
        <v>0</v>
      </c>
      <c r="F17" s="147"/>
      <c r="G17" s="147"/>
      <c r="H17" s="147"/>
      <c r="I17" s="147"/>
    </row>
    <row r="18" spans="1:9" s="1" customFormat="1" ht="20.5" x14ac:dyDescent="0.35">
      <c r="A18" s="147" t="s">
        <v>149</v>
      </c>
      <c r="B18" s="147"/>
      <c r="C18" s="77">
        <v>0</v>
      </c>
      <c r="D18" s="77"/>
      <c r="E18" s="31">
        <f ca="1">((100/(I5))*C18)/100</f>
        <v>0</v>
      </c>
      <c r="F18" s="147"/>
      <c r="G18" s="147"/>
      <c r="H18" s="147"/>
      <c r="I18" s="147"/>
    </row>
    <row r="23" spans="1:9" x14ac:dyDescent="0.35">
      <c r="B23" s="183" t="s">
        <v>175</v>
      </c>
      <c r="C23" s="183"/>
      <c r="D23" s="183"/>
      <c r="E23" s="183"/>
      <c r="F23" s="183"/>
      <c r="G23" s="183"/>
    </row>
    <row r="24" spans="1:9" ht="14.5" customHeight="1" x14ac:dyDescent="0.35">
      <c r="B24" s="178" t="s">
        <v>176</v>
      </c>
      <c r="C24" s="178" t="s">
        <v>177</v>
      </c>
      <c r="D24" s="181" t="s">
        <v>178</v>
      </c>
      <c r="E24" s="182" t="s">
        <v>179</v>
      </c>
      <c r="F24" s="179" t="s">
        <v>180</v>
      </c>
      <c r="G24" s="178" t="s">
        <v>181</v>
      </c>
    </row>
    <row r="25" spans="1:9" x14ac:dyDescent="0.35">
      <c r="B25" s="178"/>
      <c r="C25" s="178"/>
      <c r="D25" s="181"/>
      <c r="E25" s="182"/>
      <c r="F25" s="179"/>
      <c r="G25" s="178"/>
    </row>
    <row r="26" spans="1:9" x14ac:dyDescent="0.35">
      <c r="B26" s="46" t="s">
        <v>182</v>
      </c>
      <c r="C26" s="47">
        <v>10</v>
      </c>
      <c r="D26" s="47">
        <v>1</v>
      </c>
      <c r="E26" s="48"/>
      <c r="F26" s="49">
        <f>((E26/D26)*0.05)*100</f>
        <v>0</v>
      </c>
      <c r="G26" s="49">
        <f t="shared" ref="G26:G37" si="0">((E26/D26)*(C26/100))*100</f>
        <v>0</v>
      </c>
    </row>
    <row r="27" spans="1:9" x14ac:dyDescent="0.35">
      <c r="B27" s="46" t="s">
        <v>183</v>
      </c>
      <c r="C27" s="48">
        <v>10</v>
      </c>
      <c r="D27" s="48">
        <v>1</v>
      </c>
      <c r="E27" s="48"/>
      <c r="F27" s="49">
        <f>((E27/D27)*0.05)*100</f>
        <v>0</v>
      </c>
      <c r="G27" s="49">
        <f t="shared" si="0"/>
        <v>0</v>
      </c>
    </row>
    <row r="28" spans="1:9" x14ac:dyDescent="0.35">
      <c r="B28" s="46" t="s">
        <v>184</v>
      </c>
      <c r="C28" s="48">
        <v>15</v>
      </c>
      <c r="D28" s="48">
        <v>1</v>
      </c>
      <c r="E28" s="48"/>
      <c r="F28" s="49">
        <f>((E28/D28)*0.15)*100</f>
        <v>0</v>
      </c>
      <c r="G28" s="49">
        <f t="shared" si="0"/>
        <v>0</v>
      </c>
    </row>
    <row r="29" spans="1:9" x14ac:dyDescent="0.35">
      <c r="B29" s="50" t="s">
        <v>185</v>
      </c>
      <c r="C29" s="48">
        <v>25</v>
      </c>
      <c r="D29" s="48">
        <v>40</v>
      </c>
      <c r="E29" s="48"/>
      <c r="F29" s="49">
        <f>((E29/D29)*0.25)*100</f>
        <v>0</v>
      </c>
      <c r="G29" s="49">
        <f t="shared" si="0"/>
        <v>0</v>
      </c>
    </row>
    <row r="30" spans="1:9" x14ac:dyDescent="0.35">
      <c r="B30" s="50" t="s">
        <v>186</v>
      </c>
      <c r="C30" s="48">
        <v>5</v>
      </c>
      <c r="D30" s="48">
        <v>39</v>
      </c>
      <c r="E30" s="48"/>
      <c r="F30" s="49">
        <f>((E30/D30)*0.05)*100</f>
        <v>0</v>
      </c>
      <c r="G30" s="49">
        <f t="shared" si="0"/>
        <v>0</v>
      </c>
    </row>
    <row r="31" spans="1:9" ht="29" x14ac:dyDescent="0.35">
      <c r="B31" s="50" t="s">
        <v>187</v>
      </c>
      <c r="C31" s="48">
        <v>2.5</v>
      </c>
      <c r="D31" s="48">
        <v>39</v>
      </c>
      <c r="E31" s="48"/>
      <c r="F31" s="49">
        <f>((E31/D31)*0.025)*100</f>
        <v>0</v>
      </c>
      <c r="G31" s="49">
        <f t="shared" si="0"/>
        <v>0</v>
      </c>
    </row>
    <row r="32" spans="1:9" ht="29" x14ac:dyDescent="0.35">
      <c r="B32" s="50" t="s">
        <v>188</v>
      </c>
      <c r="C32" s="48">
        <v>2.5</v>
      </c>
      <c r="D32" s="48">
        <v>39</v>
      </c>
      <c r="E32" s="48"/>
      <c r="F32" s="49">
        <f>((E32/D32)*0.025)*100</f>
        <v>0</v>
      </c>
      <c r="G32" s="49">
        <f t="shared" si="0"/>
        <v>0</v>
      </c>
    </row>
    <row r="33" spans="1:7" ht="43.5" x14ac:dyDescent="0.35">
      <c r="B33" s="51" t="s">
        <v>189</v>
      </c>
      <c r="C33" s="48">
        <v>5</v>
      </c>
      <c r="D33" s="48">
        <v>39</v>
      </c>
      <c r="E33" s="48"/>
      <c r="F33" s="49">
        <f>((E33/D33)*0.05)*100</f>
        <v>0</v>
      </c>
      <c r="G33" s="49">
        <f t="shared" si="0"/>
        <v>0</v>
      </c>
    </row>
    <row r="34" spans="1:7" ht="29" x14ac:dyDescent="0.35">
      <c r="B34" s="51" t="s">
        <v>190</v>
      </c>
      <c r="C34" s="48">
        <v>5</v>
      </c>
      <c r="D34" s="48">
        <v>39</v>
      </c>
      <c r="E34" s="48"/>
      <c r="F34" s="49">
        <f>((E34/D34)*0.1)*100</f>
        <v>0</v>
      </c>
      <c r="G34" s="49">
        <f t="shared" si="0"/>
        <v>0</v>
      </c>
    </row>
    <row r="35" spans="1:7" ht="29" x14ac:dyDescent="0.35">
      <c r="B35" s="51" t="s">
        <v>191</v>
      </c>
      <c r="C35" s="48">
        <v>5</v>
      </c>
      <c r="D35" s="48">
        <v>39</v>
      </c>
      <c r="E35" s="48"/>
      <c r="F35" s="49">
        <f>((E35/D35)*0.05)*100</f>
        <v>0</v>
      </c>
      <c r="G35" s="49">
        <f t="shared" si="0"/>
        <v>0</v>
      </c>
    </row>
    <row r="36" spans="1:7" ht="43.5" x14ac:dyDescent="0.35">
      <c r="B36" s="51" t="s">
        <v>192</v>
      </c>
      <c r="C36" s="48">
        <v>10</v>
      </c>
      <c r="D36" s="48">
        <v>39</v>
      </c>
      <c r="E36" s="48"/>
      <c r="F36" s="49">
        <f>((E36/D36)*0.1)*100</f>
        <v>0</v>
      </c>
      <c r="G36" s="49">
        <f t="shared" si="0"/>
        <v>0</v>
      </c>
    </row>
    <row r="37" spans="1:7" ht="43.5" x14ac:dyDescent="0.35">
      <c r="B37" s="51" t="s">
        <v>193</v>
      </c>
      <c r="C37" s="48">
        <v>5</v>
      </c>
      <c r="D37" s="48">
        <v>39</v>
      </c>
      <c r="E37" s="48"/>
      <c r="F37" s="49">
        <f>((E37/D37)*0.1)*100</f>
        <v>0</v>
      </c>
      <c r="G37" s="49">
        <f t="shared" si="0"/>
        <v>0</v>
      </c>
    </row>
    <row r="38" spans="1:7" ht="15.5" x14ac:dyDescent="0.35">
      <c r="B38" s="52" t="s">
        <v>194</v>
      </c>
      <c r="C38" s="53">
        <f>SUM(C26:C37)</f>
        <v>100</v>
      </c>
      <c r="D38" s="52"/>
      <c r="E38" s="52"/>
      <c r="F38" s="53">
        <f>SUM(F26:F37)</f>
        <v>0</v>
      </c>
      <c r="G38" s="53">
        <f>SUM(G26:G37)</f>
        <v>0</v>
      </c>
    </row>
    <row r="39" spans="1:7" x14ac:dyDescent="0.35">
      <c r="B39" s="179" t="s">
        <v>195</v>
      </c>
      <c r="C39" s="179"/>
      <c r="D39" s="179"/>
      <c r="E39" s="179"/>
      <c r="F39" s="179"/>
      <c r="G39" s="179"/>
    </row>
    <row r="40" spans="1:7" x14ac:dyDescent="0.35">
      <c r="B40" s="180" t="s">
        <v>196</v>
      </c>
      <c r="C40" s="180"/>
      <c r="D40" s="180"/>
      <c r="E40" s="180" t="s">
        <v>197</v>
      </c>
      <c r="F40" s="180"/>
      <c r="G40" s="180"/>
    </row>
    <row r="41" spans="1:7" x14ac:dyDescent="0.35">
      <c r="B41" s="176" t="s">
        <v>198</v>
      </c>
      <c r="C41" s="176"/>
      <c r="D41" s="176"/>
      <c r="E41" s="176" t="s">
        <v>199</v>
      </c>
      <c r="F41" s="176"/>
      <c r="G41" s="176"/>
    </row>
    <row r="42" spans="1:7" x14ac:dyDescent="0.35">
      <c r="B42" s="176" t="s">
        <v>200</v>
      </c>
      <c r="C42" s="176"/>
      <c r="D42" s="176"/>
      <c r="E42" s="176" t="s">
        <v>201</v>
      </c>
      <c r="F42" s="176"/>
      <c r="G42" s="176"/>
    </row>
    <row r="43" spans="1:7" x14ac:dyDescent="0.35">
      <c r="B43" s="177" t="s">
        <v>202</v>
      </c>
      <c r="C43" s="177"/>
      <c r="D43" s="177"/>
      <c r="E43" s="177" t="s">
        <v>203</v>
      </c>
      <c r="F43" s="177"/>
      <c r="G43" s="177"/>
    </row>
    <row r="45" spans="1:7" ht="15" thickBot="1" x14ac:dyDescent="0.4"/>
    <row r="46" spans="1:7" ht="16.5" thickTop="1" thickBot="1" x14ac:dyDescent="0.4">
      <c r="A46" s="54" t="s">
        <v>204</v>
      </c>
      <c r="B46" s="54" t="s">
        <v>176</v>
      </c>
      <c r="C46" s="55" t="s">
        <v>205</v>
      </c>
      <c r="D46" s="55" t="s">
        <v>206</v>
      </c>
      <c r="E46" s="55" t="s">
        <v>207</v>
      </c>
    </row>
    <row r="47" spans="1:7" ht="30" thickTop="1" thickBot="1" x14ac:dyDescent="0.4">
      <c r="A47" s="56">
        <v>1</v>
      </c>
      <c r="B47" s="57" t="s">
        <v>208</v>
      </c>
      <c r="C47" s="58">
        <v>0</v>
      </c>
      <c r="D47" s="59">
        <v>0.1</v>
      </c>
      <c r="E47" s="58">
        <v>0.1</v>
      </c>
    </row>
    <row r="48" spans="1:7" ht="15.5" thickTop="1" thickBot="1" x14ac:dyDescent="0.4">
      <c r="A48" s="56">
        <v>2</v>
      </c>
      <c r="B48" s="57" t="s">
        <v>209</v>
      </c>
      <c r="C48" s="58" t="s">
        <v>210</v>
      </c>
      <c r="D48" s="59" t="s">
        <v>211</v>
      </c>
      <c r="E48" s="58">
        <v>0.3</v>
      </c>
    </row>
    <row r="49" spans="1:5" ht="59" thickTop="1" thickBot="1" x14ac:dyDescent="0.4">
      <c r="A49" s="56">
        <v>3</v>
      </c>
      <c r="B49" s="57" t="s">
        <v>212</v>
      </c>
      <c r="C49" s="58" t="s">
        <v>213</v>
      </c>
      <c r="D49" s="59" t="s">
        <v>214</v>
      </c>
      <c r="E49" s="58">
        <v>0.45</v>
      </c>
    </row>
    <row r="50" spans="1:5" ht="73.5" thickTop="1" thickBot="1" x14ac:dyDescent="0.4">
      <c r="A50" s="56">
        <v>4</v>
      </c>
      <c r="B50" s="57" t="s">
        <v>215</v>
      </c>
      <c r="C50" s="58" t="s">
        <v>216</v>
      </c>
      <c r="D50" s="59" t="s">
        <v>217</v>
      </c>
      <c r="E50" s="58">
        <v>0.7</v>
      </c>
    </row>
    <row r="51" spans="1:5" ht="59" thickTop="1" thickBot="1" x14ac:dyDescent="0.4">
      <c r="A51" s="56">
        <v>5</v>
      </c>
      <c r="B51" s="57" t="s">
        <v>218</v>
      </c>
      <c r="C51" s="58" t="s">
        <v>219</v>
      </c>
      <c r="D51" s="59" t="s">
        <v>220</v>
      </c>
      <c r="E51" s="58">
        <v>0.75</v>
      </c>
    </row>
    <row r="52" spans="1:5" ht="73.5" thickTop="1" thickBot="1" x14ac:dyDescent="0.4">
      <c r="A52" s="56">
        <v>6</v>
      </c>
      <c r="B52" s="57" t="s">
        <v>221</v>
      </c>
      <c r="C52" s="58" t="s">
        <v>222</v>
      </c>
      <c r="D52" s="59" t="s">
        <v>223</v>
      </c>
      <c r="E52" s="58">
        <v>0.8</v>
      </c>
    </row>
    <row r="53" spans="1:5" ht="102.5" thickTop="1" thickBot="1" x14ac:dyDescent="0.4">
      <c r="A53" s="56">
        <v>7</v>
      </c>
      <c r="B53" s="57" t="s">
        <v>224</v>
      </c>
      <c r="C53" s="58" t="s">
        <v>225</v>
      </c>
      <c r="D53" s="59" t="s">
        <v>226</v>
      </c>
      <c r="E53" s="58">
        <v>0.85</v>
      </c>
    </row>
    <row r="54" spans="1:5" ht="175" thickTop="1" thickBot="1" x14ac:dyDescent="0.4">
      <c r="A54" s="56">
        <v>8</v>
      </c>
      <c r="B54" s="57" t="s">
        <v>227</v>
      </c>
      <c r="C54" s="58" t="s">
        <v>228</v>
      </c>
      <c r="D54" s="59" t="s">
        <v>229</v>
      </c>
      <c r="E54" s="58">
        <v>0.95</v>
      </c>
    </row>
    <row r="55" spans="1:5" ht="88" thickTop="1" thickBot="1" x14ac:dyDescent="0.4">
      <c r="A55" s="56">
        <v>9</v>
      </c>
      <c r="B55" s="57" t="s">
        <v>230</v>
      </c>
      <c r="C55" s="58" t="s">
        <v>231</v>
      </c>
      <c r="D55" s="59" t="s">
        <v>232</v>
      </c>
      <c r="E55" s="58">
        <v>1</v>
      </c>
    </row>
    <row r="56" spans="1:5" ht="15" thickTop="1" x14ac:dyDescent="0.3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5" x14ac:dyDescent="0.3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Sheet1</vt:lpstr>
      <vt:lpstr>Construction table</vt:lpstr>
      <vt:lpstr>Sheet2</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Hp Elitebook 840 G6</cp:lastModifiedBy>
  <cp:lastPrinted>2025-07-06T17:11:23Z</cp:lastPrinted>
  <dcterms:created xsi:type="dcterms:W3CDTF">2010-11-23T11:42:48Z</dcterms:created>
  <dcterms:modified xsi:type="dcterms:W3CDTF">2025-07-06T17:12:15Z</dcterms:modified>
</cp:coreProperties>
</file>