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defaultThemeVersion="124226"/>
  <mc:AlternateContent xmlns:mc="http://schemas.openxmlformats.org/markup-compatibility/2006">
    <mc:Choice Requires="x15">
      <x15ac:absPath xmlns:x15ac="http://schemas.microsoft.com/office/spreadsheetml/2010/11/ac" url="K:\VSJ Work\July 25\Godrej Old\"/>
    </mc:Choice>
  </mc:AlternateContent>
  <xr:revisionPtr revIDLastSave="0" documentId="13_ncr:1_{9F867AC8-285A-4481-87B6-F2E443EF5153}" xr6:coauthVersionLast="47" xr6:coauthVersionMax="47" xr10:uidLastSave="{00000000-0000-0000-0000-000000000000}"/>
  <bookViews>
    <workbookView xWindow="-108" yWindow="-108" windowWidth="23256" windowHeight="12456" xr2:uid="{00000000-000D-0000-FFFF-FFFF00000000}"/>
  </bookViews>
  <sheets>
    <sheet name="Report" sheetId="3" r:id="rId1"/>
    <sheet name="Sheet1" sheetId="4" r:id="rId2"/>
  </sheets>
  <definedNames>
    <definedName name="_xlnm.Print_Area" localSheetId="0">Report!$A$1:$I$554</definedName>
  </definedNames>
  <calcPr calcId="191029"/>
</workbook>
</file>

<file path=xl/calcChain.xml><?xml version="1.0" encoding="utf-8"?>
<calcChain xmlns="http://schemas.openxmlformats.org/spreadsheetml/2006/main">
  <c r="L4" i="3" l="1"/>
  <c r="C94" i="3"/>
  <c r="C78" i="3"/>
  <c r="C60" i="3"/>
  <c r="C62" i="3" s="1"/>
  <c r="M114" i="3" l="1"/>
  <c r="K112" i="3"/>
  <c r="K111" i="3"/>
  <c r="K110" i="3"/>
  <c r="K109" i="3"/>
  <c r="C92" i="3"/>
  <c r="C76" i="3"/>
  <c r="A86" i="3"/>
  <c r="M98" i="3"/>
  <c r="K96" i="3"/>
  <c r="K95" i="3"/>
  <c r="K94" i="3"/>
  <c r="K93" i="3"/>
  <c r="M82" i="3"/>
  <c r="K80" i="3"/>
  <c r="K79" i="3"/>
  <c r="K78" i="3"/>
  <c r="K77" i="3"/>
  <c r="A54" i="3"/>
  <c r="M66" i="3"/>
  <c r="K64" i="3"/>
  <c r="K63" i="3"/>
  <c r="K62" i="3"/>
  <c r="K61" i="3"/>
  <c r="H46" i="3"/>
  <c r="I55" i="3"/>
  <c r="E68" i="3" l="1"/>
  <c r="E60" i="3"/>
  <c r="E67" i="3"/>
  <c r="K59" i="3"/>
  <c r="K60" i="3" s="1"/>
  <c r="K65" i="3" s="1"/>
  <c r="K66" i="3" s="1"/>
  <c r="C58" i="3" s="1"/>
  <c r="E58" i="3" s="1"/>
  <c r="E59" i="3"/>
  <c r="K58" i="3"/>
  <c r="C57" i="3" s="1"/>
  <c r="E57" i="3" s="1"/>
  <c r="E66" i="3"/>
  <c r="K57" i="3"/>
  <c r="E65" i="3"/>
  <c r="E63" i="3"/>
  <c r="K56" i="3"/>
  <c r="E62" i="3"/>
  <c r="E64" i="3"/>
  <c r="E61" i="3"/>
  <c r="I71" i="3"/>
  <c r="I103" i="3"/>
  <c r="E116" i="3" l="1"/>
  <c r="E114" i="3"/>
  <c r="K107" i="3"/>
  <c r="K108" i="3" s="1"/>
  <c r="K113" i="3" s="1"/>
  <c r="K114" i="3" s="1"/>
  <c r="C106" i="3" s="1"/>
  <c r="E106" i="3" s="1"/>
  <c r="E115" i="3"/>
  <c r="E108" i="3"/>
  <c r="E107" i="3"/>
  <c r="E112" i="3"/>
  <c r="E111" i="3"/>
  <c r="K105" i="3"/>
  <c r="E110" i="3"/>
  <c r="E109" i="3"/>
  <c r="K104" i="3"/>
  <c r="E113" i="3"/>
  <c r="K106" i="3"/>
  <c r="C105" i="3" s="1"/>
  <c r="E105" i="3" s="1"/>
  <c r="F57" i="3"/>
  <c r="E84" i="3"/>
  <c r="E76" i="3"/>
  <c r="E83" i="3"/>
  <c r="K75" i="3"/>
  <c r="K76" i="3" s="1"/>
  <c r="K81" i="3" s="1"/>
  <c r="K82" i="3" s="1"/>
  <c r="C74" i="3" s="1"/>
  <c r="E74" i="3" s="1"/>
  <c r="E75" i="3"/>
  <c r="K74" i="3"/>
  <c r="C73" i="3" s="1"/>
  <c r="E82" i="3"/>
  <c r="K73" i="3"/>
  <c r="E81" i="3"/>
  <c r="E80" i="3"/>
  <c r="E79" i="3"/>
  <c r="K72" i="3"/>
  <c r="E78" i="3"/>
  <c r="E77" i="3"/>
  <c r="I87" i="3"/>
  <c r="J54" i="3" l="1"/>
  <c r="H57" i="3" s="1"/>
  <c r="F105" i="3"/>
  <c r="J102" i="3" s="1"/>
  <c r="H105" i="3" s="1"/>
  <c r="F73" i="3"/>
  <c r="E73" i="3"/>
  <c r="E100" i="3"/>
  <c r="E92" i="3"/>
  <c r="E99" i="3"/>
  <c r="K91" i="3"/>
  <c r="K92" i="3" s="1"/>
  <c r="K97" i="3" s="1"/>
  <c r="K98" i="3" s="1"/>
  <c r="C90" i="3" s="1"/>
  <c r="E90" i="3" s="1"/>
  <c r="K90" i="3"/>
  <c r="C89" i="3" s="1"/>
  <c r="E89" i="3" s="1"/>
  <c r="E91" i="3"/>
  <c r="E98" i="3"/>
  <c r="E97" i="3"/>
  <c r="E96" i="3"/>
  <c r="E95" i="3"/>
  <c r="E94" i="3"/>
  <c r="E93" i="3"/>
  <c r="K88" i="3"/>
  <c r="K89" i="3"/>
  <c r="H117" i="3" l="1"/>
  <c r="F89" i="3"/>
  <c r="J86" i="3" s="1"/>
  <c r="H89" i="3" s="1"/>
  <c r="J70" i="3"/>
  <c r="H73" i="3" s="1"/>
  <c r="M369" i="3" l="1"/>
  <c r="M351" i="3"/>
  <c r="A385" i="3"/>
  <c r="A376" i="3"/>
  <c r="A367" i="3"/>
  <c r="F390" i="3"/>
  <c r="I390" i="3" s="1"/>
  <c r="F389" i="3"/>
  <c r="I389" i="3" s="1"/>
  <c r="F388" i="3"/>
  <c r="I388" i="3" s="1"/>
  <c r="F387" i="3"/>
  <c r="I387" i="3" s="1"/>
  <c r="F386" i="3"/>
  <c r="I386" i="3" s="1"/>
  <c r="C387" i="3"/>
  <c r="C388" i="3" s="1"/>
  <c r="C389" i="3" s="1"/>
  <c r="C390" i="3" s="1"/>
  <c r="C391" i="3" s="1"/>
  <c r="C392" i="3" s="1"/>
  <c r="F253" i="3"/>
  <c r="F254" i="3"/>
  <c r="F248" i="3"/>
  <c r="F245" i="3"/>
  <c r="F246" i="3"/>
  <c r="F247" i="3"/>
  <c r="F249" i="3"/>
  <c r="F250" i="3"/>
  <c r="F251" i="3"/>
  <c r="F252" i="3"/>
  <c r="F255" i="3"/>
  <c r="F256" i="3"/>
  <c r="F257" i="3"/>
  <c r="F258" i="3"/>
  <c r="J199" i="3"/>
  <c r="H50" i="3"/>
  <c r="H130" i="3" l="1"/>
  <c r="H129" i="3"/>
  <c r="M20" i="3"/>
  <c r="L20" i="3"/>
  <c r="K21" i="3"/>
  <c r="K20" i="3"/>
  <c r="M21" i="3" l="1"/>
  <c r="A349" i="3"/>
  <c r="A338" i="3"/>
  <c r="H45" i="3" l="1"/>
  <c r="H47" i="3"/>
  <c r="H44" i="3"/>
  <c r="F190" i="3"/>
  <c r="I190" i="3" s="1"/>
  <c r="F189" i="3"/>
  <c r="I189" i="3" s="1"/>
  <c r="F188" i="3"/>
  <c r="I188" i="3" s="1"/>
  <c r="F187" i="3"/>
  <c r="I187" i="3" s="1"/>
  <c r="F186" i="3"/>
  <c r="I186" i="3" s="1"/>
  <c r="F185" i="3"/>
  <c r="I185" i="3" s="1"/>
  <c r="F184" i="3"/>
  <c r="I184" i="3" s="1"/>
  <c r="F183" i="3"/>
  <c r="I183" i="3" s="1"/>
  <c r="F182" i="3"/>
  <c r="I182" i="3" s="1"/>
  <c r="F181" i="3"/>
  <c r="I181" i="3" s="1"/>
  <c r="F180" i="3"/>
  <c r="I180" i="3" s="1"/>
  <c r="F179" i="3"/>
  <c r="I179" i="3" s="1"/>
  <c r="F178" i="3"/>
  <c r="I178" i="3" s="1"/>
  <c r="F177" i="3"/>
  <c r="I177" i="3" s="1"/>
  <c r="F176" i="3"/>
  <c r="I176" i="3" s="1"/>
  <c r="F175" i="3"/>
  <c r="I175" i="3" s="1"/>
  <c r="F174" i="3"/>
  <c r="I174" i="3" s="1"/>
  <c r="F173" i="3"/>
  <c r="I173" i="3" s="1"/>
  <c r="F172" i="3"/>
  <c r="I172" i="3" s="1"/>
  <c r="F171" i="3"/>
  <c r="I171" i="3" s="1"/>
  <c r="F170" i="3"/>
  <c r="I170" i="3" s="1"/>
  <c r="F169" i="3"/>
  <c r="I169" i="3" s="1"/>
  <c r="F168" i="3"/>
  <c r="I168" i="3" s="1"/>
  <c r="F167" i="3"/>
  <c r="I167" i="3" s="1"/>
  <c r="F166" i="3"/>
  <c r="I166" i="3" s="1"/>
  <c r="F165" i="3"/>
  <c r="I165" i="3" s="1"/>
  <c r="F164" i="3"/>
  <c r="I164" i="3" s="1"/>
  <c r="F163" i="3"/>
  <c r="I163" i="3" s="1"/>
  <c r="F162" i="3"/>
  <c r="I162" i="3" s="1"/>
  <c r="F161" i="3"/>
  <c r="I161" i="3" s="1"/>
  <c r="F160" i="3"/>
  <c r="I160" i="3" s="1"/>
  <c r="F159" i="3"/>
  <c r="I159" i="3" s="1"/>
  <c r="F158" i="3"/>
  <c r="I158" i="3" s="1"/>
  <c r="F157" i="3"/>
  <c r="I157" i="3" s="1"/>
  <c r="F156" i="3"/>
  <c r="I156" i="3" s="1"/>
  <c r="F155" i="3"/>
  <c r="I155" i="3" s="1"/>
  <c r="F154" i="3"/>
  <c r="I154" i="3" s="1"/>
  <c r="F153" i="3"/>
  <c r="I153" i="3" s="1"/>
  <c r="F152" i="3"/>
  <c r="I152" i="3" s="1"/>
  <c r="F151" i="3"/>
  <c r="I151" i="3" s="1"/>
  <c r="F150" i="3"/>
  <c r="I150" i="3" s="1"/>
  <c r="F149" i="3"/>
  <c r="I149" i="3" s="1"/>
  <c r="F148" i="3"/>
  <c r="I148" i="3" s="1"/>
  <c r="F147" i="3"/>
  <c r="J172" i="3"/>
  <c r="J173" i="3"/>
  <c r="H134" i="3" l="1"/>
  <c r="F134" i="3"/>
  <c r="A147" i="3"/>
  <c r="I147" i="3"/>
  <c r="I134" i="3" s="1"/>
  <c r="C148" i="3"/>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F382" i="3"/>
  <c r="I382" i="3" s="1"/>
  <c r="F381" i="3"/>
  <c r="I381" i="3" s="1"/>
  <c r="F380" i="3"/>
  <c r="I380" i="3" s="1"/>
  <c r="F379" i="3"/>
  <c r="I379" i="3" s="1"/>
  <c r="F378" i="3"/>
  <c r="I378" i="3" s="1"/>
  <c r="F377" i="3"/>
  <c r="I377" i="3" s="1"/>
  <c r="C377" i="3"/>
  <c r="C378" i="3" s="1"/>
  <c r="C379" i="3" s="1"/>
  <c r="C380" i="3" s="1"/>
  <c r="C381" i="3" s="1"/>
  <c r="C382" i="3" s="1"/>
  <c r="C383" i="3" s="1"/>
  <c r="F376" i="3"/>
  <c r="I376" i="3" s="1"/>
  <c r="F374" i="3"/>
  <c r="I374" i="3" s="1"/>
  <c r="F373" i="3"/>
  <c r="I373" i="3" s="1"/>
  <c r="F372" i="3"/>
  <c r="I372" i="3" s="1"/>
  <c r="F371" i="3"/>
  <c r="I371" i="3" s="1"/>
  <c r="F370" i="3"/>
  <c r="I370" i="3" s="1"/>
  <c r="F369" i="3"/>
  <c r="I369" i="3" s="1"/>
  <c r="F368" i="3"/>
  <c r="I368" i="3" s="1"/>
  <c r="F367" i="3"/>
  <c r="C368" i="3"/>
  <c r="C369" i="3" s="1"/>
  <c r="C370" i="3" s="1"/>
  <c r="C371" i="3" s="1"/>
  <c r="C372" i="3" s="1"/>
  <c r="C373" i="3" s="1"/>
  <c r="C374" i="3" s="1"/>
  <c r="F357" i="3"/>
  <c r="I357" i="3" s="1"/>
  <c r="F356" i="3"/>
  <c r="I356" i="3" s="1"/>
  <c r="F355" i="3"/>
  <c r="I355" i="3" s="1"/>
  <c r="F354" i="3"/>
  <c r="I354" i="3" s="1"/>
  <c r="F353" i="3"/>
  <c r="I353" i="3" s="1"/>
  <c r="F352" i="3"/>
  <c r="I352" i="3" s="1"/>
  <c r="F351" i="3"/>
  <c r="I351" i="3" s="1"/>
  <c r="F350" i="3"/>
  <c r="I350" i="3" s="1"/>
  <c r="C350" i="3"/>
  <c r="C351" i="3" s="1"/>
  <c r="C352" i="3" s="1"/>
  <c r="C353" i="3" s="1"/>
  <c r="C354" i="3" s="1"/>
  <c r="C355" i="3" s="1"/>
  <c r="C356" i="3" s="1"/>
  <c r="C357" i="3" s="1"/>
  <c r="C358" i="3" s="1"/>
  <c r="F349" i="3"/>
  <c r="I349" i="3" s="1"/>
  <c r="F347" i="3"/>
  <c r="I347" i="3" s="1"/>
  <c r="F346" i="3"/>
  <c r="I346" i="3" s="1"/>
  <c r="F345" i="3"/>
  <c r="I345" i="3" s="1"/>
  <c r="F344" i="3"/>
  <c r="I344" i="3" s="1"/>
  <c r="L344" i="3" s="1"/>
  <c r="F343" i="3"/>
  <c r="I343" i="3" s="1"/>
  <c r="F342" i="3"/>
  <c r="I342" i="3" s="1"/>
  <c r="L341" i="3" s="1"/>
  <c r="F341" i="3"/>
  <c r="I341" i="3" s="1"/>
  <c r="L340" i="3" s="1"/>
  <c r="F340" i="3"/>
  <c r="I340" i="3" s="1"/>
  <c r="L339" i="3" s="1"/>
  <c r="F339" i="3"/>
  <c r="I339" i="3" s="1"/>
  <c r="L338" i="3" s="1"/>
  <c r="F338" i="3"/>
  <c r="J337" i="3"/>
  <c r="C339" i="3"/>
  <c r="C340" i="3" s="1"/>
  <c r="C341" i="3" s="1"/>
  <c r="C342" i="3" s="1"/>
  <c r="C343" i="3" s="1"/>
  <c r="C344" i="3" s="1"/>
  <c r="C345" i="3" s="1"/>
  <c r="C346" i="3" s="1"/>
  <c r="C347" i="3" s="1"/>
  <c r="A320" i="3"/>
  <c r="F330" i="3"/>
  <c r="I330" i="3" s="1"/>
  <c r="C330" i="3"/>
  <c r="F329" i="3"/>
  <c r="I329" i="3" s="1"/>
  <c r="F328" i="3"/>
  <c r="I328" i="3" s="1"/>
  <c r="F327" i="3"/>
  <c r="I327" i="3" s="1"/>
  <c r="F326" i="3"/>
  <c r="I326" i="3" s="1"/>
  <c r="F325" i="3"/>
  <c r="I325" i="3" s="1"/>
  <c r="F324" i="3"/>
  <c r="I324" i="3" s="1"/>
  <c r="F323" i="3"/>
  <c r="I323" i="3" s="1"/>
  <c r="F322" i="3"/>
  <c r="I322" i="3" s="1"/>
  <c r="F321" i="3"/>
  <c r="I321" i="3" s="1"/>
  <c r="F320" i="3"/>
  <c r="I320" i="3" s="1"/>
  <c r="F312" i="3"/>
  <c r="I312" i="3" s="1"/>
  <c r="F317" i="3"/>
  <c r="I317" i="3" s="1"/>
  <c r="F316" i="3"/>
  <c r="I316" i="3" s="1"/>
  <c r="F315" i="3"/>
  <c r="I315" i="3" s="1"/>
  <c r="F314" i="3"/>
  <c r="I314" i="3" s="1"/>
  <c r="F313" i="3"/>
  <c r="I313" i="3" s="1"/>
  <c r="F311" i="3"/>
  <c r="I311" i="3" s="1"/>
  <c r="F310" i="3"/>
  <c r="I310" i="3" s="1"/>
  <c r="F309" i="3"/>
  <c r="I309" i="3" s="1"/>
  <c r="F308" i="3"/>
  <c r="I308" i="3" s="1"/>
  <c r="F307" i="3"/>
  <c r="I307" i="3" s="1"/>
  <c r="C317" i="3"/>
  <c r="F306" i="3"/>
  <c r="I306" i="3" s="1"/>
  <c r="F305" i="3"/>
  <c r="I305" i="3" s="1"/>
  <c r="A305" i="3"/>
  <c r="F286" i="3"/>
  <c r="I286" i="3" s="1"/>
  <c r="F301" i="3"/>
  <c r="I301" i="3" s="1"/>
  <c r="F302" i="3"/>
  <c r="I302" i="3" s="1"/>
  <c r="F300" i="3"/>
  <c r="I300" i="3" s="1"/>
  <c r="F299" i="3"/>
  <c r="I299" i="3" s="1"/>
  <c r="F298" i="3"/>
  <c r="I298" i="3" s="1"/>
  <c r="F297" i="3"/>
  <c r="I297" i="3" s="1"/>
  <c r="F296" i="3"/>
  <c r="I296" i="3" s="1"/>
  <c r="F295" i="3"/>
  <c r="I295" i="3" s="1"/>
  <c r="F294" i="3"/>
  <c r="I294" i="3" s="1"/>
  <c r="F293" i="3"/>
  <c r="I293" i="3" s="1"/>
  <c r="F292" i="3"/>
  <c r="I292" i="3" s="1"/>
  <c r="F291" i="3"/>
  <c r="I291" i="3" s="1"/>
  <c r="C291" i="3"/>
  <c r="C292" i="3" s="1"/>
  <c r="C293" i="3" s="1"/>
  <c r="C294" i="3" s="1"/>
  <c r="C295" i="3" s="1"/>
  <c r="C296" i="3" s="1"/>
  <c r="C297" i="3" s="1"/>
  <c r="C298" i="3" s="1"/>
  <c r="C299" i="3" s="1"/>
  <c r="C300" i="3" s="1"/>
  <c r="C301" i="3" s="1"/>
  <c r="C302" i="3" s="1"/>
  <c r="C303" i="3" s="1"/>
  <c r="F290" i="3"/>
  <c r="I290" i="3" s="1"/>
  <c r="A290" i="3"/>
  <c r="F285" i="3"/>
  <c r="I285" i="3" s="1"/>
  <c r="F276" i="3"/>
  <c r="I276" i="3" s="1"/>
  <c r="F288" i="3"/>
  <c r="I288" i="3" s="1"/>
  <c r="F287" i="3"/>
  <c r="I287" i="3" s="1"/>
  <c r="F284" i="3"/>
  <c r="I284" i="3" s="1"/>
  <c r="F283" i="3"/>
  <c r="I283" i="3" s="1"/>
  <c r="F282" i="3"/>
  <c r="I282" i="3" s="1"/>
  <c r="F281" i="3"/>
  <c r="I281" i="3" s="1"/>
  <c r="F280" i="3"/>
  <c r="I280" i="3" s="1"/>
  <c r="F279" i="3"/>
  <c r="I279" i="3" s="1"/>
  <c r="F278" i="3"/>
  <c r="I278" i="3" s="1"/>
  <c r="F277" i="3"/>
  <c r="I277" i="3" s="1"/>
  <c r="C276" i="3"/>
  <c r="C277" i="3" s="1"/>
  <c r="C278" i="3" s="1"/>
  <c r="C279" i="3" s="1"/>
  <c r="C280" i="3" s="1"/>
  <c r="C281" i="3" s="1"/>
  <c r="C282" i="3" s="1"/>
  <c r="C283" i="3" s="1"/>
  <c r="C284" i="3" s="1"/>
  <c r="C285" i="3" s="1"/>
  <c r="C286" i="3" s="1"/>
  <c r="C287" i="3" s="1"/>
  <c r="C288" i="3" s="1"/>
  <c r="F275" i="3"/>
  <c r="I275" i="3" s="1"/>
  <c r="A275" i="3"/>
  <c r="F272" i="3"/>
  <c r="I272" i="3" s="1"/>
  <c r="F271" i="3"/>
  <c r="I271" i="3" s="1"/>
  <c r="F270" i="3"/>
  <c r="I270" i="3" s="1"/>
  <c r="F269" i="3"/>
  <c r="I269" i="3" s="1"/>
  <c r="F268" i="3"/>
  <c r="I268" i="3" s="1"/>
  <c r="F267" i="3"/>
  <c r="I267" i="3" s="1"/>
  <c r="F266" i="3"/>
  <c r="I266" i="3" s="1"/>
  <c r="F265" i="3"/>
  <c r="I265" i="3" s="1"/>
  <c r="F264" i="3"/>
  <c r="I264" i="3" s="1"/>
  <c r="F263" i="3"/>
  <c r="I263" i="3" s="1"/>
  <c r="F262" i="3"/>
  <c r="I262" i="3" s="1"/>
  <c r="F261" i="3"/>
  <c r="I261" i="3" s="1"/>
  <c r="C261" i="3"/>
  <c r="C262" i="3" s="1"/>
  <c r="C263" i="3" s="1"/>
  <c r="C264" i="3" s="1"/>
  <c r="C265" i="3" s="1"/>
  <c r="C266" i="3" s="1"/>
  <c r="C267" i="3" s="1"/>
  <c r="C268" i="3" s="1"/>
  <c r="C269" i="3" s="1"/>
  <c r="C270" i="3" s="1"/>
  <c r="C271" i="3" s="1"/>
  <c r="C272" i="3" s="1"/>
  <c r="C273" i="3" s="1"/>
  <c r="F260" i="3"/>
  <c r="I260" i="3" s="1"/>
  <c r="A260" i="3"/>
  <c r="I253" i="3"/>
  <c r="I248" i="3"/>
  <c r="I258" i="3"/>
  <c r="I257" i="3"/>
  <c r="I256" i="3"/>
  <c r="I255" i="3"/>
  <c r="I254" i="3"/>
  <c r="I252" i="3"/>
  <c r="I251" i="3"/>
  <c r="I250" i="3"/>
  <c r="I249" i="3"/>
  <c r="I247" i="3"/>
  <c r="I246" i="3"/>
  <c r="C246" i="3"/>
  <c r="C247" i="3" s="1"/>
  <c r="C248" i="3" s="1"/>
  <c r="C249" i="3" s="1"/>
  <c r="C250" i="3" s="1"/>
  <c r="C251" i="3" s="1"/>
  <c r="C252" i="3" s="1"/>
  <c r="C253" i="3" s="1"/>
  <c r="C254" i="3" s="1"/>
  <c r="C255" i="3" s="1"/>
  <c r="C256" i="3" s="1"/>
  <c r="C257" i="3" s="1"/>
  <c r="C258" i="3" s="1"/>
  <c r="I245" i="3"/>
  <c r="A245" i="3"/>
  <c r="F242" i="3"/>
  <c r="I242" i="3" s="1"/>
  <c r="F241" i="3"/>
  <c r="I241" i="3" s="1"/>
  <c r="F240" i="3"/>
  <c r="I240" i="3" s="1"/>
  <c r="F239" i="3"/>
  <c r="I239" i="3" s="1"/>
  <c r="F238" i="3"/>
  <c r="I238" i="3" s="1"/>
  <c r="F237" i="3"/>
  <c r="I237" i="3" s="1"/>
  <c r="F236" i="3"/>
  <c r="I236" i="3" s="1"/>
  <c r="F235" i="3"/>
  <c r="I235" i="3" s="1"/>
  <c r="F234" i="3"/>
  <c r="I234" i="3" s="1"/>
  <c r="F233" i="3"/>
  <c r="I233" i="3" s="1"/>
  <c r="F232" i="3"/>
  <c r="I232" i="3" s="1"/>
  <c r="F231" i="3"/>
  <c r="I231" i="3" s="1"/>
  <c r="C231" i="3"/>
  <c r="C232" i="3" s="1"/>
  <c r="C233" i="3" s="1"/>
  <c r="C234" i="3" s="1"/>
  <c r="C235" i="3" s="1"/>
  <c r="C236" i="3" s="1"/>
  <c r="C237" i="3" s="1"/>
  <c r="C238" i="3" s="1"/>
  <c r="C239" i="3" s="1"/>
  <c r="C240" i="3" s="1"/>
  <c r="C241" i="3" s="1"/>
  <c r="C242" i="3" s="1"/>
  <c r="C243" i="3" s="1"/>
  <c r="F230" i="3"/>
  <c r="I230" i="3" s="1"/>
  <c r="A230" i="3"/>
  <c r="F225" i="3"/>
  <c r="I225" i="3" s="1"/>
  <c r="F216" i="3"/>
  <c r="I216" i="3" s="1"/>
  <c r="F228" i="3"/>
  <c r="I228" i="3" s="1"/>
  <c r="F227" i="3"/>
  <c r="I227" i="3" s="1"/>
  <c r="F226" i="3"/>
  <c r="I226" i="3" s="1"/>
  <c r="F224" i="3"/>
  <c r="I224" i="3" s="1"/>
  <c r="F223" i="3"/>
  <c r="I223" i="3" s="1"/>
  <c r="F222" i="3"/>
  <c r="I222" i="3" s="1"/>
  <c r="F221" i="3"/>
  <c r="I221" i="3" s="1"/>
  <c r="F220" i="3"/>
  <c r="I220" i="3" s="1"/>
  <c r="F219" i="3"/>
  <c r="I219" i="3" s="1"/>
  <c r="F218" i="3"/>
  <c r="I218" i="3" s="1"/>
  <c r="F217" i="3"/>
  <c r="I217" i="3" s="1"/>
  <c r="F215" i="3"/>
  <c r="I215" i="3" s="1"/>
  <c r="F213" i="3"/>
  <c r="F212" i="3"/>
  <c r="L212" i="3" s="1"/>
  <c r="F211" i="3"/>
  <c r="F210" i="3"/>
  <c r="F209" i="3"/>
  <c r="F208" i="3"/>
  <c r="F207" i="3"/>
  <c r="F206" i="3"/>
  <c r="F205" i="3"/>
  <c r="F204" i="3"/>
  <c r="L203" i="3" s="1"/>
  <c r="F203" i="3"/>
  <c r="F202" i="3"/>
  <c r="F201" i="3"/>
  <c r="I201" i="3" s="1"/>
  <c r="F200" i="3"/>
  <c r="C216" i="3"/>
  <c r="C217" i="3" s="1"/>
  <c r="C218" i="3" s="1"/>
  <c r="C219" i="3" s="1"/>
  <c r="C220" i="3" s="1"/>
  <c r="C221" i="3" s="1"/>
  <c r="C222" i="3" s="1"/>
  <c r="C223" i="3" s="1"/>
  <c r="C224" i="3" s="1"/>
  <c r="C225" i="3" s="1"/>
  <c r="C226" i="3" s="1"/>
  <c r="C227" i="3" s="1"/>
  <c r="C228" i="3" s="1"/>
  <c r="A215" i="3"/>
  <c r="H139" i="3" l="1"/>
  <c r="F139" i="3"/>
  <c r="F138" i="3"/>
  <c r="L337" i="3"/>
  <c r="H138" i="3"/>
  <c r="F137" i="3"/>
  <c r="F140" i="3" s="1"/>
  <c r="I200" i="3"/>
  <c r="H137" i="3"/>
  <c r="M345" i="3"/>
  <c r="L345" i="3"/>
  <c r="I367" i="3"/>
  <c r="I139" i="3" s="1"/>
  <c r="I338" i="3"/>
  <c r="I213" i="3"/>
  <c r="I212" i="3"/>
  <c r="I211" i="3"/>
  <c r="I210" i="3"/>
  <c r="I209" i="3"/>
  <c r="K207" i="3"/>
  <c r="J207" i="3"/>
  <c r="L207" i="3" s="1"/>
  <c r="I208" i="3"/>
  <c r="K201" i="3"/>
  <c r="K200" i="3"/>
  <c r="K199" i="3"/>
  <c r="J201" i="3"/>
  <c r="J200" i="3"/>
  <c r="H140" i="3" l="1"/>
  <c r="H141" i="3" s="1"/>
  <c r="F141" i="3"/>
  <c r="L199" i="3"/>
  <c r="I138" i="3"/>
  <c r="M337" i="3"/>
  <c r="L200" i="3"/>
  <c r="L201" i="3"/>
  <c r="I4" i="3" l="1"/>
  <c r="A200" i="3" l="1"/>
  <c r="C201" i="3"/>
  <c r="C202" i="3" s="1"/>
  <c r="C203" i="3" s="1"/>
  <c r="C204" i="3" s="1"/>
  <c r="C205" i="3" s="1"/>
  <c r="C206" i="3" s="1"/>
  <c r="C207" i="3" s="1"/>
  <c r="C208" i="3" s="1"/>
  <c r="C209" i="3" s="1"/>
  <c r="C210" i="3" s="1"/>
  <c r="C211" i="3" s="1"/>
  <c r="C212" i="3" s="1"/>
  <c r="C213" i="3" s="1"/>
  <c r="E397" i="3" l="1"/>
  <c r="E396" i="3"/>
  <c r="H131" i="3"/>
  <c r="I202" i="3" l="1"/>
  <c r="I203" i="3"/>
  <c r="I204" i="3"/>
  <c r="I205" i="3"/>
  <c r="I206" i="3"/>
  <c r="I207" i="3"/>
  <c r="I137" i="3" l="1"/>
  <c r="I140" i="3" s="1"/>
  <c r="E398" i="3" l="1"/>
  <c r="I14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H6" authorId="0" shapeId="0" xr:uid="{00000000-0006-0000-0000-000001000000}">
      <text>
        <r>
          <rPr>
            <b/>
            <sz val="20"/>
            <color indexed="81"/>
            <rFont val="Tahoma"/>
            <family val="2"/>
          </rPr>
          <t>Rushil Sanghvi or Fahad</t>
        </r>
        <r>
          <rPr>
            <sz val="20"/>
            <color indexed="81"/>
            <rFont val="Tahoma"/>
            <family val="2"/>
          </rPr>
          <t xml:space="preserve">
</t>
        </r>
      </text>
    </comment>
    <comment ref="E9" authorId="0" shapeId="0" xr:uid="{00000000-0006-0000-0000-000002000000}">
      <text>
        <r>
          <rPr>
            <b/>
            <sz val="18"/>
            <color indexed="81"/>
            <rFont val="Tahoma"/>
            <family val="2"/>
          </rPr>
          <t>Initiation  Address</t>
        </r>
      </text>
    </comment>
    <comment ref="E10" authorId="0" shapeId="0" xr:uid="{00000000-0006-0000-0000-000003000000}">
      <text>
        <r>
          <rPr>
            <b/>
            <sz val="18"/>
            <color indexed="81"/>
            <rFont val="Tahoma"/>
            <family val="2"/>
          </rPr>
          <t>Plan Address</t>
        </r>
      </text>
    </comment>
    <comment ref="E11" authorId="0" shapeId="0" xr:uid="{00000000-0006-0000-0000-000004000000}">
      <text>
        <r>
          <rPr>
            <b/>
            <sz val="16"/>
            <color indexed="81"/>
            <rFont val="Tahoma"/>
            <family val="2"/>
          </rPr>
          <t>Map Address</t>
        </r>
      </text>
    </comment>
    <comment ref="C17" authorId="0" shapeId="0" xr:uid="{00000000-0006-0000-0000-000005000000}">
      <text>
        <r>
          <rPr>
            <b/>
            <sz val="12"/>
            <color indexed="81"/>
            <rFont val="Tahoma"/>
            <family val="2"/>
          </rPr>
          <t>Maybe same as RERA Registration Validity or different</t>
        </r>
      </text>
    </comment>
    <comment ref="H17" authorId="0" shapeId="0" xr:uid="{00000000-0006-0000-0000-000006000000}">
      <text>
        <r>
          <rPr>
            <b/>
            <sz val="18"/>
            <color indexed="81"/>
            <rFont val="Tahoma"/>
            <family val="2"/>
          </rPr>
          <t>From Rera</t>
        </r>
      </text>
    </comment>
    <comment ref="H20" authorId="0" shapeId="0" xr:uid="{00000000-0006-0000-0000-000007000000}">
      <text>
        <r>
          <rPr>
            <b/>
            <sz val="16"/>
            <color indexed="81"/>
            <rFont val="Tahoma"/>
            <family val="2"/>
          </rPr>
          <t>From RERA</t>
        </r>
      </text>
    </comment>
    <comment ref="A39" authorId="0" shapeId="0" xr:uid="{00000000-0006-0000-0000-000008000000}">
      <text>
        <r>
          <rPr>
            <b/>
            <sz val="16"/>
            <color indexed="81"/>
            <rFont val="Tahoma"/>
            <family val="2"/>
          </rPr>
          <t>As per Layout</t>
        </r>
      </text>
    </comment>
    <comment ref="H129" authorId="0" shapeId="0" xr:uid="{00000000-0006-0000-0000-000009000000}">
      <text>
        <r>
          <rPr>
            <b/>
            <sz val="16"/>
            <color indexed="81"/>
            <rFont val="Tahoma"/>
            <family val="2"/>
          </rPr>
          <t>Ready Recknor</t>
        </r>
      </text>
    </comment>
  </commentList>
</comments>
</file>

<file path=xl/sharedStrings.xml><?xml version="1.0" encoding="utf-8"?>
<sst xmlns="http://schemas.openxmlformats.org/spreadsheetml/2006/main" count="751" uniqueCount="298">
  <si>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</si>
  <si>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</si>
  <si>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</si>
  <si>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</si>
  <si>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</si>
  <si>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</si>
  <si>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</si>
  <si>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</si>
  <si>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</si>
  <si>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</si>
  <si>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</si>
  <si>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</si>
  <si>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</si>
  <si>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</si>
  <si>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</si>
  <si>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</si>
  <si>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</si>
  <si>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</si>
  <si>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</si>
  <si>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</si>
  <si>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</si>
  <si>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</si>
  <si>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</si>
  <si>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</si>
  <si>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</si>
  <si>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</si>
  <si>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</si>
  <si>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</si>
  <si>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</si>
  <si>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</si>
  <si>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</si>
  <si>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</si>
  <si>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</si>
  <si>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</si>
  <si>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</si>
  <si>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</si>
  <si>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</si>
  <si>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</si>
  <si>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</si>
  <si>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</si>
  <si>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</si>
  <si>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</si>
  <si>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</si>
  <si>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</si>
  <si>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</si>
  <si>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</si>
  <si>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</si>
  <si>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</si>
  <si>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</si>
  <si>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</si>
  <si>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</si>
  <si>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</si>
  <si>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</si>
  <si>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</si>
  <si>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</si>
  <si>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</si>
  <si>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</si>
  <si>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</si>
  <si>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</si>
  <si>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</si>
  <si>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</si>
  <si>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</si>
  <si>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</si>
  <si>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</si>
  <si>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</si>
  <si>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</si>
  <si>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</si>
  <si>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</si>
  <si>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</si>
  <si>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Change of User/Zone Certificate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</si>
  <si>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</si>
  <si>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</si>
  <si>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</si>
  <si>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</si>
  <si>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</si>
  <si>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</si>
  <si>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</si>
  <si>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</si>
  <si>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</si>
  <si>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</si>
  <si>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</si>
  <si>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</si>
  <si>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</si>
  <si>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</si>
  <si>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</si>
  <si>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</si>
  <si>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</si>
  <si>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</si>
  <si>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</si>
  <si>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</si>
  <si>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</si>
  <si>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</si>
  <si>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</si>
  <si>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</si>
  <si>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150000/-</t>
  </si>
  <si>
    <t>75000/-</t>
  </si>
  <si>
    <t>25000/-</t>
  </si>
  <si>
    <t>Description</t>
  </si>
  <si>
    <t>Gross Carpet area</t>
  </si>
  <si>
    <t>Attached Terrace area</t>
  </si>
  <si>
    <t>Floor</t>
  </si>
  <si>
    <t>Godrej One, Vikhroli East, Mumbai</t>
  </si>
  <si>
    <t>Permissible Built up Area (In Sq.Mt)</t>
  </si>
  <si>
    <t>Proposed Built up Area (In Sq.Mt)</t>
  </si>
  <si>
    <t>Plot Area (In Sq.Mt)</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</si>
  <si>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</si>
  <si>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</si>
  <si>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</si>
  <si>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</si>
  <si>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</si>
  <si>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</si>
  <si>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</si>
  <si>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</si>
  <si>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</si>
  <si>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</si>
  <si>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</si>
  <si>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</si>
  <si>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</si>
  <si>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</si>
  <si>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</si>
  <si>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</si>
  <si>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</si>
  <si>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</si>
  <si>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</si>
  <si>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</si>
  <si>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</si>
  <si>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</si>
  <si>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</si>
  <si>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</si>
  <si>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</si>
  <si>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</si>
  <si>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</si>
  <si>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</si>
  <si>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</si>
  <si>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</si>
  <si>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</si>
  <si>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</si>
  <si>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</si>
  <si>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</si>
  <si>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</si>
  <si>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</si>
  <si>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</si>
  <si>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</si>
  <si>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</si>
  <si>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</si>
  <si>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</si>
  <si>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</si>
  <si>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</si>
  <si>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</si>
  <si>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</si>
  <si>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</si>
  <si>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</si>
  <si>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</si>
  <si>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</si>
  <si>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</si>
  <si>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</si>
  <si>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</si>
  <si>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</si>
  <si>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</si>
  <si>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</si>
  <si>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</si>
  <si>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</si>
  <si>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</si>
  <si>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</si>
  <si>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</si>
  <si>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</si>
  <si>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</si>
  <si>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</si>
  <si>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</si>
  <si>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</si>
  <si>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</si>
  <si>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</si>
  <si>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</si>
  <si>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</si>
  <si>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</si>
  <si>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</si>
  <si>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</si>
  <si>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</si>
  <si>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</si>
  <si>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</si>
  <si>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</si>
  <si>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</si>
  <si>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</si>
  <si>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</si>
  <si>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</si>
  <si>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Residential + Commercial</t>
  </si>
  <si>
    <t>Approved Layout &amp; Floor Plans, CC, RERA certificate, NOC</t>
  </si>
  <si>
    <t>On Carpet area</t>
  </si>
  <si>
    <t>Location Link</t>
  </si>
  <si>
    <t xml:space="preserve">Layout </t>
  </si>
  <si>
    <t>Latitude, Longitude</t>
  </si>
  <si>
    <t>Landmark</t>
  </si>
  <si>
    <t>Ashar Arize</t>
  </si>
  <si>
    <t>Ms Ashar Ventures</t>
  </si>
  <si>
    <t xml:space="preserve"> 11th Floor, Ashar IT Park, Jayshri Baug, Road No. 16/Z, Wagle Industrial Estate, Thane West, Thane, Maharashtra 400604</t>
  </si>
  <si>
    <t>Pune - Mumbai Hwy, behind Sahyadri School, off Old, Jai Trimurti Cooperative Housing Society, Budhaji Nagar, Kalwa, Thane, Maharashtra 400605</t>
  </si>
  <si>
    <t xml:space="preserve">The Municipal Corporation Of The City Of Thane
</t>
  </si>
  <si>
    <t xml:space="preserve">Ashar Arize N.M.M. Society Tower A = P51700034211
Ashar Arize Tower B And C = P51700034565
Ashar Arize Galleria = P51700034721
</t>
  </si>
  <si>
    <t xml:space="preserve">31/01/2027
</t>
  </si>
  <si>
    <t>Ashar Arize N.M.M. Society Tower A = 11/04/2022
Ashar Arize Tower B And C
= 25/03/2022
Ashar Arize Galleria = 20/04/2022</t>
  </si>
  <si>
    <t>19.197961, 72.995628</t>
  </si>
  <si>
    <t>https://goo.gl/maps/pCWA2x9pnfKhpiuVA</t>
  </si>
  <si>
    <t>Sahkar Vidya Prasarak Mandal Secondary School</t>
  </si>
  <si>
    <t>About 300m from Sahkar Vidya Prasarak Mandal Secondary School</t>
  </si>
  <si>
    <t>About 950m form Aarogya Multi Specialty Hospital</t>
  </si>
  <si>
    <t>1. Approx. 600m from Sai Farmer S Market.
2. Approx. 3.1 from Thane wholesell market</t>
  </si>
  <si>
    <t>800m from Kalva Railway Station
4.2KM from Thane Railway Station</t>
  </si>
  <si>
    <t>Kalwa EMU CarShed/ Kalva Railway Station</t>
  </si>
  <si>
    <t>Nala</t>
  </si>
  <si>
    <t>N.M.M. Society</t>
  </si>
  <si>
    <t>CC Details 
Valid Up to:</t>
  </si>
  <si>
    <t>Wing A</t>
  </si>
  <si>
    <t>Lower Ground Floor For Meter Room, Fire Control Room, Rehab RWH Tank &amp; Parking</t>
  </si>
  <si>
    <t>Upper Ground Floor For Parking</t>
  </si>
  <si>
    <t>1st Podium Floor For Parking</t>
  </si>
  <si>
    <t>2nd Podium Floor/ Upper Stilt Floor For Entrance Lobby, Society Office, Creche, Fitness Center &amp; Parking</t>
  </si>
  <si>
    <t>1st Floor For Residential</t>
  </si>
  <si>
    <t>2BHK</t>
  </si>
  <si>
    <t>1BHK</t>
  </si>
  <si>
    <t>2nd, 3rd &amp; 5th Floor</t>
  </si>
  <si>
    <t>4th Floor (Part Refuge Area)</t>
  </si>
  <si>
    <t>Refuge Area</t>
  </si>
  <si>
    <t>6th to 8th &amp; 10th to 13th &amp; 15th Floor</t>
  </si>
  <si>
    <t>16th to 18th, 20th to 23rd &amp; 25th to 27th Floor</t>
  </si>
  <si>
    <t>19th &amp; 24th Floor (Part Refuge Area)</t>
  </si>
  <si>
    <t>28th Floor</t>
  </si>
  <si>
    <t>29th Floor</t>
  </si>
  <si>
    <t>Wing B</t>
  </si>
  <si>
    <t>2nd Podium Floor For Entrance Lobby &amp; Parking</t>
  </si>
  <si>
    <t>Stilt Floor For Entrance Lobby, Society Office, Amenities &amp; Parking</t>
  </si>
  <si>
    <t>1st, 3rd to 6th, 8th to 11th, 13th to 16th, 18th to 21st, 23rd to 26th, 28th to 31st, 33rd to 36th, 38th to 39th Floor For Residential</t>
  </si>
  <si>
    <t>40th Floor For Recreational Floor</t>
  </si>
  <si>
    <t>Wing C</t>
  </si>
  <si>
    <t>Lower Ground Floor For Meter Room, Fire Control Room, Drivers Room, Fire Tank, Domestic Tank &amp; Parking</t>
  </si>
  <si>
    <t>Lower Ground Floor For Meter Room, Pump Room, Rain Water Tank, Domestic Tank Drivers Room &amp; Parking</t>
  </si>
  <si>
    <t>Stilt Floor For Entrance Lobby, Guest Room, Recreational Area, Pantry, Amenities &amp; Parking</t>
  </si>
  <si>
    <t>Wing D</t>
  </si>
  <si>
    <t>Upper Ground Floor For Commercial &amp; Parking</t>
  </si>
  <si>
    <t>Flat No.</t>
  </si>
  <si>
    <t>Shop No.</t>
  </si>
  <si>
    <t>Shop</t>
  </si>
  <si>
    <t xml:space="preserve">Residential </t>
  </si>
  <si>
    <t>Residential</t>
  </si>
  <si>
    <t>Residentia</t>
  </si>
  <si>
    <t>Commercial</t>
  </si>
  <si>
    <t>V.P.S08/0114/21/TMC/TDD/4088/22
Date: 20/06/2022</t>
  </si>
  <si>
    <t>18M Wide Proposed Dp Road</t>
  </si>
  <si>
    <t>6M Wide Driveway/30M Wide Proposed Dp Road</t>
  </si>
  <si>
    <t>30M Wide Proposed Dp Road</t>
  </si>
  <si>
    <t>6M Wide Fire Engine Driveway</t>
  </si>
  <si>
    <t>Fire NOC Details</t>
  </si>
  <si>
    <t>TMC/CFO/M/HR/98/73
Date : 20/06/2022
Valid Upto: Wing A = Gr + 1st &amp; 2nd Podium + 1st to 28th + 29th (Pt) Floor = Height 102.00M
Wing B = Gr + 1st to 3rd Podium + 1st to 30th Floor Heights = 109.35M.
Wing C = 1st to 3rd Podium + 1st Floor  to 29 Floor Height = 106.30M.
Commercial Building Wing D = Gr + 1st Floor = 9.25M.</t>
  </si>
  <si>
    <t>SIA/MH/MIS/273309/2022
Date:13/09/2022</t>
  </si>
  <si>
    <t xml:space="preserve">Wing D = Gr + 1st Floor </t>
  </si>
  <si>
    <t xml:space="preserve">Flat  </t>
  </si>
  <si>
    <t>Unit Details, Nomenclature and Area Details (Commercial)</t>
  </si>
  <si>
    <t>Unit Details, Nomenclature and Area Details (Residential)</t>
  </si>
  <si>
    <t>Shop = 44</t>
  </si>
  <si>
    <t>Brochuer</t>
  </si>
  <si>
    <t>99 Acre</t>
  </si>
  <si>
    <t>MIS</t>
  </si>
  <si>
    <t xml:space="preserve"> Ashar Arize Galleria, Plot Bearing Cts No. 2459, 2460, 2461, 2490, 2491, 2492, 2546, 2547 At Thane (M Corp.), Thane, Thane, 400605
</t>
  </si>
  <si>
    <t>Middle</t>
  </si>
  <si>
    <t>500 M from Rasayani Bus Stop</t>
  </si>
  <si>
    <t>ICICI Bank
IFSC Code - ICIC0001887</t>
  </si>
  <si>
    <t>As per RERA Site Flats = 1095 &amp; Shop = 44</t>
  </si>
  <si>
    <t>Sale</t>
  </si>
  <si>
    <t xml:space="preserve">Grand Total  </t>
  </si>
  <si>
    <t>Approved Plan Details</t>
  </si>
  <si>
    <t>9th &amp; 14th (Part Refuge Area)</t>
  </si>
  <si>
    <t>4BHK</t>
  </si>
  <si>
    <t>Void</t>
  </si>
  <si>
    <t>2nd, 7th, 12th, 17th, 22nd, 27th, 32nd &amp; 37th Floor (Part Refuge Area)</t>
  </si>
  <si>
    <t>40th Floor For Residential &amp; part terrace area</t>
  </si>
  <si>
    <t>Terrace Area</t>
  </si>
  <si>
    <t>Ashar Arize, CTS No. 2459, 2460, 2461, 2490, 2491, 2492, 2546, 2547, Village - Kalwa, Tal &amp; Dist Thane 400605.</t>
  </si>
  <si>
    <t xml:space="preserve"> Ground Floor (Commercial) </t>
  </si>
  <si>
    <t xml:space="preserve">S08/0114/21/TMC/TDD/4209/22
Date: 27/09/2022
Wing A = LG + UG + 1P + Upper Stilt + 1st to 29(Pt) Floors
Wing B =  LG + UG + 1P + 2P (Pt) + Upper Stilt + 1st to 39th Floors + 40th (Recreation) (Pt) Floors
Wing C =  LG + UG + 1P + 2P (Pt) + Upper Stilt + 1st to 39th Floors + 40th (Pt) Floors
Wing D = Ground Floor (Commercial) </t>
  </si>
  <si>
    <t xml:space="preserve">Wing A </t>
  </si>
  <si>
    <t xml:space="preserve">Wing B </t>
  </si>
  <si>
    <t xml:space="preserve"> Wing C </t>
  </si>
  <si>
    <t>Flats = 1088</t>
  </si>
  <si>
    <t>Mr. Sachin 8652208309</t>
  </si>
  <si>
    <t xml:space="preserve">1. Construction work is in process at the time of Visit. Internal visit was not allowed.
2. We considered  Saleable area as per our calculation.
3. We considered Carpet area as per Approved Plan.
4. We considered Gross carpet area = Net carpet + Balcony.
5. We have considered rate by verifying it from market inquire.
6. Car parking is subjected to authentic documentation.
7. On Site, we meet Mr. Sachin 8652208309
8. A wing Flat 8 &amp; 9 is merged at 28th &amp; 29th Floor.
9. We have updated revised C.C (on 02/05/2023).
Nala is on the east side of the project.
</t>
  </si>
  <si>
    <t>External Plaster</t>
  </si>
  <si>
    <t>External Plumbing, Elevation and Waterproofing</t>
  </si>
  <si>
    <t>Wooden Work</t>
  </si>
  <si>
    <t>Electrical &amp; Sanitary fittings</t>
  </si>
  <si>
    <t>16000 to 17000</t>
  </si>
  <si>
    <t>14500 to 15500 to 17000 &amp; 5L to 7L parking
Ankita &amp; vaibhav</t>
  </si>
  <si>
    <t xml:space="preserve"> LG + UG + 1P + 2P (Pt) + Upper Stilt + 1st to 39th + 40th (Pt) Floors</t>
  </si>
  <si>
    <t xml:space="preserve"> LG + UG + 1P + 2P (Pt) + Upper Stilt + 1st to 39th + 40th (Recreation) (Pt) Floors</t>
  </si>
  <si>
    <t>LG + UG + 1P + Upper Stilt + 1st to 29(Pt) Floor</t>
  </si>
  <si>
    <t>Wing D = Gr + 1st Floor</t>
  </si>
  <si>
    <t>Ankita Mohite</t>
  </si>
  <si>
    <t>Wing B &amp; C =  LG + UG + 1P + 2P (Pt) + Upper Stilt + 1st to 39th + 40th (Pt) Floors.</t>
  </si>
  <si>
    <t>10/07/2025 @05:09 PM</t>
  </si>
  <si>
    <t>Mr. Gangaram parshuram Lambore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</si>
</sst>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sz val="18"/>
      <name val="Times New Roman"/>
      <family val="1"/>
    </font>
    <font>
      <b/>
      <sz val="12"/>
      <color indexed="81"/>
      <name val="Tahoma"/>
      <family val="2"/>
    </font>
    <font>
      <u/>
      <sz val="11"/>
      <color theme="10"/>
      <name val="Calibri"/>
      <family val="2"/>
    </font>
    <font>
      <u/>
      <sz val="18"/>
      <color theme="10"/>
      <name val="Calibri"/>
      <family val="2"/>
    </font>
  </fonts>
  <fills count="6">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6" fillId="0" borderId="0" applyNumberFormat="0" applyFill="0" applyBorder="0" applyAlignment="0" applyProtection="0"/>
  </cellStyleXfs>
  <cellXfs count="173">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0" fontId="8" fillId="0" borderId="18" xfId="0" applyFont="1" applyBorder="1" applyProtection="1">
      <protection hidden="1"/>
    </xf>
    <xf numFmtId="0" fontId="8" fillId="0" borderId="17" xfId="0"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1" fontId="3" fillId="0" borderId="1" xfId="0" applyNumberFormat="1" applyFont="1" applyBorder="1" applyAlignment="1">
      <alignment horizontal="center" vertical="top"/>
    </xf>
    <xf numFmtId="1" fontId="5" fillId="4" borderId="1" xfId="1" applyNumberFormat="1" applyFont="1" applyFill="1" applyBorder="1" applyAlignment="1">
      <alignment horizontal="center" vertical="center" wrapText="1"/>
    </xf>
    <xf numFmtId="0" fontId="3" fillId="5" borderId="0" xfId="0" applyFont="1" applyFill="1" applyAlignment="1">
      <alignment vertical="top"/>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0" fontId="7" fillId="0" borderId="0" xfId="0" applyFont="1" applyAlignment="1">
      <alignment vertical="top"/>
    </xf>
    <xf numFmtId="0" fontId="7" fillId="3" borderId="0" xfId="0" applyFont="1" applyFill="1" applyAlignment="1">
      <alignment vertical="top"/>
    </xf>
    <xf numFmtId="1" fontId="5" fillId="4" borderId="7" xfId="1" applyNumberFormat="1" applyFont="1" applyFill="1" applyBorder="1" applyAlignment="1">
      <alignment horizontal="center" vertical="center" wrapText="1"/>
    </xf>
    <xf numFmtId="1" fontId="5" fillId="4" borderId="4" xfId="1" applyNumberFormat="1" applyFont="1" applyFill="1" applyBorder="1" applyAlignment="1">
      <alignment horizontal="center" vertical="center" wrapText="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3" fillId="0" borderId="0" xfId="0" applyFont="1" applyAlignment="1">
      <alignment vertical="top" wrapText="1"/>
    </xf>
    <xf numFmtId="0" fontId="4" fillId="4" borderId="1" xfId="0" applyFont="1" applyFill="1" applyBorder="1" applyAlignment="1">
      <alignment horizontal="center" vertical="center" wrapText="1"/>
    </xf>
    <xf numFmtId="0" fontId="2" fillId="0" borderId="1" xfId="0" applyFont="1" applyBorder="1" applyAlignment="1">
      <alignment horizontal="center" vertical="center" wrapText="1"/>
    </xf>
    <xf numFmtId="9" fontId="5" fillId="4" borderId="8"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5" fillId="4" borderId="7" xfId="1" applyNumberFormat="1" applyFont="1" applyFill="1" applyBorder="1" applyAlignment="1">
      <alignment horizontal="center" vertical="top" wrapText="1"/>
    </xf>
    <xf numFmtId="1" fontId="5" fillId="4" borderId="11" xfId="1" applyNumberFormat="1" applyFont="1" applyFill="1" applyBorder="1" applyAlignment="1">
      <alignment horizontal="center" vertical="top" wrapText="1"/>
    </xf>
    <xf numFmtId="1" fontId="5" fillId="4" borderId="14" xfId="1" applyNumberFormat="1" applyFont="1" applyFill="1" applyBorder="1" applyAlignment="1">
      <alignment horizontal="center" vertical="top" wrapText="1"/>
    </xf>
    <xf numFmtId="1" fontId="5" fillId="4" borderId="15" xfId="1" applyNumberFormat="1"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1" fontId="5" fillId="4" borderId="1" xfId="1" applyNumberFormat="1" applyFont="1" applyFill="1" applyBorder="1" applyAlignment="1">
      <alignment horizontal="center" vertical="center"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center" wrapText="1"/>
    </xf>
    <xf numFmtId="0" fontId="4" fillId="4" borderId="1" xfId="0" applyFont="1" applyFill="1" applyBorder="1" applyAlignment="1">
      <alignment horizontal="left" vertical="top" wrapText="1"/>
    </xf>
    <xf numFmtId="1" fontId="5" fillId="0" borderId="1" xfId="1" applyNumberFormat="1" applyFont="1" applyBorder="1" applyAlignment="1">
      <alignment horizontal="center" vertical="top" wrapText="1"/>
    </xf>
    <xf numFmtId="0" fontId="2" fillId="2" borderId="1"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1" xfId="0" applyFont="1" applyBorder="1" applyAlignment="1">
      <alignment horizontal="left" vertical="top" wrapText="1"/>
    </xf>
    <xf numFmtId="0" fontId="4" fillId="4" borderId="1" xfId="0" applyFont="1" applyFill="1" applyBorder="1" applyAlignment="1">
      <alignment horizontal="left"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14" fontId="4" fillId="4" borderId="1" xfId="0" applyNumberFormat="1" applyFont="1" applyFill="1" applyBorder="1" applyAlignment="1">
      <alignment horizontal="center"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17" fillId="4" borderId="2" xfId="2" applyFont="1" applyFill="1" applyBorder="1" applyAlignment="1">
      <alignment horizontal="left" vertical="top" wrapText="1"/>
    </xf>
    <xf numFmtId="0" fontId="14" fillId="4" borderId="3"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4" fillId="0" borderId="1" xfId="0" applyFont="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0" fontId="4" fillId="2" borderId="1" xfId="0" applyFont="1" applyFill="1" applyBorder="1" applyAlignment="1">
      <alignment horizontal="center" vertical="top"/>
    </xf>
    <xf numFmtId="0" fontId="3" fillId="0" borderId="3" xfId="0" applyFont="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164" fontId="4" fillId="4" borderId="1" xfId="1" applyNumberFormat="1" applyFont="1" applyFill="1" applyBorder="1" applyAlignment="1" applyProtection="1">
      <alignment horizontal="center" vertical="center" wrapText="1"/>
      <protection hidden="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2" borderId="2" xfId="0" applyFont="1" applyFill="1" applyBorder="1" applyAlignment="1">
      <alignment horizontal="center" vertical="top"/>
    </xf>
    <xf numFmtId="0" fontId="4" fillId="2" borderId="5" xfId="0" applyFont="1" applyFill="1" applyBorder="1" applyAlignment="1">
      <alignment horizontal="center" vertical="top"/>
    </xf>
    <xf numFmtId="14" fontId="3" fillId="0" borderId="0" xfId="0" applyNumberFormat="1" applyFont="1" applyAlignment="1">
      <alignment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EF2E8"/>
      <color rgb="FFD60093"/>
      <color rgb="FFFCF56A"/>
      <color rgb="FFFFFFFF"/>
      <color rgb="FFCC0066"/>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1472030</xdr:colOff>
      <xdr:row>504</xdr:row>
      <xdr:rowOff>0</xdr:rowOff>
    </xdr:from>
    <xdr:to>
      <xdr:col>7</xdr:col>
      <xdr:colOff>1495546</xdr:colOff>
      <xdr:row>524</xdr:row>
      <xdr:rowOff>204546</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472030" y="155378727"/>
          <a:ext cx="7695471" cy="5400000"/>
        </a:xfrm>
        <a:prstGeom prst="rect">
          <a:avLst/>
        </a:prstGeom>
        <a:ln>
          <a:solidFill>
            <a:schemeClr val="tx1"/>
          </a:solidFill>
        </a:ln>
      </xdr:spPr>
    </xdr:pic>
    <xdr:clientData/>
  </xdr:twoCellAnchor>
  <xdr:twoCellAnchor editAs="oneCell">
    <xdr:from>
      <xdr:col>2</xdr:col>
      <xdr:colOff>386517</xdr:colOff>
      <xdr:row>525</xdr:row>
      <xdr:rowOff>203701</xdr:rowOff>
    </xdr:from>
    <xdr:to>
      <xdr:col>7</xdr:col>
      <xdr:colOff>233578</xdr:colOff>
      <xdr:row>542</xdr:row>
      <xdr:rowOff>107562</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724472" y="161158883"/>
          <a:ext cx="5181061" cy="4320000"/>
        </a:xfrm>
        <a:prstGeom prst="rect">
          <a:avLst/>
        </a:prstGeom>
        <a:ln>
          <a:solidFill>
            <a:schemeClr val="tx1"/>
          </a:solidFill>
        </a:ln>
      </xdr:spPr>
    </xdr:pic>
    <xdr:clientData/>
  </xdr:twoCellAnchor>
  <xdr:twoCellAnchor>
    <xdr:from>
      <xdr:col>0</xdr:col>
      <xdr:colOff>518526</xdr:colOff>
      <xdr:row>450</xdr:row>
      <xdr:rowOff>113077</xdr:rowOff>
    </xdr:from>
    <xdr:to>
      <xdr:col>8</xdr:col>
      <xdr:colOff>963705</xdr:colOff>
      <xdr:row>469</xdr:row>
      <xdr:rowOff>156882</xdr:rowOff>
    </xdr:to>
    <xdr:grpSp>
      <xdr:nvGrpSpPr>
        <xdr:cNvPr id="2" name="Group 1">
          <a:extLst>
            <a:ext uri="{FF2B5EF4-FFF2-40B4-BE49-F238E27FC236}">
              <a16:creationId xmlns:a16="http://schemas.microsoft.com/office/drawing/2014/main" id="{C61E5ACF-CABD-4E28-91B8-C707FD6830F1}"/>
            </a:ext>
          </a:extLst>
        </xdr:cNvPr>
        <xdr:cNvGrpSpPr/>
      </xdr:nvGrpSpPr>
      <xdr:grpSpPr>
        <a:xfrm>
          <a:off x="518526" y="138456418"/>
          <a:ext cx="9445744" cy="5153688"/>
          <a:chOff x="103909" y="143638018"/>
          <a:chExt cx="10306356" cy="5357212"/>
        </a:xfrm>
      </xdr:grpSpPr>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03909" y="143638018"/>
            <a:ext cx="10306356" cy="5357212"/>
          </a:xfrm>
          <a:prstGeom prst="rect">
            <a:avLst/>
          </a:prstGeom>
          <a:ln w="9525">
            <a:solidFill>
              <a:sysClr val="windowText" lastClr="000000"/>
            </a:solidFill>
          </a:ln>
        </xdr:spPr>
      </xdr:pic>
      <xdr:sp macro="" textlink="">
        <xdr:nvSpPr>
          <xdr:cNvPr id="23" name="Rectangle 22">
            <a:extLst>
              <a:ext uri="{FF2B5EF4-FFF2-40B4-BE49-F238E27FC236}">
                <a16:creationId xmlns:a16="http://schemas.microsoft.com/office/drawing/2014/main" id="{00000000-0008-0000-0000-000017000000}"/>
              </a:ext>
            </a:extLst>
          </xdr:cNvPr>
          <xdr:cNvSpPr/>
        </xdr:nvSpPr>
        <xdr:spPr>
          <a:xfrm>
            <a:off x="2073852" y="146238344"/>
            <a:ext cx="2376920" cy="1196431"/>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4" name="Rectangle 23">
            <a:extLst>
              <a:ext uri="{FF2B5EF4-FFF2-40B4-BE49-F238E27FC236}">
                <a16:creationId xmlns:a16="http://schemas.microsoft.com/office/drawing/2014/main" id="{00000000-0008-0000-0000-000018000000}"/>
              </a:ext>
            </a:extLst>
          </xdr:cNvPr>
          <xdr:cNvSpPr/>
        </xdr:nvSpPr>
        <xdr:spPr>
          <a:xfrm>
            <a:off x="4779818" y="146421155"/>
            <a:ext cx="1728764" cy="892396"/>
          </a:xfrm>
          <a:prstGeom prst="rect">
            <a:avLst/>
          </a:prstGeom>
          <a:noFill/>
          <a:ln w="38100">
            <a:solidFill>
              <a:srgbClr val="D600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5" name="Rectangle 24">
            <a:extLst>
              <a:ext uri="{FF2B5EF4-FFF2-40B4-BE49-F238E27FC236}">
                <a16:creationId xmlns:a16="http://schemas.microsoft.com/office/drawing/2014/main" id="{00000000-0008-0000-0000-000019000000}"/>
              </a:ext>
            </a:extLst>
          </xdr:cNvPr>
          <xdr:cNvSpPr/>
        </xdr:nvSpPr>
        <xdr:spPr>
          <a:xfrm>
            <a:off x="6591708" y="146417692"/>
            <a:ext cx="1417441" cy="892396"/>
          </a:xfrm>
          <a:prstGeom prst="rect">
            <a:avLst/>
          </a:prstGeom>
          <a:noFill/>
          <a:ln w="38100">
            <a:solidFill>
              <a:srgbClr val="D600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0" name="Rectangle 29">
            <a:extLst>
              <a:ext uri="{FF2B5EF4-FFF2-40B4-BE49-F238E27FC236}">
                <a16:creationId xmlns:a16="http://schemas.microsoft.com/office/drawing/2014/main" id="{00000000-0008-0000-0000-00001E000000}"/>
              </a:ext>
            </a:extLst>
          </xdr:cNvPr>
          <xdr:cNvSpPr/>
        </xdr:nvSpPr>
        <xdr:spPr>
          <a:xfrm>
            <a:off x="2595689" y="146369198"/>
            <a:ext cx="2891119" cy="15983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3600" b="1">
                <a:ln>
                  <a:noFill/>
                </a:ln>
                <a:solidFill>
                  <a:srgbClr val="7030A0"/>
                </a:solidFill>
              </a:rPr>
              <a:t>A Wing</a:t>
            </a:r>
          </a:p>
        </xdr:txBody>
      </xdr:sp>
      <xdr:sp macro="" textlink="">
        <xdr:nvSpPr>
          <xdr:cNvPr id="31" name="Rectangle 30">
            <a:extLst>
              <a:ext uri="{FF2B5EF4-FFF2-40B4-BE49-F238E27FC236}">
                <a16:creationId xmlns:a16="http://schemas.microsoft.com/office/drawing/2014/main" id="{00000000-0008-0000-0000-00001F000000}"/>
              </a:ext>
            </a:extLst>
          </xdr:cNvPr>
          <xdr:cNvSpPr/>
        </xdr:nvSpPr>
        <xdr:spPr>
          <a:xfrm>
            <a:off x="4984172" y="146554196"/>
            <a:ext cx="2848332" cy="15983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3600" b="1">
                <a:ln>
                  <a:noFill/>
                </a:ln>
                <a:solidFill>
                  <a:srgbClr val="7030A0"/>
                </a:solidFill>
              </a:rPr>
              <a:t>B Wing</a:t>
            </a:r>
          </a:p>
        </xdr:txBody>
      </xdr:sp>
      <xdr:sp macro="" textlink="">
        <xdr:nvSpPr>
          <xdr:cNvPr id="32" name="Rectangle 31">
            <a:extLst>
              <a:ext uri="{FF2B5EF4-FFF2-40B4-BE49-F238E27FC236}">
                <a16:creationId xmlns:a16="http://schemas.microsoft.com/office/drawing/2014/main" id="{00000000-0008-0000-0000-000020000000}"/>
              </a:ext>
            </a:extLst>
          </xdr:cNvPr>
          <xdr:cNvSpPr/>
        </xdr:nvSpPr>
        <xdr:spPr>
          <a:xfrm>
            <a:off x="6560535" y="146592297"/>
            <a:ext cx="2848332" cy="15983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3600" b="1">
                <a:ln>
                  <a:noFill/>
                </a:ln>
                <a:solidFill>
                  <a:srgbClr val="7030A0"/>
                </a:solidFill>
              </a:rPr>
              <a:t>C Wing</a:t>
            </a:r>
          </a:p>
        </xdr:txBody>
      </xdr:sp>
      <xdr:sp macro="" textlink="">
        <xdr:nvSpPr>
          <xdr:cNvPr id="33" name="Rectangle 32">
            <a:extLst>
              <a:ext uri="{FF2B5EF4-FFF2-40B4-BE49-F238E27FC236}">
                <a16:creationId xmlns:a16="http://schemas.microsoft.com/office/drawing/2014/main" id="{00000000-0008-0000-0000-000021000000}"/>
              </a:ext>
            </a:extLst>
          </xdr:cNvPr>
          <xdr:cNvSpPr/>
        </xdr:nvSpPr>
        <xdr:spPr>
          <a:xfrm>
            <a:off x="5486808" y="147278912"/>
            <a:ext cx="2972615" cy="15983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3600" b="1">
                <a:ln>
                  <a:noFill/>
                </a:ln>
                <a:solidFill>
                  <a:srgbClr val="7030A0"/>
                </a:solidFill>
              </a:rPr>
              <a:t>D Wing</a:t>
            </a:r>
          </a:p>
        </xdr:txBody>
      </xdr:sp>
      <xdr:sp macro="" textlink="">
        <xdr:nvSpPr>
          <xdr:cNvPr id="34" name="Rectangle 33">
            <a:extLst>
              <a:ext uri="{FF2B5EF4-FFF2-40B4-BE49-F238E27FC236}">
                <a16:creationId xmlns:a16="http://schemas.microsoft.com/office/drawing/2014/main" id="{00000000-0008-0000-0000-000022000000}"/>
              </a:ext>
            </a:extLst>
          </xdr:cNvPr>
          <xdr:cNvSpPr/>
        </xdr:nvSpPr>
        <xdr:spPr>
          <a:xfrm>
            <a:off x="2073853" y="147469414"/>
            <a:ext cx="2376920" cy="463514"/>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5" name="Rectangle 34">
            <a:extLst>
              <a:ext uri="{FF2B5EF4-FFF2-40B4-BE49-F238E27FC236}">
                <a16:creationId xmlns:a16="http://schemas.microsoft.com/office/drawing/2014/main" id="{00000000-0008-0000-0000-000023000000}"/>
              </a:ext>
            </a:extLst>
          </xdr:cNvPr>
          <xdr:cNvSpPr/>
        </xdr:nvSpPr>
        <xdr:spPr>
          <a:xfrm>
            <a:off x="4759036" y="147365504"/>
            <a:ext cx="3250112" cy="546643"/>
          </a:xfrm>
          <a:prstGeom prst="rect">
            <a:avLst/>
          </a:prstGeom>
          <a:noFill/>
          <a:ln w="381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36" name="Rectangle 35">
            <a:extLst>
              <a:ext uri="{FF2B5EF4-FFF2-40B4-BE49-F238E27FC236}">
                <a16:creationId xmlns:a16="http://schemas.microsoft.com/office/drawing/2014/main" id="{00000000-0008-0000-0000-000024000000}"/>
              </a:ext>
            </a:extLst>
          </xdr:cNvPr>
          <xdr:cNvSpPr/>
        </xdr:nvSpPr>
        <xdr:spPr>
          <a:xfrm>
            <a:off x="2522953" y="147344721"/>
            <a:ext cx="2891119" cy="15983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3600" b="1">
                <a:ln>
                  <a:noFill/>
                </a:ln>
                <a:solidFill>
                  <a:srgbClr val="7030A0"/>
                </a:solidFill>
              </a:rPr>
              <a:t>D Wing</a:t>
            </a:r>
          </a:p>
        </xdr:txBody>
      </xdr:sp>
    </xdr:grpSp>
    <xdr:clientData/>
  </xdr:twoCellAnchor>
  <xdr:twoCellAnchor editAs="oneCell">
    <xdr:from>
      <xdr:col>10</xdr:col>
      <xdr:colOff>0</xdr:colOff>
      <xdr:row>128</xdr:row>
      <xdr:rowOff>0</xdr:rowOff>
    </xdr:from>
    <xdr:to>
      <xdr:col>31</xdr:col>
      <xdr:colOff>82822</xdr:colOff>
      <xdr:row>153</xdr:row>
      <xdr:rowOff>41564</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4"/>
        <a:stretch>
          <a:fillRect/>
        </a:stretch>
      </xdr:blipFill>
      <xdr:spPr>
        <a:xfrm>
          <a:off x="13594773" y="52595318"/>
          <a:ext cx="13011150" cy="7315200"/>
        </a:xfrm>
        <a:prstGeom prst="rect">
          <a:avLst/>
        </a:prstGeom>
      </xdr:spPr>
    </xdr:pic>
    <xdr:clientData/>
  </xdr:twoCellAnchor>
  <xdr:twoCellAnchor>
    <xdr:from>
      <xdr:col>5</xdr:col>
      <xdr:colOff>1731818</xdr:colOff>
      <xdr:row>519</xdr:row>
      <xdr:rowOff>103910</xdr:rowOff>
    </xdr:from>
    <xdr:to>
      <xdr:col>7</xdr:col>
      <xdr:colOff>1489363</xdr:colOff>
      <xdr:row>524</xdr:row>
      <xdr:rowOff>207818</xdr:rowOff>
    </xdr:to>
    <xdr:cxnSp macro="">
      <xdr:nvCxnSpPr>
        <xdr:cNvPr id="3" name="Straight Connector 2">
          <a:extLst>
            <a:ext uri="{FF2B5EF4-FFF2-40B4-BE49-F238E27FC236}">
              <a16:creationId xmlns:a16="http://schemas.microsoft.com/office/drawing/2014/main" id="{00000000-0008-0000-0000-000003000000}"/>
            </a:ext>
          </a:extLst>
        </xdr:cNvPr>
        <xdr:cNvCxnSpPr/>
      </xdr:nvCxnSpPr>
      <xdr:spPr>
        <a:xfrm flipV="1">
          <a:off x="7360227" y="159379228"/>
          <a:ext cx="1801091" cy="1402772"/>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155863</xdr:colOff>
      <xdr:row>520</xdr:row>
      <xdr:rowOff>86591</xdr:rowOff>
    </xdr:from>
    <xdr:to>
      <xdr:col>7</xdr:col>
      <xdr:colOff>1524000</xdr:colOff>
      <xdr:row>524</xdr:row>
      <xdr:rowOff>207818</xdr:rowOff>
    </xdr:to>
    <xdr:cxnSp macro="">
      <xdr:nvCxnSpPr>
        <xdr:cNvPr id="40" name="Straight Connector 39">
          <a:extLst>
            <a:ext uri="{FF2B5EF4-FFF2-40B4-BE49-F238E27FC236}">
              <a16:creationId xmlns:a16="http://schemas.microsoft.com/office/drawing/2014/main" id="{00000000-0008-0000-0000-000028000000}"/>
            </a:ext>
          </a:extLst>
        </xdr:cNvPr>
        <xdr:cNvCxnSpPr/>
      </xdr:nvCxnSpPr>
      <xdr:spPr>
        <a:xfrm flipV="1">
          <a:off x="7827818" y="159621682"/>
          <a:ext cx="1368137" cy="1160318"/>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1437409</xdr:colOff>
      <xdr:row>517</xdr:row>
      <xdr:rowOff>69272</xdr:rowOff>
    </xdr:from>
    <xdr:to>
      <xdr:col>8</xdr:col>
      <xdr:colOff>363681</xdr:colOff>
      <xdr:row>522</xdr:row>
      <xdr:rowOff>34637</xdr:rowOff>
    </xdr:to>
    <xdr:sp macro="" textlink="">
      <xdr:nvSpPr>
        <xdr:cNvPr id="27" name="Rectangle 26">
          <a:extLst>
            <a:ext uri="{FF2B5EF4-FFF2-40B4-BE49-F238E27FC236}">
              <a16:creationId xmlns:a16="http://schemas.microsoft.com/office/drawing/2014/main" id="{00000000-0008-0000-0000-00001B000000}"/>
            </a:ext>
          </a:extLst>
        </xdr:cNvPr>
        <xdr:cNvSpPr/>
      </xdr:nvSpPr>
      <xdr:spPr>
        <a:xfrm>
          <a:off x="7065818" y="158825045"/>
          <a:ext cx="2718954" cy="12642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2400" b="1">
              <a:ln>
                <a:noFill/>
              </a:ln>
              <a:solidFill>
                <a:srgbClr val="FFFF00"/>
              </a:solidFill>
            </a:rPr>
            <a:t>Railway Track</a:t>
          </a:r>
        </a:p>
      </xdr:txBody>
    </xdr:sp>
    <xdr:clientData/>
  </xdr:twoCellAnchor>
  <xdr:twoCellAnchor>
    <xdr:from>
      <xdr:col>7</xdr:col>
      <xdr:colOff>329045</xdr:colOff>
      <xdr:row>518</xdr:row>
      <xdr:rowOff>103910</xdr:rowOff>
    </xdr:from>
    <xdr:to>
      <xdr:col>7</xdr:col>
      <xdr:colOff>554181</xdr:colOff>
      <xdr:row>522</xdr:row>
      <xdr:rowOff>17319</xdr:rowOff>
    </xdr:to>
    <xdr:cxnSp macro="">
      <xdr:nvCxnSpPr>
        <xdr:cNvPr id="42" name="Straight Arrow Connector 41">
          <a:extLst>
            <a:ext uri="{FF2B5EF4-FFF2-40B4-BE49-F238E27FC236}">
              <a16:creationId xmlns:a16="http://schemas.microsoft.com/office/drawing/2014/main" id="{00000000-0008-0000-0000-00002A000000}"/>
            </a:ext>
          </a:extLst>
        </xdr:cNvPr>
        <xdr:cNvCxnSpPr/>
      </xdr:nvCxnSpPr>
      <xdr:spPr>
        <a:xfrm>
          <a:off x="8001000" y="159119455"/>
          <a:ext cx="225136" cy="952500"/>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1854581</xdr:colOff>
      <xdr:row>510</xdr:row>
      <xdr:rowOff>73932</xdr:rowOff>
    </xdr:from>
    <xdr:to>
      <xdr:col>5</xdr:col>
      <xdr:colOff>188644</xdr:colOff>
      <xdr:row>514</xdr:row>
      <xdr:rowOff>8866</xdr:rowOff>
    </xdr:to>
    <xdr:sp macro="" textlink="">
      <xdr:nvSpPr>
        <xdr:cNvPr id="55" name="Rectangle 54">
          <a:extLst>
            <a:ext uri="{FF2B5EF4-FFF2-40B4-BE49-F238E27FC236}">
              <a16:creationId xmlns:a16="http://schemas.microsoft.com/office/drawing/2014/main" id="{00000000-0008-0000-0000-000037000000}"/>
            </a:ext>
          </a:extLst>
        </xdr:cNvPr>
        <xdr:cNvSpPr/>
      </xdr:nvSpPr>
      <xdr:spPr>
        <a:xfrm rot="20390043">
          <a:off x="5543354" y="157011296"/>
          <a:ext cx="273699" cy="974025"/>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5</xdr:col>
      <xdr:colOff>917864</xdr:colOff>
      <xdr:row>508</xdr:row>
      <xdr:rowOff>155863</xdr:rowOff>
    </xdr:from>
    <xdr:to>
      <xdr:col>7</xdr:col>
      <xdr:colOff>1593272</xdr:colOff>
      <xdr:row>513</xdr:row>
      <xdr:rowOff>121227</xdr:rowOff>
    </xdr:to>
    <xdr:sp macro="" textlink="">
      <xdr:nvSpPr>
        <xdr:cNvPr id="56" name="Rectangle 55">
          <a:extLst>
            <a:ext uri="{FF2B5EF4-FFF2-40B4-BE49-F238E27FC236}">
              <a16:creationId xmlns:a16="http://schemas.microsoft.com/office/drawing/2014/main" id="{00000000-0008-0000-0000-000038000000}"/>
            </a:ext>
          </a:extLst>
        </xdr:cNvPr>
        <xdr:cNvSpPr/>
      </xdr:nvSpPr>
      <xdr:spPr>
        <a:xfrm>
          <a:off x="6546273" y="156573681"/>
          <a:ext cx="2718954" cy="12642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2400" b="1">
              <a:ln>
                <a:noFill/>
              </a:ln>
              <a:solidFill>
                <a:srgbClr val="FFFF00"/>
              </a:solidFill>
            </a:rPr>
            <a:t>Nala</a:t>
          </a:r>
        </a:p>
      </xdr:txBody>
    </xdr:sp>
    <xdr:clientData/>
  </xdr:twoCellAnchor>
  <xdr:twoCellAnchor>
    <xdr:from>
      <xdr:col>5</xdr:col>
      <xdr:colOff>242455</xdr:colOff>
      <xdr:row>510</xdr:row>
      <xdr:rowOff>0</xdr:rowOff>
    </xdr:from>
    <xdr:to>
      <xdr:col>5</xdr:col>
      <xdr:colOff>1194955</xdr:colOff>
      <xdr:row>512</xdr:row>
      <xdr:rowOff>121227</xdr:rowOff>
    </xdr:to>
    <xdr:cxnSp macro="">
      <xdr:nvCxnSpPr>
        <xdr:cNvPr id="57" name="Straight Arrow Connector 56">
          <a:extLst>
            <a:ext uri="{FF2B5EF4-FFF2-40B4-BE49-F238E27FC236}">
              <a16:creationId xmlns:a16="http://schemas.microsoft.com/office/drawing/2014/main" id="{00000000-0008-0000-0000-000039000000}"/>
            </a:ext>
          </a:extLst>
        </xdr:cNvPr>
        <xdr:cNvCxnSpPr/>
      </xdr:nvCxnSpPr>
      <xdr:spPr>
        <a:xfrm flipH="1">
          <a:off x="5870864" y="156937364"/>
          <a:ext cx="952500" cy="640772"/>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1139858</xdr:colOff>
      <xdr:row>515</xdr:row>
      <xdr:rowOff>202349</xdr:rowOff>
    </xdr:from>
    <xdr:to>
      <xdr:col>4</xdr:col>
      <xdr:colOff>1906343</xdr:colOff>
      <xdr:row>517</xdr:row>
      <xdr:rowOff>176246</xdr:rowOff>
    </xdr:to>
    <xdr:sp macro="" textlink="">
      <xdr:nvSpPr>
        <xdr:cNvPr id="59" name="Rectangle 58">
          <a:extLst>
            <a:ext uri="{FF2B5EF4-FFF2-40B4-BE49-F238E27FC236}">
              <a16:creationId xmlns:a16="http://schemas.microsoft.com/office/drawing/2014/main" id="{00000000-0008-0000-0000-00003B000000}"/>
            </a:ext>
          </a:extLst>
        </xdr:cNvPr>
        <xdr:cNvSpPr/>
      </xdr:nvSpPr>
      <xdr:spPr>
        <a:xfrm rot="19539371">
          <a:off x="3477813" y="158438576"/>
          <a:ext cx="2117303" cy="493443"/>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897082</xdr:colOff>
      <xdr:row>512</xdr:row>
      <xdr:rowOff>169717</xdr:rowOff>
    </xdr:from>
    <xdr:to>
      <xdr:col>5</xdr:col>
      <xdr:colOff>325582</xdr:colOff>
      <xdr:row>517</xdr:row>
      <xdr:rowOff>135081</xdr:rowOff>
    </xdr:to>
    <xdr:sp macro="" textlink="">
      <xdr:nvSpPr>
        <xdr:cNvPr id="60" name="Rectangle 59">
          <a:extLst>
            <a:ext uri="{FF2B5EF4-FFF2-40B4-BE49-F238E27FC236}">
              <a16:creationId xmlns:a16="http://schemas.microsoft.com/office/drawing/2014/main" id="{00000000-0008-0000-0000-00003C000000}"/>
            </a:ext>
          </a:extLst>
        </xdr:cNvPr>
        <xdr:cNvSpPr/>
      </xdr:nvSpPr>
      <xdr:spPr>
        <a:xfrm>
          <a:off x="3235037" y="157626626"/>
          <a:ext cx="2718954" cy="12642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2400" b="1">
              <a:ln>
                <a:noFill/>
              </a:ln>
              <a:solidFill>
                <a:srgbClr val="FFFF00"/>
              </a:solidFill>
            </a:rPr>
            <a:t>Ashar Arize</a:t>
          </a:r>
        </a:p>
      </xdr:txBody>
    </xdr:sp>
    <xdr:clientData/>
  </xdr:twoCellAnchor>
  <xdr:twoCellAnchor>
    <xdr:from>
      <xdr:col>4</xdr:col>
      <xdr:colOff>69272</xdr:colOff>
      <xdr:row>514</xdr:row>
      <xdr:rowOff>0</xdr:rowOff>
    </xdr:from>
    <xdr:to>
      <xdr:col>4</xdr:col>
      <xdr:colOff>588818</xdr:colOff>
      <xdr:row>516</xdr:row>
      <xdr:rowOff>51955</xdr:rowOff>
    </xdr:to>
    <xdr:cxnSp macro="">
      <xdr:nvCxnSpPr>
        <xdr:cNvPr id="61" name="Straight Arrow Connector 60">
          <a:extLst>
            <a:ext uri="{FF2B5EF4-FFF2-40B4-BE49-F238E27FC236}">
              <a16:creationId xmlns:a16="http://schemas.microsoft.com/office/drawing/2014/main" id="{00000000-0008-0000-0000-00003D000000}"/>
            </a:ext>
          </a:extLst>
        </xdr:cNvPr>
        <xdr:cNvCxnSpPr/>
      </xdr:nvCxnSpPr>
      <xdr:spPr>
        <a:xfrm>
          <a:off x="3758045" y="157976455"/>
          <a:ext cx="519546" cy="571500"/>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1010932</xdr:colOff>
      <xdr:row>396</xdr:row>
      <xdr:rowOff>96530</xdr:rowOff>
    </xdr:from>
    <xdr:to>
      <xdr:col>25</xdr:col>
      <xdr:colOff>273675</xdr:colOff>
      <xdr:row>436</xdr:row>
      <xdr:rowOff>249690</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1687897" y="123639142"/>
          <a:ext cx="10235543" cy="11188713"/>
          <a:chOff x="204109" y="129907393"/>
          <a:chExt cx="9997978" cy="10751683"/>
        </a:xfrm>
      </xdr:grpSpPr>
      <xdr:pic>
        <xdr:nvPicPr>
          <xdr:cNvPr id="37" name="Picture 36" descr="https://vsjcllp.vsjadon.com/upload/insp-232591-1525.jpg">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300105" y="137906353"/>
            <a:ext cx="3646055" cy="27370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32591-847.jpg">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04109" y="129907393"/>
            <a:ext cx="3248834" cy="43362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2591-862.jpg">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209551" y="134362370"/>
            <a:ext cx="2579266" cy="34426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32591-874.jpg">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150178" y="137922000"/>
            <a:ext cx="2054946" cy="27370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5" name="Picture 44" descr="https://vsjcllp.vsjadon.com/upload/insp-232591-877.jpg">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586845" y="129915557"/>
            <a:ext cx="3248834" cy="43362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32591-931.jpg">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914651" y="134357609"/>
            <a:ext cx="4585892" cy="34426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9" name="Picture 48" descr="https://vsjcllp.vsjadon.com/upload/insp-232591-925.jpg">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6953253" y="129921000"/>
            <a:ext cx="3248834" cy="433629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0" name="Picture 49" descr="https://vsjcllp.vsjadon.com/upload/insp-232591-844.jpg">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606395" y="134356928"/>
            <a:ext cx="2579266" cy="34426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1" name="Picture 50" descr="https://vsjcllp.vsjadon.com/upload/insp-232591-1022.jpg">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394607" y="137908393"/>
            <a:ext cx="3646055" cy="27370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959223</xdr:colOff>
      <xdr:row>399</xdr:row>
      <xdr:rowOff>35859</xdr:rowOff>
    </xdr:from>
    <xdr:to>
      <xdr:col>8</xdr:col>
      <xdr:colOff>376517</xdr:colOff>
      <xdr:row>436</xdr:row>
      <xdr:rowOff>170329</xdr:rowOff>
    </xdr:to>
    <xdr:grpSp>
      <xdr:nvGrpSpPr>
        <xdr:cNvPr id="14" name="Group 13">
          <a:extLst>
            <a:ext uri="{FF2B5EF4-FFF2-40B4-BE49-F238E27FC236}">
              <a16:creationId xmlns:a16="http://schemas.microsoft.com/office/drawing/2014/main" id="{790B8BE4-66BF-7B6B-84AB-6D2057A3DA4F}"/>
            </a:ext>
          </a:extLst>
        </xdr:cNvPr>
        <xdr:cNvGrpSpPr/>
      </xdr:nvGrpSpPr>
      <xdr:grpSpPr>
        <a:xfrm>
          <a:off x="959223" y="124663200"/>
          <a:ext cx="8417859" cy="10085294"/>
          <a:chOff x="-879358" y="194812"/>
          <a:chExt cx="6042019" cy="7221133"/>
        </a:xfrm>
      </xdr:grpSpPr>
      <xdr:grpSp>
        <xdr:nvGrpSpPr>
          <xdr:cNvPr id="15" name="Group 14">
            <a:extLst>
              <a:ext uri="{FF2B5EF4-FFF2-40B4-BE49-F238E27FC236}">
                <a16:creationId xmlns:a16="http://schemas.microsoft.com/office/drawing/2014/main" id="{0268799A-EBEF-9D8F-F8F9-DB83835745C0}"/>
              </a:ext>
            </a:extLst>
          </xdr:cNvPr>
          <xdr:cNvGrpSpPr/>
        </xdr:nvGrpSpPr>
        <xdr:grpSpPr>
          <a:xfrm>
            <a:off x="-879358" y="194812"/>
            <a:ext cx="6042019" cy="2521131"/>
            <a:chOff x="147265" y="194812"/>
            <a:chExt cx="6042019" cy="2521131"/>
          </a:xfrm>
        </xdr:grpSpPr>
        <xdr:pic>
          <xdr:nvPicPr>
            <xdr:cNvPr id="41" name="Picture 40">
              <a:extLst>
                <a:ext uri="{FF2B5EF4-FFF2-40B4-BE49-F238E27FC236}">
                  <a16:creationId xmlns:a16="http://schemas.microsoft.com/office/drawing/2014/main" id="{96A4047D-7A17-A9D6-FBDB-682601690A7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01253" y="194812"/>
              <a:ext cx="1888031" cy="2520000"/>
            </a:xfrm>
            <a:prstGeom prst="rect">
              <a:avLst/>
            </a:prstGeom>
            <a:ln>
              <a:solidFill>
                <a:schemeClr val="tx1"/>
              </a:solidFill>
            </a:ln>
          </xdr:spPr>
        </xdr:pic>
        <xdr:pic>
          <xdr:nvPicPr>
            <xdr:cNvPr id="46" name="Picture 45">
              <a:extLst>
                <a:ext uri="{FF2B5EF4-FFF2-40B4-BE49-F238E27FC236}">
                  <a16:creationId xmlns:a16="http://schemas.microsoft.com/office/drawing/2014/main" id="{19DD52F8-0300-026C-A921-C7354FDC59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24259" y="195943"/>
              <a:ext cx="1888031" cy="2520000"/>
            </a:xfrm>
            <a:prstGeom prst="rect">
              <a:avLst/>
            </a:prstGeom>
            <a:ln>
              <a:solidFill>
                <a:schemeClr val="tx1"/>
              </a:solidFill>
            </a:ln>
          </xdr:spPr>
        </xdr:pic>
        <xdr:pic>
          <xdr:nvPicPr>
            <xdr:cNvPr id="48" name="Picture 47">
              <a:extLst>
                <a:ext uri="{FF2B5EF4-FFF2-40B4-BE49-F238E27FC236}">
                  <a16:creationId xmlns:a16="http://schemas.microsoft.com/office/drawing/2014/main" id="{6D53AC8B-026B-3652-74AF-A0C51EDCA1F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47265" y="195943"/>
              <a:ext cx="1888031" cy="2520000"/>
            </a:xfrm>
            <a:prstGeom prst="rect">
              <a:avLst/>
            </a:prstGeom>
            <a:ln>
              <a:solidFill>
                <a:schemeClr val="tx1"/>
              </a:solidFill>
            </a:ln>
          </xdr:spPr>
        </xdr:pic>
      </xdr:grpSp>
      <xdr:grpSp>
        <xdr:nvGrpSpPr>
          <xdr:cNvPr id="16" name="Group 15">
            <a:extLst>
              <a:ext uri="{FF2B5EF4-FFF2-40B4-BE49-F238E27FC236}">
                <a16:creationId xmlns:a16="http://schemas.microsoft.com/office/drawing/2014/main" id="{686686A3-14AA-904C-A4D1-C4326BD4D470}"/>
              </a:ext>
            </a:extLst>
          </xdr:cNvPr>
          <xdr:cNvGrpSpPr/>
        </xdr:nvGrpSpPr>
        <xdr:grpSpPr>
          <a:xfrm>
            <a:off x="-597765" y="5615945"/>
            <a:ext cx="5478833" cy="1800000"/>
            <a:chOff x="-1905981" y="5615945"/>
            <a:chExt cx="5478833" cy="1800000"/>
          </a:xfrm>
        </xdr:grpSpPr>
        <xdr:pic>
          <xdr:nvPicPr>
            <xdr:cNvPr id="20" name="Picture 19">
              <a:extLst>
                <a:ext uri="{FF2B5EF4-FFF2-40B4-BE49-F238E27FC236}">
                  <a16:creationId xmlns:a16="http://schemas.microsoft.com/office/drawing/2014/main" id="{2D4B48F4-C6FA-BA70-9BDC-4D8EAE958EE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05981" y="5615945"/>
              <a:ext cx="2398096" cy="1800000"/>
            </a:xfrm>
            <a:prstGeom prst="rect">
              <a:avLst/>
            </a:prstGeom>
            <a:ln>
              <a:solidFill>
                <a:schemeClr val="tx1"/>
              </a:solidFill>
            </a:ln>
          </xdr:spPr>
        </xdr:pic>
        <xdr:pic>
          <xdr:nvPicPr>
            <xdr:cNvPr id="21" name="Picture 20">
              <a:extLst>
                <a:ext uri="{FF2B5EF4-FFF2-40B4-BE49-F238E27FC236}">
                  <a16:creationId xmlns:a16="http://schemas.microsoft.com/office/drawing/2014/main" id="{931B0F27-0157-3BE1-AA16-BCDB4464573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81077" y="5615945"/>
              <a:ext cx="1354219" cy="1800000"/>
            </a:xfrm>
            <a:prstGeom prst="rect">
              <a:avLst/>
            </a:prstGeom>
            <a:ln>
              <a:solidFill>
                <a:schemeClr val="tx1"/>
              </a:solidFill>
            </a:ln>
          </xdr:spPr>
        </xdr:pic>
        <xdr:pic>
          <xdr:nvPicPr>
            <xdr:cNvPr id="26" name="Picture 25">
              <a:extLst>
                <a:ext uri="{FF2B5EF4-FFF2-40B4-BE49-F238E27FC236}">
                  <a16:creationId xmlns:a16="http://schemas.microsoft.com/office/drawing/2014/main" id="{7A8B8D35-5245-F2A4-E35D-0F077E410F8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24258" y="5615945"/>
              <a:ext cx="1348594" cy="1800000"/>
            </a:xfrm>
            <a:prstGeom prst="rect">
              <a:avLst/>
            </a:prstGeom>
            <a:ln>
              <a:solidFill>
                <a:schemeClr val="tx1"/>
              </a:solidFill>
            </a:ln>
          </xdr:spPr>
        </xdr:pic>
      </xdr:grpSp>
      <xdr:grpSp>
        <xdr:nvGrpSpPr>
          <xdr:cNvPr id="17" name="Group 16">
            <a:extLst>
              <a:ext uri="{FF2B5EF4-FFF2-40B4-BE49-F238E27FC236}">
                <a16:creationId xmlns:a16="http://schemas.microsoft.com/office/drawing/2014/main" id="{66E4EFCF-8A93-2DD2-37A6-82B122EBAFA9}"/>
              </a:ext>
            </a:extLst>
          </xdr:cNvPr>
          <xdr:cNvGrpSpPr/>
        </xdr:nvGrpSpPr>
        <xdr:grpSpPr>
          <a:xfrm>
            <a:off x="159139" y="2905944"/>
            <a:ext cx="3965024" cy="2520000"/>
            <a:chOff x="147265" y="2905944"/>
            <a:chExt cx="3965024" cy="2520000"/>
          </a:xfrm>
        </xdr:grpSpPr>
        <xdr:pic>
          <xdr:nvPicPr>
            <xdr:cNvPr id="18" name="Picture 17">
              <a:extLst>
                <a:ext uri="{FF2B5EF4-FFF2-40B4-BE49-F238E27FC236}">
                  <a16:creationId xmlns:a16="http://schemas.microsoft.com/office/drawing/2014/main" id="{CE15F2E6-BF77-373F-6A10-B30E10124BC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224258" y="2905944"/>
              <a:ext cx="1888031" cy="2520000"/>
            </a:xfrm>
            <a:prstGeom prst="rect">
              <a:avLst/>
            </a:prstGeom>
            <a:ln>
              <a:solidFill>
                <a:schemeClr val="tx1"/>
              </a:solidFill>
            </a:ln>
          </xdr:spPr>
        </xdr:pic>
        <xdr:pic>
          <xdr:nvPicPr>
            <xdr:cNvPr id="19" name="Picture 18">
              <a:extLst>
                <a:ext uri="{FF2B5EF4-FFF2-40B4-BE49-F238E27FC236}">
                  <a16:creationId xmlns:a16="http://schemas.microsoft.com/office/drawing/2014/main" id="{03F1B0D2-8C51-5B45-D1E1-E759BA91A0E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7265" y="2905944"/>
              <a:ext cx="1888031" cy="2520000"/>
            </a:xfrm>
            <a:prstGeom prst="rect">
              <a:avLst/>
            </a:prstGeom>
            <a:ln>
              <a:solidFill>
                <a:schemeClr val="tx1"/>
              </a:solidFill>
            </a:ln>
          </xdr:spPr>
        </xdr:pic>
      </xdr:grpSp>
    </xdr:grpSp>
    <xdr:clientData/>
  </xdr:twoCellAnchor>
  <xdr:oneCellAnchor>
    <xdr:from>
      <xdr:col>4</xdr:col>
      <xdr:colOff>1810870</xdr:colOff>
      <xdr:row>423</xdr:row>
      <xdr:rowOff>116541</xdr:rowOff>
    </xdr:from>
    <xdr:ext cx="726802" cy="311496"/>
    <xdr:sp macro="" textlink="">
      <xdr:nvSpPr>
        <xdr:cNvPr id="52" name="TextBox 51">
          <a:extLst>
            <a:ext uri="{FF2B5EF4-FFF2-40B4-BE49-F238E27FC236}">
              <a16:creationId xmlns:a16="http://schemas.microsoft.com/office/drawing/2014/main" id="{9857240F-09B2-8369-66F3-8FDC24E5BE4D}"/>
            </a:ext>
          </a:extLst>
        </xdr:cNvPr>
        <xdr:cNvSpPr txBox="1"/>
      </xdr:nvSpPr>
      <xdr:spPr>
        <a:xfrm>
          <a:off x="5325035" y="131198470"/>
          <a:ext cx="72680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1">
              <a:solidFill>
                <a:srgbClr val="FF0000"/>
              </a:solidFill>
            </a:rPr>
            <a:t>Wing D</a:t>
          </a:r>
        </a:p>
      </xdr:txBody>
    </xdr:sp>
    <xdr:clientData/>
  </xdr:oneCellAnchor>
  <xdr:twoCellAnchor>
    <xdr:from>
      <xdr:col>5</xdr:col>
      <xdr:colOff>268941</xdr:colOff>
      <xdr:row>421</xdr:row>
      <xdr:rowOff>134471</xdr:rowOff>
    </xdr:from>
    <xdr:to>
      <xdr:col>5</xdr:col>
      <xdr:colOff>690282</xdr:colOff>
      <xdr:row>423</xdr:row>
      <xdr:rowOff>53789</xdr:rowOff>
    </xdr:to>
    <xdr:cxnSp macro="">
      <xdr:nvCxnSpPr>
        <xdr:cNvPr id="54" name="Straight Arrow Connector 53">
          <a:extLst>
            <a:ext uri="{FF2B5EF4-FFF2-40B4-BE49-F238E27FC236}">
              <a16:creationId xmlns:a16="http://schemas.microsoft.com/office/drawing/2014/main" id="{6EC84E26-32F1-3477-5246-45D870523BC9}"/>
            </a:ext>
          </a:extLst>
        </xdr:cNvPr>
        <xdr:cNvCxnSpPr/>
      </xdr:nvCxnSpPr>
      <xdr:spPr>
        <a:xfrm flipV="1">
          <a:off x="5638800" y="130678518"/>
          <a:ext cx="421341"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307126</xdr:colOff>
      <xdr:row>18</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0"/>
          <a:ext cx="6403125" cy="3600000"/>
        </a:xfrm>
        <a:prstGeom prst="rect">
          <a:avLst/>
        </a:prstGeom>
        <a:ln>
          <a:solidFill>
            <a:schemeClr val="tx1"/>
          </a:solidFill>
        </a:ln>
      </xdr:spPr>
    </xdr:pic>
    <xdr:clientData/>
  </xdr:twoCellAnchor>
  <xdr:twoCellAnchor editAs="oneCell">
    <xdr:from>
      <xdr:col>0</xdr:col>
      <xdr:colOff>9526</xdr:colOff>
      <xdr:row>19</xdr:row>
      <xdr:rowOff>117895</xdr:rowOff>
    </xdr:from>
    <xdr:to>
      <xdr:col>10</xdr:col>
      <xdr:colOff>316651</xdr:colOff>
      <xdr:row>38</xdr:row>
      <xdr:rowOff>98395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526" y="3737395"/>
          <a:ext cx="6403125" cy="3600000"/>
        </a:xfrm>
        <a:prstGeom prst="rect">
          <a:avLst/>
        </a:prstGeom>
        <a:ln>
          <a:solidFill>
            <a:schemeClr val="tx1"/>
          </a:solidFill>
        </a:ln>
      </xdr:spPr>
    </xdr:pic>
    <xdr:clientData/>
  </xdr:twoCellAnchor>
  <xdr:twoCellAnchor editAs="oneCell">
    <xdr:from>
      <xdr:col>11</xdr:col>
      <xdr:colOff>0</xdr:colOff>
      <xdr:row>1</xdr:row>
      <xdr:rowOff>0</xdr:rowOff>
    </xdr:from>
    <xdr:to>
      <xdr:col>16</xdr:col>
      <xdr:colOff>600584</xdr:colOff>
      <xdr:row>25</xdr:row>
      <xdr:rowOff>114954</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6705600" y="190500"/>
          <a:ext cx="3648584" cy="468695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pCWA2x9pnfKhpiuV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554"/>
  <sheetViews>
    <sheetView tabSelected="1" view="pageBreakPreview" topLeftCell="A81" zoomScale="85" zoomScaleNormal="85" zoomScaleSheetLayoutView="85" zoomScalePageLayoutView="93" workbookViewId="0">
      <selection activeCell="M116" sqref="M116"/>
    </sheetView>
  </sheetViews>
  <sheetFormatPr defaultColWidth="9.109375" defaultRowHeight="17.100000000000001" customHeight="1" x14ac:dyDescent="0.3"/>
  <cols>
    <col min="1" max="1" width="31.109375" style="1" customWidth="1"/>
    <col min="2" max="2" width="1.33203125" style="1" customWidth="1"/>
    <col min="3" max="3" width="17.44140625" style="1" customWidth="1"/>
    <col min="4" max="4" width="1.44140625" style="13" customWidth="1"/>
    <col min="5" max="6" width="27.109375" style="1" customWidth="1"/>
    <col min="7" max="7" width="1.44140625" style="1" customWidth="1"/>
    <col min="8" max="8" width="24.44140625" style="1" customWidth="1"/>
    <col min="9" max="9" width="24.44140625" style="13" customWidth="1"/>
    <col min="10" max="10" width="33.88671875" style="1" customWidth="1"/>
    <col min="11" max="12" width="15.5546875" style="1" bestFit="1" customWidth="1"/>
    <col min="13" max="13" width="12.6640625" style="1" bestFit="1" customWidth="1"/>
    <col min="14" max="20" width="9.109375" style="1"/>
    <col min="21" max="23" width="0" style="1" hidden="1" customWidth="1"/>
    <col min="24" max="26" width="9.109375" style="1"/>
    <col min="27" max="27" width="7.88671875" style="1" customWidth="1"/>
    <col min="28" max="16384" width="9.109375" style="1"/>
  </cols>
  <sheetData>
    <row r="1" spans="1:12" ht="21" x14ac:dyDescent="0.3">
      <c r="A1" s="105" t="s">
        <v>41</v>
      </c>
      <c r="B1" s="106"/>
      <c r="C1" s="106"/>
      <c r="D1" s="106"/>
      <c r="E1" s="106"/>
      <c r="F1" s="106"/>
      <c r="G1" s="106"/>
      <c r="H1" s="106"/>
      <c r="I1" s="107"/>
    </row>
    <row r="2" spans="1:12" ht="42" customHeight="1" x14ac:dyDescent="0.3">
      <c r="A2" s="128" t="s">
        <v>11</v>
      </c>
      <c r="B2" s="128"/>
      <c r="C2" s="128"/>
      <c r="D2" s="4" t="s">
        <v>4</v>
      </c>
      <c r="E2" s="129" t="s">
        <v>91</v>
      </c>
      <c r="F2" s="129"/>
      <c r="G2" s="108" t="s">
        <v>15</v>
      </c>
      <c r="H2" s="108"/>
      <c r="I2" s="51">
        <v>45840</v>
      </c>
    </row>
    <row r="3" spans="1:12" ht="42.75" customHeight="1" x14ac:dyDescent="0.3">
      <c r="A3" s="116" t="s">
        <v>42</v>
      </c>
      <c r="B3" s="117"/>
      <c r="C3" s="118"/>
      <c r="D3" s="20" t="s">
        <v>4</v>
      </c>
      <c r="E3" s="122" t="s">
        <v>192</v>
      </c>
      <c r="F3" s="123"/>
      <c r="G3" s="108" t="s">
        <v>184</v>
      </c>
      <c r="H3" s="108"/>
      <c r="I3" s="17" t="s">
        <v>296</v>
      </c>
      <c r="K3" s="172">
        <v>45776</v>
      </c>
      <c r="L3" s="172">
        <v>45848</v>
      </c>
    </row>
    <row r="4" spans="1:12" ht="43.5" customHeight="1" x14ac:dyDescent="0.3">
      <c r="A4" s="116" t="s">
        <v>39</v>
      </c>
      <c r="B4" s="117"/>
      <c r="C4" s="118"/>
      <c r="D4" s="27" t="s">
        <v>4</v>
      </c>
      <c r="E4" s="114" t="s">
        <v>282</v>
      </c>
      <c r="F4" s="115"/>
      <c r="G4" s="108" t="s">
        <v>36</v>
      </c>
      <c r="H4" s="108"/>
      <c r="I4" s="17" t="str">
        <f ca="1">TEXT(TODAY(),"DD/MM/YYYY")</f>
        <v>11/07/2025</v>
      </c>
      <c r="L4" s="1">
        <f>L3-K3</f>
        <v>72</v>
      </c>
    </row>
    <row r="5" spans="1:12" ht="21" x14ac:dyDescent="0.3">
      <c r="A5" s="104" t="s">
        <v>43</v>
      </c>
      <c r="B5" s="104"/>
      <c r="C5" s="104"/>
      <c r="D5" s="104"/>
      <c r="E5" s="104"/>
      <c r="F5" s="104"/>
      <c r="G5" s="104"/>
      <c r="H5" s="104"/>
      <c r="I5" s="126"/>
    </row>
    <row r="6" spans="1:12" ht="43.5" customHeight="1" x14ac:dyDescent="0.3">
      <c r="A6" s="130" t="s">
        <v>32</v>
      </c>
      <c r="B6" s="130"/>
      <c r="C6" s="130"/>
      <c r="D6" s="2" t="s">
        <v>4</v>
      </c>
      <c r="E6" s="21" t="s">
        <v>101</v>
      </c>
      <c r="F6" s="20" t="s">
        <v>38</v>
      </c>
      <c r="G6" s="2" t="s">
        <v>4</v>
      </c>
      <c r="H6" s="102" t="s">
        <v>294</v>
      </c>
      <c r="I6" s="102"/>
    </row>
    <row r="7" spans="1:12" ht="23.25" customHeight="1" x14ac:dyDescent="0.3">
      <c r="A7" s="130" t="s">
        <v>45</v>
      </c>
      <c r="B7" s="130"/>
      <c r="C7" s="130"/>
      <c r="D7" s="2" t="s">
        <v>4</v>
      </c>
      <c r="E7" s="5" t="s">
        <v>193</v>
      </c>
      <c r="F7" s="20" t="s">
        <v>46</v>
      </c>
      <c r="G7" s="2" t="s">
        <v>4</v>
      </c>
      <c r="H7" s="114" t="s">
        <v>193</v>
      </c>
      <c r="I7" s="115"/>
    </row>
    <row r="8" spans="1:12" ht="45" customHeight="1" x14ac:dyDescent="0.3">
      <c r="A8" s="130" t="s">
        <v>47</v>
      </c>
      <c r="B8" s="130"/>
      <c r="C8" s="130"/>
      <c r="D8" s="2" t="s">
        <v>4</v>
      </c>
      <c r="E8" s="131" t="s">
        <v>194</v>
      </c>
      <c r="F8" s="131"/>
      <c r="G8" s="131"/>
      <c r="H8" s="131"/>
      <c r="I8" s="131"/>
    </row>
    <row r="9" spans="1:12" ht="45" customHeight="1" x14ac:dyDescent="0.3">
      <c r="A9" s="108" t="s">
        <v>172</v>
      </c>
      <c r="B9" s="20" t="s">
        <v>4</v>
      </c>
      <c r="C9" s="20" t="s">
        <v>44</v>
      </c>
      <c r="D9" s="2" t="s">
        <v>4</v>
      </c>
      <c r="E9" s="114" t="s">
        <v>261</v>
      </c>
      <c r="F9" s="123"/>
      <c r="G9" s="123"/>
      <c r="H9" s="123"/>
      <c r="I9" s="115"/>
    </row>
    <row r="10" spans="1:12" ht="42.75" customHeight="1" x14ac:dyDescent="0.3">
      <c r="A10" s="108"/>
      <c r="B10" s="20" t="s">
        <v>4</v>
      </c>
      <c r="C10" s="20" t="s">
        <v>14</v>
      </c>
      <c r="D10" s="2" t="s">
        <v>4</v>
      </c>
      <c r="E10" s="114" t="s">
        <v>275</v>
      </c>
      <c r="F10" s="123"/>
      <c r="G10" s="123"/>
      <c r="H10" s="123"/>
      <c r="I10" s="115"/>
    </row>
    <row r="11" spans="1:12" ht="45" customHeight="1" x14ac:dyDescent="0.3">
      <c r="A11" s="108"/>
      <c r="B11" s="20" t="s">
        <v>4</v>
      </c>
      <c r="C11" s="20" t="s">
        <v>5</v>
      </c>
      <c r="D11" s="2" t="s">
        <v>4</v>
      </c>
      <c r="E11" s="114" t="s">
        <v>195</v>
      </c>
      <c r="F11" s="123"/>
      <c r="G11" s="123"/>
      <c r="H11" s="123"/>
      <c r="I11" s="115"/>
    </row>
    <row r="12" spans="1:12" ht="21" x14ac:dyDescent="0.3">
      <c r="A12" s="108" t="s">
        <v>37</v>
      </c>
      <c r="B12" s="108"/>
      <c r="C12" s="108"/>
      <c r="D12" s="2" t="s">
        <v>4</v>
      </c>
      <c r="E12" s="102" t="s">
        <v>186</v>
      </c>
      <c r="F12" s="102"/>
      <c r="G12" s="102"/>
      <c r="H12" s="102"/>
      <c r="I12" s="102"/>
    </row>
    <row r="13" spans="1:12" ht="20.100000000000001" customHeight="1" x14ac:dyDescent="0.3">
      <c r="A13" s="104" t="s">
        <v>48</v>
      </c>
      <c r="B13" s="104"/>
      <c r="C13" s="104"/>
      <c r="D13" s="104"/>
      <c r="E13" s="104"/>
      <c r="F13" s="104"/>
      <c r="G13" s="104"/>
      <c r="H13" s="104"/>
      <c r="I13" s="104"/>
    </row>
    <row r="14" spans="1:12" ht="43.95" customHeight="1" x14ac:dyDescent="0.3">
      <c r="A14" s="20" t="s">
        <v>30</v>
      </c>
      <c r="B14" s="2" t="s">
        <v>4</v>
      </c>
      <c r="C14" s="144" t="s">
        <v>92</v>
      </c>
      <c r="D14" s="145"/>
      <c r="E14" s="146"/>
      <c r="F14" s="16" t="s">
        <v>49</v>
      </c>
      <c r="G14" s="2" t="s">
        <v>4</v>
      </c>
      <c r="H14" s="102" t="s">
        <v>196</v>
      </c>
      <c r="I14" s="102"/>
    </row>
    <row r="15" spans="1:12" ht="125.25" customHeight="1" x14ac:dyDescent="0.3">
      <c r="A15" s="20" t="s">
        <v>50</v>
      </c>
      <c r="B15" s="2" t="s">
        <v>4</v>
      </c>
      <c r="C15" s="144" t="s">
        <v>197</v>
      </c>
      <c r="D15" s="145"/>
      <c r="E15" s="146"/>
      <c r="F15" s="20" t="s">
        <v>51</v>
      </c>
      <c r="G15" s="2" t="s">
        <v>4</v>
      </c>
      <c r="H15" s="102" t="s">
        <v>198</v>
      </c>
      <c r="I15" s="102"/>
    </row>
    <row r="16" spans="1:12" ht="103.5" customHeight="1" x14ac:dyDescent="0.3">
      <c r="A16" s="48" t="s">
        <v>52</v>
      </c>
      <c r="B16" s="2" t="s">
        <v>4</v>
      </c>
      <c r="C16" s="149">
        <v>44718</v>
      </c>
      <c r="D16" s="145"/>
      <c r="E16" s="146"/>
      <c r="F16" s="20" t="s">
        <v>53</v>
      </c>
      <c r="G16" s="2" t="s">
        <v>4</v>
      </c>
      <c r="H16" s="156" t="s">
        <v>199</v>
      </c>
      <c r="I16" s="115"/>
    </row>
    <row r="17" spans="1:13" ht="63" x14ac:dyDescent="0.3">
      <c r="A17" s="48" t="s">
        <v>54</v>
      </c>
      <c r="B17" s="2" t="s">
        <v>4</v>
      </c>
      <c r="C17" s="144" t="s">
        <v>198</v>
      </c>
      <c r="D17" s="145"/>
      <c r="E17" s="146"/>
      <c r="F17" s="20" t="s">
        <v>55</v>
      </c>
      <c r="G17" s="2" t="s">
        <v>4</v>
      </c>
      <c r="H17" s="114" t="s">
        <v>264</v>
      </c>
      <c r="I17" s="115"/>
    </row>
    <row r="18" spans="1:13" ht="42" x14ac:dyDescent="0.3">
      <c r="A18" s="48" t="s">
        <v>56</v>
      </c>
      <c r="B18" s="2" t="s">
        <v>4</v>
      </c>
      <c r="C18" s="144" t="s">
        <v>185</v>
      </c>
      <c r="D18" s="145"/>
      <c r="E18" s="146"/>
      <c r="F18" s="20" t="s">
        <v>104</v>
      </c>
      <c r="G18" s="2" t="s">
        <v>4</v>
      </c>
      <c r="H18" s="102">
        <v>13163.24</v>
      </c>
      <c r="I18" s="102"/>
    </row>
    <row r="19" spans="1:13" ht="42" x14ac:dyDescent="0.3">
      <c r="A19" s="20" t="s">
        <v>57</v>
      </c>
      <c r="B19" s="2" t="s">
        <v>4</v>
      </c>
      <c r="C19" s="144">
        <v>1.1000000000000001</v>
      </c>
      <c r="D19" s="145"/>
      <c r="E19" s="146"/>
      <c r="F19" s="20" t="s">
        <v>103</v>
      </c>
      <c r="G19" s="2" t="s">
        <v>4</v>
      </c>
      <c r="H19" s="102">
        <v>76617.31</v>
      </c>
      <c r="I19" s="102"/>
    </row>
    <row r="20" spans="1:13" ht="42" x14ac:dyDescent="0.3">
      <c r="A20" s="20" t="s">
        <v>102</v>
      </c>
      <c r="B20" s="2" t="s">
        <v>4</v>
      </c>
      <c r="C20" s="144">
        <v>76617.31</v>
      </c>
      <c r="D20" s="145"/>
      <c r="E20" s="146"/>
      <c r="F20" s="6" t="s">
        <v>58</v>
      </c>
      <c r="G20" s="2" t="s">
        <v>4</v>
      </c>
      <c r="H20" s="114" t="s">
        <v>265</v>
      </c>
      <c r="I20" s="115"/>
      <c r="K20" s="1">
        <f>10+56+1+56+51+46+28+1+1+58+2+28+58</f>
        <v>396</v>
      </c>
      <c r="L20" s="1">
        <f>148+156+39+8+39</f>
        <v>390</v>
      </c>
      <c r="M20" s="1">
        <f>70+80+79+80</f>
        <v>309</v>
      </c>
    </row>
    <row r="21" spans="1:13" ht="42" x14ac:dyDescent="0.3">
      <c r="A21" s="20" t="s">
        <v>59</v>
      </c>
      <c r="B21" s="2" t="s">
        <v>4</v>
      </c>
      <c r="C21" s="144" t="s">
        <v>281</v>
      </c>
      <c r="D21" s="145"/>
      <c r="E21" s="146"/>
      <c r="F21" s="20" t="s">
        <v>60</v>
      </c>
      <c r="G21" s="2" t="s">
        <v>4</v>
      </c>
      <c r="H21" s="102" t="s">
        <v>257</v>
      </c>
      <c r="I21" s="102"/>
      <c r="K21" s="1">
        <f>7+6+19+1+5+2+2+2</f>
        <v>44</v>
      </c>
      <c r="M21" s="1">
        <f>K20+L20+M20</f>
        <v>1095</v>
      </c>
    </row>
    <row r="22" spans="1:13" ht="45" customHeight="1" x14ac:dyDescent="0.3">
      <c r="A22" s="48" t="s">
        <v>190</v>
      </c>
      <c r="B22" s="2" t="s">
        <v>4</v>
      </c>
      <c r="C22" s="144" t="s">
        <v>200</v>
      </c>
      <c r="D22" s="145"/>
      <c r="E22" s="146"/>
      <c r="F22" s="28" t="s">
        <v>191</v>
      </c>
      <c r="G22" s="28" t="s">
        <v>4</v>
      </c>
      <c r="H22" s="144" t="s">
        <v>202</v>
      </c>
      <c r="I22" s="146"/>
      <c r="L22" s="1">
        <v>1027</v>
      </c>
    </row>
    <row r="23" spans="1:13" ht="26.25" customHeight="1" x14ac:dyDescent="0.3">
      <c r="A23" s="48" t="s">
        <v>188</v>
      </c>
      <c r="B23" s="2" t="s">
        <v>4</v>
      </c>
      <c r="C23" s="147" t="s">
        <v>201</v>
      </c>
      <c r="D23" s="148"/>
      <c r="E23" s="148"/>
      <c r="F23" s="148"/>
      <c r="G23" s="148"/>
      <c r="H23" s="148"/>
      <c r="I23" s="148"/>
    </row>
    <row r="24" spans="1:13" ht="108.75" customHeight="1" x14ac:dyDescent="0.3">
      <c r="A24" s="48" t="s">
        <v>28</v>
      </c>
      <c r="B24" s="2" t="s">
        <v>4</v>
      </c>
      <c r="C24" s="102" t="s">
        <v>105</v>
      </c>
      <c r="D24" s="102"/>
      <c r="E24" s="102"/>
      <c r="F24" s="102"/>
      <c r="G24" s="102"/>
      <c r="H24" s="102"/>
      <c r="I24" s="102"/>
    </row>
    <row r="25" spans="1:13" ht="24" customHeight="1" x14ac:dyDescent="0.3">
      <c r="A25" s="105" t="s">
        <v>23</v>
      </c>
      <c r="B25" s="106"/>
      <c r="C25" s="106"/>
      <c r="D25" s="106"/>
      <c r="E25" s="106"/>
      <c r="F25" s="106"/>
      <c r="G25" s="106"/>
      <c r="H25" s="106"/>
      <c r="I25" s="107"/>
    </row>
    <row r="26" spans="1:13" ht="42" x14ac:dyDescent="0.3">
      <c r="A26" s="20" t="s">
        <v>29</v>
      </c>
      <c r="B26" s="2" t="s">
        <v>4</v>
      </c>
      <c r="C26" s="102" t="s">
        <v>93</v>
      </c>
      <c r="D26" s="102"/>
      <c r="E26" s="102"/>
      <c r="F26" s="20" t="s">
        <v>16</v>
      </c>
      <c r="G26" s="2" t="s">
        <v>4</v>
      </c>
      <c r="H26" s="102" t="s">
        <v>262</v>
      </c>
      <c r="I26" s="102"/>
    </row>
    <row r="27" spans="1:13" ht="21" x14ac:dyDescent="0.3">
      <c r="A27" s="20" t="s">
        <v>17</v>
      </c>
      <c r="B27" s="2" t="s">
        <v>4</v>
      </c>
      <c r="C27" s="102" t="s">
        <v>108</v>
      </c>
      <c r="D27" s="102"/>
      <c r="E27" s="102"/>
      <c r="F27" s="20" t="s">
        <v>173</v>
      </c>
      <c r="G27" s="2" t="s">
        <v>4</v>
      </c>
      <c r="H27" s="102" t="s">
        <v>171</v>
      </c>
      <c r="I27" s="102"/>
    </row>
    <row r="28" spans="1:13" ht="42" x14ac:dyDescent="0.3">
      <c r="A28" s="20" t="s">
        <v>26</v>
      </c>
      <c r="B28" s="2" t="s">
        <v>4</v>
      </c>
      <c r="C28" s="102" t="s">
        <v>107</v>
      </c>
      <c r="D28" s="102"/>
      <c r="E28" s="102"/>
      <c r="F28" s="20" t="s">
        <v>19</v>
      </c>
      <c r="G28" s="2" t="s">
        <v>4</v>
      </c>
      <c r="H28" s="102" t="s">
        <v>263</v>
      </c>
      <c r="I28" s="102"/>
    </row>
    <row r="29" spans="1:13" ht="42" x14ac:dyDescent="0.3">
      <c r="A29" s="48" t="s">
        <v>129</v>
      </c>
      <c r="B29" s="2" t="s">
        <v>4</v>
      </c>
      <c r="C29" s="102" t="s">
        <v>203</v>
      </c>
      <c r="D29" s="102"/>
      <c r="E29" s="102"/>
      <c r="F29" s="20" t="s">
        <v>130</v>
      </c>
      <c r="G29" s="2" t="s">
        <v>4</v>
      </c>
      <c r="H29" s="114" t="s">
        <v>204</v>
      </c>
      <c r="I29" s="115"/>
    </row>
    <row r="30" spans="1:13" ht="84" customHeight="1" x14ac:dyDescent="0.3">
      <c r="A30" s="20" t="s">
        <v>20</v>
      </c>
      <c r="B30" s="2" t="s">
        <v>4</v>
      </c>
      <c r="C30" s="102" t="s">
        <v>205</v>
      </c>
      <c r="D30" s="102"/>
      <c r="E30" s="102"/>
      <c r="F30" s="20" t="s">
        <v>18</v>
      </c>
      <c r="G30" s="2" t="s">
        <v>4</v>
      </c>
      <c r="H30" s="102" t="s">
        <v>206</v>
      </c>
      <c r="I30" s="102"/>
    </row>
    <row r="31" spans="1:13" ht="21.75" customHeight="1" x14ac:dyDescent="0.3">
      <c r="A31" s="48" t="s">
        <v>135</v>
      </c>
      <c r="B31" s="2" t="s">
        <v>4</v>
      </c>
      <c r="C31" s="102" t="s">
        <v>136</v>
      </c>
      <c r="D31" s="102"/>
      <c r="E31" s="102"/>
      <c r="F31" s="20" t="s">
        <v>137</v>
      </c>
      <c r="G31" s="2" t="s">
        <v>4</v>
      </c>
      <c r="H31" s="114" t="s">
        <v>136</v>
      </c>
      <c r="I31" s="115"/>
    </row>
    <row r="32" spans="1:13" ht="21.75" customHeight="1" x14ac:dyDescent="0.3">
      <c r="A32" s="48" t="s">
        <v>138</v>
      </c>
      <c r="B32" s="2" t="s">
        <v>4</v>
      </c>
      <c r="C32" s="114" t="s">
        <v>136</v>
      </c>
      <c r="D32" s="123"/>
      <c r="E32" s="123"/>
      <c r="F32" s="123"/>
      <c r="G32" s="123"/>
      <c r="H32" s="123"/>
      <c r="I32" s="115"/>
    </row>
    <row r="33" spans="1:9" ht="21" x14ac:dyDescent="0.3">
      <c r="A33" s="94" t="s">
        <v>40</v>
      </c>
      <c r="B33" s="95"/>
      <c r="C33" s="95"/>
      <c r="D33" s="95"/>
      <c r="E33" s="95"/>
      <c r="F33" s="95"/>
      <c r="G33" s="95"/>
      <c r="H33" s="95"/>
      <c r="I33" s="127"/>
    </row>
    <row r="34" spans="1:9" ht="42" x14ac:dyDescent="0.3">
      <c r="A34" s="116" t="s">
        <v>21</v>
      </c>
      <c r="B34" s="117"/>
      <c r="C34" s="118"/>
      <c r="D34" s="2" t="s">
        <v>4</v>
      </c>
      <c r="E34" s="21" t="s">
        <v>109</v>
      </c>
      <c r="F34" s="20" t="s">
        <v>22</v>
      </c>
      <c r="G34" s="7" t="s">
        <v>4</v>
      </c>
      <c r="H34" s="114" t="s">
        <v>110</v>
      </c>
      <c r="I34" s="115"/>
    </row>
    <row r="35" spans="1:9" ht="42" x14ac:dyDescent="0.3">
      <c r="A35" s="116" t="s">
        <v>25</v>
      </c>
      <c r="B35" s="117"/>
      <c r="C35" s="118"/>
      <c r="D35" s="2" t="s">
        <v>4</v>
      </c>
      <c r="E35" s="21" t="s">
        <v>110</v>
      </c>
      <c r="F35" s="8" t="s">
        <v>35</v>
      </c>
      <c r="G35" s="2" t="s">
        <v>4</v>
      </c>
      <c r="H35" s="114" t="s">
        <v>110</v>
      </c>
      <c r="I35" s="115"/>
    </row>
    <row r="36" spans="1:9" ht="42" x14ac:dyDescent="0.3">
      <c r="A36" s="116" t="s">
        <v>34</v>
      </c>
      <c r="B36" s="117"/>
      <c r="C36" s="118"/>
      <c r="D36" s="2" t="s">
        <v>4</v>
      </c>
      <c r="E36" s="5" t="s">
        <v>111</v>
      </c>
      <c r="F36" s="20" t="s">
        <v>24</v>
      </c>
      <c r="G36" s="23" t="s">
        <v>4</v>
      </c>
      <c r="H36" s="114" t="s">
        <v>112</v>
      </c>
      <c r="I36" s="115"/>
    </row>
    <row r="37" spans="1:9" ht="21" x14ac:dyDescent="0.3">
      <c r="A37" s="105" t="s">
        <v>0</v>
      </c>
      <c r="B37" s="106"/>
      <c r="C37" s="106"/>
      <c r="D37" s="106"/>
      <c r="E37" s="106"/>
      <c r="F37" s="106"/>
      <c r="G37" s="106"/>
      <c r="H37" s="106"/>
      <c r="I37" s="107"/>
    </row>
    <row r="38" spans="1:9" ht="21" x14ac:dyDescent="0.3">
      <c r="A38" s="153" t="s">
        <v>0</v>
      </c>
      <c r="B38" s="155"/>
      <c r="C38" s="154"/>
      <c r="D38" s="2" t="s">
        <v>4</v>
      </c>
      <c r="E38" s="9" t="s">
        <v>1</v>
      </c>
      <c r="F38" s="9" t="s">
        <v>6</v>
      </c>
      <c r="G38" s="153" t="s">
        <v>2</v>
      </c>
      <c r="H38" s="154"/>
      <c r="I38" s="9" t="s">
        <v>3</v>
      </c>
    </row>
    <row r="39" spans="1:9" ht="66.75" customHeight="1" x14ac:dyDescent="0.3">
      <c r="A39" s="116" t="s">
        <v>7</v>
      </c>
      <c r="B39" s="117"/>
      <c r="C39" s="118"/>
      <c r="D39" s="2" t="s">
        <v>4</v>
      </c>
      <c r="E39" s="22" t="s">
        <v>249</v>
      </c>
      <c r="F39" s="22" t="s">
        <v>248</v>
      </c>
      <c r="G39" s="124" t="s">
        <v>247</v>
      </c>
      <c r="H39" s="125"/>
      <c r="I39" s="22" t="s">
        <v>246</v>
      </c>
    </row>
    <row r="40" spans="1:9" ht="66" customHeight="1" x14ac:dyDescent="0.3">
      <c r="A40" s="116" t="s">
        <v>8</v>
      </c>
      <c r="B40" s="117"/>
      <c r="C40" s="118"/>
      <c r="D40" s="2" t="s">
        <v>4</v>
      </c>
      <c r="E40" s="22" t="s">
        <v>202</v>
      </c>
      <c r="F40" s="22" t="s">
        <v>207</v>
      </c>
      <c r="G40" s="124" t="s">
        <v>208</v>
      </c>
      <c r="H40" s="125"/>
      <c r="I40" s="22" t="s">
        <v>209</v>
      </c>
    </row>
    <row r="41" spans="1:9" ht="20.25" customHeight="1" x14ac:dyDescent="0.3">
      <c r="A41" s="116" t="s">
        <v>12</v>
      </c>
      <c r="B41" s="117"/>
      <c r="C41" s="118"/>
      <c r="D41" s="2" t="s">
        <v>4</v>
      </c>
      <c r="E41" s="17" t="s">
        <v>107</v>
      </c>
      <c r="F41" s="20" t="s">
        <v>13</v>
      </c>
      <c r="G41" s="2" t="s">
        <v>4</v>
      </c>
      <c r="H41" s="114" t="s">
        <v>106</v>
      </c>
      <c r="I41" s="115"/>
    </row>
    <row r="42" spans="1:9" ht="21" x14ac:dyDescent="0.3">
      <c r="A42" s="105" t="s">
        <v>61</v>
      </c>
      <c r="B42" s="106"/>
      <c r="C42" s="106"/>
      <c r="D42" s="106"/>
      <c r="E42" s="106"/>
      <c r="F42" s="106"/>
      <c r="G42" s="106"/>
      <c r="H42" s="106"/>
      <c r="I42" s="107"/>
    </row>
    <row r="43" spans="1:9" ht="41.25" customHeight="1" x14ac:dyDescent="0.3">
      <c r="A43" s="110" t="s">
        <v>62</v>
      </c>
      <c r="B43" s="110"/>
      <c r="C43" s="110" t="s">
        <v>63</v>
      </c>
      <c r="D43" s="110"/>
      <c r="E43" s="110" t="s">
        <v>170</v>
      </c>
      <c r="F43" s="110"/>
      <c r="G43" s="110"/>
      <c r="H43" s="110" t="s">
        <v>64</v>
      </c>
      <c r="I43" s="110"/>
    </row>
    <row r="44" spans="1:9" ht="42" customHeight="1" x14ac:dyDescent="0.3">
      <c r="A44" s="111" t="s">
        <v>278</v>
      </c>
      <c r="B44" s="111"/>
      <c r="C44" s="112" t="s">
        <v>241</v>
      </c>
      <c r="D44" s="112"/>
      <c r="E44" s="101" t="s">
        <v>292</v>
      </c>
      <c r="F44" s="101"/>
      <c r="G44" s="101"/>
      <c r="H44" s="101" t="str">
        <f>E44</f>
        <v>LG + UG + 1P + Upper Stilt + 1st to 29(Pt) Floor</v>
      </c>
      <c r="I44" s="101"/>
    </row>
    <row r="45" spans="1:9" ht="57" customHeight="1" x14ac:dyDescent="0.3">
      <c r="A45" s="111" t="s">
        <v>279</v>
      </c>
      <c r="B45" s="111"/>
      <c r="C45" s="113" t="s">
        <v>242</v>
      </c>
      <c r="D45" s="112"/>
      <c r="E45" s="101" t="s">
        <v>291</v>
      </c>
      <c r="F45" s="101"/>
      <c r="G45" s="101"/>
      <c r="H45" s="101" t="str">
        <f t="shared" ref="H45:H47" si="0">E45</f>
        <v xml:space="preserve"> LG + UG + 1P + 2P (Pt) + Upper Stilt + 1st to 39th + 40th (Recreation) (Pt) Floors</v>
      </c>
      <c r="I45" s="101"/>
    </row>
    <row r="46" spans="1:9" ht="66.75" customHeight="1" x14ac:dyDescent="0.3">
      <c r="A46" s="111" t="s">
        <v>280</v>
      </c>
      <c r="B46" s="111"/>
      <c r="C46" s="112" t="s">
        <v>243</v>
      </c>
      <c r="D46" s="112"/>
      <c r="E46" s="101" t="s">
        <v>290</v>
      </c>
      <c r="F46" s="101"/>
      <c r="G46" s="101"/>
      <c r="H46" s="101" t="str">
        <f>E46</f>
        <v xml:space="preserve"> LG + UG + 1P + 2P (Pt) + Upper Stilt + 1st to 39th + 40th (Pt) Floors</v>
      </c>
      <c r="I46" s="101"/>
    </row>
    <row r="47" spans="1:9" ht="21" x14ac:dyDescent="0.3">
      <c r="A47" s="111" t="s">
        <v>253</v>
      </c>
      <c r="B47" s="111"/>
      <c r="C47" s="112" t="s">
        <v>244</v>
      </c>
      <c r="D47" s="112"/>
      <c r="E47" s="101" t="s">
        <v>276</v>
      </c>
      <c r="F47" s="101"/>
      <c r="G47" s="101"/>
      <c r="H47" s="101" t="str">
        <f t="shared" si="0"/>
        <v xml:space="preserve"> Ground Floor (Commercial) </v>
      </c>
      <c r="I47" s="101"/>
    </row>
    <row r="48" spans="1:9" ht="21" x14ac:dyDescent="0.3">
      <c r="A48" s="104" t="s">
        <v>65</v>
      </c>
      <c r="B48" s="104"/>
      <c r="C48" s="104"/>
      <c r="D48" s="104"/>
      <c r="E48" s="104"/>
      <c r="F48" s="104"/>
      <c r="G48" s="104"/>
      <c r="H48" s="104"/>
      <c r="I48" s="104"/>
    </row>
    <row r="49" spans="1:11" ht="42.75" customHeight="1" x14ac:dyDescent="0.3">
      <c r="A49" s="16" t="s">
        <v>66</v>
      </c>
      <c r="B49" s="16" t="s">
        <v>4</v>
      </c>
      <c r="C49" s="102" t="s">
        <v>107</v>
      </c>
      <c r="D49" s="102"/>
      <c r="E49" s="102"/>
      <c r="F49" s="16" t="s">
        <v>67</v>
      </c>
      <c r="G49" s="16" t="s">
        <v>4</v>
      </c>
      <c r="H49" s="102" t="s">
        <v>245</v>
      </c>
      <c r="I49" s="102"/>
    </row>
    <row r="50" spans="1:11" ht="265.5" customHeight="1" x14ac:dyDescent="0.3">
      <c r="A50" s="16" t="s">
        <v>210</v>
      </c>
      <c r="B50" s="16" t="s">
        <v>4</v>
      </c>
      <c r="C50" s="102" t="s">
        <v>277</v>
      </c>
      <c r="D50" s="102"/>
      <c r="E50" s="102"/>
      <c r="F50" s="16" t="s">
        <v>268</v>
      </c>
      <c r="G50" s="16" t="s">
        <v>4</v>
      </c>
      <c r="H50" s="102" t="str">
        <f>H49</f>
        <v>V.P.S08/0114/21/TMC/TDD/4088/22
Date: 20/06/2022</v>
      </c>
      <c r="I50" s="102"/>
    </row>
    <row r="51" spans="1:11" ht="234.75" customHeight="1" x14ac:dyDescent="0.3">
      <c r="A51" s="16" t="s">
        <v>68</v>
      </c>
      <c r="B51" s="16" t="s">
        <v>4</v>
      </c>
      <c r="C51" s="102" t="s">
        <v>252</v>
      </c>
      <c r="D51" s="102"/>
      <c r="E51" s="102"/>
      <c r="F51" s="16" t="s">
        <v>250</v>
      </c>
      <c r="G51" s="16" t="s">
        <v>4</v>
      </c>
      <c r="H51" s="102" t="s">
        <v>251</v>
      </c>
      <c r="I51" s="102"/>
    </row>
    <row r="52" spans="1:11" ht="226.5" hidden="1" customHeight="1" x14ac:dyDescent="0.3">
      <c r="A52" s="16" t="s">
        <v>69</v>
      </c>
      <c r="B52" s="16" t="s">
        <v>4</v>
      </c>
      <c r="C52" s="102" t="s">
        <v>106</v>
      </c>
      <c r="D52" s="102"/>
      <c r="E52" s="102"/>
      <c r="F52" s="16" t="s">
        <v>250</v>
      </c>
      <c r="G52" s="16" t="s">
        <v>4</v>
      </c>
      <c r="H52" s="102"/>
      <c r="I52" s="102"/>
    </row>
    <row r="53" spans="1:11" ht="21.6" thickBot="1" x14ac:dyDescent="0.35">
      <c r="A53" s="104" t="s">
        <v>70</v>
      </c>
      <c r="B53" s="104"/>
      <c r="C53" s="104"/>
      <c r="D53" s="104"/>
      <c r="E53" s="104"/>
      <c r="F53" s="104"/>
      <c r="G53" s="104"/>
      <c r="H53" s="104"/>
      <c r="I53" s="104"/>
    </row>
    <row r="54" spans="1:11" ht="20.25" customHeight="1" x14ac:dyDescent="0.4">
      <c r="A54" s="164" t="str">
        <f>CONCATENATE((IF(OR(A44="",A44="NA"),"",A44)),"= ",(IF(OR(E44="",E44="NA"),"",E44)),".")</f>
        <v>Wing A = LG + UG + 1P + Upper Stilt + 1st to 29(Pt) Floor.</v>
      </c>
      <c r="B54" s="164"/>
      <c r="C54" s="164"/>
      <c r="D54" s="165" t="s">
        <v>4</v>
      </c>
      <c r="E54" s="61" t="s">
        <v>139</v>
      </c>
      <c r="F54" s="166" t="s">
        <v>125</v>
      </c>
      <c r="G54" s="166"/>
      <c r="H54" s="61" t="s">
        <v>140</v>
      </c>
      <c r="I54" s="61" t="s">
        <v>141</v>
      </c>
      <c r="J54" s="37" t="str">
        <f ca="1">(IF(F57&gt;99%,"All work completed. Please provide OC.",IF(F57&gt;89.8%,"Plinth, RCC, Brick, Plaster, Flooring, Wooden, Plumbing, Electrification, etc., work Completed. Finishing work is in process.",IF(F57&lt;94%,(IF(C57=0,"Work not yet Started.",IF(E57=25%,"Piling work in process",IF(E57=50%,"Excavation work in process",IF(E57=100%,"Excavation work Completed. ","0")))&amp;(IF(C58=0%,"",IF(C58=K59,"Footing work is process",IF(C58=K60,"Footing work Completed",IF(C58=K61,"1st Basement Completed",IF(C58=K62,"1st &amp; 2nd Basement Completed",IF(C58=K63,"1st to 3rd Basement Completed",IF(C58=K64,"1st to 4th Basement Completed",IF(C58=K65,"Plinth work is process",IF(C58=K66,"Plinth work completed","0")))))))))))&amp;(IF(C59=(F55+H55+I55),", RCC Slab",IF(C59&gt;0,", RCC upto "&amp;C59&amp;" Slab",""))&amp;(IF(C60=I55,", Brickwork",IF(C60&gt;0,", Brickwork upto "&amp;C60&amp;" Floor",""))&amp;(IF(C61=I55,", Internal Plaster",IF(C61&gt;0,", Internal Plaster upto "&amp;C61&amp;" Floor",""))&amp;(IF(C62=I55,", External Plaster",IF(C62&gt;0,", External Plaster upto "&amp;C62&amp;" Floor",""))&amp;(IF(C63=I55,", External Plumbing, Elevation and Waterproofing",IF(C63&gt;0,", External Plumbing, Elevation and Waterproofing upto "&amp;C63&amp;" Floor",""))&amp;(IF(C64=I55,", Flooring &amp; Fitting",IF(C64&gt;0,", Flooring &amp; Fitting upto "&amp;C64&amp;" Floor",""))&amp;(IF(C65=I55,", Wooden Work",IF(C65&gt;0,", Wooden Work upto "&amp;C65&amp;" Floor",""))&amp;(IF(C66=I55,", Electrical &amp; Sanitary fittings",IF(C66&gt;0,", Electrical &amp; Sanitary fittings upto "&amp;C66&amp;" Floor",""))&amp;(IF(C67&gt;0,", Finishing upto "&amp;C67&amp;" Floor","")&amp;(IF(C59&gt;0.5," Completed",""))))))))))))))))</f>
        <v>Excavation work Completed. Plinth work completed, RCC Slab, Brickwork, Internal Plaster, External Plaster, External Plumbing, Elevation and Waterproofing upto 27 Floor, Flooring &amp; Fitting upto 25 Floor, Wooden Work upto 22 Floor, Electrical &amp; Sanitary fittings upto 22 Floor Completed</v>
      </c>
      <c r="K54" s="39"/>
    </row>
    <row r="55" spans="1:11" ht="21" x14ac:dyDescent="0.4">
      <c r="A55" s="164"/>
      <c r="B55" s="164"/>
      <c r="C55" s="164"/>
      <c r="D55" s="165"/>
      <c r="E55" s="61">
        <v>1</v>
      </c>
      <c r="F55" s="166">
        <v>2</v>
      </c>
      <c r="G55" s="166"/>
      <c r="H55" s="61">
        <v>1</v>
      </c>
      <c r="I55" s="61">
        <f ca="1">--TRIM(RIGHT(SUBSTITUTE(LEFT(A54,_xlfn.AGGREGATE(16,6,FIND({0,1,2,3,4,5,6,7,8,9},A54,ROW(INDIRECT("1:"&amp;LEN(A54)))),1))," ",REPT(" ",LEN(A54))),LEN(A54)))</f>
        <v>29</v>
      </c>
      <c r="J55" s="38" t="s">
        <v>145</v>
      </c>
      <c r="K55" s="39"/>
    </row>
    <row r="56" spans="1:11" ht="20.25" customHeight="1" x14ac:dyDescent="0.4">
      <c r="A56" s="157" t="s">
        <v>143</v>
      </c>
      <c r="B56" s="157"/>
      <c r="C56" s="157" t="s">
        <v>154</v>
      </c>
      <c r="D56" s="157"/>
      <c r="E56" s="63" t="s">
        <v>155</v>
      </c>
      <c r="F56" s="157" t="s">
        <v>144</v>
      </c>
      <c r="G56" s="157"/>
      <c r="H56" s="170" t="s">
        <v>142</v>
      </c>
      <c r="I56" s="171"/>
      <c r="J56" s="41" t="s">
        <v>156</v>
      </c>
      <c r="K56" s="40">
        <f ca="1">I55*25%</f>
        <v>7.25</v>
      </c>
    </row>
    <row r="57" spans="1:11" ht="20.25" customHeight="1" x14ac:dyDescent="0.4">
      <c r="A57" s="159" t="s">
        <v>157</v>
      </c>
      <c r="B57" s="159"/>
      <c r="C57" s="166">
        <f ca="1">K58</f>
        <v>29</v>
      </c>
      <c r="D57" s="166"/>
      <c r="E57" s="62">
        <f ca="1">((100/I55)*C57)/100</f>
        <v>1</v>
      </c>
      <c r="F57" s="159">
        <f ca="1">(((C57/I55*5)+(C58/I55*20)+(25/(F55+H55+I55)*C59)+(5/(I55)*C60)+(2.5/(I55)*C61)+(2.5/(I55)*C62)+(5/I55*C63)+(10/I55*C64)+(2.5/I55*C65)+(2.5/I55*C66)+(10/I55*C67)+(10/I55*C68))/100)</f>
        <v>0.77068965517241395</v>
      </c>
      <c r="G57" s="159"/>
      <c r="H57" s="159" t="str">
        <f ca="1">J54</f>
        <v>Excavation work Completed. Plinth work completed, RCC Slab, Brickwork, Internal Plaster, External Plaster, External Plumbing, Elevation and Waterproofing upto 27 Floor, Flooring &amp; Fitting upto 25 Floor, Wooden Work upto 22 Floor, Electrical &amp; Sanitary fittings upto 22 Floor Completed</v>
      </c>
      <c r="I57" s="159"/>
      <c r="J57" s="41" t="s">
        <v>146</v>
      </c>
      <c r="K57" s="44">
        <f ca="1">I55*50%</f>
        <v>14.5</v>
      </c>
    </row>
    <row r="58" spans="1:11" ht="21" x14ac:dyDescent="0.4">
      <c r="A58" s="159" t="s">
        <v>126</v>
      </c>
      <c r="B58" s="159"/>
      <c r="C58" s="167">
        <f ca="1">K66</f>
        <v>29</v>
      </c>
      <c r="D58" s="166"/>
      <c r="E58" s="62">
        <f ca="1">((100/I55)*C58)/100</f>
        <v>1</v>
      </c>
      <c r="F58" s="159"/>
      <c r="G58" s="159"/>
      <c r="H58" s="159"/>
      <c r="I58" s="159"/>
      <c r="J58" s="41" t="s">
        <v>147</v>
      </c>
      <c r="K58" s="44">
        <f ca="1">I55</f>
        <v>29</v>
      </c>
    </row>
    <row r="59" spans="1:11" ht="21" customHeight="1" x14ac:dyDescent="0.4">
      <c r="A59" s="159" t="s">
        <v>158</v>
      </c>
      <c r="B59" s="159"/>
      <c r="C59" s="166">
        <v>32</v>
      </c>
      <c r="D59" s="166"/>
      <c r="E59" s="62">
        <f ca="1">((100/(F55+H55+I55))*C59)/100</f>
        <v>1</v>
      </c>
      <c r="F59" s="159"/>
      <c r="G59" s="159"/>
      <c r="H59" s="159"/>
      <c r="I59" s="159"/>
      <c r="J59" s="41" t="s">
        <v>148</v>
      </c>
      <c r="K59" s="45">
        <f ca="1">(IF(E55&gt;1,(I55/(E55+2)),I55/4))</f>
        <v>7.25</v>
      </c>
    </row>
    <row r="60" spans="1:11" ht="21" customHeight="1" x14ac:dyDescent="0.4">
      <c r="A60" s="159" t="s">
        <v>159</v>
      </c>
      <c r="B60" s="159"/>
      <c r="C60" s="166">
        <f>C59-F55-H55</f>
        <v>29</v>
      </c>
      <c r="D60" s="166"/>
      <c r="E60" s="62">
        <f ca="1">((100/I55)*C60)/100</f>
        <v>1</v>
      </c>
      <c r="F60" s="159"/>
      <c r="G60" s="159"/>
      <c r="H60" s="159"/>
      <c r="I60" s="159"/>
      <c r="J60" s="41" t="s">
        <v>149</v>
      </c>
      <c r="K60" s="45">
        <f ca="1">(IF(E55&gt;1,(I55/(E55+2)+K59),I55/4+K59))</f>
        <v>14.5</v>
      </c>
    </row>
    <row r="61" spans="1:11" ht="21" customHeight="1" x14ac:dyDescent="0.4">
      <c r="A61" s="168" t="s">
        <v>160</v>
      </c>
      <c r="B61" s="169"/>
      <c r="C61" s="167">
        <v>29</v>
      </c>
      <c r="D61" s="167"/>
      <c r="E61" s="62">
        <f ca="1">((100/I55)*C61)/100</f>
        <v>1</v>
      </c>
      <c r="F61" s="159"/>
      <c r="G61" s="159"/>
      <c r="H61" s="159"/>
      <c r="I61" s="159"/>
      <c r="J61" s="41" t="s">
        <v>161</v>
      </c>
      <c r="K61" s="45">
        <f>(IF(E55&gt;1,(I55/(E55+2)+K60),0))</f>
        <v>0</v>
      </c>
    </row>
    <row r="62" spans="1:11" ht="21" customHeight="1" x14ac:dyDescent="0.4">
      <c r="A62" s="168" t="s">
        <v>284</v>
      </c>
      <c r="B62" s="169"/>
      <c r="C62" s="167">
        <f>C61</f>
        <v>29</v>
      </c>
      <c r="D62" s="167"/>
      <c r="E62" s="62">
        <f ca="1">((100/I55)*C62)/100</f>
        <v>1</v>
      </c>
      <c r="F62" s="159"/>
      <c r="G62" s="159"/>
      <c r="H62" s="159"/>
      <c r="I62" s="159"/>
      <c r="J62" s="41" t="s">
        <v>162</v>
      </c>
      <c r="K62" s="45">
        <f>(IF(E55&gt;2,(I55/(E55+2)+K61),0))</f>
        <v>0</v>
      </c>
    </row>
    <row r="63" spans="1:11" ht="57.75" customHeight="1" x14ac:dyDescent="0.4">
      <c r="A63" s="168" t="s">
        <v>285</v>
      </c>
      <c r="B63" s="169"/>
      <c r="C63" s="166">
        <v>27</v>
      </c>
      <c r="D63" s="166"/>
      <c r="E63" s="62">
        <f ca="1">((100/(I55))*C63)/100</f>
        <v>0.93103448275862066</v>
      </c>
      <c r="F63" s="159"/>
      <c r="G63" s="159"/>
      <c r="H63" s="159"/>
      <c r="I63" s="159"/>
      <c r="J63" s="41" t="s">
        <v>164</v>
      </c>
      <c r="K63" s="46">
        <f>(IF(E55&gt;3,(I55/(E55+2)+K62),0))</f>
        <v>0</v>
      </c>
    </row>
    <row r="64" spans="1:11" ht="21" x14ac:dyDescent="0.4">
      <c r="A64" s="159" t="s">
        <v>163</v>
      </c>
      <c r="B64" s="159"/>
      <c r="C64" s="166">
        <v>25</v>
      </c>
      <c r="D64" s="166"/>
      <c r="E64" s="62">
        <f ca="1">((100/(I55))*C64)/100</f>
        <v>0.86206896551724133</v>
      </c>
      <c r="F64" s="159"/>
      <c r="G64" s="159"/>
      <c r="H64" s="159"/>
      <c r="I64" s="159"/>
      <c r="J64" s="41" t="s">
        <v>165</v>
      </c>
      <c r="K64" s="45">
        <f>(IF(E55&gt;4,(I55/(E55+2)+K63),0))</f>
        <v>0</v>
      </c>
    </row>
    <row r="65" spans="1:13" ht="21" customHeight="1" x14ac:dyDescent="0.4">
      <c r="A65" s="159" t="s">
        <v>286</v>
      </c>
      <c r="B65" s="159"/>
      <c r="C65" s="166">
        <v>22</v>
      </c>
      <c r="D65" s="166"/>
      <c r="E65" s="62">
        <f ca="1">((100/I55)*C65)/100</f>
        <v>0.75862068965517238</v>
      </c>
      <c r="F65" s="159"/>
      <c r="G65" s="159"/>
      <c r="H65" s="159"/>
      <c r="I65" s="159"/>
      <c r="J65" s="41" t="s">
        <v>150</v>
      </c>
      <c r="K65" s="45">
        <f ca="1">(IF(E55=1,(I55/(E55+3)+K60),IF(E55=0,(I55/4+K60),IF(E55&gt;1,0))))</f>
        <v>21.75</v>
      </c>
    </row>
    <row r="66" spans="1:13" ht="43.5" customHeight="1" thickBot="1" x14ac:dyDescent="0.45">
      <c r="A66" s="159" t="s">
        <v>287</v>
      </c>
      <c r="B66" s="159"/>
      <c r="C66" s="166">
        <v>22</v>
      </c>
      <c r="D66" s="166"/>
      <c r="E66" s="62">
        <f ca="1">((100/I55)*C66)/100</f>
        <v>0.75862068965517238</v>
      </c>
      <c r="F66" s="159"/>
      <c r="G66" s="159"/>
      <c r="H66" s="159"/>
      <c r="I66" s="159"/>
      <c r="J66" s="43" t="s">
        <v>151</v>
      </c>
      <c r="K66" s="47">
        <f ca="1">(IF(E55&gt;1.5,(I55/(E55+2)+K59+MAX(0,K60-K59)+MAX(0,K61-K60)+MAX(0,K62-K61)+MAX(0,K63-K62)+MAX(0,K64-K63)),IF(E55=1,(I55/(E55+3)+K65),IF(E55=0,I55/4+K65))))</f>
        <v>29</v>
      </c>
      <c r="M66" s="1" t="e">
        <f>(IF(D54&gt;1.5,(H54/(D54+2)+J59+MAX(0,J60-J59)+MAX(0,J61-J60)+MAX(0,J62-J61)+MAX(0,J63-J62)+MAX(0,J64-J63)),IF(D54=1,(H54/(D54+3)+J64),IF(D54=0,H54*0.3+J64))))</f>
        <v>#VALUE!</v>
      </c>
    </row>
    <row r="67" spans="1:13" ht="21" x14ac:dyDescent="0.3">
      <c r="A67" s="159" t="s">
        <v>166</v>
      </c>
      <c r="B67" s="159"/>
      <c r="C67" s="166">
        <v>0</v>
      </c>
      <c r="D67" s="166"/>
      <c r="E67" s="62">
        <f ca="1">((100/(I55))*C67)/100</f>
        <v>0</v>
      </c>
      <c r="F67" s="159"/>
      <c r="G67" s="159"/>
      <c r="H67" s="159"/>
      <c r="I67" s="159"/>
    </row>
    <row r="68" spans="1:13" ht="21" x14ac:dyDescent="0.3">
      <c r="A68" s="159" t="s">
        <v>167</v>
      </c>
      <c r="B68" s="159"/>
      <c r="C68" s="166">
        <v>0</v>
      </c>
      <c r="D68" s="166"/>
      <c r="E68" s="62">
        <f ca="1">((100/(I55))*C68)/100</f>
        <v>0</v>
      </c>
      <c r="F68" s="159"/>
      <c r="G68" s="159"/>
      <c r="H68" s="159"/>
      <c r="I68" s="159"/>
    </row>
    <row r="69" spans="1:13" ht="21.6" thickBot="1" x14ac:dyDescent="0.35">
      <c r="A69" s="104" t="s">
        <v>70</v>
      </c>
      <c r="B69" s="104"/>
      <c r="C69" s="104"/>
      <c r="D69" s="104"/>
      <c r="E69" s="104"/>
      <c r="F69" s="104"/>
      <c r="G69" s="104"/>
      <c r="H69" s="104"/>
      <c r="I69" s="104"/>
    </row>
    <row r="70" spans="1:13" ht="32.25" customHeight="1" x14ac:dyDescent="0.4">
      <c r="A70" s="164" t="s">
        <v>295</v>
      </c>
      <c r="B70" s="164"/>
      <c r="C70" s="164"/>
      <c r="D70" s="165" t="s">
        <v>4</v>
      </c>
      <c r="E70" s="61" t="s">
        <v>139</v>
      </c>
      <c r="F70" s="166" t="s">
        <v>125</v>
      </c>
      <c r="G70" s="166"/>
      <c r="H70" s="61" t="s">
        <v>140</v>
      </c>
      <c r="I70" s="61" t="s">
        <v>141</v>
      </c>
      <c r="J70" s="37" t="str">
        <f ca="1">(IF(F73&gt;99%,"All work completed. Please provide OC.",IF(F73&gt;89.8%,"Plinth, RCC, Brick, Plaster, Flooring, Wooden, Plumbing, Electrification, etc., work Completed. Finishing work is in process.",IF(F73&lt;94%,(IF(C73=0,"Work not yet Started.",IF(E73=25%,"Piling work in process",IF(E73=50%,"Excavation work in process",IF(E73=100%,"Excavation work Completed. ","0")))&amp;(IF(C74=0%,"",IF(C74=K75,"Footing work is process",IF(C74=K76,"Footing work Completed",IF(C74=K77,"1st Basement Completed",IF(C74=K78,"1st &amp; 2nd Basement Completed",IF(C74=K79,"1st to 3rd Basement Completed",IF(C74=K80,"1st to 4th Basement Completed",IF(C74=K81,"Plinth work is process",IF(C74=K82,"Plinth work completed","0")))))))))))&amp;(IF(C75=(F71+H71+I71),", RCC Slab",IF(C75&gt;0,", RCC upto "&amp;C75&amp;" Slab",""))&amp;(IF(C76=I71,", Brickwork",IF(C76&gt;0,", Brickwork upto "&amp;C76&amp;" Floor",""))&amp;(IF(C77=I71,", Internal Plaster",IF(C77&gt;0,", Internal Plaster upto "&amp;C77&amp;" Floor",""))&amp;(IF(C78=I71,", External Plaster",IF(C78&gt;0,", External Plaster upto "&amp;C78&amp;" Floor",""))&amp;(IF(C79=I71,", External Plumbing, Elevation and Waterproofing",IF(C79&gt;0,", External Plumbing, Elevation and Waterproofing upto "&amp;C79&amp;" Floor",""))&amp;(IF(C80=I71,", Flooring &amp; Fitting",IF(C80&gt;0,", Flooring &amp; Fitting upto "&amp;C80&amp;" Floor",""))&amp;(IF(C81=I71,", Wooden Work",IF(C81&gt;0,", Wooden Work upto "&amp;C81&amp;" Floor",""))&amp;(IF(C82=I71,", Electrical &amp; Sanitary fittings",IF(C82&gt;0,", Electrical &amp; Sanitary fittings upto "&amp;C82&amp;" Floor",""))&amp;(IF(C83&gt;0,", Finishing upto "&amp;C83&amp;" Floor","")&amp;(IF(C75&gt;0.5," Completed",""))))))))))))))))</f>
        <v>Excavation work Completed. Plinth work completed, RCC Slab, Brickwork, Internal Plaster, External Plaster, External Plumbing, Elevation and Waterproofing upto 38 Floor, Flooring &amp; Fitting upto 36 Floor, Wooden Work upto 34 Floor, Electrical &amp; Sanitary fittings upto 34 Floor, Finishing upto 10 Floor Completed</v>
      </c>
      <c r="K70" s="39"/>
    </row>
    <row r="71" spans="1:13" ht="32.25" customHeight="1" x14ac:dyDescent="0.4">
      <c r="A71" s="164"/>
      <c r="B71" s="164"/>
      <c r="C71" s="164"/>
      <c r="D71" s="165"/>
      <c r="E71" s="61">
        <v>1</v>
      </c>
      <c r="F71" s="166">
        <v>2</v>
      </c>
      <c r="G71" s="166"/>
      <c r="H71" s="61">
        <v>1</v>
      </c>
      <c r="I71" s="61">
        <f ca="1">--TRIM(RIGHT(SUBSTITUTE(LEFT(A70,_xlfn.AGGREGATE(16,6,FIND({0,1,2,3,4,5,6,7,8,9},A70,ROW(INDIRECT("1:"&amp;LEN(A70)))),1))," ",REPT(" ",LEN(A70))),LEN(A70)))</f>
        <v>40</v>
      </c>
      <c r="J71" s="38" t="s">
        <v>145</v>
      </c>
      <c r="K71" s="39"/>
    </row>
    <row r="72" spans="1:13" ht="20.25" customHeight="1" x14ac:dyDescent="0.4">
      <c r="A72" s="157" t="s">
        <v>143</v>
      </c>
      <c r="B72" s="157"/>
      <c r="C72" s="157" t="s">
        <v>154</v>
      </c>
      <c r="D72" s="157"/>
      <c r="E72" s="63" t="s">
        <v>155</v>
      </c>
      <c r="F72" s="157" t="s">
        <v>144</v>
      </c>
      <c r="G72" s="157"/>
      <c r="H72" s="170" t="s">
        <v>142</v>
      </c>
      <c r="I72" s="171"/>
      <c r="J72" s="41" t="s">
        <v>156</v>
      </c>
      <c r="K72" s="40">
        <f ca="1">I71*25%</f>
        <v>10</v>
      </c>
    </row>
    <row r="73" spans="1:13" ht="20.25" customHeight="1" x14ac:dyDescent="0.4">
      <c r="A73" s="159" t="s">
        <v>157</v>
      </c>
      <c r="B73" s="159"/>
      <c r="C73" s="166">
        <f ca="1">K74</f>
        <v>40</v>
      </c>
      <c r="D73" s="166"/>
      <c r="E73" s="62">
        <f ca="1">((100/I71)*C73)/100</f>
        <v>1</v>
      </c>
      <c r="F73" s="159">
        <f ca="1">(((C73/I71*5)+(C74/I71*20)+(25/(F71+H71+I71)*C75)+(5/(I71)*C76)+(2.5/(I71)*C77)+(2.5/(I71)*C78)+(5/I71*C79)+(10/I71*C80)+(2.5/I71*C81)+(2.5/I71*C82)+(10/I71*C83)+(10/I71*C84))/100)</f>
        <v>0.80500000000000005</v>
      </c>
      <c r="G73" s="159"/>
      <c r="H73" s="159" t="str">
        <f ca="1">J70</f>
        <v>Excavation work Completed. Plinth work completed, RCC Slab, Brickwork, Internal Plaster, External Plaster, External Plumbing, Elevation and Waterproofing upto 38 Floor, Flooring &amp; Fitting upto 36 Floor, Wooden Work upto 34 Floor, Electrical &amp; Sanitary fittings upto 34 Floor, Finishing upto 10 Floor Completed</v>
      </c>
      <c r="I73" s="159"/>
      <c r="J73" s="41" t="s">
        <v>146</v>
      </c>
      <c r="K73" s="44">
        <f ca="1">I71*50%</f>
        <v>20</v>
      </c>
    </row>
    <row r="74" spans="1:13" ht="21" x14ac:dyDescent="0.4">
      <c r="A74" s="159" t="s">
        <v>126</v>
      </c>
      <c r="B74" s="159"/>
      <c r="C74" s="167">
        <f ca="1">K82</f>
        <v>40</v>
      </c>
      <c r="D74" s="166"/>
      <c r="E74" s="62">
        <f ca="1">((100/I71)*C74)/100</f>
        <v>1</v>
      </c>
      <c r="F74" s="159"/>
      <c r="G74" s="159"/>
      <c r="H74" s="159"/>
      <c r="I74" s="159"/>
      <c r="J74" s="41" t="s">
        <v>147</v>
      </c>
      <c r="K74" s="44">
        <f ca="1">I71</f>
        <v>40</v>
      </c>
    </row>
    <row r="75" spans="1:13" ht="21" customHeight="1" x14ac:dyDescent="0.4">
      <c r="A75" s="159" t="s">
        <v>158</v>
      </c>
      <c r="B75" s="159"/>
      <c r="C75" s="166">
        <v>43</v>
      </c>
      <c r="D75" s="166"/>
      <c r="E75" s="62">
        <f ca="1">((100/(F71+H71+I71))*C75)/100</f>
        <v>1</v>
      </c>
      <c r="F75" s="159"/>
      <c r="G75" s="159"/>
      <c r="H75" s="159"/>
      <c r="I75" s="159"/>
      <c r="J75" s="41" t="s">
        <v>148</v>
      </c>
      <c r="K75" s="45">
        <f ca="1">(IF(E71&gt;1,(I71/(E71+2)),I71/4))</f>
        <v>10</v>
      </c>
    </row>
    <row r="76" spans="1:13" ht="21" customHeight="1" x14ac:dyDescent="0.4">
      <c r="A76" s="159" t="s">
        <v>159</v>
      </c>
      <c r="B76" s="159"/>
      <c r="C76" s="166">
        <f>C75-F71-H71</f>
        <v>40</v>
      </c>
      <c r="D76" s="166"/>
      <c r="E76" s="62">
        <f ca="1">((100/I71)*C76)/100</f>
        <v>1</v>
      </c>
      <c r="F76" s="159"/>
      <c r="G76" s="159"/>
      <c r="H76" s="159"/>
      <c r="I76" s="159"/>
      <c r="J76" s="41" t="s">
        <v>149</v>
      </c>
      <c r="K76" s="45">
        <f ca="1">(IF(E71&gt;1,(I71/(E71+2)+K75),I71/4+K75))</f>
        <v>20</v>
      </c>
    </row>
    <row r="77" spans="1:13" ht="21" customHeight="1" x14ac:dyDescent="0.4">
      <c r="A77" s="168" t="s">
        <v>160</v>
      </c>
      <c r="B77" s="169"/>
      <c r="C77" s="167">
        <v>40</v>
      </c>
      <c r="D77" s="167"/>
      <c r="E77" s="62">
        <f ca="1">((100/I71)*C77)/100</f>
        <v>1</v>
      </c>
      <c r="F77" s="159"/>
      <c r="G77" s="159"/>
      <c r="H77" s="159"/>
      <c r="I77" s="159"/>
      <c r="J77" s="41" t="s">
        <v>161</v>
      </c>
      <c r="K77" s="45">
        <f>(IF(E71&gt;1,(I71/(E71+2)+K76),0))</f>
        <v>0</v>
      </c>
    </row>
    <row r="78" spans="1:13" ht="21" customHeight="1" x14ac:dyDescent="0.4">
      <c r="A78" s="168" t="s">
        <v>284</v>
      </c>
      <c r="B78" s="169"/>
      <c r="C78" s="167">
        <f>C77</f>
        <v>40</v>
      </c>
      <c r="D78" s="167"/>
      <c r="E78" s="62">
        <f ca="1">((100/I71)*C78)/100</f>
        <v>1</v>
      </c>
      <c r="F78" s="159"/>
      <c r="G78" s="159"/>
      <c r="H78" s="159"/>
      <c r="I78" s="159"/>
      <c r="J78" s="41" t="s">
        <v>162</v>
      </c>
      <c r="K78" s="45">
        <f>(IF(E71&gt;2,(I71/(E71+2)+K77),0))</f>
        <v>0</v>
      </c>
    </row>
    <row r="79" spans="1:13" ht="57.75" customHeight="1" x14ac:dyDescent="0.4">
      <c r="A79" s="168" t="s">
        <v>285</v>
      </c>
      <c r="B79" s="169"/>
      <c r="C79" s="166">
        <v>38</v>
      </c>
      <c r="D79" s="166"/>
      <c r="E79" s="62">
        <f ca="1">((100/(I71))*C79)/100</f>
        <v>0.95</v>
      </c>
      <c r="F79" s="159"/>
      <c r="G79" s="159"/>
      <c r="H79" s="159"/>
      <c r="I79" s="159"/>
      <c r="J79" s="41" t="s">
        <v>164</v>
      </c>
      <c r="K79" s="46">
        <f>(IF(E71&gt;3,(I71/(E71+2)+K78),0))</f>
        <v>0</v>
      </c>
    </row>
    <row r="80" spans="1:13" ht="21" x14ac:dyDescent="0.4">
      <c r="A80" s="159" t="s">
        <v>163</v>
      </c>
      <c r="B80" s="159"/>
      <c r="C80" s="166">
        <v>36</v>
      </c>
      <c r="D80" s="166"/>
      <c r="E80" s="62">
        <f ca="1">((100/(I71))*C80)/100</f>
        <v>0.9</v>
      </c>
      <c r="F80" s="159"/>
      <c r="G80" s="159"/>
      <c r="H80" s="159"/>
      <c r="I80" s="159"/>
      <c r="J80" s="41" t="s">
        <v>165</v>
      </c>
      <c r="K80" s="45">
        <f>(IF(E71&gt;4,(I71/(E71+2)+K79),0))</f>
        <v>0</v>
      </c>
    </row>
    <row r="81" spans="1:13" ht="21" customHeight="1" x14ac:dyDescent="0.4">
      <c r="A81" s="159" t="s">
        <v>286</v>
      </c>
      <c r="B81" s="159"/>
      <c r="C81" s="166">
        <v>34</v>
      </c>
      <c r="D81" s="166"/>
      <c r="E81" s="62">
        <f ca="1">((100/I71)*C81)/100</f>
        <v>0.85</v>
      </c>
      <c r="F81" s="159"/>
      <c r="G81" s="159"/>
      <c r="H81" s="159"/>
      <c r="I81" s="159"/>
      <c r="J81" s="41" t="s">
        <v>150</v>
      </c>
      <c r="K81" s="45">
        <f ca="1">(IF(E71=1,(I71/(E71+3)+K76),IF(E71=0,(I71/4+K76),IF(E71&gt;1,0))))</f>
        <v>30</v>
      </c>
    </row>
    <row r="82" spans="1:13" ht="43.5" customHeight="1" thickBot="1" x14ac:dyDescent="0.45">
      <c r="A82" s="159" t="s">
        <v>287</v>
      </c>
      <c r="B82" s="159"/>
      <c r="C82" s="166">
        <v>34</v>
      </c>
      <c r="D82" s="166"/>
      <c r="E82" s="62">
        <f ca="1">((100/I71)*C82)/100</f>
        <v>0.85</v>
      </c>
      <c r="F82" s="159"/>
      <c r="G82" s="159"/>
      <c r="H82" s="159"/>
      <c r="I82" s="159"/>
      <c r="J82" s="43" t="s">
        <v>151</v>
      </c>
      <c r="K82" s="47">
        <f ca="1">(IF(E71&gt;1.5,(I71/(E71+2)+K75+MAX(0,K76-K75)+MAX(0,K77-K76)+MAX(0,K78-K77)+MAX(0,K79-K78)+MAX(0,K80-K79)),IF(E71=1,(I71/(E71+3)+K81),IF(E71=0,I71/4+K81))))</f>
        <v>40</v>
      </c>
      <c r="M82" s="1" t="e">
        <f>(IF(D70&gt;1.5,(H70/(D70+2)+J75+MAX(0,J76-J75)+MAX(0,J77-J76)+MAX(0,J78-J77)+MAX(0,J79-J78)+MAX(0,J80-J79)),IF(D70=1,(H70/(D70+3)+J80),IF(D70=0,H70*0.3+J80))))</f>
        <v>#VALUE!</v>
      </c>
    </row>
    <row r="83" spans="1:13" ht="21" x14ac:dyDescent="0.3">
      <c r="A83" s="159" t="s">
        <v>166</v>
      </c>
      <c r="B83" s="159"/>
      <c r="C83" s="166">
        <v>10</v>
      </c>
      <c r="D83" s="166"/>
      <c r="E83" s="62">
        <f ca="1">((100/(I71))*C83)/100</f>
        <v>0.25</v>
      </c>
      <c r="F83" s="159"/>
      <c r="G83" s="159"/>
      <c r="H83" s="159"/>
      <c r="I83" s="159"/>
    </row>
    <row r="84" spans="1:13" ht="21" x14ac:dyDescent="0.3">
      <c r="A84" s="159" t="s">
        <v>167</v>
      </c>
      <c r="B84" s="159"/>
      <c r="C84" s="166">
        <v>0</v>
      </c>
      <c r="D84" s="166"/>
      <c r="E84" s="62">
        <f ca="1">((100/(I71))*C84)/100</f>
        <v>0</v>
      </c>
      <c r="F84" s="159"/>
      <c r="G84" s="159"/>
      <c r="H84" s="159"/>
      <c r="I84" s="159"/>
    </row>
    <row r="85" spans="1:13" ht="21.6" hidden="1" thickBot="1" x14ac:dyDescent="0.35">
      <c r="A85" s="104" t="s">
        <v>70</v>
      </c>
      <c r="B85" s="104"/>
      <c r="C85" s="104"/>
      <c r="D85" s="104"/>
      <c r="E85" s="104"/>
      <c r="F85" s="104"/>
      <c r="G85" s="104"/>
      <c r="H85" s="104"/>
      <c r="I85" s="104"/>
    </row>
    <row r="86" spans="1:13" ht="36.75" hidden="1" customHeight="1" x14ac:dyDescent="0.4">
      <c r="A86" s="164" t="str">
        <f>CONCATENATE((IF(OR(A46="",A46="NA"),"",A46)),"= ",(IF(OR(E46="",E46="NA"),"",E46)),".")</f>
        <v xml:space="preserve"> Wing C =  LG + UG + 1P + 2P (Pt) + Upper Stilt + 1st to 39th + 40th (Pt) Floors.</v>
      </c>
      <c r="B86" s="164"/>
      <c r="C86" s="164"/>
      <c r="D86" s="165" t="s">
        <v>4</v>
      </c>
      <c r="E86" s="61" t="s">
        <v>139</v>
      </c>
      <c r="F86" s="166" t="s">
        <v>125</v>
      </c>
      <c r="G86" s="166"/>
      <c r="H86" s="61" t="s">
        <v>140</v>
      </c>
      <c r="I86" s="61" t="s">
        <v>141</v>
      </c>
      <c r="J86" s="37" t="str">
        <f ca="1">(IF(F89&gt;99%,"All work completed. Please provide OC.",IF(F89&gt;89.8%,"Plinth, RCC, Brick, Plaster, Flooring, Wooden, Plumbing, Electrification, etc., work Completed. Finishing work is in process.",IF(F89&lt;94%,(IF(C89=0,"Work not yet Started.",IF(E89=25%,"Piling work in process",IF(E89=50%,"Excavation work in process",IF(E89=100%,"Excavation work Completed. ","0")))&amp;(IF(C90=0%,"",IF(C90=K91,"Footing work is process",IF(C90=K92,"Footing work Completed",IF(C90=K93,"1st Basement Completed",IF(C90=K94,"1st &amp; 2nd Basement Completed",IF(C90=K95,"1st to 3rd Basement Completed",IF(C90=K96,"1st to 4th Basement Completed",IF(C90=K97,"Plinth work is process",IF(C90=K98,"Plinth work completed","0")))))))))))&amp;(IF(C91=(F87+H87+I87),", RCC Slab",IF(C91&gt;0,", RCC upto "&amp;C91&amp;" Slab",""))&amp;(IF(C92=I87,", Brickwork",IF(C92&gt;0,", Brickwork upto "&amp;C92&amp;" Floor",""))&amp;(IF(C93=I87,", Internal Plaster",IF(C93&gt;0,", Internal Plaster upto "&amp;C93&amp;" Floor",""))&amp;(IF(C94=I87,", External Plaster",IF(C94&gt;0,", External Plaster upto "&amp;C94&amp;" Floor",""))&amp;(IF(C95=I87,", External Plumbing, Elevation and Waterproofing",IF(C95&gt;0,", External Plumbing, Elevation and Waterproofing upto "&amp;C95&amp;" Floor",""))&amp;(IF(C96=I87,", Flooring &amp; Fitting",IF(C96&gt;0,", Flooring &amp; Fitting upto "&amp;C96&amp;" Floor",""))&amp;(IF(C97=I87,", Wooden Work",IF(C97&gt;0,", Wooden Work upto "&amp;C97&amp;" Floor",""))&amp;(IF(C98=I87,", Electrical &amp; Sanitary fittings",IF(C98&gt;0,", Electrical &amp; Sanitary fittings upto "&amp;C98&amp;" Floor",""))&amp;(IF(C99&gt;0,", Finishing upto "&amp;C99&amp;" Floor","")&amp;(IF(C91&gt;0.5," Completed",""))))))))))))))))</f>
        <v>Excavation work Completed. Plinth work completed, RCC Slab, Brickwork, Internal Plaster, External Plaster, External Plumbing, Elevation and Waterproofing upto 37 Floor, Flooring &amp; Fitting upto 35 Floor, Wooden Work upto 30 Floor, Electrical &amp; Sanitary fittings upto 28 Floor Completed</v>
      </c>
      <c r="K86" s="39"/>
    </row>
    <row r="87" spans="1:13" ht="36.75" hidden="1" customHeight="1" x14ac:dyDescent="0.4">
      <c r="A87" s="164"/>
      <c r="B87" s="164"/>
      <c r="C87" s="164"/>
      <c r="D87" s="165"/>
      <c r="E87" s="61">
        <v>1</v>
      </c>
      <c r="F87" s="166">
        <v>2</v>
      </c>
      <c r="G87" s="166"/>
      <c r="H87" s="61">
        <v>1</v>
      </c>
      <c r="I87" s="61">
        <f ca="1">--TRIM(RIGHT(SUBSTITUTE(LEFT(A86,_xlfn.AGGREGATE(16,6,FIND({0,1,2,3,4,5,6,7,8,9},A86,ROW(INDIRECT("1:"&amp;LEN(A86)))),1))," ",REPT(" ",LEN(A86))),LEN(A86)))</f>
        <v>40</v>
      </c>
      <c r="J87" s="38" t="s">
        <v>145</v>
      </c>
      <c r="K87" s="39"/>
    </row>
    <row r="88" spans="1:13" ht="20.25" hidden="1" customHeight="1" x14ac:dyDescent="0.4">
      <c r="A88" s="157" t="s">
        <v>143</v>
      </c>
      <c r="B88" s="157"/>
      <c r="C88" s="157" t="s">
        <v>154</v>
      </c>
      <c r="D88" s="157"/>
      <c r="E88" s="63" t="s">
        <v>155</v>
      </c>
      <c r="F88" s="157" t="s">
        <v>144</v>
      </c>
      <c r="G88" s="157"/>
      <c r="H88" s="170" t="s">
        <v>142</v>
      </c>
      <c r="I88" s="171"/>
      <c r="J88" s="41" t="s">
        <v>156</v>
      </c>
      <c r="K88" s="40">
        <f ca="1">I87*25%</f>
        <v>10</v>
      </c>
    </row>
    <row r="89" spans="1:13" ht="20.25" hidden="1" customHeight="1" x14ac:dyDescent="0.4">
      <c r="A89" s="159" t="s">
        <v>157</v>
      </c>
      <c r="B89" s="159"/>
      <c r="C89" s="166">
        <f ca="1">K90</f>
        <v>40</v>
      </c>
      <c r="D89" s="166"/>
      <c r="E89" s="62">
        <f ca="1">((100/I87)*C89)/100</f>
        <v>1</v>
      </c>
      <c r="F89" s="159">
        <f ca="1">(((C89/I87*5)+(C90/I87*20)+(25/(F87+H87+I87)*C91)+(5/(I87)*C92)+(2.5/(I87)*C93)+(2.5/(I87)*C94)+(5/I87*C95)+(10/I87*C96)+(2.5/I87*C97)+(2.5/I87*C98)+(10/I87*C99)+(10/I87*C100))/100)</f>
        <v>0.77</v>
      </c>
      <c r="G89" s="159"/>
      <c r="H89" s="159" t="str">
        <f ca="1">J86</f>
        <v>Excavation work Completed. Plinth work completed, RCC Slab, Brickwork, Internal Plaster, External Plaster, External Plumbing, Elevation and Waterproofing upto 37 Floor, Flooring &amp; Fitting upto 35 Floor, Wooden Work upto 30 Floor, Electrical &amp; Sanitary fittings upto 28 Floor Completed</v>
      </c>
      <c r="I89" s="159"/>
      <c r="J89" s="41" t="s">
        <v>146</v>
      </c>
      <c r="K89" s="44">
        <f ca="1">I87*50%</f>
        <v>20</v>
      </c>
    </row>
    <row r="90" spans="1:13" ht="21" hidden="1" x14ac:dyDescent="0.4">
      <c r="A90" s="159" t="s">
        <v>126</v>
      </c>
      <c r="B90" s="159"/>
      <c r="C90" s="167">
        <f ca="1">K98</f>
        <v>40</v>
      </c>
      <c r="D90" s="166"/>
      <c r="E90" s="62">
        <f ca="1">((100/I87)*C90)/100</f>
        <v>1</v>
      </c>
      <c r="F90" s="159"/>
      <c r="G90" s="159"/>
      <c r="H90" s="159"/>
      <c r="I90" s="159"/>
      <c r="J90" s="41" t="s">
        <v>147</v>
      </c>
      <c r="K90" s="44">
        <f ca="1">I87</f>
        <v>40</v>
      </c>
    </row>
    <row r="91" spans="1:13" ht="21" hidden="1" customHeight="1" x14ac:dyDescent="0.4">
      <c r="A91" s="159" t="s">
        <v>158</v>
      </c>
      <c r="B91" s="159"/>
      <c r="C91" s="166">
        <v>43</v>
      </c>
      <c r="D91" s="166"/>
      <c r="E91" s="62">
        <f ca="1">((100/(F87+H87+I87))*C91)/100</f>
        <v>1</v>
      </c>
      <c r="F91" s="159"/>
      <c r="G91" s="159"/>
      <c r="H91" s="159"/>
      <c r="I91" s="159"/>
      <c r="J91" s="41" t="s">
        <v>148</v>
      </c>
      <c r="K91" s="45">
        <f ca="1">(IF(E87&gt;1,(I87/(E87+2)),I87/4))</f>
        <v>10</v>
      </c>
    </row>
    <row r="92" spans="1:13" ht="21" hidden="1" customHeight="1" x14ac:dyDescent="0.4">
      <c r="A92" s="159" t="s">
        <v>159</v>
      </c>
      <c r="B92" s="159"/>
      <c r="C92" s="166">
        <f>C91-F87-H87</f>
        <v>40</v>
      </c>
      <c r="D92" s="166"/>
      <c r="E92" s="62">
        <f ca="1">((100/I87)*C92)/100</f>
        <v>1</v>
      </c>
      <c r="F92" s="159"/>
      <c r="G92" s="159"/>
      <c r="H92" s="159"/>
      <c r="I92" s="159"/>
      <c r="J92" s="41" t="s">
        <v>149</v>
      </c>
      <c r="K92" s="45">
        <f ca="1">(IF(E87&gt;1,(I87/(E87+2)+K91),I87/4+K91))</f>
        <v>20</v>
      </c>
    </row>
    <row r="93" spans="1:13" ht="21" hidden="1" customHeight="1" x14ac:dyDescent="0.4">
      <c r="A93" s="168" t="s">
        <v>160</v>
      </c>
      <c r="B93" s="169"/>
      <c r="C93" s="167">
        <v>40</v>
      </c>
      <c r="D93" s="167"/>
      <c r="E93" s="62">
        <f ca="1">((100/I87)*C93)/100</f>
        <v>1</v>
      </c>
      <c r="F93" s="159"/>
      <c r="G93" s="159"/>
      <c r="H93" s="159"/>
      <c r="I93" s="159"/>
      <c r="J93" s="41" t="s">
        <v>161</v>
      </c>
      <c r="K93" s="45">
        <f>(IF(E87&gt;1,(I87/(E87+2)+K92),0))</f>
        <v>0</v>
      </c>
    </row>
    <row r="94" spans="1:13" ht="21" hidden="1" customHeight="1" x14ac:dyDescent="0.4">
      <c r="A94" s="168" t="s">
        <v>284</v>
      </c>
      <c r="B94" s="169"/>
      <c r="C94" s="167">
        <f>C93</f>
        <v>40</v>
      </c>
      <c r="D94" s="167"/>
      <c r="E94" s="62">
        <f ca="1">((100/I87)*C94)/100</f>
        <v>1</v>
      </c>
      <c r="F94" s="159"/>
      <c r="G94" s="159"/>
      <c r="H94" s="159"/>
      <c r="I94" s="159"/>
      <c r="J94" s="41" t="s">
        <v>162</v>
      </c>
      <c r="K94" s="45">
        <f>(IF(E87&gt;2,(I87/(E87+2)+K93),0))</f>
        <v>0</v>
      </c>
    </row>
    <row r="95" spans="1:13" ht="57.75" hidden="1" customHeight="1" x14ac:dyDescent="0.4">
      <c r="A95" s="168" t="s">
        <v>285</v>
      </c>
      <c r="B95" s="169"/>
      <c r="C95" s="166">
        <v>37</v>
      </c>
      <c r="D95" s="166"/>
      <c r="E95" s="62">
        <f ca="1">((100/(I87))*C95)/100</f>
        <v>0.92500000000000004</v>
      </c>
      <c r="F95" s="159"/>
      <c r="G95" s="159"/>
      <c r="H95" s="159"/>
      <c r="I95" s="159"/>
      <c r="J95" s="41" t="s">
        <v>164</v>
      </c>
      <c r="K95" s="46">
        <f>(IF(E87&gt;3,(I87/(E87+2)+K94),0))</f>
        <v>0</v>
      </c>
    </row>
    <row r="96" spans="1:13" ht="21" hidden="1" x14ac:dyDescent="0.4">
      <c r="A96" s="159" t="s">
        <v>163</v>
      </c>
      <c r="B96" s="159"/>
      <c r="C96" s="166">
        <v>35</v>
      </c>
      <c r="D96" s="166"/>
      <c r="E96" s="62">
        <f ca="1">((100/(I87))*C96)/100</f>
        <v>0.875</v>
      </c>
      <c r="F96" s="159"/>
      <c r="G96" s="159"/>
      <c r="H96" s="159"/>
      <c r="I96" s="159"/>
      <c r="J96" s="41" t="s">
        <v>165</v>
      </c>
      <c r="K96" s="45">
        <f>(IF(E87&gt;4,(I87/(E87+2)+K95),0))</f>
        <v>0</v>
      </c>
    </row>
    <row r="97" spans="1:13" ht="21" hidden="1" customHeight="1" x14ac:dyDescent="0.4">
      <c r="A97" s="159" t="s">
        <v>286</v>
      </c>
      <c r="B97" s="159"/>
      <c r="C97" s="166">
        <v>30</v>
      </c>
      <c r="D97" s="166"/>
      <c r="E97" s="62">
        <f ca="1">((100/I87)*C97)/100</f>
        <v>0.75</v>
      </c>
      <c r="F97" s="159"/>
      <c r="G97" s="159"/>
      <c r="H97" s="159"/>
      <c r="I97" s="159"/>
      <c r="J97" s="41" t="s">
        <v>150</v>
      </c>
      <c r="K97" s="45">
        <f ca="1">(IF(E87=1,(I87/(E87+3)+K92),IF(E87=0,(I87/4+K92),IF(E87&gt;1,0))))</f>
        <v>30</v>
      </c>
    </row>
    <row r="98" spans="1:13" ht="43.5" hidden="1" customHeight="1" thickBot="1" x14ac:dyDescent="0.45">
      <c r="A98" s="159" t="s">
        <v>287</v>
      </c>
      <c r="B98" s="159"/>
      <c r="C98" s="166">
        <v>28</v>
      </c>
      <c r="D98" s="166"/>
      <c r="E98" s="62">
        <f ca="1">((100/I87)*C98)/100</f>
        <v>0.7</v>
      </c>
      <c r="F98" s="159"/>
      <c r="G98" s="159"/>
      <c r="H98" s="159"/>
      <c r="I98" s="159"/>
      <c r="J98" s="43" t="s">
        <v>151</v>
      </c>
      <c r="K98" s="47">
        <f ca="1">(IF(E87&gt;1.5,(I87/(E87+2)+K91+MAX(0,K92-K91)+MAX(0,K93-K92)+MAX(0,K94-K93)+MAX(0,K95-K94)+MAX(0,K96-K95)),IF(E87=1,(I87/(E87+3)+K97),IF(E87=0,I87/4+K97))))</f>
        <v>40</v>
      </c>
      <c r="M98" s="1" t="e">
        <f>(IF(D86&gt;1.5,(H86/(D86+2)+J91+MAX(0,J92-J91)+MAX(0,J93-J92)+MAX(0,J94-J93)+MAX(0,J95-J94)+MAX(0,J96-J95)),IF(D86=1,(H86/(D86+3)+J96),IF(D86=0,H86*0.3+J96))))</f>
        <v>#VALUE!</v>
      </c>
    </row>
    <row r="99" spans="1:13" ht="21" hidden="1" x14ac:dyDescent="0.3">
      <c r="A99" s="159" t="s">
        <v>166</v>
      </c>
      <c r="B99" s="159"/>
      <c r="C99" s="166">
        <v>0</v>
      </c>
      <c r="D99" s="166"/>
      <c r="E99" s="62">
        <f ca="1">((100/(I87))*C99)/100</f>
        <v>0</v>
      </c>
      <c r="F99" s="159"/>
      <c r="G99" s="159"/>
      <c r="H99" s="159"/>
      <c r="I99" s="159"/>
    </row>
    <row r="100" spans="1:13" ht="21" hidden="1" x14ac:dyDescent="0.3">
      <c r="A100" s="159" t="s">
        <v>167</v>
      </c>
      <c r="B100" s="159"/>
      <c r="C100" s="166">
        <v>0</v>
      </c>
      <c r="D100" s="166"/>
      <c r="E100" s="62">
        <f ca="1">((100/(I87))*C100)/100</f>
        <v>0</v>
      </c>
      <c r="F100" s="159"/>
      <c r="G100" s="159"/>
      <c r="H100" s="159"/>
      <c r="I100" s="159"/>
    </row>
    <row r="101" spans="1:13" ht="21.6" thickBot="1" x14ac:dyDescent="0.35">
      <c r="A101" s="104" t="s">
        <v>70</v>
      </c>
      <c r="B101" s="104"/>
      <c r="C101" s="104"/>
      <c r="D101" s="104"/>
      <c r="E101" s="104"/>
      <c r="F101" s="104"/>
      <c r="G101" s="104"/>
      <c r="H101" s="104"/>
      <c r="I101" s="104"/>
    </row>
    <row r="102" spans="1:13" ht="21" x14ac:dyDescent="0.4">
      <c r="A102" s="164" t="s">
        <v>293</v>
      </c>
      <c r="B102" s="164"/>
      <c r="C102" s="164"/>
      <c r="D102" s="165" t="s">
        <v>4</v>
      </c>
      <c r="E102" s="61" t="s">
        <v>139</v>
      </c>
      <c r="F102" s="166" t="s">
        <v>125</v>
      </c>
      <c r="G102" s="166"/>
      <c r="H102" s="61" t="s">
        <v>140</v>
      </c>
      <c r="I102" s="61" t="s">
        <v>141</v>
      </c>
      <c r="J102" s="37" t="str">
        <f ca="1">(IF(F105&gt;99%,"All work completed. Please provide OC.",IF(F105&gt;89.8%,"Plinth, RCC, Brick, Plaster, Flooring, Wooden, Plumbing, Electrification, etc., work Completed. Finishing work is in process.",IF(F105&lt;94%,(IF(C105=0,"Work not yet Started.",IF(E105=25%,"Piling work in process",IF(E105=50%,"Excavation work in process",IF(E105=100%,"Excavation work Completed. ","0")))&amp;(IF(C106=0%,"",IF(C106=K107,"Footing work is process",IF(C106=K108,"Footing work Completed",IF(C106=K109,"1st Basement Completed",IF(C106=K110,"1st &amp; 2nd Basement Completed",IF(C106=K111,"1st to 3rd Basement Completed",IF(C106=K112,"1st to 4th Basement Completed",IF(C106=K113,"Plinth work is process",IF(C106=K114,"Plinth work completed","0")))))))))))&amp;(IF(C107=(F103+H103+I103),", RCC Slab",IF(C107&gt;0,", RCC upto "&amp;C107&amp;" Slab",""))&amp;(IF(C108=I103,", Brickwork",IF(C108&gt;0,", Brickwork upto "&amp;C108&amp;" Floor",""))&amp;(IF(C109=I103,", Internal Plaster",IF(C109&gt;0,", Internal Plaster upto "&amp;C109&amp;" Floor",""))&amp;(IF(C110=I103,", External Plaster",IF(C110&gt;0,", External Plaster upto "&amp;C110&amp;" Floor",""))&amp;(IF(C111=I103,", External Plumbing, Elevation and Waterproofing",IF(C111&gt;0,", External Plumbing, Elevation and Waterproofing upto "&amp;C111&amp;" Floor",""))&amp;(IF(C112=I103,", Flooring &amp; Fitting",IF(C112&gt;0,", Flooring &amp; Fitting upto "&amp;C112&amp;" Floor",""))&amp;(IF(C113=I103,", Wooden Work",IF(C113&gt;0,", Wooden Work upto "&amp;C113&amp;" Floor",""))&amp;(IF(C114=I103,", Electrical &amp; Sanitary fittings",IF(C114&gt;0,", Electrical &amp; Sanitary fittings upto "&amp;C114&amp;" Floor",""))&amp;(IF(C115&gt;0,", Finishing upto "&amp;C115&amp;" Floor","")&amp;(IF(C107&gt;0.5," Completed",""))))))))))))))))</f>
        <v>Excavation work Completed. Plinth work completed, RCC Slab, Brickwork, Internal Plaster, External Plaster, External Plumbing, Elevation and Waterproofing, Flooring &amp; Fitting, Wooden Work, Electrical &amp; Sanitary fittings upto 0.5 Floor Completed</v>
      </c>
      <c r="K102" s="39"/>
    </row>
    <row r="103" spans="1:13" ht="21" x14ac:dyDescent="0.4">
      <c r="A103" s="164"/>
      <c r="B103" s="164"/>
      <c r="C103" s="164"/>
      <c r="D103" s="165"/>
      <c r="E103" s="61">
        <v>0</v>
      </c>
      <c r="F103" s="166">
        <v>1</v>
      </c>
      <c r="G103" s="166"/>
      <c r="H103" s="61">
        <v>0</v>
      </c>
      <c r="I103" s="61">
        <f ca="1">--TRIM(RIGHT(SUBSTITUTE(LEFT(A102,_xlfn.AGGREGATE(16,6,FIND({0,1,2,3,4,5,6,7,8,9},A102,ROW(INDIRECT("1:"&amp;LEN(A102)))),1))," ",REPT(" ",LEN(A102))),LEN(A102)))</f>
        <v>1</v>
      </c>
      <c r="J103" s="38" t="s">
        <v>145</v>
      </c>
      <c r="K103" s="39"/>
    </row>
    <row r="104" spans="1:13" ht="20.25" customHeight="1" x14ac:dyDescent="0.4">
      <c r="A104" s="157" t="s">
        <v>143</v>
      </c>
      <c r="B104" s="157"/>
      <c r="C104" s="157" t="s">
        <v>154</v>
      </c>
      <c r="D104" s="157"/>
      <c r="E104" s="63" t="s">
        <v>155</v>
      </c>
      <c r="F104" s="157" t="s">
        <v>144</v>
      </c>
      <c r="G104" s="157"/>
      <c r="H104" s="170" t="s">
        <v>142</v>
      </c>
      <c r="I104" s="171"/>
      <c r="J104" s="41" t="s">
        <v>156</v>
      </c>
      <c r="K104" s="40">
        <f ca="1">I103*25%</f>
        <v>0.25</v>
      </c>
    </row>
    <row r="105" spans="1:13" ht="20.25" customHeight="1" x14ac:dyDescent="0.4">
      <c r="A105" s="159" t="s">
        <v>157</v>
      </c>
      <c r="B105" s="159"/>
      <c r="C105" s="166">
        <f ca="1">K106</f>
        <v>1</v>
      </c>
      <c r="D105" s="166"/>
      <c r="E105" s="62">
        <f ca="1">((100/I103)*C105)/100</f>
        <v>1</v>
      </c>
      <c r="F105" s="159">
        <f ca="1">(((C105/I103*5)+(C106/I103*20)+(25/(F103+H103+I103)*C107)+(5/(I103)*C108)+(2.5/(I103)*C109)+(2.5/(I103)*C110)+(5/I103*C111)+(10/I103*C112)+(2.5/I103*C113)+(2.5/I103*C114)+(10/I103*C115)+(10/I103*C116))/100)</f>
        <v>0.78749999999999998</v>
      </c>
      <c r="G105" s="159"/>
      <c r="H105" s="159" t="str">
        <f ca="1">J102</f>
        <v>Excavation work Completed. Plinth work completed, RCC Slab, Brickwork, Internal Plaster, External Plaster, External Plumbing, Elevation and Waterproofing, Flooring &amp; Fitting, Wooden Work, Electrical &amp; Sanitary fittings upto 0.5 Floor Completed</v>
      </c>
      <c r="I105" s="159"/>
      <c r="J105" s="41" t="s">
        <v>146</v>
      </c>
      <c r="K105" s="44">
        <f ca="1">I103*50%</f>
        <v>0.5</v>
      </c>
    </row>
    <row r="106" spans="1:13" ht="21" x14ac:dyDescent="0.4">
      <c r="A106" s="159" t="s">
        <v>126</v>
      </c>
      <c r="B106" s="159"/>
      <c r="C106" s="167">
        <f ca="1">K114</f>
        <v>1</v>
      </c>
      <c r="D106" s="166"/>
      <c r="E106" s="62">
        <f ca="1">((100/I103)*C106)/100</f>
        <v>1</v>
      </c>
      <c r="F106" s="159"/>
      <c r="G106" s="159"/>
      <c r="H106" s="159"/>
      <c r="I106" s="159"/>
      <c r="J106" s="41" t="s">
        <v>147</v>
      </c>
      <c r="K106" s="44">
        <f ca="1">I103</f>
        <v>1</v>
      </c>
    </row>
    <row r="107" spans="1:13" ht="21" customHeight="1" x14ac:dyDescent="0.4">
      <c r="A107" s="159" t="s">
        <v>158</v>
      </c>
      <c r="B107" s="159"/>
      <c r="C107" s="166">
        <v>2</v>
      </c>
      <c r="D107" s="166"/>
      <c r="E107" s="62">
        <f ca="1">((100/(F103+H103+I103))*C107)/100</f>
        <v>1</v>
      </c>
      <c r="F107" s="159"/>
      <c r="G107" s="159"/>
      <c r="H107" s="159"/>
      <c r="I107" s="159"/>
      <c r="J107" s="41" t="s">
        <v>148</v>
      </c>
      <c r="K107" s="45">
        <f ca="1">(IF(E103&gt;1,(I103/(E103+2)),I103/4))</f>
        <v>0.25</v>
      </c>
    </row>
    <row r="108" spans="1:13" ht="21" customHeight="1" x14ac:dyDescent="0.4">
      <c r="A108" s="159" t="s">
        <v>159</v>
      </c>
      <c r="B108" s="159"/>
      <c r="C108" s="166">
        <v>1</v>
      </c>
      <c r="D108" s="166"/>
      <c r="E108" s="62">
        <f ca="1">((100/I103)*C108)/100</f>
        <v>1</v>
      </c>
      <c r="F108" s="159"/>
      <c r="G108" s="159"/>
      <c r="H108" s="159"/>
      <c r="I108" s="159"/>
      <c r="J108" s="41" t="s">
        <v>149</v>
      </c>
      <c r="K108" s="45">
        <f ca="1">(IF(E103&gt;1,(I103/(E103+2)+K107),I103/4+K107))</f>
        <v>0.5</v>
      </c>
    </row>
    <row r="109" spans="1:13" ht="21" customHeight="1" x14ac:dyDescent="0.4">
      <c r="A109" s="168" t="s">
        <v>160</v>
      </c>
      <c r="B109" s="169"/>
      <c r="C109" s="167">
        <v>1</v>
      </c>
      <c r="D109" s="167"/>
      <c r="E109" s="62">
        <f ca="1">((100/I103)*C109)/100</f>
        <v>1</v>
      </c>
      <c r="F109" s="159"/>
      <c r="G109" s="159"/>
      <c r="H109" s="159"/>
      <c r="I109" s="159"/>
      <c r="J109" s="41" t="s">
        <v>161</v>
      </c>
      <c r="K109" s="45">
        <f>(IF(E103&gt;1,(I103/(E103+2)+K108),0))</f>
        <v>0</v>
      </c>
    </row>
    <row r="110" spans="1:13" ht="21" customHeight="1" x14ac:dyDescent="0.4">
      <c r="A110" s="168" t="s">
        <v>284</v>
      </c>
      <c r="B110" s="169"/>
      <c r="C110" s="167">
        <v>1</v>
      </c>
      <c r="D110" s="167"/>
      <c r="E110" s="62">
        <f ca="1">((100/I103)*C110)/100</f>
        <v>1</v>
      </c>
      <c r="F110" s="159"/>
      <c r="G110" s="159"/>
      <c r="H110" s="159"/>
      <c r="I110" s="159"/>
      <c r="J110" s="41" t="s">
        <v>162</v>
      </c>
      <c r="K110" s="45">
        <f>(IF(E103&gt;2,(I103/(E103+2)+K109),0))</f>
        <v>0</v>
      </c>
    </row>
    <row r="111" spans="1:13" ht="57.75" customHeight="1" x14ac:dyDescent="0.4">
      <c r="A111" s="168" t="s">
        <v>285</v>
      </c>
      <c r="B111" s="169"/>
      <c r="C111" s="166">
        <v>1</v>
      </c>
      <c r="D111" s="166"/>
      <c r="E111" s="62">
        <f ca="1">((100/(I103))*C111)/100</f>
        <v>1</v>
      </c>
      <c r="F111" s="159"/>
      <c r="G111" s="159"/>
      <c r="H111" s="159"/>
      <c r="I111" s="159"/>
      <c r="J111" s="41" t="s">
        <v>164</v>
      </c>
      <c r="K111" s="46">
        <f>(IF(E103&gt;3,(I103/(E103+2)+K110),0))</f>
        <v>0</v>
      </c>
    </row>
    <row r="112" spans="1:13" ht="21" x14ac:dyDescent="0.4">
      <c r="A112" s="159" t="s">
        <v>163</v>
      </c>
      <c r="B112" s="159"/>
      <c r="C112" s="166">
        <v>1</v>
      </c>
      <c r="D112" s="166"/>
      <c r="E112" s="62">
        <f ca="1">((100/(I103))*C112)/100</f>
        <v>1</v>
      </c>
      <c r="F112" s="159"/>
      <c r="G112" s="159"/>
      <c r="H112" s="159"/>
      <c r="I112" s="159"/>
      <c r="J112" s="41" t="s">
        <v>165</v>
      </c>
      <c r="K112" s="45">
        <f>(IF(E103&gt;4,(I103/(E103+2)+K111),0))</f>
        <v>0</v>
      </c>
    </row>
    <row r="113" spans="1:13" ht="21" customHeight="1" x14ac:dyDescent="0.4">
      <c r="A113" s="159" t="s">
        <v>286</v>
      </c>
      <c r="B113" s="159"/>
      <c r="C113" s="166">
        <v>1</v>
      </c>
      <c r="D113" s="166"/>
      <c r="E113" s="62">
        <f ca="1">((100/I103)*C113)/100</f>
        <v>1</v>
      </c>
      <c r="F113" s="159"/>
      <c r="G113" s="159"/>
      <c r="H113" s="159"/>
      <c r="I113" s="159"/>
      <c r="J113" s="41" t="s">
        <v>150</v>
      </c>
      <c r="K113" s="45">
        <f ca="1">(IF(E103=1,(I103/(E103+3)+K108),IF(E103=0,(I103/4+K108),IF(E103&gt;1,0))))</f>
        <v>0.75</v>
      </c>
    </row>
    <row r="114" spans="1:13" ht="43.5" customHeight="1" thickBot="1" x14ac:dyDescent="0.45">
      <c r="A114" s="159" t="s">
        <v>287</v>
      </c>
      <c r="B114" s="159"/>
      <c r="C114" s="160">
        <v>0.5</v>
      </c>
      <c r="D114" s="160"/>
      <c r="E114" s="62">
        <f ca="1">((100/I103)*C114)/100</f>
        <v>0.5</v>
      </c>
      <c r="F114" s="159"/>
      <c r="G114" s="159"/>
      <c r="H114" s="159"/>
      <c r="I114" s="159"/>
      <c r="J114" s="43" t="s">
        <v>151</v>
      </c>
      <c r="K114" s="47">
        <f ca="1">(IF(E103&gt;1.5,(I103/(E103+2)+K107+MAX(0,K108-K107)+MAX(0,K109-K108)+MAX(0,K110-K109)+MAX(0,K111-K110)+MAX(0,K112-K111)),IF(E103=1,(I103/(E103+3)+K113),IF(E103=0,I103/4+K113))))</f>
        <v>1</v>
      </c>
      <c r="M114" s="1" t="e">
        <f>(IF(D102&gt;1.5,(H102/(D102+2)+J107+MAX(0,J108-J107)+MAX(0,J109-J108)+MAX(0,J110-J109)+MAX(0,J111-J110)+MAX(0,J112-J111)),IF(D102=1,(H102/(D102+3)+J112),IF(D102=0,H102*0.3+J112))))</f>
        <v>#VALUE!</v>
      </c>
    </row>
    <row r="115" spans="1:13" ht="21" x14ac:dyDescent="0.3">
      <c r="A115" s="159" t="s">
        <v>166</v>
      </c>
      <c r="B115" s="159"/>
      <c r="C115" s="167">
        <v>0</v>
      </c>
      <c r="D115" s="167"/>
      <c r="E115" s="62">
        <f ca="1">((100/(I103))*C115)/100</f>
        <v>0</v>
      </c>
      <c r="F115" s="159"/>
      <c r="G115" s="159"/>
      <c r="H115" s="159"/>
      <c r="I115" s="159"/>
    </row>
    <row r="116" spans="1:13" ht="21" x14ac:dyDescent="0.3">
      <c r="A116" s="159" t="s">
        <v>167</v>
      </c>
      <c r="B116" s="159"/>
      <c r="C116" s="166">
        <v>0</v>
      </c>
      <c r="D116" s="166"/>
      <c r="E116" s="62">
        <f ca="1">((100/(I103))*C116)/100</f>
        <v>0</v>
      </c>
      <c r="F116" s="159"/>
      <c r="G116" s="159"/>
      <c r="H116" s="159"/>
      <c r="I116" s="159"/>
    </row>
    <row r="117" spans="1:13" ht="36.75" customHeight="1" x14ac:dyDescent="0.4">
      <c r="A117" s="97" t="s">
        <v>152</v>
      </c>
      <c r="B117" s="98"/>
      <c r="C117" s="98"/>
      <c r="D117" s="98"/>
      <c r="E117" s="98"/>
      <c r="F117" s="98"/>
      <c r="G117" s="98"/>
      <c r="H117" s="99">
        <f ca="1">AVERAGE(F57,F73,F73,F105)</f>
        <v>0.79204741379310351</v>
      </c>
      <c r="I117" s="100"/>
      <c r="J117" s="41"/>
      <c r="K117" s="42"/>
      <c r="L117" s="42"/>
    </row>
    <row r="118" spans="1:13" ht="21" x14ac:dyDescent="0.3">
      <c r="A118" s="105" t="s">
        <v>74</v>
      </c>
      <c r="B118" s="106"/>
      <c r="C118" s="106"/>
      <c r="D118" s="106"/>
      <c r="E118" s="106"/>
      <c r="F118" s="106"/>
      <c r="G118" s="106"/>
      <c r="H118" s="106"/>
      <c r="I118" s="107"/>
    </row>
    <row r="119" spans="1:13" ht="63" x14ac:dyDescent="0.3">
      <c r="A119" s="108" t="s">
        <v>75</v>
      </c>
      <c r="B119" s="108"/>
      <c r="C119" s="108"/>
      <c r="D119" s="3" t="s">
        <v>4</v>
      </c>
      <c r="E119" s="14" t="s">
        <v>131</v>
      </c>
      <c r="F119" s="20" t="s">
        <v>168</v>
      </c>
      <c r="G119" s="3" t="s">
        <v>4</v>
      </c>
      <c r="H119" s="109" t="s">
        <v>187</v>
      </c>
      <c r="I119" s="109"/>
      <c r="K119" s="1" t="s">
        <v>258</v>
      </c>
    </row>
    <row r="120" spans="1:13" ht="63" x14ac:dyDescent="0.3">
      <c r="A120" s="108" t="s">
        <v>182</v>
      </c>
      <c r="B120" s="108"/>
      <c r="C120" s="108"/>
      <c r="D120" s="2" t="s">
        <v>127</v>
      </c>
      <c r="E120" s="17" t="s">
        <v>288</v>
      </c>
      <c r="F120" s="20" t="s">
        <v>183</v>
      </c>
      <c r="G120" s="2" t="s">
        <v>4</v>
      </c>
      <c r="H120" s="102" t="s">
        <v>169</v>
      </c>
      <c r="I120" s="102"/>
      <c r="J120" s="64" t="s">
        <v>289</v>
      </c>
    </row>
    <row r="121" spans="1:13" ht="26.25" customHeight="1" x14ac:dyDescent="0.3">
      <c r="A121" s="150" t="s">
        <v>78</v>
      </c>
      <c r="B121" s="150"/>
      <c r="C121" s="150"/>
      <c r="D121" s="3" t="s">
        <v>4</v>
      </c>
      <c r="E121" s="17">
        <v>700000</v>
      </c>
      <c r="F121" s="3" t="s">
        <v>124</v>
      </c>
      <c r="G121" s="3" t="s">
        <v>4</v>
      </c>
      <c r="H121" s="151" t="s">
        <v>132</v>
      </c>
      <c r="I121" s="152"/>
    </row>
    <row r="122" spans="1:13" ht="21" hidden="1" x14ac:dyDescent="0.3">
      <c r="A122" s="108" t="s">
        <v>114</v>
      </c>
      <c r="B122" s="108"/>
      <c r="C122" s="108"/>
      <c r="D122" s="2" t="s">
        <v>4</v>
      </c>
      <c r="E122" s="17" t="s">
        <v>115</v>
      </c>
      <c r="F122" s="20" t="s">
        <v>116</v>
      </c>
      <c r="G122" s="2" t="s">
        <v>4</v>
      </c>
      <c r="H122" s="102" t="s">
        <v>94</v>
      </c>
      <c r="I122" s="102"/>
    </row>
    <row r="123" spans="1:13" ht="63" hidden="1" x14ac:dyDescent="0.3">
      <c r="A123" s="108" t="s">
        <v>117</v>
      </c>
      <c r="B123" s="108"/>
      <c r="C123" s="108"/>
      <c r="D123" s="2" t="s">
        <v>4</v>
      </c>
      <c r="E123" s="17" t="s">
        <v>118</v>
      </c>
      <c r="F123" s="20" t="s">
        <v>119</v>
      </c>
      <c r="G123" s="2" t="s">
        <v>4</v>
      </c>
      <c r="H123" s="102" t="s">
        <v>120</v>
      </c>
      <c r="I123" s="102"/>
    </row>
    <row r="124" spans="1:13" ht="21" hidden="1" x14ac:dyDescent="0.3">
      <c r="A124" s="108" t="s">
        <v>77</v>
      </c>
      <c r="B124" s="108"/>
      <c r="C124" s="108"/>
      <c r="D124" s="2" t="s">
        <v>4</v>
      </c>
      <c r="E124" s="17" t="s">
        <v>96</v>
      </c>
      <c r="F124" s="20" t="s">
        <v>76</v>
      </c>
      <c r="G124" s="2" t="s">
        <v>4</v>
      </c>
      <c r="H124" s="114" t="s">
        <v>96</v>
      </c>
      <c r="I124" s="115"/>
    </row>
    <row r="125" spans="1:13" ht="21" hidden="1" x14ac:dyDescent="0.3">
      <c r="A125" s="108" t="s">
        <v>121</v>
      </c>
      <c r="B125" s="108"/>
      <c r="C125" s="108"/>
      <c r="D125" s="2" t="s">
        <v>4</v>
      </c>
      <c r="E125" s="17" t="s">
        <v>95</v>
      </c>
      <c r="F125" s="20" t="s">
        <v>78</v>
      </c>
      <c r="G125" s="2" t="s">
        <v>4</v>
      </c>
      <c r="H125" s="102" t="s">
        <v>113</v>
      </c>
      <c r="I125" s="102"/>
    </row>
    <row r="126" spans="1:13" ht="21" hidden="1" x14ac:dyDescent="0.3">
      <c r="A126" s="108" t="s">
        <v>122</v>
      </c>
      <c r="B126" s="108"/>
      <c r="C126" s="108"/>
      <c r="D126" s="2" t="s">
        <v>4</v>
      </c>
      <c r="E126" s="18" t="s">
        <v>106</v>
      </c>
      <c r="F126" s="20" t="s">
        <v>123</v>
      </c>
      <c r="G126" s="2" t="s">
        <v>4</v>
      </c>
      <c r="H126" s="161" t="s">
        <v>106</v>
      </c>
      <c r="I126" s="161"/>
    </row>
    <row r="127" spans="1:13" ht="18" hidden="1" customHeight="1" x14ac:dyDescent="0.3">
      <c r="A127" s="150" t="s">
        <v>124</v>
      </c>
      <c r="B127" s="150"/>
      <c r="C127" s="150"/>
      <c r="D127" s="3" t="s">
        <v>4</v>
      </c>
      <c r="E127" s="10"/>
      <c r="F127" s="3" t="s">
        <v>124</v>
      </c>
      <c r="G127" s="3" t="s">
        <v>4</v>
      </c>
      <c r="H127" s="162" t="s">
        <v>106</v>
      </c>
      <c r="I127" s="163"/>
    </row>
    <row r="128" spans="1:13" ht="21" x14ac:dyDescent="0.3">
      <c r="A128" s="105" t="s">
        <v>73</v>
      </c>
      <c r="B128" s="106"/>
      <c r="C128" s="106"/>
      <c r="D128" s="106"/>
      <c r="E128" s="106"/>
      <c r="F128" s="106"/>
      <c r="G128" s="106"/>
      <c r="H128" s="106"/>
      <c r="I128" s="107"/>
    </row>
    <row r="129" spans="1:151 16227:16384" ht="21" x14ac:dyDescent="0.3">
      <c r="A129" s="116" t="s">
        <v>9</v>
      </c>
      <c r="B129" s="117"/>
      <c r="C129" s="117"/>
      <c r="D129" s="117"/>
      <c r="E129" s="117"/>
      <c r="F129" s="118"/>
      <c r="G129" s="2" t="s">
        <v>4</v>
      </c>
      <c r="H129" s="120">
        <f>26600/10.764</f>
        <v>2471.2002972872538</v>
      </c>
      <c r="I129" s="121"/>
    </row>
    <row r="130" spans="1:151 16227:16384" ht="21" x14ac:dyDescent="0.3">
      <c r="A130" s="116" t="s">
        <v>31</v>
      </c>
      <c r="B130" s="117"/>
      <c r="C130" s="117"/>
      <c r="D130" s="117"/>
      <c r="E130" s="117"/>
      <c r="F130" s="118"/>
      <c r="G130" s="2" t="s">
        <v>4</v>
      </c>
      <c r="H130" s="119">
        <f>70500/10.764</f>
        <v>6549.6098104793764</v>
      </c>
      <c r="I130" s="119"/>
    </row>
    <row r="131" spans="1:151 16227:16384" ht="21" x14ac:dyDescent="0.3">
      <c r="A131" s="116" t="s">
        <v>133</v>
      </c>
      <c r="B131" s="117"/>
      <c r="C131" s="117"/>
      <c r="D131" s="117"/>
      <c r="E131" s="117"/>
      <c r="F131" s="118"/>
      <c r="G131" s="2" t="s">
        <v>4</v>
      </c>
      <c r="H131" s="119">
        <f>H129*0.8</f>
        <v>1976.9602378298032</v>
      </c>
      <c r="I131" s="119"/>
    </row>
    <row r="132" spans="1:151 16227:16384" ht="21" x14ac:dyDescent="0.3">
      <c r="A132" s="87" t="s">
        <v>255</v>
      </c>
      <c r="B132" s="88"/>
      <c r="C132" s="88"/>
      <c r="D132" s="88"/>
      <c r="E132" s="88"/>
      <c r="F132" s="88"/>
      <c r="G132" s="88"/>
      <c r="H132" s="88"/>
      <c r="I132" s="89"/>
    </row>
    <row r="133" spans="1:151 16227:16384" s="11" customFormat="1" ht="40.799999999999997" x14ac:dyDescent="0.3">
      <c r="A133" s="90" t="s">
        <v>178</v>
      </c>
      <c r="B133" s="91"/>
      <c r="C133" s="90" t="s">
        <v>179</v>
      </c>
      <c r="D133" s="91"/>
      <c r="E133" s="49" t="s">
        <v>180</v>
      </c>
      <c r="F133" s="90" t="s">
        <v>177</v>
      </c>
      <c r="G133" s="91"/>
      <c r="H133" s="49" t="s">
        <v>176</v>
      </c>
      <c r="I133" s="49" t="s">
        <v>175</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1" x14ac:dyDescent="0.3">
      <c r="A134" s="92" t="s">
        <v>236</v>
      </c>
      <c r="B134" s="93"/>
      <c r="C134" s="92" t="s">
        <v>266</v>
      </c>
      <c r="D134" s="93"/>
      <c r="E134" s="50" t="s">
        <v>240</v>
      </c>
      <c r="F134" s="92">
        <f>COUNT(F147:F190)</f>
        <v>44</v>
      </c>
      <c r="G134" s="93"/>
      <c r="H134" s="50">
        <f>SUM(F147:F190)</f>
        <v>17803.988607599997</v>
      </c>
      <c r="I134" s="50">
        <f>SUM(I147:I190)</f>
        <v>28486.38177216001</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ht="21" x14ac:dyDescent="0.3">
      <c r="A135" s="87" t="s">
        <v>256</v>
      </c>
      <c r="B135" s="88"/>
      <c r="C135" s="88"/>
      <c r="D135" s="88"/>
      <c r="E135" s="88"/>
      <c r="F135" s="88"/>
      <c r="G135" s="88"/>
      <c r="H135" s="88"/>
      <c r="I135" s="89"/>
    </row>
    <row r="136" spans="1:151 16227:16384" s="11" customFormat="1" ht="40.799999999999997" x14ac:dyDescent="0.3">
      <c r="A136" s="90" t="s">
        <v>178</v>
      </c>
      <c r="B136" s="91"/>
      <c r="C136" s="90" t="s">
        <v>179</v>
      </c>
      <c r="D136" s="91"/>
      <c r="E136" s="49" t="s">
        <v>180</v>
      </c>
      <c r="F136" s="90" t="s">
        <v>177</v>
      </c>
      <c r="G136" s="91"/>
      <c r="H136" s="49" t="s">
        <v>176</v>
      </c>
      <c r="I136" s="49" t="s">
        <v>175</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1" x14ac:dyDescent="0.3">
      <c r="A137" s="92" t="s">
        <v>211</v>
      </c>
      <c r="B137" s="93"/>
      <c r="C137" s="92" t="s">
        <v>266</v>
      </c>
      <c r="D137" s="93"/>
      <c r="E137" s="50" t="s">
        <v>254</v>
      </c>
      <c r="F137" s="92">
        <f>COUNT(F200:F213)+COUNT(F215:F228)*3+COUNT(F230:F242)+COUNT(F245:F258)*8+COUNT(F260:F272)*2+COUNT(F275:F288)*10+COUNT(F290:F302)*2+COUNT(F305:F317)+COUNT(F320:F330)</f>
        <v>397</v>
      </c>
      <c r="G137" s="93"/>
      <c r="H137" s="50">
        <f>SUM(F200:F213)+SUM(F215:F228)*3+SUM(F230:F242)+SUM(F245:F258)*8+SUM(F260:F272)*2+SUM(F275:F288)*10+SUM(F290:F302)*2+SUM(F305:F317)+SUM(F320:F330)</f>
        <v>200884.01111999998</v>
      </c>
      <c r="I137" s="50">
        <f>SUM(I200:I213)+SUM(I215:I228)*3+SUM(I230:I242)+SUM(I245:I258)*8+SUM(I260:I272)*2+SUM(I275:I288)*10+SUM(I290:I302)*2+SUM(I305:I317)+SUM(I320:I330)</f>
        <v>301326.01668</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1" x14ac:dyDescent="0.3">
      <c r="A138" s="92" t="s">
        <v>227</v>
      </c>
      <c r="B138" s="93"/>
      <c r="C138" s="92" t="s">
        <v>266</v>
      </c>
      <c r="D138" s="93"/>
      <c r="E138" s="50" t="s">
        <v>254</v>
      </c>
      <c r="F138" s="92">
        <f>COUNT(F338:F347)*31+COUNT(F349:F357)*8</f>
        <v>382</v>
      </c>
      <c r="G138" s="93"/>
      <c r="H138" s="50">
        <f>SUM(F338:F347)*31+SUM(F349:F357)*8</f>
        <v>194156.18819999998</v>
      </c>
      <c r="I138" s="50">
        <f>SUM(I338:I347)*31+SUM(I349:I357)*8</f>
        <v>291234.2822999999</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1" x14ac:dyDescent="0.3">
      <c r="A139" s="92" t="s">
        <v>232</v>
      </c>
      <c r="B139" s="93"/>
      <c r="C139" s="92" t="s">
        <v>266</v>
      </c>
      <c r="D139" s="93"/>
      <c r="E139" s="50" t="s">
        <v>254</v>
      </c>
      <c r="F139" s="92">
        <f>COUNT(F367:F374)*31+COUNT(F376:F382)*8+COUNT(F386:F390)</f>
        <v>309</v>
      </c>
      <c r="G139" s="93"/>
      <c r="H139" s="50">
        <f>SUM(F367:F374)*31+SUM(F376:F382)*8+SUM(F386:G390)</f>
        <v>174134.82527999999</v>
      </c>
      <c r="I139" s="50">
        <f>SUM(I367:I374)*31+SUM(I376:I382)*8+SUM(I386:I390)</f>
        <v>261202.23791999996</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1" x14ac:dyDescent="0.3">
      <c r="A140" s="90" t="s">
        <v>181</v>
      </c>
      <c r="B140" s="91"/>
      <c r="C140" s="90" t="s">
        <v>106</v>
      </c>
      <c r="D140" s="91"/>
      <c r="E140" s="49" t="s">
        <v>106</v>
      </c>
      <c r="F140" s="90">
        <f>SUM(F137:F139)</f>
        <v>1088</v>
      </c>
      <c r="G140" s="91"/>
      <c r="H140" s="49">
        <f>SUM(H137:H139)</f>
        <v>569175.02459999989</v>
      </c>
      <c r="I140" s="49">
        <f>SUM(I137:I139)</f>
        <v>853762.53689999995</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58" customFormat="1" ht="20.399999999999999" x14ac:dyDescent="0.3">
      <c r="A141" s="90" t="s">
        <v>267</v>
      </c>
      <c r="B141" s="91"/>
      <c r="C141" s="90" t="s">
        <v>106</v>
      </c>
      <c r="D141" s="91"/>
      <c r="E141" s="49" t="s">
        <v>106</v>
      </c>
      <c r="F141" s="90">
        <f>F134+F140</f>
        <v>1132</v>
      </c>
      <c r="G141" s="91"/>
      <c r="H141" s="49">
        <f>H134+H140</f>
        <v>586979.01320759987</v>
      </c>
      <c r="I141" s="49">
        <f>I134+I140</f>
        <v>882248.91867216001</v>
      </c>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57"/>
      <c r="BJ141" s="57"/>
      <c r="BK141" s="57"/>
      <c r="BL141" s="57"/>
      <c r="BM141" s="57"/>
      <c r="BN141" s="57"/>
      <c r="BO141" s="57"/>
      <c r="BP141" s="57"/>
      <c r="BQ141" s="57"/>
      <c r="BR141" s="57"/>
      <c r="BS141" s="57"/>
      <c r="BT141" s="57"/>
      <c r="BU141" s="57"/>
      <c r="BV141" s="57"/>
      <c r="BW141" s="57"/>
      <c r="BX141" s="57"/>
      <c r="BY141" s="57"/>
      <c r="BZ141" s="57"/>
      <c r="CA141" s="57"/>
      <c r="CB141" s="57"/>
      <c r="CC141" s="57"/>
      <c r="CD141" s="57"/>
      <c r="CE141" s="57"/>
      <c r="CF141" s="57"/>
      <c r="CG141" s="57"/>
      <c r="CH141" s="57"/>
      <c r="CI141" s="57"/>
      <c r="CJ141" s="57"/>
      <c r="CK141" s="57"/>
      <c r="CL141" s="57"/>
      <c r="CM141" s="57"/>
      <c r="CN141" s="57"/>
      <c r="CO141" s="57"/>
      <c r="CP141" s="57"/>
      <c r="CQ141" s="57"/>
      <c r="CR141" s="57"/>
      <c r="CS141" s="57"/>
      <c r="CT141" s="57"/>
      <c r="CU141" s="57"/>
      <c r="CV141" s="57"/>
      <c r="CW141" s="57"/>
      <c r="CX141" s="57"/>
      <c r="CY141" s="57"/>
      <c r="CZ141" s="57"/>
      <c r="DA141" s="57"/>
      <c r="DB141" s="57"/>
      <c r="DC141" s="57"/>
      <c r="DD141" s="57"/>
      <c r="DE141" s="57"/>
      <c r="DF141" s="57"/>
      <c r="DG141" s="57"/>
      <c r="DH141" s="57"/>
      <c r="DI141" s="57"/>
      <c r="DJ141" s="57"/>
      <c r="DK141" s="57"/>
      <c r="DL141" s="57"/>
      <c r="DM141" s="57"/>
      <c r="DN141" s="57"/>
      <c r="DO141" s="57"/>
      <c r="DP141" s="57"/>
      <c r="DQ141" s="57"/>
      <c r="DR141" s="57"/>
      <c r="DS141" s="57"/>
      <c r="DT141" s="57"/>
      <c r="DU141" s="57"/>
      <c r="DV141" s="57"/>
      <c r="DW141" s="57"/>
      <c r="DX141" s="57"/>
      <c r="DY141" s="57"/>
      <c r="DZ141" s="57"/>
      <c r="EA141" s="57"/>
      <c r="EB141" s="57"/>
      <c r="EC141" s="57"/>
      <c r="ED141" s="57"/>
      <c r="EE141" s="57"/>
      <c r="EF141" s="57"/>
      <c r="EG141" s="57"/>
      <c r="EH141" s="57"/>
      <c r="EI141" s="57"/>
      <c r="EJ141" s="57"/>
      <c r="EK141" s="57"/>
      <c r="EL141" s="57"/>
      <c r="EM141" s="57"/>
      <c r="EN141" s="57"/>
      <c r="EO141" s="57"/>
      <c r="EP141" s="57"/>
      <c r="EQ141" s="57"/>
      <c r="ER141" s="57"/>
      <c r="ES141" s="57"/>
      <c r="ET141" s="57"/>
      <c r="EU141" s="57"/>
      <c r="WZC141" s="57"/>
      <c r="WZD141" s="57"/>
      <c r="WZE141" s="57"/>
      <c r="WZF141" s="57"/>
      <c r="WZG141" s="57"/>
      <c r="WZH141" s="57"/>
      <c r="WZI141" s="57"/>
      <c r="WZJ141" s="57"/>
      <c r="WZK141" s="57"/>
      <c r="WZL141" s="57"/>
      <c r="WZM141" s="57"/>
      <c r="WZN141" s="57"/>
      <c r="WZO141" s="57"/>
      <c r="WZP141" s="57"/>
      <c r="WZQ141" s="57"/>
      <c r="WZR141" s="57"/>
      <c r="WZS141" s="57"/>
      <c r="WZT141" s="57"/>
      <c r="WZU141" s="57"/>
      <c r="WZV141" s="57"/>
      <c r="WZW141" s="57"/>
      <c r="WZX141" s="57"/>
      <c r="WZY141" s="57"/>
      <c r="WZZ141" s="57"/>
      <c r="XAA141" s="57"/>
      <c r="XAB141" s="57"/>
      <c r="XAC141" s="57"/>
      <c r="XAD141" s="57"/>
      <c r="XAE141" s="57"/>
      <c r="XAF141" s="57"/>
      <c r="XAG141" s="57"/>
      <c r="XAH141" s="57"/>
      <c r="XAI141" s="57"/>
      <c r="XAJ141" s="57"/>
      <c r="XAK141" s="57"/>
      <c r="XAL141" s="57"/>
      <c r="XAM141" s="57"/>
      <c r="XAN141" s="57"/>
      <c r="XAO141" s="57"/>
      <c r="XAP141" s="57"/>
      <c r="XAQ141" s="57"/>
      <c r="XAR141" s="57"/>
      <c r="XAS141" s="57"/>
      <c r="XAT141" s="57"/>
      <c r="XAU141" s="57"/>
      <c r="XAV141" s="57"/>
      <c r="XAW141" s="57"/>
      <c r="XAX141" s="57"/>
      <c r="XAY141" s="57"/>
      <c r="XAZ141" s="57"/>
      <c r="XBA141" s="57"/>
      <c r="XBB141" s="57"/>
      <c r="XBC141" s="57"/>
      <c r="XBD141" s="57"/>
      <c r="XBE141" s="57"/>
      <c r="XBF141" s="57"/>
      <c r="XBG141" s="57"/>
      <c r="XBH141" s="57"/>
      <c r="XBI141" s="57"/>
      <c r="XBJ141" s="57"/>
      <c r="XBK141" s="57"/>
      <c r="XBL141" s="57"/>
      <c r="XBM141" s="57"/>
      <c r="XBN141" s="57"/>
      <c r="XBO141" s="57"/>
      <c r="XBP141" s="57"/>
      <c r="XBQ141" s="57"/>
      <c r="XBR141" s="57"/>
      <c r="XBS141" s="57"/>
      <c r="XBT141" s="57"/>
      <c r="XBU141" s="57"/>
      <c r="XBV141" s="57"/>
      <c r="XBW141" s="57"/>
      <c r="XBX141" s="57"/>
      <c r="XBY141" s="57"/>
      <c r="XBZ141" s="57"/>
      <c r="XCA141" s="57"/>
      <c r="XCB141" s="57"/>
      <c r="XCC141" s="57"/>
      <c r="XCD141" s="57"/>
      <c r="XCE141" s="57"/>
      <c r="XCF141" s="57"/>
      <c r="XCG141" s="57"/>
      <c r="XCH141" s="57"/>
      <c r="XCI141" s="57"/>
      <c r="XCJ141" s="57"/>
      <c r="XCK141" s="57"/>
      <c r="XCL141" s="57"/>
      <c r="XCM141" s="57"/>
      <c r="XCN141" s="57"/>
      <c r="XCO141" s="57"/>
      <c r="XCP141" s="57"/>
      <c r="XCQ141" s="57"/>
      <c r="XCR141" s="57"/>
      <c r="XCS141" s="57"/>
      <c r="XCT141" s="57"/>
      <c r="XCU141" s="57"/>
      <c r="XCV141" s="57"/>
      <c r="XCW141" s="57"/>
      <c r="XCX141" s="57"/>
      <c r="XCY141" s="57"/>
      <c r="XCZ141" s="57"/>
      <c r="XDA141" s="57"/>
      <c r="XDB141" s="57"/>
      <c r="XDC141" s="57"/>
      <c r="XDD141" s="57"/>
      <c r="XDE141" s="57"/>
      <c r="XDF141" s="57"/>
      <c r="XDG141" s="57"/>
      <c r="XDH141" s="57"/>
      <c r="XDI141" s="57"/>
      <c r="XDJ141" s="57"/>
      <c r="XDK141" s="57"/>
      <c r="XDL141" s="57"/>
      <c r="XDM141" s="57"/>
      <c r="XDN141" s="57"/>
      <c r="XDO141" s="57"/>
      <c r="XDP141" s="57"/>
      <c r="XDQ141" s="57"/>
      <c r="XDR141" s="57"/>
      <c r="XDS141" s="57"/>
      <c r="XDT141" s="57"/>
      <c r="XDU141" s="57"/>
      <c r="XDV141" s="57"/>
      <c r="XDW141" s="57"/>
      <c r="XDX141" s="57"/>
      <c r="XDY141" s="57"/>
      <c r="XDZ141" s="57"/>
      <c r="XEA141" s="57"/>
      <c r="XEB141" s="57"/>
      <c r="XEC141" s="57"/>
      <c r="XED141" s="57"/>
      <c r="XEE141" s="57"/>
      <c r="XEF141" s="57"/>
      <c r="XEG141" s="57"/>
      <c r="XEH141" s="57"/>
      <c r="XEI141" s="57"/>
      <c r="XEJ141" s="57"/>
      <c r="XEK141" s="57"/>
      <c r="XEL141" s="57"/>
      <c r="XEM141" s="57"/>
      <c r="XEN141" s="57"/>
      <c r="XEO141" s="57"/>
      <c r="XEP141" s="57"/>
      <c r="XEQ141" s="57"/>
      <c r="XER141" s="57"/>
      <c r="XES141" s="57"/>
      <c r="XET141" s="57"/>
      <c r="XEU141" s="57"/>
      <c r="XEV141" s="57"/>
      <c r="XEW141" s="57"/>
      <c r="XEX141" s="57"/>
      <c r="XEY141" s="57"/>
      <c r="XEZ141" s="57"/>
      <c r="XFA141" s="57"/>
      <c r="XFB141" s="57"/>
      <c r="XFC141" s="57"/>
      <c r="XFD141" s="57"/>
    </row>
    <row r="142" spans="1:151 16227:16384" ht="21" x14ac:dyDescent="0.3">
      <c r="A142" s="94" t="s">
        <v>174</v>
      </c>
      <c r="B142" s="95"/>
      <c r="C142" s="95"/>
      <c r="D142" s="95"/>
      <c r="E142" s="95"/>
      <c r="F142" s="95"/>
      <c r="G142" s="95"/>
      <c r="H142" s="95"/>
      <c r="I142" s="89"/>
    </row>
    <row r="143" spans="1:151 16227:16384" s="11" customFormat="1" ht="40.799999999999997" x14ac:dyDescent="0.3">
      <c r="A143" s="103" t="s">
        <v>100</v>
      </c>
      <c r="B143" s="103"/>
      <c r="C143" s="103" t="s">
        <v>239</v>
      </c>
      <c r="D143" s="103"/>
      <c r="E143" s="103" t="s">
        <v>97</v>
      </c>
      <c r="F143" s="103" t="s">
        <v>98</v>
      </c>
      <c r="G143" s="103"/>
      <c r="H143" s="103" t="s">
        <v>99</v>
      </c>
      <c r="I143" s="35" t="s">
        <v>153</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1" x14ac:dyDescent="0.3">
      <c r="A144" s="103"/>
      <c r="B144" s="103"/>
      <c r="C144" s="103"/>
      <c r="D144" s="103"/>
      <c r="E144" s="103"/>
      <c r="F144" s="103"/>
      <c r="G144" s="103"/>
      <c r="H144" s="103"/>
      <c r="I144" s="36">
        <v>0.6</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1" x14ac:dyDescent="0.3">
      <c r="A145" s="80" t="s">
        <v>236</v>
      </c>
      <c r="B145" s="81"/>
      <c r="C145" s="81"/>
      <c r="D145" s="81"/>
      <c r="E145" s="81"/>
      <c r="F145" s="81"/>
      <c r="G145" s="81"/>
      <c r="H145" s="81"/>
      <c r="I145" s="82"/>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1" x14ac:dyDescent="0.3">
      <c r="A146" s="80" t="s">
        <v>237</v>
      </c>
      <c r="B146" s="81"/>
      <c r="C146" s="81"/>
      <c r="D146" s="81"/>
      <c r="E146" s="81"/>
      <c r="F146" s="81"/>
      <c r="G146" s="81"/>
      <c r="H146" s="81"/>
      <c r="I146" s="82"/>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3">
      <c r="A147" s="72" t="str">
        <f>A146</f>
        <v>Upper Ground Floor For Commercial &amp; Parking</v>
      </c>
      <c r="B147" s="73"/>
      <c r="C147" s="68">
        <v>1</v>
      </c>
      <c r="D147" s="68"/>
      <c r="E147" s="19" t="s">
        <v>240</v>
      </c>
      <c r="F147" s="92">
        <f t="shared" ref="F147:F165" si="1">(30.37)*10.764</f>
        <v>326.90267999999998</v>
      </c>
      <c r="G147" s="93">
        <v>0</v>
      </c>
      <c r="H147" s="19">
        <v>0</v>
      </c>
      <c r="I147" s="19">
        <f>F147*(($I$144)+1)+H147</f>
        <v>523.04428799999994</v>
      </c>
      <c r="J147" s="1"/>
      <c r="K147" s="52">
        <v>10.763999999999999</v>
      </c>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3">
      <c r="A148" s="74"/>
      <c r="B148" s="75"/>
      <c r="C148" s="68">
        <f>C147+1</f>
        <v>2</v>
      </c>
      <c r="D148" s="68"/>
      <c r="E148" s="19" t="s">
        <v>240</v>
      </c>
      <c r="F148" s="92">
        <f t="shared" si="1"/>
        <v>326.90267999999998</v>
      </c>
      <c r="G148" s="93">
        <v>0</v>
      </c>
      <c r="H148" s="19">
        <v>0</v>
      </c>
      <c r="I148" s="19">
        <f t="shared" ref="I148:I190" si="2">F148*(($I$144)+1)+H148</f>
        <v>523.04428799999994</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customHeight="1" x14ac:dyDescent="0.3">
      <c r="A149" s="74"/>
      <c r="B149" s="75"/>
      <c r="C149" s="68">
        <f t="shared" ref="C149:C190" si="3">C148+1</f>
        <v>3</v>
      </c>
      <c r="D149" s="68"/>
      <c r="E149" s="19" t="s">
        <v>240</v>
      </c>
      <c r="F149" s="92">
        <f t="shared" si="1"/>
        <v>326.90267999999998</v>
      </c>
      <c r="G149" s="93">
        <v>0</v>
      </c>
      <c r="H149" s="19">
        <v>0</v>
      </c>
      <c r="I149" s="19">
        <f t="shared" si="2"/>
        <v>523.04428799999994</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customHeight="1" x14ac:dyDescent="0.3">
      <c r="A150" s="74"/>
      <c r="B150" s="75"/>
      <c r="C150" s="68">
        <f t="shared" si="3"/>
        <v>4</v>
      </c>
      <c r="D150" s="68"/>
      <c r="E150" s="19" t="s">
        <v>240</v>
      </c>
      <c r="F150" s="92">
        <f t="shared" si="1"/>
        <v>326.90267999999998</v>
      </c>
      <c r="G150" s="93">
        <v>0</v>
      </c>
      <c r="H150" s="19">
        <v>0</v>
      </c>
      <c r="I150" s="19">
        <f t="shared" si="2"/>
        <v>523.04428799999994</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customHeight="1" x14ac:dyDescent="0.3">
      <c r="A151" s="74"/>
      <c r="B151" s="75"/>
      <c r="C151" s="68">
        <f t="shared" si="3"/>
        <v>5</v>
      </c>
      <c r="D151" s="68"/>
      <c r="E151" s="19" t="s">
        <v>240</v>
      </c>
      <c r="F151" s="92">
        <f t="shared" si="1"/>
        <v>326.90267999999998</v>
      </c>
      <c r="G151" s="93">
        <v>0</v>
      </c>
      <c r="H151" s="19">
        <v>0</v>
      </c>
      <c r="I151" s="19">
        <f t="shared" si="2"/>
        <v>523.04428799999994</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customHeight="1" x14ac:dyDescent="0.3">
      <c r="A152" s="74"/>
      <c r="B152" s="75"/>
      <c r="C152" s="68">
        <f>C151+1</f>
        <v>6</v>
      </c>
      <c r="D152" s="68"/>
      <c r="E152" s="19" t="s">
        <v>240</v>
      </c>
      <c r="F152" s="92">
        <f t="shared" si="1"/>
        <v>326.90267999999998</v>
      </c>
      <c r="G152" s="93">
        <v>0</v>
      </c>
      <c r="H152" s="19">
        <v>0</v>
      </c>
      <c r="I152" s="19">
        <f t="shared" si="2"/>
        <v>523.04428799999994</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3">
      <c r="A153" s="74"/>
      <c r="B153" s="75"/>
      <c r="C153" s="68">
        <f t="shared" si="3"/>
        <v>7</v>
      </c>
      <c r="D153" s="68"/>
      <c r="E153" s="19" t="s">
        <v>240</v>
      </c>
      <c r="F153" s="92">
        <f t="shared" si="1"/>
        <v>326.90267999999998</v>
      </c>
      <c r="G153" s="93">
        <v>0</v>
      </c>
      <c r="H153" s="19">
        <v>0</v>
      </c>
      <c r="I153" s="19">
        <f t="shared" si="2"/>
        <v>523.04428799999994</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3">
      <c r="A154" s="74"/>
      <c r="B154" s="75"/>
      <c r="C154" s="68">
        <f t="shared" si="3"/>
        <v>8</v>
      </c>
      <c r="D154" s="68"/>
      <c r="E154" s="19" t="s">
        <v>240</v>
      </c>
      <c r="F154" s="92">
        <f t="shared" si="1"/>
        <v>326.90267999999998</v>
      </c>
      <c r="G154" s="93">
        <v>0</v>
      </c>
      <c r="H154" s="19">
        <v>0</v>
      </c>
      <c r="I154" s="19">
        <f t="shared" si="2"/>
        <v>523.04428799999994</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3">
      <c r="A155" s="74"/>
      <c r="B155" s="75"/>
      <c r="C155" s="68">
        <f t="shared" si="3"/>
        <v>9</v>
      </c>
      <c r="D155" s="68"/>
      <c r="E155" s="19" t="s">
        <v>240</v>
      </c>
      <c r="F155" s="92">
        <f t="shared" si="1"/>
        <v>326.90267999999998</v>
      </c>
      <c r="G155" s="93">
        <v>0</v>
      </c>
      <c r="H155" s="19">
        <v>0</v>
      </c>
      <c r="I155" s="19">
        <f t="shared" si="2"/>
        <v>523.04428799999994</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3">
      <c r="A156" s="74"/>
      <c r="B156" s="75"/>
      <c r="C156" s="68">
        <f t="shared" si="3"/>
        <v>10</v>
      </c>
      <c r="D156" s="68"/>
      <c r="E156" s="19" t="s">
        <v>240</v>
      </c>
      <c r="F156" s="92">
        <f t="shared" si="1"/>
        <v>326.90267999999998</v>
      </c>
      <c r="G156" s="93">
        <v>0</v>
      </c>
      <c r="H156" s="19">
        <v>0</v>
      </c>
      <c r="I156" s="19">
        <f t="shared" si="2"/>
        <v>523.04428799999994</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3">
      <c r="A157" s="74"/>
      <c r="B157" s="75"/>
      <c r="C157" s="68">
        <f>C156+1</f>
        <v>11</v>
      </c>
      <c r="D157" s="68"/>
      <c r="E157" s="19" t="s">
        <v>240</v>
      </c>
      <c r="F157" s="92">
        <f t="shared" si="1"/>
        <v>326.90267999999998</v>
      </c>
      <c r="G157" s="93">
        <v>0</v>
      </c>
      <c r="H157" s="19">
        <v>0</v>
      </c>
      <c r="I157" s="19">
        <f t="shared" si="2"/>
        <v>523.04428799999994</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customHeight="1" x14ac:dyDescent="0.3">
      <c r="A158" s="74"/>
      <c r="B158" s="75"/>
      <c r="C158" s="68">
        <f t="shared" si="3"/>
        <v>12</v>
      </c>
      <c r="D158" s="68"/>
      <c r="E158" s="19" t="s">
        <v>240</v>
      </c>
      <c r="F158" s="92">
        <f t="shared" si="1"/>
        <v>326.90267999999998</v>
      </c>
      <c r="G158" s="93">
        <v>0</v>
      </c>
      <c r="H158" s="19">
        <v>0</v>
      </c>
      <c r="I158" s="19">
        <f t="shared" si="2"/>
        <v>523.04428799999994</v>
      </c>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customHeight="1" x14ac:dyDescent="0.3">
      <c r="A159" s="74"/>
      <c r="B159" s="75"/>
      <c r="C159" s="68">
        <f t="shared" si="3"/>
        <v>13</v>
      </c>
      <c r="D159" s="68"/>
      <c r="E159" s="19" t="s">
        <v>240</v>
      </c>
      <c r="F159" s="92">
        <f t="shared" si="1"/>
        <v>326.90267999999998</v>
      </c>
      <c r="G159" s="93">
        <v>0</v>
      </c>
      <c r="H159" s="19">
        <v>0</v>
      </c>
      <c r="I159" s="19">
        <f t="shared" si="2"/>
        <v>523.04428799999994</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customHeight="1" x14ac:dyDescent="0.3">
      <c r="A160" s="74"/>
      <c r="B160" s="75"/>
      <c r="C160" s="68">
        <f t="shared" si="3"/>
        <v>14</v>
      </c>
      <c r="D160" s="68"/>
      <c r="E160" s="19" t="s">
        <v>240</v>
      </c>
      <c r="F160" s="92">
        <f t="shared" si="1"/>
        <v>326.90267999999998</v>
      </c>
      <c r="G160" s="93">
        <v>0</v>
      </c>
      <c r="H160" s="19">
        <v>0</v>
      </c>
      <c r="I160" s="19">
        <f t="shared" si="2"/>
        <v>523.04428799999994</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customHeight="1" x14ac:dyDescent="0.3">
      <c r="A161" s="74"/>
      <c r="B161" s="75"/>
      <c r="C161" s="68">
        <f>C160+1</f>
        <v>15</v>
      </c>
      <c r="D161" s="68"/>
      <c r="E161" s="19" t="s">
        <v>240</v>
      </c>
      <c r="F161" s="92">
        <f t="shared" si="1"/>
        <v>326.90267999999998</v>
      </c>
      <c r="G161" s="93">
        <v>0</v>
      </c>
      <c r="H161" s="19">
        <v>0</v>
      </c>
      <c r="I161" s="19">
        <f t="shared" si="2"/>
        <v>523.04428799999994</v>
      </c>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3">
      <c r="A162" s="74"/>
      <c r="B162" s="75"/>
      <c r="C162" s="68">
        <f t="shared" si="3"/>
        <v>16</v>
      </c>
      <c r="D162" s="68"/>
      <c r="E162" s="19" t="s">
        <v>240</v>
      </c>
      <c r="F162" s="92">
        <f t="shared" si="1"/>
        <v>326.90267999999998</v>
      </c>
      <c r="G162" s="93">
        <v>0</v>
      </c>
      <c r="H162" s="19">
        <v>0</v>
      </c>
      <c r="I162" s="19">
        <f t="shared" si="2"/>
        <v>523.04428799999994</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3">
      <c r="A163" s="74"/>
      <c r="B163" s="75"/>
      <c r="C163" s="68">
        <f t="shared" si="3"/>
        <v>17</v>
      </c>
      <c r="D163" s="68"/>
      <c r="E163" s="19" t="s">
        <v>240</v>
      </c>
      <c r="F163" s="92">
        <f t="shared" si="1"/>
        <v>326.90267999999998</v>
      </c>
      <c r="G163" s="93">
        <v>0</v>
      </c>
      <c r="H163" s="19">
        <v>0</v>
      </c>
      <c r="I163" s="19">
        <f t="shared" si="2"/>
        <v>523.04428799999994</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3">
      <c r="A164" s="74"/>
      <c r="B164" s="75"/>
      <c r="C164" s="68">
        <f t="shared" si="3"/>
        <v>18</v>
      </c>
      <c r="D164" s="68"/>
      <c r="E164" s="19" t="s">
        <v>240</v>
      </c>
      <c r="F164" s="92">
        <f t="shared" si="1"/>
        <v>326.90267999999998</v>
      </c>
      <c r="G164" s="93">
        <v>0</v>
      </c>
      <c r="H164" s="19">
        <v>0</v>
      </c>
      <c r="I164" s="19">
        <f t="shared" si="2"/>
        <v>523.04428799999994</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ht="20.25" customHeight="1" x14ac:dyDescent="0.3">
      <c r="A165" s="74"/>
      <c r="B165" s="75"/>
      <c r="C165" s="68">
        <f t="shared" si="3"/>
        <v>19</v>
      </c>
      <c r="D165" s="68"/>
      <c r="E165" s="19" t="s">
        <v>240</v>
      </c>
      <c r="F165" s="92">
        <f t="shared" si="1"/>
        <v>326.90267999999998</v>
      </c>
      <c r="G165" s="93">
        <v>0</v>
      </c>
      <c r="H165" s="19">
        <v>0</v>
      </c>
      <c r="I165" s="19">
        <f t="shared" si="2"/>
        <v>523.04428799999994</v>
      </c>
    </row>
    <row r="166" spans="1:151 16227:16384" s="11" customFormat="1" ht="20.25" customHeight="1" x14ac:dyDescent="0.3">
      <c r="A166" s="74"/>
      <c r="B166" s="75"/>
      <c r="C166" s="68">
        <f>C165+1</f>
        <v>20</v>
      </c>
      <c r="D166" s="68"/>
      <c r="E166" s="19" t="s">
        <v>240</v>
      </c>
      <c r="F166" s="92">
        <f>(34.07)*10.764</f>
        <v>366.72947999999997</v>
      </c>
      <c r="G166" s="93">
        <v>0</v>
      </c>
      <c r="H166" s="19">
        <v>0</v>
      </c>
      <c r="I166" s="19">
        <f t="shared" si="2"/>
        <v>586.76716799999997</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customHeight="1" x14ac:dyDescent="0.3">
      <c r="A167" s="74"/>
      <c r="B167" s="75"/>
      <c r="C167" s="68">
        <f t="shared" si="3"/>
        <v>21</v>
      </c>
      <c r="D167" s="68"/>
      <c r="E167" s="19" t="s">
        <v>240</v>
      </c>
      <c r="F167" s="92">
        <f>(35.54)*10.764</f>
        <v>382.55255999999997</v>
      </c>
      <c r="G167" s="93">
        <v>0</v>
      </c>
      <c r="H167" s="19">
        <v>0</v>
      </c>
      <c r="I167" s="19">
        <f t="shared" si="2"/>
        <v>612.08409599999993</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customHeight="1" x14ac:dyDescent="0.3">
      <c r="A168" s="74"/>
      <c r="B168" s="75"/>
      <c r="C168" s="68">
        <f t="shared" si="3"/>
        <v>22</v>
      </c>
      <c r="D168" s="68"/>
      <c r="E168" s="19" t="s">
        <v>240</v>
      </c>
      <c r="F168" s="92">
        <f>(35.54)*10.764</f>
        <v>382.55255999999997</v>
      </c>
      <c r="G168" s="93">
        <v>0</v>
      </c>
      <c r="H168" s="19">
        <v>0</v>
      </c>
      <c r="I168" s="19">
        <f t="shared" si="2"/>
        <v>612.08409599999993</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customHeight="1" x14ac:dyDescent="0.3">
      <c r="A169" s="74"/>
      <c r="B169" s="75"/>
      <c r="C169" s="68">
        <f t="shared" si="3"/>
        <v>23</v>
      </c>
      <c r="D169" s="68"/>
      <c r="E169" s="19" t="s">
        <v>240</v>
      </c>
      <c r="F169" s="92">
        <f>(35.54)*10.764</f>
        <v>382.55255999999997</v>
      </c>
      <c r="G169" s="93">
        <v>0</v>
      </c>
      <c r="H169" s="19">
        <v>0</v>
      </c>
      <c r="I169" s="19">
        <f t="shared" si="2"/>
        <v>612.08409599999993</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customHeight="1" x14ac:dyDescent="0.3">
      <c r="A170" s="74"/>
      <c r="B170" s="75"/>
      <c r="C170" s="68">
        <f t="shared" si="3"/>
        <v>24</v>
      </c>
      <c r="D170" s="68"/>
      <c r="E170" s="19" t="s">
        <v>240</v>
      </c>
      <c r="F170" s="92">
        <f>(35.54)*10.764</f>
        <v>382.55255999999997</v>
      </c>
      <c r="G170" s="93">
        <v>0</v>
      </c>
      <c r="H170" s="19">
        <v>0</v>
      </c>
      <c r="I170" s="19">
        <f t="shared" si="2"/>
        <v>612.08409599999993</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customHeight="1" x14ac:dyDescent="0.3">
      <c r="A171" s="74"/>
      <c r="B171" s="75"/>
      <c r="C171" s="68">
        <f>C170+1</f>
        <v>25</v>
      </c>
      <c r="D171" s="68"/>
      <c r="E171" s="19" t="s">
        <v>240</v>
      </c>
      <c r="F171" s="92">
        <f>(35.54)*10.764</f>
        <v>382.55255999999997</v>
      </c>
      <c r="G171" s="93">
        <v>0</v>
      </c>
      <c r="H171" s="19">
        <v>0</v>
      </c>
      <c r="I171" s="19">
        <f t="shared" si="2"/>
        <v>612.08409599999993</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customHeight="1" x14ac:dyDescent="0.3">
      <c r="A172" s="74"/>
      <c r="B172" s="75"/>
      <c r="C172" s="68">
        <f t="shared" si="3"/>
        <v>26</v>
      </c>
      <c r="D172" s="68"/>
      <c r="E172" s="19" t="s">
        <v>240</v>
      </c>
      <c r="F172" s="92">
        <f>(55.83)*10.764</f>
        <v>600.95411999999999</v>
      </c>
      <c r="G172" s="93">
        <v>0</v>
      </c>
      <c r="H172" s="19">
        <v>0</v>
      </c>
      <c r="I172" s="19">
        <f t="shared" si="2"/>
        <v>961.52659200000005</v>
      </c>
      <c r="J172" s="1">
        <f>5.28*9.1+5.28*1.35</f>
        <v>55.176000000000002</v>
      </c>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3">
      <c r="A173" s="74"/>
      <c r="B173" s="75"/>
      <c r="C173" s="68">
        <f t="shared" si="3"/>
        <v>27</v>
      </c>
      <c r="D173" s="68"/>
      <c r="E173" s="19" t="s">
        <v>240</v>
      </c>
      <c r="F173" s="92">
        <f>(71.06)*10.764</f>
        <v>764.88983999999994</v>
      </c>
      <c r="G173" s="93">
        <v>0</v>
      </c>
      <c r="H173" s="19">
        <v>0</v>
      </c>
      <c r="I173" s="19">
        <f t="shared" si="2"/>
        <v>1223.823744</v>
      </c>
      <c r="J173" s="1">
        <f>6.8*9.1+6.8*1.35</f>
        <v>71.06</v>
      </c>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3">
      <c r="A174" s="74"/>
      <c r="B174" s="75"/>
      <c r="C174" s="68">
        <f t="shared" si="3"/>
        <v>28</v>
      </c>
      <c r="D174" s="68"/>
      <c r="E174" s="19" t="s">
        <v>240</v>
      </c>
      <c r="F174" s="92">
        <f>(55.55)*10.764</f>
        <v>597.94019999999989</v>
      </c>
      <c r="G174" s="93">
        <v>0</v>
      </c>
      <c r="H174" s="19">
        <v>0</v>
      </c>
      <c r="I174" s="19">
        <f t="shared" si="2"/>
        <v>956.70431999999983</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3">
      <c r="A175" s="74"/>
      <c r="B175" s="75"/>
      <c r="C175" s="68">
        <f>C174+1</f>
        <v>29</v>
      </c>
      <c r="D175" s="68"/>
      <c r="E175" s="19" t="s">
        <v>240</v>
      </c>
      <c r="F175" s="92">
        <f t="shared" ref="F175:F181" si="4">(36.48)*10.764</f>
        <v>392.67071999999996</v>
      </c>
      <c r="G175" s="93">
        <v>0</v>
      </c>
      <c r="H175" s="19">
        <v>0</v>
      </c>
      <c r="I175" s="19">
        <f t="shared" si="2"/>
        <v>628.27315199999998</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3">
      <c r="A176" s="74"/>
      <c r="B176" s="75"/>
      <c r="C176" s="68">
        <f t="shared" si="3"/>
        <v>30</v>
      </c>
      <c r="D176" s="68"/>
      <c r="E176" s="19" t="s">
        <v>240</v>
      </c>
      <c r="F176" s="92">
        <f t="shared" si="4"/>
        <v>392.67071999999996</v>
      </c>
      <c r="G176" s="93">
        <v>0</v>
      </c>
      <c r="H176" s="19">
        <v>0</v>
      </c>
      <c r="I176" s="19">
        <f t="shared" si="2"/>
        <v>628.27315199999998</v>
      </c>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3">
      <c r="A177" s="74"/>
      <c r="B177" s="75"/>
      <c r="C177" s="68">
        <f t="shared" si="3"/>
        <v>31</v>
      </c>
      <c r="D177" s="68"/>
      <c r="E177" s="19" t="s">
        <v>240</v>
      </c>
      <c r="F177" s="92">
        <f t="shared" si="4"/>
        <v>392.67071999999996</v>
      </c>
      <c r="G177" s="93">
        <v>0</v>
      </c>
      <c r="H177" s="19">
        <v>0</v>
      </c>
      <c r="I177" s="19">
        <f t="shared" si="2"/>
        <v>628.27315199999998</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3">
      <c r="A178" s="74"/>
      <c r="B178" s="75"/>
      <c r="C178" s="68">
        <f t="shared" si="3"/>
        <v>32</v>
      </c>
      <c r="D178" s="68"/>
      <c r="E178" s="19" t="s">
        <v>240</v>
      </c>
      <c r="F178" s="92">
        <f t="shared" si="4"/>
        <v>392.67071999999996</v>
      </c>
      <c r="G178" s="93">
        <v>0</v>
      </c>
      <c r="H178" s="19">
        <v>0</v>
      </c>
      <c r="I178" s="19">
        <f t="shared" si="2"/>
        <v>628.27315199999998</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ht="20.25" customHeight="1" x14ac:dyDescent="0.3">
      <c r="A179" s="74"/>
      <c r="B179" s="75"/>
      <c r="C179" s="68">
        <f t="shared" si="3"/>
        <v>33</v>
      </c>
      <c r="D179" s="68"/>
      <c r="E179" s="19" t="s">
        <v>240</v>
      </c>
      <c r="F179" s="92">
        <f t="shared" si="4"/>
        <v>392.67071999999996</v>
      </c>
      <c r="G179" s="93">
        <v>0</v>
      </c>
      <c r="H179" s="19">
        <v>0</v>
      </c>
      <c r="I179" s="19">
        <f t="shared" si="2"/>
        <v>628.27315199999998</v>
      </c>
    </row>
    <row r="180" spans="1:151 16227:16384" s="11" customFormat="1" ht="20.25" customHeight="1" x14ac:dyDescent="0.3">
      <c r="A180" s="74"/>
      <c r="B180" s="75"/>
      <c r="C180" s="68">
        <f t="shared" si="3"/>
        <v>34</v>
      </c>
      <c r="D180" s="68"/>
      <c r="E180" s="19" t="s">
        <v>240</v>
      </c>
      <c r="F180" s="92">
        <f t="shared" si="4"/>
        <v>392.67071999999996</v>
      </c>
      <c r="G180" s="93">
        <v>0</v>
      </c>
      <c r="H180" s="19">
        <v>0</v>
      </c>
      <c r="I180" s="19">
        <f t="shared" si="2"/>
        <v>628.27315199999998</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3">
      <c r="A181" s="74"/>
      <c r="B181" s="75"/>
      <c r="C181" s="68">
        <f t="shared" si="3"/>
        <v>35</v>
      </c>
      <c r="D181" s="68"/>
      <c r="E181" s="19" t="s">
        <v>240</v>
      </c>
      <c r="F181" s="92">
        <f t="shared" si="4"/>
        <v>392.67071999999996</v>
      </c>
      <c r="G181" s="93">
        <v>0</v>
      </c>
      <c r="H181" s="19">
        <v>0</v>
      </c>
      <c r="I181" s="19">
        <f t="shared" si="2"/>
        <v>628.27315199999998</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3">
      <c r="A182" s="74"/>
      <c r="B182" s="75"/>
      <c r="C182" s="68">
        <f>C181+1</f>
        <v>36</v>
      </c>
      <c r="D182" s="68"/>
      <c r="E182" s="19" t="s">
        <v>240</v>
      </c>
      <c r="F182" s="92">
        <f>(5.28*10.45)*10.764</f>
        <v>593.91446399999995</v>
      </c>
      <c r="G182" s="93">
        <v>0</v>
      </c>
      <c r="H182" s="19">
        <v>0</v>
      </c>
      <c r="I182" s="19">
        <f t="shared" si="2"/>
        <v>950.26314239999999</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3">
      <c r="A183" s="74"/>
      <c r="B183" s="75"/>
      <c r="C183" s="68">
        <f t="shared" si="3"/>
        <v>37</v>
      </c>
      <c r="D183" s="68"/>
      <c r="E183" s="19" t="s">
        <v>240</v>
      </c>
      <c r="F183" s="92">
        <f>(6.8*10.45)*10.764</f>
        <v>764.88983999999982</v>
      </c>
      <c r="G183" s="93">
        <v>0</v>
      </c>
      <c r="H183" s="19">
        <v>0</v>
      </c>
      <c r="I183" s="19">
        <f t="shared" si="2"/>
        <v>1223.8237439999998</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3">
      <c r="A184" s="74"/>
      <c r="B184" s="75"/>
      <c r="C184" s="68">
        <f t="shared" si="3"/>
        <v>38</v>
      </c>
      <c r="D184" s="68"/>
      <c r="E184" s="19" t="s">
        <v>240</v>
      </c>
      <c r="F184" s="92">
        <f>(5.25*10.45)*10.764</f>
        <v>590.53994999999998</v>
      </c>
      <c r="G184" s="93">
        <v>0</v>
      </c>
      <c r="H184" s="19">
        <v>0</v>
      </c>
      <c r="I184" s="19">
        <f t="shared" si="2"/>
        <v>944.86392000000001</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3">
      <c r="A185" s="74"/>
      <c r="B185" s="75"/>
      <c r="C185" s="68">
        <f t="shared" si="3"/>
        <v>39</v>
      </c>
      <c r="D185" s="68"/>
      <c r="E185" s="19" t="s">
        <v>240</v>
      </c>
      <c r="F185" s="92">
        <f>(3.93*10.43)*10.764</f>
        <v>441.21528359999996</v>
      </c>
      <c r="G185" s="93">
        <v>0</v>
      </c>
      <c r="H185" s="19">
        <v>0</v>
      </c>
      <c r="I185" s="19">
        <f t="shared" si="2"/>
        <v>705.94445375999999</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3">
      <c r="A186" s="74"/>
      <c r="B186" s="75"/>
      <c r="C186" s="68">
        <f>C185+1</f>
        <v>40</v>
      </c>
      <c r="D186" s="68"/>
      <c r="E186" s="19" t="s">
        <v>240</v>
      </c>
      <c r="F186" s="92">
        <f>(3.93*10.45)*10.764</f>
        <v>442.06133399999999</v>
      </c>
      <c r="G186" s="93">
        <v>0</v>
      </c>
      <c r="H186" s="19">
        <v>0</v>
      </c>
      <c r="I186" s="19">
        <f t="shared" si="2"/>
        <v>707.29813439999998</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3">
      <c r="A187" s="74"/>
      <c r="B187" s="75"/>
      <c r="C187" s="68">
        <f t="shared" si="3"/>
        <v>41</v>
      </c>
      <c r="D187" s="68"/>
      <c r="E187" s="19" t="s">
        <v>240</v>
      </c>
      <c r="F187" s="92">
        <f>(3.93*10.45)*10.764</f>
        <v>442.06133399999999</v>
      </c>
      <c r="G187" s="93">
        <v>0</v>
      </c>
      <c r="H187" s="19">
        <v>0</v>
      </c>
      <c r="I187" s="19">
        <f t="shared" si="2"/>
        <v>707.29813439999998</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3">
      <c r="A188" s="74"/>
      <c r="B188" s="75"/>
      <c r="C188" s="68">
        <f t="shared" si="3"/>
        <v>42</v>
      </c>
      <c r="D188" s="68"/>
      <c r="E188" s="19" t="s">
        <v>240</v>
      </c>
      <c r="F188" s="92">
        <f>(3.93*10.45)*10.764</f>
        <v>442.06133399999999</v>
      </c>
      <c r="G188" s="93">
        <v>0</v>
      </c>
      <c r="H188" s="19">
        <v>0</v>
      </c>
      <c r="I188" s="19">
        <f t="shared" si="2"/>
        <v>707.29813439999998</v>
      </c>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3">
      <c r="A189" s="74"/>
      <c r="B189" s="75"/>
      <c r="C189" s="68">
        <f t="shared" si="3"/>
        <v>43</v>
      </c>
      <c r="D189" s="68"/>
      <c r="E189" s="19" t="s">
        <v>240</v>
      </c>
      <c r="F189" s="92">
        <f>(3.93*10.45)*10.764</f>
        <v>442.06133399999999</v>
      </c>
      <c r="G189" s="93">
        <v>0</v>
      </c>
      <c r="H189" s="19">
        <v>0</v>
      </c>
      <c r="I189" s="19">
        <f t="shared" si="2"/>
        <v>707.29813439999998</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ht="20.25" customHeight="1" x14ac:dyDescent="0.3">
      <c r="A190" s="76"/>
      <c r="B190" s="77"/>
      <c r="C190" s="68">
        <f t="shared" si="3"/>
        <v>44</v>
      </c>
      <c r="D190" s="68"/>
      <c r="E190" s="19" t="s">
        <v>240</v>
      </c>
      <c r="F190" s="92">
        <f>(3.93*10.45)*10.764</f>
        <v>442.06133399999999</v>
      </c>
      <c r="G190" s="93">
        <v>0</v>
      </c>
      <c r="H190" s="19">
        <v>0</v>
      </c>
      <c r="I190" s="19">
        <f t="shared" si="2"/>
        <v>707.29813439999998</v>
      </c>
    </row>
    <row r="191" spans="1:151 16227:16384" ht="21" x14ac:dyDescent="0.3">
      <c r="A191" s="158"/>
      <c r="B191" s="158"/>
      <c r="C191" s="158"/>
      <c r="D191" s="158"/>
      <c r="E191" s="158"/>
      <c r="F191" s="158"/>
      <c r="G191" s="158"/>
      <c r="H191" s="158"/>
      <c r="I191" s="158"/>
    </row>
    <row r="192" spans="1:151 16227:16384" s="11" customFormat="1" ht="48.75" customHeight="1" x14ac:dyDescent="0.3">
      <c r="A192" s="83" t="s">
        <v>100</v>
      </c>
      <c r="B192" s="84"/>
      <c r="C192" s="83" t="s">
        <v>238</v>
      </c>
      <c r="D192" s="84"/>
      <c r="E192" s="83" t="s">
        <v>97</v>
      </c>
      <c r="F192" s="83" t="s">
        <v>98</v>
      </c>
      <c r="G192" s="84"/>
      <c r="H192" s="83" t="s">
        <v>99</v>
      </c>
      <c r="I192" s="53" t="s">
        <v>153</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1" x14ac:dyDescent="0.3">
      <c r="A193" s="85"/>
      <c r="B193" s="86"/>
      <c r="C193" s="85"/>
      <c r="D193" s="86"/>
      <c r="E193" s="85"/>
      <c r="F193" s="85"/>
      <c r="G193" s="86"/>
      <c r="H193" s="85"/>
      <c r="I193" s="67">
        <v>0.5</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1" x14ac:dyDescent="0.3">
      <c r="A194" s="80" t="s">
        <v>211</v>
      </c>
      <c r="B194" s="81"/>
      <c r="C194" s="81"/>
      <c r="D194" s="81"/>
      <c r="E194" s="81"/>
      <c r="F194" s="81"/>
      <c r="G194" s="81"/>
      <c r="H194" s="81"/>
      <c r="I194" s="82"/>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1" x14ac:dyDescent="0.3">
      <c r="A195" s="80" t="s">
        <v>212</v>
      </c>
      <c r="B195" s="81"/>
      <c r="C195" s="81"/>
      <c r="D195" s="81"/>
      <c r="E195" s="81"/>
      <c r="F195" s="81"/>
      <c r="G195" s="81"/>
      <c r="H195" s="81"/>
      <c r="I195" s="8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1" x14ac:dyDescent="0.3">
      <c r="A196" s="80" t="s">
        <v>213</v>
      </c>
      <c r="B196" s="81"/>
      <c r="C196" s="81"/>
      <c r="D196" s="81"/>
      <c r="E196" s="81"/>
      <c r="F196" s="81"/>
      <c r="G196" s="81"/>
      <c r="H196" s="81"/>
      <c r="I196" s="8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1" x14ac:dyDescent="0.3">
      <c r="A197" s="80" t="s">
        <v>214</v>
      </c>
      <c r="B197" s="81"/>
      <c r="C197" s="81"/>
      <c r="D197" s="81"/>
      <c r="E197" s="81"/>
      <c r="F197" s="81"/>
      <c r="G197" s="81"/>
      <c r="H197" s="81"/>
      <c r="I197" s="82"/>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1" x14ac:dyDescent="0.3">
      <c r="A198" s="80" t="s">
        <v>215</v>
      </c>
      <c r="B198" s="81"/>
      <c r="C198" s="81"/>
      <c r="D198" s="81"/>
      <c r="E198" s="81"/>
      <c r="F198" s="81"/>
      <c r="G198" s="81"/>
      <c r="H198" s="81"/>
      <c r="I198" s="82"/>
      <c r="J198" s="1"/>
      <c r="K198" s="1"/>
      <c r="L198" s="1"/>
      <c r="M198" s="1"/>
      <c r="N198" s="1"/>
      <c r="O198" s="19">
        <v>10.763999999999999</v>
      </c>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1" x14ac:dyDescent="0.3">
      <c r="A199" s="80" t="s">
        <v>216</v>
      </c>
      <c r="B199" s="81"/>
      <c r="C199" s="81"/>
      <c r="D199" s="81"/>
      <c r="E199" s="81"/>
      <c r="F199" s="81"/>
      <c r="G199" s="81"/>
      <c r="H199" s="81"/>
      <c r="I199" s="82"/>
      <c r="J199" s="1">
        <f>3*4.4+0.9*2.25+2*2.55+2.78*2.9+3*3.95+2.15*1.2+1.26*1.7+0.24*0.9+2.2*0.5+0.9*2.2</f>
        <v>48.255000000000003</v>
      </c>
      <c r="K199" s="1">
        <f>50.85</f>
        <v>50.85</v>
      </c>
      <c r="L199" s="1">
        <f>J199-K199</f>
        <v>-2.5949999999999989</v>
      </c>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3">
      <c r="A200" s="72" t="str">
        <f>A199</f>
        <v>1st Floor For Residential</v>
      </c>
      <c r="B200" s="73"/>
      <c r="C200" s="68">
        <v>1</v>
      </c>
      <c r="D200" s="68"/>
      <c r="E200" s="19" t="s">
        <v>217</v>
      </c>
      <c r="F200" s="69">
        <f>(50.85)*10.764</f>
        <v>547.34939999999995</v>
      </c>
      <c r="G200" s="71"/>
      <c r="H200" s="19">
        <v>0</v>
      </c>
      <c r="I200" s="19">
        <f>F200*(($I$193)+1)+H200</f>
        <v>821.02409999999986</v>
      </c>
      <c r="J200" s="1">
        <f>3.05*4.25+1.75*2.3+2.55*2.15+2.75*3.1+3.05*3.45+2.2*1.2+1.2*2.5+0.9*2.2</f>
        <v>49.137499999999996</v>
      </c>
      <c r="K200" s="1">
        <f>52.15</f>
        <v>52.15</v>
      </c>
      <c r="L200" s="1">
        <f t="shared" ref="L200:L201" si="5">J200-K200</f>
        <v>-3.0125000000000028</v>
      </c>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3">
      <c r="A201" s="74"/>
      <c r="B201" s="75"/>
      <c r="C201" s="68">
        <f>C200+1</f>
        <v>2</v>
      </c>
      <c r="D201" s="68"/>
      <c r="E201" s="19" t="s">
        <v>217</v>
      </c>
      <c r="F201" s="69">
        <f>(52.15)*10.764</f>
        <v>561.34259999999995</v>
      </c>
      <c r="G201" s="71">
        <v>0</v>
      </c>
      <c r="H201" s="19">
        <v>0</v>
      </c>
      <c r="I201" s="19">
        <f t="shared" ref="I201:I213" si="6">F201*(($I$193)+1)+H201</f>
        <v>842.01389999999992</v>
      </c>
      <c r="J201" s="1">
        <f>4.95*2.9+2.75*2.1+3.8*3.09+1.2*2+1.2*1.45+0.9*0.58+0.9*2.1</f>
        <v>38.423999999999999</v>
      </c>
      <c r="K201" s="1">
        <f>40.65</f>
        <v>40.65</v>
      </c>
      <c r="L201" s="1">
        <f t="shared" si="5"/>
        <v>-2.2259999999999991</v>
      </c>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3">
      <c r="A202" s="74"/>
      <c r="B202" s="75"/>
      <c r="C202" s="68">
        <f t="shared" ref="C202:C213" si="7">C201+1</f>
        <v>3</v>
      </c>
      <c r="D202" s="68"/>
      <c r="E202" s="19" t="s">
        <v>218</v>
      </c>
      <c r="F202" s="69">
        <f>(40.65)*10.764</f>
        <v>437.55659999999995</v>
      </c>
      <c r="G202" s="71">
        <v>0</v>
      </c>
      <c r="H202" s="19">
        <v>0</v>
      </c>
      <c r="I202" s="19">
        <f t="shared" si="6"/>
        <v>656.33489999999995</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3">
      <c r="A203" s="74"/>
      <c r="B203" s="75"/>
      <c r="C203" s="68">
        <f t="shared" si="7"/>
        <v>4</v>
      </c>
      <c r="D203" s="68"/>
      <c r="E203" s="19" t="s">
        <v>218</v>
      </c>
      <c r="F203" s="69">
        <f>(40.22)*10.764</f>
        <v>432.92807999999997</v>
      </c>
      <c r="G203" s="71">
        <v>0</v>
      </c>
      <c r="H203" s="19">
        <v>0</v>
      </c>
      <c r="I203" s="19">
        <f t="shared" si="6"/>
        <v>649.39211999999998</v>
      </c>
      <c r="J203" s="1"/>
      <c r="K203" s="1"/>
      <c r="L203" s="1">
        <f>8800000/F204</f>
        <v>19823.956061462915</v>
      </c>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3">
      <c r="A204" s="74"/>
      <c r="B204" s="75"/>
      <c r="C204" s="68">
        <f t="shared" si="7"/>
        <v>5</v>
      </c>
      <c r="D204" s="68"/>
      <c r="E204" s="19" t="s">
        <v>218</v>
      </c>
      <c r="F204" s="69">
        <f>(41.24)*10.764</f>
        <v>443.90735999999998</v>
      </c>
      <c r="G204" s="71">
        <v>0</v>
      </c>
      <c r="H204" s="19">
        <v>0</v>
      </c>
      <c r="I204" s="19">
        <f t="shared" si="6"/>
        <v>665.86104</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3">
      <c r="A205" s="74"/>
      <c r="B205" s="75"/>
      <c r="C205" s="68">
        <f t="shared" si="7"/>
        <v>6</v>
      </c>
      <c r="D205" s="68"/>
      <c r="E205" s="19" t="s">
        <v>218</v>
      </c>
      <c r="F205" s="69">
        <f>(41.33)*10.764</f>
        <v>444.87611999999996</v>
      </c>
      <c r="G205" s="71">
        <v>0</v>
      </c>
      <c r="H205" s="19">
        <v>0</v>
      </c>
      <c r="I205" s="19">
        <f t="shared" si="6"/>
        <v>667.31417999999996</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3">
      <c r="A206" s="74"/>
      <c r="B206" s="75"/>
      <c r="C206" s="68">
        <f t="shared" si="7"/>
        <v>7</v>
      </c>
      <c r="D206" s="68"/>
      <c r="E206" s="19" t="s">
        <v>218</v>
      </c>
      <c r="F206" s="69">
        <f>(41.33)*10.764</f>
        <v>444.87611999999996</v>
      </c>
      <c r="G206" s="71">
        <v>0</v>
      </c>
      <c r="H206" s="19">
        <v>0</v>
      </c>
      <c r="I206" s="19">
        <f t="shared" si="6"/>
        <v>667.31417999999996</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3">
      <c r="A207" s="74"/>
      <c r="B207" s="75"/>
      <c r="C207" s="68">
        <f t="shared" si="7"/>
        <v>8</v>
      </c>
      <c r="D207" s="68"/>
      <c r="E207" s="19" t="s">
        <v>218</v>
      </c>
      <c r="F207" s="69">
        <f>(41.24)*10.764</f>
        <v>443.90735999999998</v>
      </c>
      <c r="G207" s="71">
        <v>0</v>
      </c>
      <c r="H207" s="19">
        <v>0</v>
      </c>
      <c r="I207" s="19">
        <f t="shared" si="6"/>
        <v>665.86104</v>
      </c>
      <c r="J207" s="1">
        <f>4.95*2.9+2.75*2.1+3.8*3.09+1.2*2+1.2*1.45+0.9*0.58+0.9*2.1</f>
        <v>38.423999999999999</v>
      </c>
      <c r="K207" s="1">
        <f>40.65</f>
        <v>40.65</v>
      </c>
      <c r="L207" s="1">
        <f t="shared" ref="L207" si="8">J207-K207</f>
        <v>-2.2259999999999991</v>
      </c>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3">
      <c r="A208" s="74"/>
      <c r="B208" s="75"/>
      <c r="C208" s="68">
        <f t="shared" si="7"/>
        <v>9</v>
      </c>
      <c r="D208" s="68"/>
      <c r="E208" s="19" t="s">
        <v>218</v>
      </c>
      <c r="F208" s="69">
        <f>(40.22)*10.764</f>
        <v>432.92807999999997</v>
      </c>
      <c r="G208" s="71">
        <v>0</v>
      </c>
      <c r="H208" s="19">
        <v>0</v>
      </c>
      <c r="I208" s="19">
        <f t="shared" si="6"/>
        <v>649.39211999999998</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3">
      <c r="A209" s="74"/>
      <c r="B209" s="75"/>
      <c r="C209" s="68">
        <f t="shared" si="7"/>
        <v>10</v>
      </c>
      <c r="D209" s="68"/>
      <c r="E209" s="19" t="s">
        <v>218</v>
      </c>
      <c r="F209" s="69">
        <f>(40.65)*10.764</f>
        <v>437.55659999999995</v>
      </c>
      <c r="G209" s="71">
        <v>0</v>
      </c>
      <c r="H209" s="19">
        <v>0</v>
      </c>
      <c r="I209" s="19">
        <f t="shared" si="6"/>
        <v>656.33489999999995</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3">
      <c r="A210" s="74"/>
      <c r="B210" s="75"/>
      <c r="C210" s="68">
        <f t="shared" si="7"/>
        <v>11</v>
      </c>
      <c r="D210" s="68"/>
      <c r="E210" s="19" t="s">
        <v>217</v>
      </c>
      <c r="F210" s="69">
        <f>(52.15)*10.764</f>
        <v>561.34259999999995</v>
      </c>
      <c r="G210" s="71">
        <v>0</v>
      </c>
      <c r="H210" s="19">
        <v>0</v>
      </c>
      <c r="I210" s="19">
        <f t="shared" si="6"/>
        <v>842.01389999999992</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3">
      <c r="A211" s="74"/>
      <c r="B211" s="75"/>
      <c r="C211" s="68">
        <f t="shared" si="7"/>
        <v>12</v>
      </c>
      <c r="D211" s="68"/>
      <c r="E211" s="19" t="s">
        <v>217</v>
      </c>
      <c r="F211" s="69">
        <f>(50.85)*10.764</f>
        <v>547.34939999999995</v>
      </c>
      <c r="G211" s="71">
        <v>0</v>
      </c>
      <c r="H211" s="19">
        <v>0</v>
      </c>
      <c r="I211" s="19">
        <f t="shared" si="6"/>
        <v>821.02409999999986</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3">
      <c r="A212" s="74"/>
      <c r="B212" s="75"/>
      <c r="C212" s="68">
        <f t="shared" si="7"/>
        <v>13</v>
      </c>
      <c r="D212" s="68"/>
      <c r="E212" s="19" t="s">
        <v>218</v>
      </c>
      <c r="F212" s="69">
        <f>(40.66)*10.764</f>
        <v>437.66423999999995</v>
      </c>
      <c r="G212" s="71">
        <v>0</v>
      </c>
      <c r="H212" s="19">
        <v>0</v>
      </c>
      <c r="I212" s="19">
        <f t="shared" si="6"/>
        <v>656.49635999999987</v>
      </c>
      <c r="J212" s="1"/>
      <c r="K212" s="1"/>
      <c r="L212" s="1">
        <f>7400000/F212</f>
        <v>16907.938377601975</v>
      </c>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3">
      <c r="A213" s="76"/>
      <c r="B213" s="77"/>
      <c r="C213" s="68">
        <f t="shared" si="7"/>
        <v>14</v>
      </c>
      <c r="D213" s="68"/>
      <c r="E213" s="19" t="s">
        <v>218</v>
      </c>
      <c r="F213" s="69">
        <f>(40.66)*10.764</f>
        <v>437.66423999999995</v>
      </c>
      <c r="G213" s="71">
        <v>0</v>
      </c>
      <c r="H213" s="19">
        <v>0</v>
      </c>
      <c r="I213" s="19">
        <f t="shared" si="6"/>
        <v>656.49635999999987</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1" x14ac:dyDescent="0.3">
      <c r="A214" s="80" t="s">
        <v>219</v>
      </c>
      <c r="B214" s="81"/>
      <c r="C214" s="81"/>
      <c r="D214" s="81"/>
      <c r="E214" s="81"/>
      <c r="F214" s="81"/>
      <c r="G214" s="81"/>
      <c r="H214" s="81"/>
      <c r="I214" s="82"/>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1" x14ac:dyDescent="0.3">
      <c r="A215" s="72" t="str">
        <f>A214</f>
        <v>2nd, 3rd &amp; 5th Floor</v>
      </c>
      <c r="B215" s="73"/>
      <c r="C215" s="68">
        <v>1</v>
      </c>
      <c r="D215" s="68"/>
      <c r="E215" s="19" t="s">
        <v>217</v>
      </c>
      <c r="F215" s="69">
        <f>(50.85)*10.764</f>
        <v>547.34939999999995</v>
      </c>
      <c r="G215" s="71">
        <v>0</v>
      </c>
      <c r="H215" s="19">
        <v>0</v>
      </c>
      <c r="I215" s="19">
        <f t="shared" ref="I215:I228" si="9">F215*(($I$193)+1)+H215</f>
        <v>821.02409999999986</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1" x14ac:dyDescent="0.3">
      <c r="A216" s="74"/>
      <c r="B216" s="75"/>
      <c r="C216" s="68">
        <f>C215+1</f>
        <v>2</v>
      </c>
      <c r="D216" s="68"/>
      <c r="E216" s="19" t="s">
        <v>217</v>
      </c>
      <c r="F216" s="69">
        <f>(57.99+3.2)*10.764</f>
        <v>658.64916000000005</v>
      </c>
      <c r="G216" s="71">
        <v>0</v>
      </c>
      <c r="H216" s="19">
        <v>0</v>
      </c>
      <c r="I216" s="19">
        <f t="shared" si="9"/>
        <v>987.97374000000013</v>
      </c>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3">
      <c r="A217" s="74"/>
      <c r="B217" s="75"/>
      <c r="C217" s="68">
        <f t="shared" ref="C217:C228" si="10">C216+1</f>
        <v>3</v>
      </c>
      <c r="D217" s="68"/>
      <c r="E217" s="19" t="s">
        <v>218</v>
      </c>
      <c r="F217" s="69">
        <f>(40.65)*10.764</f>
        <v>437.55659999999995</v>
      </c>
      <c r="G217" s="71">
        <v>0</v>
      </c>
      <c r="H217" s="19">
        <v>0</v>
      </c>
      <c r="I217" s="19">
        <f t="shared" si="9"/>
        <v>656.33489999999995</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3">
      <c r="A218" s="74"/>
      <c r="B218" s="75"/>
      <c r="C218" s="68">
        <f t="shared" si="10"/>
        <v>4</v>
      </c>
      <c r="D218" s="68"/>
      <c r="E218" s="19" t="s">
        <v>218</v>
      </c>
      <c r="F218" s="69">
        <f>(40.22)*10.764</f>
        <v>432.92807999999997</v>
      </c>
      <c r="G218" s="71">
        <v>0</v>
      </c>
      <c r="H218" s="19">
        <v>0</v>
      </c>
      <c r="I218" s="19">
        <f t="shared" si="9"/>
        <v>649.39211999999998</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3">
      <c r="A219" s="74"/>
      <c r="B219" s="75"/>
      <c r="C219" s="68">
        <f t="shared" si="10"/>
        <v>5</v>
      </c>
      <c r="D219" s="68"/>
      <c r="E219" s="19" t="s">
        <v>218</v>
      </c>
      <c r="F219" s="69">
        <f>(41.24)*10.764</f>
        <v>443.90735999999998</v>
      </c>
      <c r="G219" s="71">
        <v>0</v>
      </c>
      <c r="H219" s="19">
        <v>0</v>
      </c>
      <c r="I219" s="19">
        <f t="shared" si="9"/>
        <v>665.86104</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3">
      <c r="A220" s="74"/>
      <c r="B220" s="75"/>
      <c r="C220" s="68">
        <f t="shared" si="10"/>
        <v>6</v>
      </c>
      <c r="D220" s="68"/>
      <c r="E220" s="19" t="s">
        <v>218</v>
      </c>
      <c r="F220" s="69">
        <f>(41.33)*10.764</f>
        <v>444.87611999999996</v>
      </c>
      <c r="G220" s="71">
        <v>0</v>
      </c>
      <c r="H220" s="19">
        <v>0</v>
      </c>
      <c r="I220" s="19">
        <f t="shared" si="9"/>
        <v>667.31417999999996</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3">
      <c r="A221" s="74"/>
      <c r="B221" s="75"/>
      <c r="C221" s="68">
        <f t="shared" si="10"/>
        <v>7</v>
      </c>
      <c r="D221" s="68"/>
      <c r="E221" s="19" t="s">
        <v>218</v>
      </c>
      <c r="F221" s="69">
        <f>(41.33)*10.764</f>
        <v>444.87611999999996</v>
      </c>
      <c r="G221" s="71">
        <v>0</v>
      </c>
      <c r="H221" s="19">
        <v>0</v>
      </c>
      <c r="I221" s="19">
        <f t="shared" si="9"/>
        <v>667.31417999999996</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1" x14ac:dyDescent="0.3">
      <c r="A222" s="74"/>
      <c r="B222" s="75"/>
      <c r="C222" s="68">
        <f t="shared" si="10"/>
        <v>8</v>
      </c>
      <c r="D222" s="68"/>
      <c r="E222" s="19" t="s">
        <v>218</v>
      </c>
      <c r="F222" s="69">
        <f>(41.24)*10.764</f>
        <v>443.90735999999998</v>
      </c>
      <c r="G222" s="71">
        <v>0</v>
      </c>
      <c r="H222" s="19">
        <v>0</v>
      </c>
      <c r="I222" s="19">
        <f t="shared" si="9"/>
        <v>665.86104</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3">
      <c r="A223" s="74"/>
      <c r="B223" s="75"/>
      <c r="C223" s="68">
        <f t="shared" si="10"/>
        <v>9</v>
      </c>
      <c r="D223" s="68"/>
      <c r="E223" s="19" t="s">
        <v>218</v>
      </c>
      <c r="F223" s="69">
        <f>(40.22)*10.764</f>
        <v>432.92807999999997</v>
      </c>
      <c r="G223" s="71">
        <v>0</v>
      </c>
      <c r="H223" s="19">
        <v>0</v>
      </c>
      <c r="I223" s="19">
        <f t="shared" si="9"/>
        <v>649.39211999999998</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3">
      <c r="A224" s="74"/>
      <c r="B224" s="75"/>
      <c r="C224" s="68">
        <f t="shared" si="10"/>
        <v>10</v>
      </c>
      <c r="D224" s="68"/>
      <c r="E224" s="19" t="s">
        <v>218</v>
      </c>
      <c r="F224" s="69">
        <f>(40.65)*10.764</f>
        <v>437.55659999999995</v>
      </c>
      <c r="G224" s="71">
        <v>0</v>
      </c>
      <c r="H224" s="19">
        <v>0</v>
      </c>
      <c r="I224" s="19">
        <f t="shared" si="9"/>
        <v>656.33489999999995</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3">
      <c r="A225" s="74"/>
      <c r="B225" s="75"/>
      <c r="C225" s="68">
        <f t="shared" si="10"/>
        <v>11</v>
      </c>
      <c r="D225" s="68"/>
      <c r="E225" s="19" t="s">
        <v>217</v>
      </c>
      <c r="F225" s="69">
        <f>(57.99+3.2)*10.764</f>
        <v>658.64916000000005</v>
      </c>
      <c r="G225" s="71">
        <v>0</v>
      </c>
      <c r="H225" s="19">
        <v>0</v>
      </c>
      <c r="I225" s="19">
        <f t="shared" si="9"/>
        <v>987.97374000000013</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customHeight="1" x14ac:dyDescent="0.3">
      <c r="A226" s="74"/>
      <c r="B226" s="75"/>
      <c r="C226" s="68">
        <f t="shared" si="10"/>
        <v>12</v>
      </c>
      <c r="D226" s="68"/>
      <c r="E226" s="19" t="s">
        <v>217</v>
      </c>
      <c r="F226" s="69">
        <f>(50.85)*10.764</f>
        <v>547.34939999999995</v>
      </c>
      <c r="G226" s="71">
        <v>0</v>
      </c>
      <c r="H226" s="19">
        <v>0</v>
      </c>
      <c r="I226" s="19">
        <f t="shared" si="9"/>
        <v>821.02409999999986</v>
      </c>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3">
      <c r="A227" s="74"/>
      <c r="B227" s="75"/>
      <c r="C227" s="68">
        <f t="shared" si="10"/>
        <v>13</v>
      </c>
      <c r="D227" s="68"/>
      <c r="E227" s="19" t="s">
        <v>218</v>
      </c>
      <c r="F227" s="69">
        <f>(40.66)*10.764</f>
        <v>437.66423999999995</v>
      </c>
      <c r="G227" s="71">
        <v>0</v>
      </c>
      <c r="H227" s="19">
        <v>0</v>
      </c>
      <c r="I227" s="19">
        <f t="shared" si="9"/>
        <v>656.49635999999987</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1" x14ac:dyDescent="0.3">
      <c r="A228" s="76"/>
      <c r="B228" s="77"/>
      <c r="C228" s="68">
        <f t="shared" si="10"/>
        <v>14</v>
      </c>
      <c r="D228" s="68"/>
      <c r="E228" s="19" t="s">
        <v>218</v>
      </c>
      <c r="F228" s="69">
        <f>(40.66)*10.764</f>
        <v>437.66423999999995</v>
      </c>
      <c r="G228" s="71">
        <v>0</v>
      </c>
      <c r="H228" s="19">
        <v>0</v>
      </c>
      <c r="I228" s="19">
        <f t="shared" si="9"/>
        <v>656.49635999999987</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1" x14ac:dyDescent="0.3">
      <c r="A229" s="80" t="s">
        <v>220</v>
      </c>
      <c r="B229" s="81"/>
      <c r="C229" s="81"/>
      <c r="D229" s="81"/>
      <c r="E229" s="81"/>
      <c r="F229" s="81"/>
      <c r="G229" s="81"/>
      <c r="H229" s="81"/>
      <c r="I229" s="82"/>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3">
      <c r="A230" s="72" t="str">
        <f>A229</f>
        <v>4th Floor (Part Refuge Area)</v>
      </c>
      <c r="B230" s="73"/>
      <c r="C230" s="68">
        <v>1</v>
      </c>
      <c r="D230" s="68"/>
      <c r="E230" s="19" t="s">
        <v>217</v>
      </c>
      <c r="F230" s="69">
        <f>(50.85)*10.764</f>
        <v>547.34939999999995</v>
      </c>
      <c r="G230" s="71">
        <v>0</v>
      </c>
      <c r="H230" s="19">
        <v>0</v>
      </c>
      <c r="I230" s="19">
        <f t="shared" ref="I230:I242" si="11">F230*(($I$193)+1)+H230</f>
        <v>821.02409999999986</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3">
      <c r="A231" s="74"/>
      <c r="B231" s="75"/>
      <c r="C231" s="68">
        <f>C230+1</f>
        <v>2</v>
      </c>
      <c r="D231" s="68"/>
      <c r="E231" s="19" t="s">
        <v>217</v>
      </c>
      <c r="F231" s="69">
        <f>(57.99+3.2)*10.764</f>
        <v>658.64916000000005</v>
      </c>
      <c r="G231" s="71">
        <v>0</v>
      </c>
      <c r="H231" s="19">
        <v>0</v>
      </c>
      <c r="I231" s="19">
        <f t="shared" si="11"/>
        <v>987.97374000000013</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3">
      <c r="A232" s="74"/>
      <c r="B232" s="75"/>
      <c r="C232" s="68">
        <f t="shared" ref="C232:C243" si="12">C231+1</f>
        <v>3</v>
      </c>
      <c r="D232" s="68"/>
      <c r="E232" s="19" t="s">
        <v>218</v>
      </c>
      <c r="F232" s="69">
        <f>(40.65)*10.764</f>
        <v>437.55659999999995</v>
      </c>
      <c r="G232" s="71">
        <v>0</v>
      </c>
      <c r="H232" s="19">
        <v>0</v>
      </c>
      <c r="I232" s="19">
        <f t="shared" si="11"/>
        <v>656.33489999999995</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3">
      <c r="A233" s="74"/>
      <c r="B233" s="75"/>
      <c r="C233" s="68">
        <f t="shared" si="12"/>
        <v>4</v>
      </c>
      <c r="D233" s="68"/>
      <c r="E233" s="19" t="s">
        <v>218</v>
      </c>
      <c r="F233" s="69">
        <f>(40.22)*10.764</f>
        <v>432.92807999999997</v>
      </c>
      <c r="G233" s="71">
        <v>0</v>
      </c>
      <c r="H233" s="19">
        <v>0</v>
      </c>
      <c r="I233" s="19">
        <f t="shared" si="11"/>
        <v>649.39211999999998</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3">
      <c r="A234" s="74"/>
      <c r="B234" s="75"/>
      <c r="C234" s="68">
        <f t="shared" si="12"/>
        <v>5</v>
      </c>
      <c r="D234" s="68"/>
      <c r="E234" s="19" t="s">
        <v>218</v>
      </c>
      <c r="F234" s="69">
        <f>(41.24)*10.764</f>
        <v>443.90735999999998</v>
      </c>
      <c r="G234" s="71">
        <v>0</v>
      </c>
      <c r="H234" s="19">
        <v>0</v>
      </c>
      <c r="I234" s="19">
        <f t="shared" si="11"/>
        <v>665.86104</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3">
      <c r="A235" s="74"/>
      <c r="B235" s="75"/>
      <c r="C235" s="68">
        <f t="shared" si="12"/>
        <v>6</v>
      </c>
      <c r="D235" s="68"/>
      <c r="E235" s="19" t="s">
        <v>218</v>
      </c>
      <c r="F235" s="69">
        <f>(41.33)*10.764</f>
        <v>444.87611999999996</v>
      </c>
      <c r="G235" s="71">
        <v>0</v>
      </c>
      <c r="H235" s="19">
        <v>0</v>
      </c>
      <c r="I235" s="19">
        <f t="shared" si="11"/>
        <v>667.31417999999996</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3">
      <c r="A236" s="74"/>
      <c r="B236" s="75"/>
      <c r="C236" s="68">
        <f t="shared" si="12"/>
        <v>7</v>
      </c>
      <c r="D236" s="68"/>
      <c r="E236" s="19" t="s">
        <v>218</v>
      </c>
      <c r="F236" s="69">
        <f>(41.33)*10.764</f>
        <v>444.87611999999996</v>
      </c>
      <c r="G236" s="71">
        <v>0</v>
      </c>
      <c r="H236" s="19">
        <v>0</v>
      </c>
      <c r="I236" s="19">
        <f t="shared" si="11"/>
        <v>667.31417999999996</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3">
      <c r="A237" s="74"/>
      <c r="B237" s="75"/>
      <c r="C237" s="68">
        <f t="shared" si="12"/>
        <v>8</v>
      </c>
      <c r="D237" s="68"/>
      <c r="E237" s="19" t="s">
        <v>218</v>
      </c>
      <c r="F237" s="69">
        <f>(41.24)*10.764</f>
        <v>443.90735999999998</v>
      </c>
      <c r="G237" s="71">
        <v>0</v>
      </c>
      <c r="H237" s="19">
        <v>0</v>
      </c>
      <c r="I237" s="19">
        <f t="shared" si="11"/>
        <v>665.86104</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3">
      <c r="A238" s="74"/>
      <c r="B238" s="75"/>
      <c r="C238" s="68">
        <f t="shared" si="12"/>
        <v>9</v>
      </c>
      <c r="D238" s="68"/>
      <c r="E238" s="19" t="s">
        <v>218</v>
      </c>
      <c r="F238" s="69">
        <f>(40.22)*10.764</f>
        <v>432.92807999999997</v>
      </c>
      <c r="G238" s="71">
        <v>0</v>
      </c>
      <c r="H238" s="19">
        <v>0</v>
      </c>
      <c r="I238" s="19">
        <f t="shared" si="11"/>
        <v>649.39211999999998</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3">
      <c r="A239" s="74"/>
      <c r="B239" s="75"/>
      <c r="C239" s="68">
        <f t="shared" si="12"/>
        <v>10</v>
      </c>
      <c r="D239" s="68"/>
      <c r="E239" s="19" t="s">
        <v>218</v>
      </c>
      <c r="F239" s="69">
        <f>(40.65)*10.764</f>
        <v>437.55659999999995</v>
      </c>
      <c r="G239" s="71">
        <v>0</v>
      </c>
      <c r="H239" s="19">
        <v>0</v>
      </c>
      <c r="I239" s="19">
        <f t="shared" si="11"/>
        <v>656.33489999999995</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3">
      <c r="A240" s="74"/>
      <c r="B240" s="75"/>
      <c r="C240" s="68">
        <f t="shared" si="12"/>
        <v>11</v>
      </c>
      <c r="D240" s="68"/>
      <c r="E240" s="19" t="s">
        <v>217</v>
      </c>
      <c r="F240" s="69">
        <f>(57.99+3.2)*10.764</f>
        <v>658.64916000000005</v>
      </c>
      <c r="G240" s="71">
        <v>0</v>
      </c>
      <c r="H240" s="19">
        <v>0</v>
      </c>
      <c r="I240" s="19">
        <f t="shared" si="11"/>
        <v>987.97374000000013</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3">
      <c r="A241" s="74"/>
      <c r="B241" s="75"/>
      <c r="C241" s="68">
        <f t="shared" si="12"/>
        <v>12</v>
      </c>
      <c r="D241" s="68"/>
      <c r="E241" s="19" t="s">
        <v>217</v>
      </c>
      <c r="F241" s="69">
        <f>(50.85)*10.764</f>
        <v>547.34939999999995</v>
      </c>
      <c r="G241" s="71">
        <v>0</v>
      </c>
      <c r="H241" s="19">
        <v>0</v>
      </c>
      <c r="I241" s="19">
        <f t="shared" si="11"/>
        <v>821.02409999999986</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3">
      <c r="A242" s="74"/>
      <c r="B242" s="75"/>
      <c r="C242" s="68">
        <f t="shared" si="12"/>
        <v>13</v>
      </c>
      <c r="D242" s="68"/>
      <c r="E242" s="19" t="s">
        <v>218</v>
      </c>
      <c r="F242" s="69">
        <f>(40.66)*10.764</f>
        <v>437.66423999999995</v>
      </c>
      <c r="G242" s="71">
        <v>0</v>
      </c>
      <c r="H242" s="19">
        <v>0</v>
      </c>
      <c r="I242" s="19">
        <f t="shared" si="11"/>
        <v>656.49635999999987</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3">
      <c r="A243" s="76"/>
      <c r="B243" s="77"/>
      <c r="C243" s="68">
        <f t="shared" si="12"/>
        <v>14</v>
      </c>
      <c r="D243" s="68"/>
      <c r="E243" s="69" t="s">
        <v>221</v>
      </c>
      <c r="F243" s="70"/>
      <c r="G243" s="70"/>
      <c r="H243" s="70"/>
      <c r="I243" s="7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1" x14ac:dyDescent="0.3">
      <c r="A244" s="80" t="s">
        <v>222</v>
      </c>
      <c r="B244" s="81"/>
      <c r="C244" s="81"/>
      <c r="D244" s="81"/>
      <c r="E244" s="81"/>
      <c r="F244" s="81"/>
      <c r="G244" s="81"/>
      <c r="H244" s="81"/>
      <c r="I244" s="82"/>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3">
      <c r="A245" s="72" t="str">
        <f>A244</f>
        <v>6th to 8th &amp; 10th to 13th &amp; 15th Floor</v>
      </c>
      <c r="B245" s="73"/>
      <c r="C245" s="68">
        <v>1</v>
      </c>
      <c r="D245" s="68"/>
      <c r="E245" s="19" t="s">
        <v>217</v>
      </c>
      <c r="F245" s="55">
        <f>(50.85)*10.764</f>
        <v>547.34939999999995</v>
      </c>
      <c r="G245" s="56">
        <v>0</v>
      </c>
      <c r="H245" s="19">
        <v>0</v>
      </c>
      <c r="I245" s="19">
        <f t="shared" ref="I245:I258" si="13">F245*(($I$193)+1)+H245</f>
        <v>821.02409999999986</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3">
      <c r="A246" s="74"/>
      <c r="B246" s="75"/>
      <c r="C246" s="68">
        <f>C245+1</f>
        <v>2</v>
      </c>
      <c r="D246" s="68"/>
      <c r="E246" s="19" t="s">
        <v>217</v>
      </c>
      <c r="F246" s="69">
        <f>(57.99+3.2)*10.764</f>
        <v>658.64916000000005</v>
      </c>
      <c r="G246" s="71">
        <v>0</v>
      </c>
      <c r="H246" s="19">
        <v>0</v>
      </c>
      <c r="I246" s="19">
        <f t="shared" si="13"/>
        <v>987.97374000000013</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3">
      <c r="A247" s="74"/>
      <c r="B247" s="75"/>
      <c r="C247" s="68">
        <f t="shared" ref="C247:C258" si="14">C246+1</f>
        <v>3</v>
      </c>
      <c r="D247" s="68"/>
      <c r="E247" s="19" t="s">
        <v>218</v>
      </c>
      <c r="F247" s="55">
        <f>(40.65)*10.764</f>
        <v>437.55659999999995</v>
      </c>
      <c r="G247" s="56">
        <v>0</v>
      </c>
      <c r="H247" s="19">
        <v>0</v>
      </c>
      <c r="I247" s="19">
        <f t="shared" si="13"/>
        <v>656.33489999999995</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3">
      <c r="A248" s="74"/>
      <c r="B248" s="75"/>
      <c r="C248" s="68">
        <f t="shared" si="14"/>
        <v>4</v>
      </c>
      <c r="D248" s="68"/>
      <c r="E248" s="19" t="s">
        <v>217</v>
      </c>
      <c r="F248" s="55">
        <f>(51.05)*10.764</f>
        <v>549.5021999999999</v>
      </c>
      <c r="G248" s="56">
        <v>0</v>
      </c>
      <c r="H248" s="19">
        <v>0</v>
      </c>
      <c r="I248" s="19">
        <f t="shared" si="13"/>
        <v>824.25329999999985</v>
      </c>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3">
      <c r="A249" s="74"/>
      <c r="B249" s="75"/>
      <c r="C249" s="68">
        <f t="shared" si="14"/>
        <v>5</v>
      </c>
      <c r="D249" s="68"/>
      <c r="E249" s="19" t="s">
        <v>218</v>
      </c>
      <c r="F249" s="55">
        <f>(41.24)*10.764</f>
        <v>443.90735999999998</v>
      </c>
      <c r="G249" s="56">
        <v>0</v>
      </c>
      <c r="H249" s="19">
        <v>0</v>
      </c>
      <c r="I249" s="19">
        <f t="shared" si="13"/>
        <v>665.86104</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3">
      <c r="A250" s="74"/>
      <c r="B250" s="75"/>
      <c r="C250" s="68">
        <f t="shared" si="14"/>
        <v>6</v>
      </c>
      <c r="D250" s="68"/>
      <c r="E250" s="19" t="s">
        <v>218</v>
      </c>
      <c r="F250" s="55">
        <f>(41.33)*10.764</f>
        <v>444.87611999999996</v>
      </c>
      <c r="G250" s="56">
        <v>0</v>
      </c>
      <c r="H250" s="19">
        <v>0</v>
      </c>
      <c r="I250" s="19">
        <f t="shared" si="13"/>
        <v>667.31417999999996</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3">
      <c r="A251" s="74"/>
      <c r="B251" s="75"/>
      <c r="C251" s="68">
        <f t="shared" si="14"/>
        <v>7</v>
      </c>
      <c r="D251" s="68"/>
      <c r="E251" s="19" t="s">
        <v>218</v>
      </c>
      <c r="F251" s="55">
        <f>(41.33)*10.764</f>
        <v>444.87611999999996</v>
      </c>
      <c r="G251" s="56">
        <v>0</v>
      </c>
      <c r="H251" s="19">
        <v>0</v>
      </c>
      <c r="I251" s="19">
        <f t="shared" si="13"/>
        <v>667.31417999999996</v>
      </c>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3">
      <c r="A252" s="74"/>
      <c r="B252" s="75"/>
      <c r="C252" s="68">
        <f t="shared" si="14"/>
        <v>8</v>
      </c>
      <c r="D252" s="68"/>
      <c r="E252" s="19" t="s">
        <v>218</v>
      </c>
      <c r="F252" s="55">
        <f>(41.24)*10.764</f>
        <v>443.90735999999998</v>
      </c>
      <c r="G252" s="56">
        <v>0</v>
      </c>
      <c r="H252" s="19">
        <v>0</v>
      </c>
      <c r="I252" s="19">
        <f t="shared" si="13"/>
        <v>665.86104</v>
      </c>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customHeight="1" x14ac:dyDescent="0.3">
      <c r="A253" s="74"/>
      <c r="B253" s="75"/>
      <c r="C253" s="68">
        <f t="shared" si="14"/>
        <v>9</v>
      </c>
      <c r="D253" s="68"/>
      <c r="E253" s="19" t="s">
        <v>217</v>
      </c>
      <c r="F253" s="55">
        <f>(51.05)*10.764</f>
        <v>549.5021999999999</v>
      </c>
      <c r="G253" s="56">
        <v>0</v>
      </c>
      <c r="H253" s="19">
        <v>0</v>
      </c>
      <c r="I253" s="19">
        <f t="shared" si="13"/>
        <v>824.25329999999985</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customHeight="1" x14ac:dyDescent="0.3">
      <c r="A254" s="74"/>
      <c r="B254" s="75"/>
      <c r="C254" s="68">
        <f t="shared" si="14"/>
        <v>10</v>
      </c>
      <c r="D254" s="68"/>
      <c r="E254" s="19" t="s">
        <v>218</v>
      </c>
      <c r="F254" s="55">
        <f>(40.65)*10.764</f>
        <v>437.55659999999995</v>
      </c>
      <c r="G254" s="56">
        <v>0</v>
      </c>
      <c r="H254" s="19">
        <v>0</v>
      </c>
      <c r="I254" s="19">
        <f t="shared" si="13"/>
        <v>656.33489999999995</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3">
      <c r="A255" s="74"/>
      <c r="B255" s="75"/>
      <c r="C255" s="68">
        <f t="shared" si="14"/>
        <v>11</v>
      </c>
      <c r="D255" s="68"/>
      <c r="E255" s="19" t="s">
        <v>217</v>
      </c>
      <c r="F255" s="55">
        <f>(57.99+3.2)*10.764</f>
        <v>658.64916000000005</v>
      </c>
      <c r="G255" s="56">
        <v>0</v>
      </c>
      <c r="H255" s="19">
        <v>0</v>
      </c>
      <c r="I255" s="19">
        <f t="shared" si="13"/>
        <v>987.97374000000013</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3">
      <c r="A256" s="74"/>
      <c r="B256" s="75"/>
      <c r="C256" s="68">
        <f t="shared" si="14"/>
        <v>12</v>
      </c>
      <c r="D256" s="68"/>
      <c r="E256" s="19" t="s">
        <v>217</v>
      </c>
      <c r="F256" s="55">
        <f>(50.85)*10.764</f>
        <v>547.34939999999995</v>
      </c>
      <c r="G256" s="56">
        <v>0</v>
      </c>
      <c r="H256" s="19">
        <v>0</v>
      </c>
      <c r="I256" s="19">
        <f t="shared" si="13"/>
        <v>821.02409999999986</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customHeight="1" x14ac:dyDescent="0.3">
      <c r="A257" s="74"/>
      <c r="B257" s="75"/>
      <c r="C257" s="68">
        <f t="shared" si="14"/>
        <v>13</v>
      </c>
      <c r="D257" s="68"/>
      <c r="E257" s="19" t="s">
        <v>218</v>
      </c>
      <c r="F257" s="55">
        <f>(40.66)*10.764</f>
        <v>437.66423999999995</v>
      </c>
      <c r="G257" s="56">
        <v>0</v>
      </c>
      <c r="H257" s="19">
        <v>0</v>
      </c>
      <c r="I257" s="19">
        <f t="shared" si="13"/>
        <v>656.49635999999987</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3">
      <c r="A258" s="76"/>
      <c r="B258" s="77"/>
      <c r="C258" s="68">
        <f t="shared" si="14"/>
        <v>14</v>
      </c>
      <c r="D258" s="68"/>
      <c r="E258" s="19" t="s">
        <v>218</v>
      </c>
      <c r="F258" s="69">
        <f>(40.66)*10.764</f>
        <v>437.66423999999995</v>
      </c>
      <c r="G258" s="71">
        <v>0</v>
      </c>
      <c r="H258" s="19">
        <v>0</v>
      </c>
      <c r="I258" s="19">
        <f t="shared" si="13"/>
        <v>656.49635999999987</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1" x14ac:dyDescent="0.3">
      <c r="A259" s="80" t="s">
        <v>269</v>
      </c>
      <c r="B259" s="81"/>
      <c r="C259" s="81"/>
      <c r="D259" s="81"/>
      <c r="E259" s="81"/>
      <c r="F259" s="81"/>
      <c r="G259" s="81"/>
      <c r="H259" s="81"/>
      <c r="I259" s="82"/>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3">
      <c r="A260" s="72" t="str">
        <f>A259</f>
        <v>9th &amp; 14th (Part Refuge Area)</v>
      </c>
      <c r="B260" s="73"/>
      <c r="C260" s="68">
        <v>1</v>
      </c>
      <c r="D260" s="68"/>
      <c r="E260" s="19" t="s">
        <v>217</v>
      </c>
      <c r="F260" s="69">
        <f>(50.85)*10.764</f>
        <v>547.34939999999995</v>
      </c>
      <c r="G260" s="71"/>
      <c r="H260" s="19">
        <v>0</v>
      </c>
      <c r="I260" s="19">
        <f t="shared" ref="I260:I272" si="15">F260*(($I$193)+1)+H260</f>
        <v>821.02409999999986</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3">
      <c r="A261" s="74"/>
      <c r="B261" s="75"/>
      <c r="C261" s="68">
        <f>C260+1</f>
        <v>2</v>
      </c>
      <c r="D261" s="68"/>
      <c r="E261" s="19" t="s">
        <v>217</v>
      </c>
      <c r="F261" s="69">
        <f>(57.99+3.2)*10.764</f>
        <v>658.64916000000005</v>
      </c>
      <c r="G261" s="71">
        <v>0</v>
      </c>
      <c r="H261" s="19">
        <v>0</v>
      </c>
      <c r="I261" s="19">
        <f t="shared" si="15"/>
        <v>987.97374000000013</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3">
      <c r="A262" s="74"/>
      <c r="B262" s="75"/>
      <c r="C262" s="68">
        <f t="shared" ref="C262:C273" si="16">C261+1</f>
        <v>3</v>
      </c>
      <c r="D262" s="68"/>
      <c r="E262" s="19" t="s">
        <v>218</v>
      </c>
      <c r="F262" s="69">
        <f>(40.65)*10.764</f>
        <v>437.55659999999995</v>
      </c>
      <c r="G262" s="71">
        <v>0</v>
      </c>
      <c r="H262" s="19">
        <v>0</v>
      </c>
      <c r="I262" s="19">
        <f t="shared" si="15"/>
        <v>656.33489999999995</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3">
      <c r="A263" s="74"/>
      <c r="B263" s="75"/>
      <c r="C263" s="68">
        <f t="shared" si="16"/>
        <v>4</v>
      </c>
      <c r="D263" s="68"/>
      <c r="E263" s="19" t="s">
        <v>217</v>
      </c>
      <c r="F263" s="69">
        <f>(51.05)*10.764</f>
        <v>549.5021999999999</v>
      </c>
      <c r="G263" s="71">
        <v>0</v>
      </c>
      <c r="H263" s="19">
        <v>0</v>
      </c>
      <c r="I263" s="19">
        <f t="shared" si="15"/>
        <v>824.25329999999985</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3">
      <c r="A264" s="74"/>
      <c r="B264" s="75"/>
      <c r="C264" s="68">
        <f t="shared" si="16"/>
        <v>5</v>
      </c>
      <c r="D264" s="68"/>
      <c r="E264" s="19" t="s">
        <v>218</v>
      </c>
      <c r="F264" s="69">
        <f>(41.24)*10.764</f>
        <v>443.90735999999998</v>
      </c>
      <c r="G264" s="71">
        <v>0</v>
      </c>
      <c r="H264" s="19">
        <v>0</v>
      </c>
      <c r="I264" s="19">
        <f t="shared" si="15"/>
        <v>665.86104</v>
      </c>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customHeight="1" x14ac:dyDescent="0.3">
      <c r="A265" s="74"/>
      <c r="B265" s="75"/>
      <c r="C265" s="68">
        <f t="shared" si="16"/>
        <v>6</v>
      </c>
      <c r="D265" s="68"/>
      <c r="E265" s="19" t="s">
        <v>218</v>
      </c>
      <c r="F265" s="69">
        <f>(41.33)*10.764</f>
        <v>444.87611999999996</v>
      </c>
      <c r="G265" s="71">
        <v>0</v>
      </c>
      <c r="H265" s="19">
        <v>0</v>
      </c>
      <c r="I265" s="19">
        <f t="shared" si="15"/>
        <v>667.31417999999996</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customHeight="1" x14ac:dyDescent="0.3">
      <c r="A266" s="74"/>
      <c r="B266" s="75"/>
      <c r="C266" s="68">
        <f t="shared" si="16"/>
        <v>7</v>
      </c>
      <c r="D266" s="68"/>
      <c r="E266" s="19" t="s">
        <v>218</v>
      </c>
      <c r="F266" s="69">
        <f>(41.33)*10.764</f>
        <v>444.87611999999996</v>
      </c>
      <c r="G266" s="71">
        <v>0</v>
      </c>
      <c r="H266" s="19">
        <v>0</v>
      </c>
      <c r="I266" s="19">
        <f t="shared" si="15"/>
        <v>667.31417999999996</v>
      </c>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3">
      <c r="A267" s="74"/>
      <c r="B267" s="75"/>
      <c r="C267" s="68">
        <f t="shared" si="16"/>
        <v>8</v>
      </c>
      <c r="D267" s="68"/>
      <c r="E267" s="19" t="s">
        <v>218</v>
      </c>
      <c r="F267" s="69">
        <f>(41.24)*10.764</f>
        <v>443.90735999999998</v>
      </c>
      <c r="G267" s="71">
        <v>0</v>
      </c>
      <c r="H267" s="19">
        <v>0</v>
      </c>
      <c r="I267" s="19">
        <f t="shared" si="15"/>
        <v>665.86104</v>
      </c>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3">
      <c r="A268" s="74"/>
      <c r="B268" s="75"/>
      <c r="C268" s="68">
        <f t="shared" si="16"/>
        <v>9</v>
      </c>
      <c r="D268" s="68"/>
      <c r="E268" s="19" t="s">
        <v>217</v>
      </c>
      <c r="F268" s="69">
        <f>(51.05)*10.764</f>
        <v>549.5021999999999</v>
      </c>
      <c r="G268" s="71">
        <v>0</v>
      </c>
      <c r="H268" s="19">
        <v>0</v>
      </c>
      <c r="I268" s="19">
        <f t="shared" si="15"/>
        <v>824.25329999999985</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customHeight="1" x14ac:dyDescent="0.3">
      <c r="A269" s="74"/>
      <c r="B269" s="75"/>
      <c r="C269" s="68">
        <f t="shared" si="16"/>
        <v>10</v>
      </c>
      <c r="D269" s="68"/>
      <c r="E269" s="19" t="s">
        <v>218</v>
      </c>
      <c r="F269" s="69">
        <f>(40.65)*10.764</f>
        <v>437.55659999999995</v>
      </c>
      <c r="G269" s="71">
        <v>0</v>
      </c>
      <c r="H269" s="19">
        <v>0</v>
      </c>
      <c r="I269" s="19">
        <f t="shared" si="15"/>
        <v>656.33489999999995</v>
      </c>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3">
      <c r="A270" s="74"/>
      <c r="B270" s="75"/>
      <c r="C270" s="68">
        <f t="shared" si="16"/>
        <v>11</v>
      </c>
      <c r="D270" s="68"/>
      <c r="E270" s="19" t="s">
        <v>217</v>
      </c>
      <c r="F270" s="69">
        <f>(57.99+3.2)*10.764</f>
        <v>658.64916000000005</v>
      </c>
      <c r="G270" s="71">
        <v>0</v>
      </c>
      <c r="H270" s="19">
        <v>0</v>
      </c>
      <c r="I270" s="19">
        <f t="shared" si="15"/>
        <v>987.97374000000013</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customHeight="1" x14ac:dyDescent="0.3">
      <c r="A271" s="74"/>
      <c r="B271" s="75"/>
      <c r="C271" s="68">
        <f t="shared" si="16"/>
        <v>12</v>
      </c>
      <c r="D271" s="68"/>
      <c r="E271" s="19" t="s">
        <v>217</v>
      </c>
      <c r="F271" s="69">
        <f>(50.85)*10.764</f>
        <v>547.34939999999995</v>
      </c>
      <c r="G271" s="71">
        <v>0</v>
      </c>
      <c r="H271" s="19">
        <v>0</v>
      </c>
      <c r="I271" s="19">
        <f t="shared" si="15"/>
        <v>821.02409999999986</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3">
      <c r="A272" s="74"/>
      <c r="B272" s="75"/>
      <c r="C272" s="68">
        <f t="shared" si="16"/>
        <v>13</v>
      </c>
      <c r="D272" s="68"/>
      <c r="E272" s="19" t="s">
        <v>218</v>
      </c>
      <c r="F272" s="69">
        <f>(40.66)*10.764</f>
        <v>437.66423999999995</v>
      </c>
      <c r="G272" s="71">
        <v>0</v>
      </c>
      <c r="H272" s="19">
        <v>0</v>
      </c>
      <c r="I272" s="19">
        <f t="shared" si="15"/>
        <v>656.49635999999987</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3">
      <c r="A273" s="76"/>
      <c r="B273" s="77"/>
      <c r="C273" s="68">
        <f t="shared" si="16"/>
        <v>14</v>
      </c>
      <c r="D273" s="68"/>
      <c r="E273" s="69" t="s">
        <v>221</v>
      </c>
      <c r="F273" s="70"/>
      <c r="G273" s="70"/>
      <c r="H273" s="70"/>
      <c r="I273" s="7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1" x14ac:dyDescent="0.3">
      <c r="A274" s="80" t="s">
        <v>223</v>
      </c>
      <c r="B274" s="81"/>
      <c r="C274" s="81"/>
      <c r="D274" s="81"/>
      <c r="E274" s="81"/>
      <c r="F274" s="81"/>
      <c r="G274" s="81"/>
      <c r="H274" s="81"/>
      <c r="I274" s="82"/>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3">
      <c r="A275" s="72" t="str">
        <f>A274</f>
        <v>16th to 18th, 20th to 23rd &amp; 25th to 27th Floor</v>
      </c>
      <c r="B275" s="73"/>
      <c r="C275" s="68">
        <v>1</v>
      </c>
      <c r="D275" s="68"/>
      <c r="E275" s="19" t="s">
        <v>217</v>
      </c>
      <c r="F275" s="69">
        <f>(50.85)*10.764</f>
        <v>547.34939999999995</v>
      </c>
      <c r="G275" s="71">
        <v>0</v>
      </c>
      <c r="H275" s="19">
        <v>0</v>
      </c>
      <c r="I275" s="19">
        <f t="shared" ref="I275:I288" si="17">F275*(($I$193)+1)+H275</f>
        <v>821.02409999999986</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customHeight="1" x14ac:dyDescent="0.3">
      <c r="A276" s="74"/>
      <c r="B276" s="75"/>
      <c r="C276" s="68">
        <f>C275+1</f>
        <v>2</v>
      </c>
      <c r="D276" s="68"/>
      <c r="E276" s="19" t="s">
        <v>217</v>
      </c>
      <c r="F276" s="69">
        <f>(62.05+3.31)*10.764</f>
        <v>703.53503999999998</v>
      </c>
      <c r="G276" s="71">
        <v>0</v>
      </c>
      <c r="H276" s="19">
        <v>0</v>
      </c>
      <c r="I276" s="19">
        <f t="shared" si="17"/>
        <v>1055.3025600000001</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3">
      <c r="A277" s="74"/>
      <c r="B277" s="75"/>
      <c r="C277" s="68">
        <f t="shared" ref="C277:C288" si="18">C276+1</f>
        <v>3</v>
      </c>
      <c r="D277" s="68"/>
      <c r="E277" s="19" t="s">
        <v>218</v>
      </c>
      <c r="F277" s="69">
        <f>(40.65)*10.764</f>
        <v>437.55659999999995</v>
      </c>
      <c r="G277" s="71">
        <v>0</v>
      </c>
      <c r="H277" s="19">
        <v>0</v>
      </c>
      <c r="I277" s="19">
        <f t="shared" si="17"/>
        <v>656.33489999999995</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3">
      <c r="A278" s="74"/>
      <c r="B278" s="75"/>
      <c r="C278" s="68">
        <f t="shared" si="18"/>
        <v>4</v>
      </c>
      <c r="D278" s="68"/>
      <c r="E278" s="19" t="s">
        <v>217</v>
      </c>
      <c r="F278" s="69">
        <f>(51.05)*10.764</f>
        <v>549.5021999999999</v>
      </c>
      <c r="G278" s="71">
        <v>0</v>
      </c>
      <c r="H278" s="19">
        <v>0</v>
      </c>
      <c r="I278" s="19">
        <f t="shared" si="17"/>
        <v>824.25329999999985</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3">
      <c r="A279" s="74"/>
      <c r="B279" s="75"/>
      <c r="C279" s="68">
        <f t="shared" si="18"/>
        <v>5</v>
      </c>
      <c r="D279" s="68"/>
      <c r="E279" s="19" t="s">
        <v>218</v>
      </c>
      <c r="F279" s="69">
        <f>(41.24)*10.764</f>
        <v>443.90735999999998</v>
      </c>
      <c r="G279" s="71">
        <v>0</v>
      </c>
      <c r="H279" s="19">
        <v>0</v>
      </c>
      <c r="I279" s="19">
        <f t="shared" si="17"/>
        <v>665.86104</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3">
      <c r="A280" s="74"/>
      <c r="B280" s="75"/>
      <c r="C280" s="68">
        <f t="shared" si="18"/>
        <v>6</v>
      </c>
      <c r="D280" s="68"/>
      <c r="E280" s="19" t="s">
        <v>218</v>
      </c>
      <c r="F280" s="69">
        <f>(41.33)*10.764</f>
        <v>444.87611999999996</v>
      </c>
      <c r="G280" s="71">
        <v>0</v>
      </c>
      <c r="H280" s="19">
        <v>0</v>
      </c>
      <c r="I280" s="19">
        <f t="shared" si="17"/>
        <v>667.31417999999996</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3">
      <c r="A281" s="74"/>
      <c r="B281" s="75"/>
      <c r="C281" s="68">
        <f t="shared" si="18"/>
        <v>7</v>
      </c>
      <c r="D281" s="68"/>
      <c r="E281" s="19" t="s">
        <v>218</v>
      </c>
      <c r="F281" s="69">
        <f>(41.33)*10.764</f>
        <v>444.87611999999996</v>
      </c>
      <c r="G281" s="71">
        <v>0</v>
      </c>
      <c r="H281" s="19">
        <v>0</v>
      </c>
      <c r="I281" s="19">
        <f t="shared" si="17"/>
        <v>667.31417999999996</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3">
      <c r="A282" s="74"/>
      <c r="B282" s="75"/>
      <c r="C282" s="68">
        <f t="shared" si="18"/>
        <v>8</v>
      </c>
      <c r="D282" s="68"/>
      <c r="E282" s="19" t="s">
        <v>218</v>
      </c>
      <c r="F282" s="69">
        <f>(41.24)*10.764</f>
        <v>443.90735999999998</v>
      </c>
      <c r="G282" s="71">
        <v>0</v>
      </c>
      <c r="H282" s="19">
        <v>0</v>
      </c>
      <c r="I282" s="19">
        <f t="shared" si="17"/>
        <v>665.86104</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3">
      <c r="A283" s="74"/>
      <c r="B283" s="75"/>
      <c r="C283" s="68">
        <f t="shared" si="18"/>
        <v>9</v>
      </c>
      <c r="D283" s="68"/>
      <c r="E283" s="19" t="s">
        <v>217</v>
      </c>
      <c r="F283" s="69">
        <f>(51.05)*10.764</f>
        <v>549.5021999999999</v>
      </c>
      <c r="G283" s="71">
        <v>0</v>
      </c>
      <c r="H283" s="19">
        <v>0</v>
      </c>
      <c r="I283" s="19">
        <f t="shared" si="17"/>
        <v>824.25329999999985</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3">
      <c r="A284" s="74"/>
      <c r="B284" s="75"/>
      <c r="C284" s="68">
        <f t="shared" si="18"/>
        <v>10</v>
      </c>
      <c r="D284" s="68"/>
      <c r="E284" s="19" t="s">
        <v>218</v>
      </c>
      <c r="F284" s="69">
        <f>(40.65)*10.764</f>
        <v>437.55659999999995</v>
      </c>
      <c r="G284" s="71">
        <v>0</v>
      </c>
      <c r="H284" s="19">
        <v>0</v>
      </c>
      <c r="I284" s="19">
        <f t="shared" si="17"/>
        <v>656.33489999999995</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3">
      <c r="A285" s="74"/>
      <c r="B285" s="75"/>
      <c r="C285" s="68">
        <f t="shared" si="18"/>
        <v>11</v>
      </c>
      <c r="D285" s="68"/>
      <c r="E285" s="19" t="s">
        <v>217</v>
      </c>
      <c r="F285" s="69">
        <f>(62.05+3.31)*10.764</f>
        <v>703.53503999999998</v>
      </c>
      <c r="G285" s="71">
        <v>0</v>
      </c>
      <c r="H285" s="19">
        <v>0</v>
      </c>
      <c r="I285" s="19">
        <f t="shared" si="17"/>
        <v>1055.3025600000001</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3">
      <c r="A286" s="74"/>
      <c r="B286" s="75"/>
      <c r="C286" s="68">
        <f t="shared" si="18"/>
        <v>12</v>
      </c>
      <c r="D286" s="68"/>
      <c r="E286" s="19" t="s">
        <v>217</v>
      </c>
      <c r="F286" s="69">
        <f>(50.85)*10.764</f>
        <v>547.34939999999995</v>
      </c>
      <c r="G286" s="71">
        <v>0</v>
      </c>
      <c r="H286" s="19">
        <v>0</v>
      </c>
      <c r="I286" s="19">
        <f t="shared" si="17"/>
        <v>821.02409999999986</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3">
      <c r="A287" s="74"/>
      <c r="B287" s="75"/>
      <c r="C287" s="68">
        <f t="shared" si="18"/>
        <v>13</v>
      </c>
      <c r="D287" s="68"/>
      <c r="E287" s="19" t="s">
        <v>218</v>
      </c>
      <c r="F287" s="69">
        <f>(40.66)*10.764</f>
        <v>437.66423999999995</v>
      </c>
      <c r="G287" s="71">
        <v>0</v>
      </c>
      <c r="H287" s="19">
        <v>0</v>
      </c>
      <c r="I287" s="19">
        <f t="shared" si="17"/>
        <v>656.49635999999987</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3">
      <c r="A288" s="76"/>
      <c r="B288" s="77"/>
      <c r="C288" s="68">
        <f t="shared" si="18"/>
        <v>14</v>
      </c>
      <c r="D288" s="68"/>
      <c r="E288" s="19" t="s">
        <v>218</v>
      </c>
      <c r="F288" s="69">
        <f>(40.66)*10.764</f>
        <v>437.66423999999995</v>
      </c>
      <c r="G288" s="71">
        <v>0</v>
      </c>
      <c r="H288" s="19">
        <v>0</v>
      </c>
      <c r="I288" s="19">
        <f t="shared" si="17"/>
        <v>656.49635999999987</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1" x14ac:dyDescent="0.3">
      <c r="A289" s="80" t="s">
        <v>224</v>
      </c>
      <c r="B289" s="81"/>
      <c r="C289" s="81"/>
      <c r="D289" s="81"/>
      <c r="E289" s="81"/>
      <c r="F289" s="81"/>
      <c r="G289" s="81"/>
      <c r="H289" s="81"/>
      <c r="I289" s="82"/>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3">
      <c r="A290" s="72" t="str">
        <f>A289</f>
        <v>19th &amp; 24th Floor (Part Refuge Area)</v>
      </c>
      <c r="B290" s="73"/>
      <c r="C290" s="68">
        <v>1</v>
      </c>
      <c r="D290" s="68"/>
      <c r="E290" s="19" t="s">
        <v>217</v>
      </c>
      <c r="F290" s="69">
        <f>(50.85)*10.764</f>
        <v>547.34939999999995</v>
      </c>
      <c r="G290" s="71">
        <v>0</v>
      </c>
      <c r="H290" s="19">
        <v>0</v>
      </c>
      <c r="I290" s="19">
        <f t="shared" ref="I290:I302" si="19">F290*(($I$193)+1)+H290</f>
        <v>821.02409999999986</v>
      </c>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3">
      <c r="A291" s="74"/>
      <c r="B291" s="75"/>
      <c r="C291" s="68">
        <f>C290+1</f>
        <v>2</v>
      </c>
      <c r="D291" s="68"/>
      <c r="E291" s="19" t="s">
        <v>217</v>
      </c>
      <c r="F291" s="69">
        <f>(62.05+3.31)*10.764</f>
        <v>703.53503999999998</v>
      </c>
      <c r="G291" s="71">
        <v>0</v>
      </c>
      <c r="H291" s="19">
        <v>0</v>
      </c>
      <c r="I291" s="19">
        <f t="shared" si="19"/>
        <v>1055.3025600000001</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3">
      <c r="A292" s="74"/>
      <c r="B292" s="75"/>
      <c r="C292" s="68">
        <f t="shared" ref="C292:C303" si="20">C291+1</f>
        <v>3</v>
      </c>
      <c r="D292" s="68"/>
      <c r="E292" s="19" t="s">
        <v>218</v>
      </c>
      <c r="F292" s="69">
        <f>(40.65)*10.764</f>
        <v>437.55659999999995</v>
      </c>
      <c r="G292" s="71">
        <v>0</v>
      </c>
      <c r="H292" s="19">
        <v>0</v>
      </c>
      <c r="I292" s="19">
        <f t="shared" si="19"/>
        <v>656.33489999999995</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3">
      <c r="A293" s="74"/>
      <c r="B293" s="75"/>
      <c r="C293" s="68">
        <f t="shared" si="20"/>
        <v>4</v>
      </c>
      <c r="D293" s="68"/>
      <c r="E293" s="19" t="s">
        <v>217</v>
      </c>
      <c r="F293" s="69">
        <f>(51.05)*10.764</f>
        <v>549.5021999999999</v>
      </c>
      <c r="G293" s="71">
        <v>0</v>
      </c>
      <c r="H293" s="19">
        <v>0</v>
      </c>
      <c r="I293" s="19">
        <f t="shared" si="19"/>
        <v>824.25329999999985</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3">
      <c r="A294" s="74"/>
      <c r="B294" s="75"/>
      <c r="C294" s="68">
        <f t="shared" si="20"/>
        <v>5</v>
      </c>
      <c r="D294" s="68"/>
      <c r="E294" s="19" t="s">
        <v>218</v>
      </c>
      <c r="F294" s="69">
        <f>(41.24)*10.764</f>
        <v>443.90735999999998</v>
      </c>
      <c r="G294" s="71">
        <v>0</v>
      </c>
      <c r="H294" s="19">
        <v>0</v>
      </c>
      <c r="I294" s="19">
        <f t="shared" si="19"/>
        <v>665.86104</v>
      </c>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3">
      <c r="A295" s="74"/>
      <c r="B295" s="75"/>
      <c r="C295" s="68">
        <f t="shared" si="20"/>
        <v>6</v>
      </c>
      <c r="D295" s="68"/>
      <c r="E295" s="19" t="s">
        <v>218</v>
      </c>
      <c r="F295" s="69">
        <f>(41.33)*10.764</f>
        <v>444.87611999999996</v>
      </c>
      <c r="G295" s="71">
        <v>0</v>
      </c>
      <c r="H295" s="19">
        <v>0</v>
      </c>
      <c r="I295" s="19">
        <f t="shared" si="19"/>
        <v>667.31417999999996</v>
      </c>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3">
      <c r="A296" s="74"/>
      <c r="B296" s="75"/>
      <c r="C296" s="68">
        <f t="shared" si="20"/>
        <v>7</v>
      </c>
      <c r="D296" s="68"/>
      <c r="E296" s="19" t="s">
        <v>218</v>
      </c>
      <c r="F296" s="69">
        <f>(41.33)*10.764</f>
        <v>444.87611999999996</v>
      </c>
      <c r="G296" s="71">
        <v>0</v>
      </c>
      <c r="H296" s="19">
        <v>0</v>
      </c>
      <c r="I296" s="19">
        <f t="shared" si="19"/>
        <v>667.31417999999996</v>
      </c>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customHeight="1" x14ac:dyDescent="0.3">
      <c r="A297" s="74"/>
      <c r="B297" s="75"/>
      <c r="C297" s="68">
        <f t="shared" si="20"/>
        <v>8</v>
      </c>
      <c r="D297" s="68"/>
      <c r="E297" s="19" t="s">
        <v>218</v>
      </c>
      <c r="F297" s="69">
        <f>(41.24)*10.764</f>
        <v>443.90735999999998</v>
      </c>
      <c r="G297" s="71">
        <v>0</v>
      </c>
      <c r="H297" s="19">
        <v>0</v>
      </c>
      <c r="I297" s="19">
        <f t="shared" si="19"/>
        <v>665.86104</v>
      </c>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3">
      <c r="A298" s="74"/>
      <c r="B298" s="75"/>
      <c r="C298" s="68">
        <f t="shared" si="20"/>
        <v>9</v>
      </c>
      <c r="D298" s="68"/>
      <c r="E298" s="19" t="s">
        <v>217</v>
      </c>
      <c r="F298" s="69">
        <f>(51.05)*10.764</f>
        <v>549.5021999999999</v>
      </c>
      <c r="G298" s="71">
        <v>0</v>
      </c>
      <c r="H298" s="19">
        <v>0</v>
      </c>
      <c r="I298" s="19">
        <f t="shared" si="19"/>
        <v>824.25329999999985</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customHeight="1" x14ac:dyDescent="0.3">
      <c r="A299" s="74"/>
      <c r="B299" s="75"/>
      <c r="C299" s="68">
        <f t="shared" si="20"/>
        <v>10</v>
      </c>
      <c r="D299" s="68"/>
      <c r="E299" s="19" t="s">
        <v>218</v>
      </c>
      <c r="F299" s="69">
        <f>(40.65)*10.764</f>
        <v>437.55659999999995</v>
      </c>
      <c r="G299" s="71">
        <v>0</v>
      </c>
      <c r="H299" s="19">
        <v>0</v>
      </c>
      <c r="I299" s="19">
        <f t="shared" si="19"/>
        <v>656.33489999999995</v>
      </c>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3">
      <c r="A300" s="74"/>
      <c r="B300" s="75"/>
      <c r="C300" s="68">
        <f t="shared" si="20"/>
        <v>11</v>
      </c>
      <c r="D300" s="68"/>
      <c r="E300" s="19" t="s">
        <v>217</v>
      </c>
      <c r="F300" s="69">
        <f>(62.05+3.31)*10.764</f>
        <v>703.53503999999998</v>
      </c>
      <c r="G300" s="71">
        <v>0</v>
      </c>
      <c r="H300" s="19">
        <v>0</v>
      </c>
      <c r="I300" s="19">
        <f t="shared" si="19"/>
        <v>1055.3025600000001</v>
      </c>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3">
      <c r="A301" s="74"/>
      <c r="B301" s="75"/>
      <c r="C301" s="68">
        <f t="shared" si="20"/>
        <v>12</v>
      </c>
      <c r="D301" s="68"/>
      <c r="E301" s="19" t="s">
        <v>217</v>
      </c>
      <c r="F301" s="69">
        <f>(50.85)*10.764</f>
        <v>547.34939999999995</v>
      </c>
      <c r="G301" s="71">
        <v>0</v>
      </c>
      <c r="H301" s="19">
        <v>0</v>
      </c>
      <c r="I301" s="19">
        <f t="shared" si="19"/>
        <v>821.02409999999986</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3">
      <c r="A302" s="74"/>
      <c r="B302" s="75"/>
      <c r="C302" s="68">
        <f t="shared" si="20"/>
        <v>13</v>
      </c>
      <c r="D302" s="68"/>
      <c r="E302" s="19" t="s">
        <v>218</v>
      </c>
      <c r="F302" s="69">
        <f>(40.66)*10.764</f>
        <v>437.66423999999995</v>
      </c>
      <c r="G302" s="71">
        <v>0</v>
      </c>
      <c r="H302" s="19">
        <v>0</v>
      </c>
      <c r="I302" s="19">
        <f t="shared" si="19"/>
        <v>656.49635999999987</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3">
      <c r="A303" s="76"/>
      <c r="B303" s="77"/>
      <c r="C303" s="68">
        <f t="shared" si="20"/>
        <v>14</v>
      </c>
      <c r="D303" s="68"/>
      <c r="E303" s="69" t="s">
        <v>221</v>
      </c>
      <c r="F303" s="70"/>
      <c r="G303" s="70"/>
      <c r="H303" s="70"/>
      <c r="I303" s="7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1" x14ac:dyDescent="0.3">
      <c r="A304" s="80" t="s">
        <v>225</v>
      </c>
      <c r="B304" s="81"/>
      <c r="C304" s="81"/>
      <c r="D304" s="81"/>
      <c r="E304" s="81"/>
      <c r="F304" s="81"/>
      <c r="G304" s="81"/>
      <c r="H304" s="81"/>
      <c r="I304" s="82"/>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1" x14ac:dyDescent="0.3">
      <c r="A305" s="72" t="str">
        <f>A304</f>
        <v>28th Floor</v>
      </c>
      <c r="B305" s="73"/>
      <c r="C305" s="68">
        <v>1</v>
      </c>
      <c r="D305" s="68"/>
      <c r="E305" s="19" t="s">
        <v>217</v>
      </c>
      <c r="F305" s="69">
        <f>(50.85)*10.764</f>
        <v>547.34939999999995</v>
      </c>
      <c r="G305" s="71">
        <v>0</v>
      </c>
      <c r="H305" s="19">
        <v>0</v>
      </c>
      <c r="I305" s="19">
        <f t="shared" ref="I305:I317" si="21">F305*(($I$193)+1)+H305</f>
        <v>821.02409999999986</v>
      </c>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1" x14ac:dyDescent="0.3">
      <c r="A306" s="74"/>
      <c r="B306" s="75"/>
      <c r="C306" s="68">
        <v>2</v>
      </c>
      <c r="D306" s="68"/>
      <c r="E306" s="19" t="s">
        <v>217</v>
      </c>
      <c r="F306" s="69">
        <f>(62.05+3.31)*10.764</f>
        <v>703.53503999999998</v>
      </c>
      <c r="G306" s="71">
        <v>0</v>
      </c>
      <c r="H306" s="19">
        <v>0</v>
      </c>
      <c r="I306" s="19">
        <f t="shared" si="21"/>
        <v>1055.3025600000001</v>
      </c>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3">
      <c r="A307" s="74"/>
      <c r="B307" s="75"/>
      <c r="C307" s="68">
        <v>3</v>
      </c>
      <c r="D307" s="68"/>
      <c r="E307" s="19" t="s">
        <v>218</v>
      </c>
      <c r="F307" s="69">
        <f>(40.65)*10.764</f>
        <v>437.55659999999995</v>
      </c>
      <c r="G307" s="71">
        <v>0</v>
      </c>
      <c r="H307" s="19">
        <v>0</v>
      </c>
      <c r="I307" s="19">
        <f t="shared" si="21"/>
        <v>656.33489999999995</v>
      </c>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customHeight="1" x14ac:dyDescent="0.3">
      <c r="A308" s="74"/>
      <c r="B308" s="75"/>
      <c r="C308" s="68">
        <v>4</v>
      </c>
      <c r="D308" s="68"/>
      <c r="E308" s="19" t="s">
        <v>217</v>
      </c>
      <c r="F308" s="69">
        <f>(51.05)*10.764</f>
        <v>549.5021999999999</v>
      </c>
      <c r="G308" s="71">
        <v>0</v>
      </c>
      <c r="H308" s="19">
        <v>0</v>
      </c>
      <c r="I308" s="19">
        <f t="shared" si="21"/>
        <v>824.25329999999985</v>
      </c>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3">
      <c r="A309" s="74"/>
      <c r="B309" s="75"/>
      <c r="C309" s="68">
        <v>5</v>
      </c>
      <c r="D309" s="68"/>
      <c r="E309" s="19" t="s">
        <v>218</v>
      </c>
      <c r="F309" s="69">
        <f>(41.24)*10.764</f>
        <v>443.90735999999998</v>
      </c>
      <c r="G309" s="71">
        <v>0</v>
      </c>
      <c r="H309" s="19">
        <v>0</v>
      </c>
      <c r="I309" s="19">
        <f t="shared" si="21"/>
        <v>665.86104</v>
      </c>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3">
      <c r="A310" s="74"/>
      <c r="B310" s="75"/>
      <c r="C310" s="68">
        <v>6</v>
      </c>
      <c r="D310" s="68"/>
      <c r="E310" s="19" t="s">
        <v>218</v>
      </c>
      <c r="F310" s="69">
        <f>(41.33)*10.764</f>
        <v>444.87611999999996</v>
      </c>
      <c r="G310" s="71">
        <v>0</v>
      </c>
      <c r="H310" s="19">
        <v>0</v>
      </c>
      <c r="I310" s="19">
        <f t="shared" si="21"/>
        <v>667.31417999999996</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1" x14ac:dyDescent="0.3">
      <c r="A311" s="74"/>
      <c r="B311" s="75"/>
      <c r="C311" s="68">
        <v>7</v>
      </c>
      <c r="D311" s="68"/>
      <c r="E311" s="19" t="s">
        <v>218</v>
      </c>
      <c r="F311" s="69">
        <f>(41.33)*10.764</f>
        <v>444.87611999999996</v>
      </c>
      <c r="G311" s="71">
        <v>0</v>
      </c>
      <c r="H311" s="19">
        <v>0</v>
      </c>
      <c r="I311" s="19">
        <f t="shared" si="21"/>
        <v>667.31417999999996</v>
      </c>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3">
      <c r="A312" s="74"/>
      <c r="B312" s="75"/>
      <c r="C312" s="68">
        <v>9</v>
      </c>
      <c r="D312" s="68"/>
      <c r="E312" s="19" t="s">
        <v>270</v>
      </c>
      <c r="F312" s="69">
        <f>(91.25+7.51)*10.764</f>
        <v>1063.0526399999999</v>
      </c>
      <c r="G312" s="71">
        <v>0</v>
      </c>
      <c r="H312" s="19">
        <v>0</v>
      </c>
      <c r="I312" s="19">
        <f t="shared" si="21"/>
        <v>1594.5789599999998</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0.25" customHeight="1" x14ac:dyDescent="0.3">
      <c r="A313" s="74"/>
      <c r="B313" s="75"/>
      <c r="C313" s="68">
        <v>10</v>
      </c>
      <c r="D313" s="68"/>
      <c r="E313" s="19" t="s">
        <v>218</v>
      </c>
      <c r="F313" s="69">
        <f>(40.65)*10.764</f>
        <v>437.55659999999995</v>
      </c>
      <c r="G313" s="71">
        <v>0</v>
      </c>
      <c r="H313" s="19">
        <v>0</v>
      </c>
      <c r="I313" s="19">
        <f t="shared" si="21"/>
        <v>656.33489999999995</v>
      </c>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customHeight="1" x14ac:dyDescent="0.3">
      <c r="A314" s="74"/>
      <c r="B314" s="75"/>
      <c r="C314" s="68">
        <v>11</v>
      </c>
      <c r="D314" s="68"/>
      <c r="E314" s="19" t="s">
        <v>217</v>
      </c>
      <c r="F314" s="69">
        <f>(62.05+3.31)*10.764</f>
        <v>703.53503999999998</v>
      </c>
      <c r="G314" s="71">
        <v>0</v>
      </c>
      <c r="H314" s="19">
        <v>0</v>
      </c>
      <c r="I314" s="19">
        <f t="shared" si="21"/>
        <v>1055.3025600000001</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3">
      <c r="A315" s="74"/>
      <c r="B315" s="75"/>
      <c r="C315" s="68">
        <v>12</v>
      </c>
      <c r="D315" s="68"/>
      <c r="E315" s="19" t="s">
        <v>217</v>
      </c>
      <c r="F315" s="69">
        <f>(50.85)*10.764</f>
        <v>547.34939999999995</v>
      </c>
      <c r="G315" s="71">
        <v>0</v>
      </c>
      <c r="H315" s="19">
        <v>0</v>
      </c>
      <c r="I315" s="19">
        <f t="shared" si="21"/>
        <v>821.02409999999986</v>
      </c>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3">
      <c r="A316" s="74"/>
      <c r="B316" s="75"/>
      <c r="C316" s="68">
        <v>13</v>
      </c>
      <c r="D316" s="68"/>
      <c r="E316" s="19" t="s">
        <v>218</v>
      </c>
      <c r="F316" s="69">
        <f>(40.66)*10.764</f>
        <v>437.66423999999995</v>
      </c>
      <c r="G316" s="71">
        <v>0</v>
      </c>
      <c r="H316" s="19">
        <v>0</v>
      </c>
      <c r="I316" s="19">
        <f t="shared" si="21"/>
        <v>656.49635999999987</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1" x14ac:dyDescent="0.3">
      <c r="A317" s="76"/>
      <c r="B317" s="77"/>
      <c r="C317" s="68">
        <f t="shared" ref="C317" si="22">C316+1</f>
        <v>14</v>
      </c>
      <c r="D317" s="68"/>
      <c r="E317" s="19" t="s">
        <v>218</v>
      </c>
      <c r="F317" s="69">
        <f>(40.66)*10.764</f>
        <v>437.66423999999995</v>
      </c>
      <c r="G317" s="71">
        <v>0</v>
      </c>
      <c r="H317" s="19">
        <v>0</v>
      </c>
      <c r="I317" s="19">
        <f t="shared" si="21"/>
        <v>656.49635999999987</v>
      </c>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1" x14ac:dyDescent="0.3">
      <c r="A318" s="80" t="s">
        <v>226</v>
      </c>
      <c r="B318" s="81"/>
      <c r="C318" s="81"/>
      <c r="D318" s="81"/>
      <c r="E318" s="81"/>
      <c r="F318" s="81"/>
      <c r="G318" s="81"/>
      <c r="H318" s="81"/>
      <c r="I318" s="82"/>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1" x14ac:dyDescent="0.3">
      <c r="A319" s="59"/>
      <c r="B319" s="60"/>
      <c r="C319" s="68">
        <v>1</v>
      </c>
      <c r="D319" s="68"/>
      <c r="E319" s="69" t="s">
        <v>271</v>
      </c>
      <c r="F319" s="70"/>
      <c r="G319" s="70"/>
      <c r="H319" s="70"/>
      <c r="I319" s="7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1" x14ac:dyDescent="0.3">
      <c r="A320" s="72" t="str">
        <f>A318</f>
        <v>29th Floor</v>
      </c>
      <c r="B320" s="73"/>
      <c r="C320" s="68">
        <v>2</v>
      </c>
      <c r="D320" s="68"/>
      <c r="E320" s="19" t="s">
        <v>217</v>
      </c>
      <c r="F320" s="69">
        <f>(62.05+3.31)*10.764</f>
        <v>703.53503999999998</v>
      </c>
      <c r="G320" s="71">
        <v>0</v>
      </c>
      <c r="H320" s="19">
        <v>0</v>
      </c>
      <c r="I320" s="19">
        <f t="shared" ref="I320:I330" si="23">F320*(($I$193)+1)+H320</f>
        <v>1055.3025600000001</v>
      </c>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3">
      <c r="A321" s="74"/>
      <c r="B321" s="75"/>
      <c r="C321" s="68">
        <v>3</v>
      </c>
      <c r="D321" s="68"/>
      <c r="E321" s="19" t="s">
        <v>218</v>
      </c>
      <c r="F321" s="69">
        <f>(40.65)*10.764</f>
        <v>437.55659999999995</v>
      </c>
      <c r="G321" s="71">
        <v>0</v>
      </c>
      <c r="H321" s="19">
        <v>0</v>
      </c>
      <c r="I321" s="19">
        <f t="shared" si="23"/>
        <v>656.33489999999995</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customHeight="1" x14ac:dyDescent="0.3">
      <c r="A322" s="74"/>
      <c r="B322" s="75"/>
      <c r="C322" s="68">
        <v>4</v>
      </c>
      <c r="D322" s="68"/>
      <c r="E322" s="19" t="s">
        <v>217</v>
      </c>
      <c r="F322" s="69">
        <f>(51.05)*10.764</f>
        <v>549.5021999999999</v>
      </c>
      <c r="G322" s="71">
        <v>0</v>
      </c>
      <c r="H322" s="19">
        <v>0</v>
      </c>
      <c r="I322" s="19">
        <f t="shared" si="23"/>
        <v>824.25329999999985</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3">
      <c r="A323" s="74"/>
      <c r="B323" s="75"/>
      <c r="C323" s="68">
        <v>5</v>
      </c>
      <c r="D323" s="68"/>
      <c r="E323" s="19" t="s">
        <v>218</v>
      </c>
      <c r="F323" s="69">
        <f>(41.24)*10.764</f>
        <v>443.90735999999998</v>
      </c>
      <c r="G323" s="71">
        <v>0</v>
      </c>
      <c r="H323" s="19">
        <v>0</v>
      </c>
      <c r="I323" s="19">
        <f t="shared" si="23"/>
        <v>665.86104</v>
      </c>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3">
      <c r="A324" s="74"/>
      <c r="B324" s="75"/>
      <c r="C324" s="68">
        <v>6</v>
      </c>
      <c r="D324" s="68"/>
      <c r="E324" s="19" t="s">
        <v>218</v>
      </c>
      <c r="F324" s="69">
        <f>(41.33)*10.764</f>
        <v>444.87611999999996</v>
      </c>
      <c r="G324" s="71">
        <v>0</v>
      </c>
      <c r="H324" s="19">
        <v>0</v>
      </c>
      <c r="I324" s="19">
        <f t="shared" si="23"/>
        <v>667.31417999999996</v>
      </c>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1" x14ac:dyDescent="0.3">
      <c r="A325" s="74"/>
      <c r="B325" s="75"/>
      <c r="C325" s="68">
        <v>7</v>
      </c>
      <c r="D325" s="68"/>
      <c r="E325" s="19" t="s">
        <v>218</v>
      </c>
      <c r="F325" s="69">
        <f>(41.33)*10.764</f>
        <v>444.87611999999996</v>
      </c>
      <c r="G325" s="71">
        <v>0</v>
      </c>
      <c r="H325" s="19">
        <v>0</v>
      </c>
      <c r="I325" s="19">
        <f t="shared" si="23"/>
        <v>667.31417999999996</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customHeight="1" x14ac:dyDescent="0.3">
      <c r="A326" s="74"/>
      <c r="B326" s="75"/>
      <c r="C326" s="68">
        <v>9</v>
      </c>
      <c r="D326" s="68"/>
      <c r="E326" s="19" t="s">
        <v>270</v>
      </c>
      <c r="F326" s="69">
        <f>(91.25+7.51)*10.764</f>
        <v>1063.0526399999999</v>
      </c>
      <c r="G326" s="71">
        <v>0</v>
      </c>
      <c r="H326" s="19">
        <v>0</v>
      </c>
      <c r="I326" s="19">
        <f t="shared" si="23"/>
        <v>1594.5789599999998</v>
      </c>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customHeight="1" x14ac:dyDescent="0.3">
      <c r="A327" s="74"/>
      <c r="B327" s="75"/>
      <c r="C327" s="68">
        <v>10</v>
      </c>
      <c r="D327" s="68"/>
      <c r="E327" s="19" t="s">
        <v>218</v>
      </c>
      <c r="F327" s="69">
        <f>(40.65)*10.764</f>
        <v>437.55659999999995</v>
      </c>
      <c r="G327" s="71">
        <v>0</v>
      </c>
      <c r="H327" s="19">
        <v>0</v>
      </c>
      <c r="I327" s="19">
        <f t="shared" si="23"/>
        <v>656.33489999999995</v>
      </c>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customHeight="1" x14ac:dyDescent="0.3">
      <c r="A328" s="74"/>
      <c r="B328" s="75"/>
      <c r="C328" s="68">
        <v>11</v>
      </c>
      <c r="D328" s="68"/>
      <c r="E328" s="19" t="s">
        <v>217</v>
      </c>
      <c r="F328" s="69">
        <f>(62.05+3.31)*10.764</f>
        <v>703.53503999999998</v>
      </c>
      <c r="G328" s="71">
        <v>0</v>
      </c>
      <c r="H328" s="19">
        <v>0</v>
      </c>
      <c r="I328" s="19">
        <f t="shared" si="23"/>
        <v>1055.3025600000001</v>
      </c>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customHeight="1" x14ac:dyDescent="0.3">
      <c r="A329" s="74"/>
      <c r="B329" s="75"/>
      <c r="C329" s="68">
        <v>13</v>
      </c>
      <c r="D329" s="68"/>
      <c r="E329" s="19" t="s">
        <v>218</v>
      </c>
      <c r="F329" s="69">
        <f>(40.66)*10.764</f>
        <v>437.66423999999995</v>
      </c>
      <c r="G329" s="71">
        <v>0</v>
      </c>
      <c r="H329" s="19">
        <v>0</v>
      </c>
      <c r="I329" s="19">
        <f t="shared" si="23"/>
        <v>656.49635999999987</v>
      </c>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1" x14ac:dyDescent="0.3">
      <c r="A330" s="76"/>
      <c r="B330" s="77"/>
      <c r="C330" s="68">
        <f t="shared" ref="C330" si="24">C329+1</f>
        <v>14</v>
      </c>
      <c r="D330" s="68"/>
      <c r="E330" s="19" t="s">
        <v>218</v>
      </c>
      <c r="F330" s="69">
        <f>(40.66)*10.764</f>
        <v>437.66423999999995</v>
      </c>
      <c r="G330" s="71">
        <v>0</v>
      </c>
      <c r="H330" s="19">
        <v>0</v>
      </c>
      <c r="I330" s="19">
        <f t="shared" si="23"/>
        <v>656.49635999999987</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1" x14ac:dyDescent="0.3">
      <c r="A331" s="80" t="s">
        <v>227</v>
      </c>
      <c r="B331" s="81"/>
      <c r="C331" s="81"/>
      <c r="D331" s="81"/>
      <c r="E331" s="81"/>
      <c r="F331" s="81"/>
      <c r="G331" s="81"/>
      <c r="H331" s="81"/>
      <c r="I331" s="82"/>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1" x14ac:dyDescent="0.3">
      <c r="A332" s="96" t="s">
        <v>233</v>
      </c>
      <c r="B332" s="96"/>
      <c r="C332" s="96"/>
      <c r="D332" s="96"/>
      <c r="E332" s="96"/>
      <c r="F332" s="96"/>
      <c r="G332" s="96"/>
      <c r="H332" s="96"/>
      <c r="I332" s="96"/>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1" x14ac:dyDescent="0.3">
      <c r="A333" s="80" t="s">
        <v>213</v>
      </c>
      <c r="B333" s="81"/>
      <c r="C333" s="81"/>
      <c r="D333" s="81"/>
      <c r="E333" s="81"/>
      <c r="F333" s="81"/>
      <c r="G333" s="81"/>
      <c r="H333" s="81"/>
      <c r="I333" s="82"/>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1" x14ac:dyDescent="0.3">
      <c r="A334" s="80" t="s">
        <v>214</v>
      </c>
      <c r="B334" s="81"/>
      <c r="C334" s="81"/>
      <c r="D334" s="81"/>
      <c r="E334" s="81"/>
      <c r="F334" s="81"/>
      <c r="G334" s="81"/>
      <c r="H334" s="81"/>
      <c r="I334" s="82"/>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1" x14ac:dyDescent="0.3">
      <c r="A335" s="80" t="s">
        <v>228</v>
      </c>
      <c r="B335" s="81"/>
      <c r="C335" s="81"/>
      <c r="D335" s="81"/>
      <c r="E335" s="81"/>
      <c r="F335" s="81"/>
      <c r="G335" s="81"/>
      <c r="H335" s="81"/>
      <c r="I335" s="82"/>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42" customHeight="1" x14ac:dyDescent="0.3">
      <c r="A336" s="80" t="s">
        <v>229</v>
      </c>
      <c r="B336" s="81"/>
      <c r="C336" s="81"/>
      <c r="D336" s="81"/>
      <c r="E336" s="81"/>
      <c r="F336" s="81"/>
      <c r="G336" s="81"/>
      <c r="H336" s="81"/>
      <c r="I336" s="82"/>
      <c r="J336" s="1"/>
      <c r="K336" s="1"/>
      <c r="L336" s="1" t="s">
        <v>258</v>
      </c>
      <c r="M336" s="1" t="s">
        <v>259</v>
      </c>
      <c r="N336" s="1" t="s">
        <v>260</v>
      </c>
      <c r="O336" s="19"/>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1" x14ac:dyDescent="0.3">
      <c r="A337" s="80" t="s">
        <v>230</v>
      </c>
      <c r="B337" s="81"/>
      <c r="C337" s="81"/>
      <c r="D337" s="81"/>
      <c r="E337" s="81"/>
      <c r="F337" s="81"/>
      <c r="G337" s="81"/>
      <c r="H337" s="81"/>
      <c r="I337" s="82"/>
      <c r="J337" s="1">
        <f>3.05*4.5+2.025*2.45+3.05*3.5+1.25*2.15+2.15*1.25+0.9*2.025</f>
        <v>36.558749999999996</v>
      </c>
      <c r="K337" s="1"/>
      <c r="L337" s="54">
        <f>8100000/F338</f>
        <v>17706.079087153255</v>
      </c>
      <c r="M337" s="54">
        <f>8300000/I338</f>
        <v>12095.510816738439</v>
      </c>
      <c r="N337" s="54">
        <v>9500</v>
      </c>
      <c r="O337" s="54"/>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customHeight="1" x14ac:dyDescent="0.3">
      <c r="A338" s="72" t="str">
        <f>A337</f>
        <v>1st, 3rd to 6th, 8th to 11th, 13th to 16th, 18th to 21st, 23rd to 26th, 28th to 31st, 33rd to 36th, 38th to 39th Floor For Residential</v>
      </c>
      <c r="B338" s="73"/>
      <c r="C338" s="68">
        <v>1</v>
      </c>
      <c r="D338" s="68"/>
      <c r="E338" s="19" t="s">
        <v>218</v>
      </c>
      <c r="F338" s="69">
        <f>(40+2.5)*10.764</f>
        <v>457.46999999999997</v>
      </c>
      <c r="G338" s="71">
        <v>0</v>
      </c>
      <c r="H338" s="19">
        <v>0</v>
      </c>
      <c r="I338" s="19">
        <f t="shared" ref="I338:I347" si="25">F338*(($I$193)+1)+H338</f>
        <v>686.20499999999993</v>
      </c>
      <c r="J338" s="1"/>
      <c r="K338" s="1"/>
      <c r="L338" s="54">
        <f t="shared" ref="L338:L341" si="26">8100000/I339</f>
        <v>11804.052724768839</v>
      </c>
      <c r="M338" s="54"/>
      <c r="N338" s="54"/>
      <c r="O338" s="54"/>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1" x14ac:dyDescent="0.3">
      <c r="A339" s="74"/>
      <c r="B339" s="75"/>
      <c r="C339" s="68">
        <f>C338+1</f>
        <v>2</v>
      </c>
      <c r="D339" s="68"/>
      <c r="E339" s="19" t="s">
        <v>218</v>
      </c>
      <c r="F339" s="69">
        <f>(40+2.5)*10.764</f>
        <v>457.46999999999997</v>
      </c>
      <c r="G339" s="71">
        <v>0</v>
      </c>
      <c r="H339" s="19">
        <v>0</v>
      </c>
      <c r="I339" s="19">
        <f t="shared" si="25"/>
        <v>686.20499999999993</v>
      </c>
      <c r="J339" s="1"/>
      <c r="K339" s="1"/>
      <c r="L339" s="54">
        <f t="shared" si="26"/>
        <v>11324.429814958819</v>
      </c>
      <c r="M339" s="54"/>
      <c r="N339" s="54"/>
      <c r="O339" s="54"/>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0.25" customHeight="1" x14ac:dyDescent="0.3">
      <c r="A340" s="74"/>
      <c r="B340" s="75"/>
      <c r="C340" s="68">
        <f t="shared" ref="C340:C347" si="27">C339+1</f>
        <v>3</v>
      </c>
      <c r="D340" s="68"/>
      <c r="E340" s="19" t="s">
        <v>218</v>
      </c>
      <c r="F340" s="69">
        <f>(41.8+2.5)*10.764</f>
        <v>476.84519999999992</v>
      </c>
      <c r="G340" s="71">
        <v>0</v>
      </c>
      <c r="H340" s="19">
        <v>0</v>
      </c>
      <c r="I340" s="19">
        <f t="shared" si="25"/>
        <v>715.26779999999985</v>
      </c>
      <c r="J340" s="1"/>
      <c r="K340" s="1"/>
      <c r="L340" s="54">
        <f t="shared" si="26"/>
        <v>11324.429814958819</v>
      </c>
      <c r="M340" s="54"/>
      <c r="N340" s="54"/>
      <c r="O340" s="54"/>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0.25" customHeight="1" x14ac:dyDescent="0.3">
      <c r="A341" s="74"/>
      <c r="B341" s="75"/>
      <c r="C341" s="68">
        <f t="shared" si="27"/>
        <v>4</v>
      </c>
      <c r="D341" s="68"/>
      <c r="E341" s="19" t="s">
        <v>218</v>
      </c>
      <c r="F341" s="69">
        <f>(41.8+2.5)*10.764</f>
        <v>476.84519999999992</v>
      </c>
      <c r="G341" s="71">
        <v>0</v>
      </c>
      <c r="H341" s="19">
        <v>0</v>
      </c>
      <c r="I341" s="19">
        <f t="shared" si="25"/>
        <v>715.26779999999985</v>
      </c>
      <c r="J341" s="1"/>
      <c r="K341" s="1"/>
      <c r="L341" s="54">
        <f t="shared" si="26"/>
        <v>11324.429814958819</v>
      </c>
      <c r="M341" s="54"/>
      <c r="N341" s="54"/>
      <c r="O341" s="54"/>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1" x14ac:dyDescent="0.3">
      <c r="A342" s="74"/>
      <c r="B342" s="75"/>
      <c r="C342" s="68">
        <f t="shared" si="27"/>
        <v>5</v>
      </c>
      <c r="D342" s="68"/>
      <c r="E342" s="19" t="s">
        <v>218</v>
      </c>
      <c r="F342" s="69">
        <f>(41.8+2.5)*10.764</f>
        <v>476.84519999999992</v>
      </c>
      <c r="G342" s="71">
        <v>0</v>
      </c>
      <c r="H342" s="19">
        <v>0</v>
      </c>
      <c r="I342" s="19">
        <f t="shared" si="25"/>
        <v>715.26779999999985</v>
      </c>
      <c r="J342" s="1"/>
      <c r="K342" s="1"/>
      <c r="L342" s="54"/>
      <c r="M342" s="54"/>
      <c r="N342" s="54"/>
      <c r="O342" s="54"/>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1" x14ac:dyDescent="0.3">
      <c r="A343" s="74"/>
      <c r="B343" s="75"/>
      <c r="C343" s="68">
        <f>C342+1</f>
        <v>6</v>
      </c>
      <c r="D343" s="68"/>
      <c r="E343" s="19" t="s">
        <v>218</v>
      </c>
      <c r="F343" s="69">
        <f>(41.8+2.5)*10.764</f>
        <v>476.84519999999992</v>
      </c>
      <c r="G343" s="71">
        <v>0</v>
      </c>
      <c r="H343" s="19">
        <v>0</v>
      </c>
      <c r="I343" s="19">
        <f t="shared" si="25"/>
        <v>715.26779999999985</v>
      </c>
      <c r="J343" s="1"/>
      <c r="K343" s="1"/>
      <c r="L343" s="54"/>
      <c r="M343" s="54"/>
      <c r="N343" s="54"/>
      <c r="O343" s="54"/>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0.25" customHeight="1" x14ac:dyDescent="0.3">
      <c r="A344" s="74"/>
      <c r="B344" s="75"/>
      <c r="C344" s="68">
        <f t="shared" si="27"/>
        <v>7</v>
      </c>
      <c r="D344" s="68"/>
      <c r="E344" s="19" t="s">
        <v>217</v>
      </c>
      <c r="F344" s="69">
        <f>(58.82+2.57)*10.764</f>
        <v>660.80196000000001</v>
      </c>
      <c r="G344" s="71">
        <v>0</v>
      </c>
      <c r="H344" s="19">
        <v>0</v>
      </c>
      <c r="I344" s="19">
        <f t="shared" si="25"/>
        <v>991.20294000000001</v>
      </c>
      <c r="J344" s="1"/>
      <c r="K344" s="1"/>
      <c r="L344" s="54">
        <f>11400000/I344</f>
        <v>11501.176540093797</v>
      </c>
      <c r="M344" s="54"/>
      <c r="N344" s="54"/>
      <c r="O344" s="54"/>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customHeight="1" x14ac:dyDescent="0.3">
      <c r="A345" s="74"/>
      <c r="B345" s="75"/>
      <c r="C345" s="68">
        <f t="shared" si="27"/>
        <v>8</v>
      </c>
      <c r="D345" s="68"/>
      <c r="E345" s="19" t="s">
        <v>217</v>
      </c>
      <c r="F345" s="69">
        <f>(57.18+2.7)*10.764</f>
        <v>644.54831999999999</v>
      </c>
      <c r="G345" s="71">
        <v>0</v>
      </c>
      <c r="H345" s="19">
        <v>0</v>
      </c>
      <c r="I345" s="19">
        <f t="shared" si="25"/>
        <v>966.82248000000004</v>
      </c>
      <c r="J345" s="1"/>
      <c r="K345" s="1"/>
      <c r="L345" s="54">
        <f>11400000/I345</f>
        <v>11791.202869010658</v>
      </c>
      <c r="M345" s="54">
        <f>11900000/I345</f>
        <v>12308.360889581301</v>
      </c>
      <c r="N345" s="54"/>
      <c r="O345" s="54"/>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customHeight="1" x14ac:dyDescent="0.3">
      <c r="A346" s="74"/>
      <c r="B346" s="75"/>
      <c r="C346" s="68">
        <f t="shared" si="27"/>
        <v>9</v>
      </c>
      <c r="D346" s="68"/>
      <c r="E346" s="19" t="s">
        <v>218</v>
      </c>
      <c r="F346" s="69">
        <f>(40+2.5)*10.764</f>
        <v>457.46999999999997</v>
      </c>
      <c r="G346" s="71">
        <v>0</v>
      </c>
      <c r="H346" s="19">
        <v>0</v>
      </c>
      <c r="I346" s="19">
        <f t="shared" si="25"/>
        <v>686.20499999999993</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1" x14ac:dyDescent="0.3">
      <c r="A347" s="76"/>
      <c r="B347" s="77"/>
      <c r="C347" s="68">
        <f t="shared" si="27"/>
        <v>10</v>
      </c>
      <c r="D347" s="68"/>
      <c r="E347" s="19" t="s">
        <v>218</v>
      </c>
      <c r="F347" s="69">
        <f>(40+2.5)*10.764</f>
        <v>457.46999999999997</v>
      </c>
      <c r="G347" s="71">
        <v>0</v>
      </c>
      <c r="H347" s="19">
        <v>0</v>
      </c>
      <c r="I347" s="19">
        <f t="shared" si="25"/>
        <v>686.20499999999993</v>
      </c>
      <c r="J347" s="1"/>
      <c r="K347" s="1"/>
      <c r="L347" s="1"/>
      <c r="M347" s="1"/>
      <c r="N347" s="1"/>
      <c r="O347" s="19">
        <v>10.763999999999999</v>
      </c>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1" x14ac:dyDescent="0.3">
      <c r="A348" s="80" t="s">
        <v>272</v>
      </c>
      <c r="B348" s="81"/>
      <c r="C348" s="81"/>
      <c r="D348" s="81"/>
      <c r="E348" s="81"/>
      <c r="F348" s="81"/>
      <c r="G348" s="81"/>
      <c r="H348" s="81"/>
      <c r="I348" s="82"/>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21" x14ac:dyDescent="0.3">
      <c r="A349" s="72" t="str">
        <f>A348</f>
        <v>2nd, 7th, 12th, 17th, 22nd, 27th, 32nd &amp; 37th Floor (Part Refuge Area)</v>
      </c>
      <c r="B349" s="73"/>
      <c r="C349" s="68">
        <v>1</v>
      </c>
      <c r="D349" s="68"/>
      <c r="E349" s="19" t="s">
        <v>218</v>
      </c>
      <c r="F349" s="69">
        <f>(40+2.5)*10.764</f>
        <v>457.46999999999997</v>
      </c>
      <c r="G349" s="71">
        <v>0</v>
      </c>
      <c r="H349" s="19">
        <v>0</v>
      </c>
      <c r="I349" s="19">
        <f t="shared" ref="I349:I357" si="28">F349*(($I$193)+1)+H349</f>
        <v>686.20499999999993</v>
      </c>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1" x14ac:dyDescent="0.3">
      <c r="A350" s="74"/>
      <c r="B350" s="75"/>
      <c r="C350" s="68">
        <f>C349+1</f>
        <v>2</v>
      </c>
      <c r="D350" s="68"/>
      <c r="E350" s="19" t="s">
        <v>218</v>
      </c>
      <c r="F350" s="69">
        <f>(40+2.5)*10.764</f>
        <v>457.46999999999997</v>
      </c>
      <c r="G350" s="71">
        <v>0</v>
      </c>
      <c r="H350" s="19">
        <v>0</v>
      </c>
      <c r="I350" s="19">
        <f t="shared" si="28"/>
        <v>686.20499999999993</v>
      </c>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0.25" customHeight="1" x14ac:dyDescent="0.3">
      <c r="A351" s="74"/>
      <c r="B351" s="75"/>
      <c r="C351" s="68">
        <f t="shared" ref="C351:C358" si="29">C350+1</f>
        <v>3</v>
      </c>
      <c r="D351" s="68"/>
      <c r="E351" s="19" t="s">
        <v>218</v>
      </c>
      <c r="F351" s="69">
        <f>(41.8+2.5)*10.764</f>
        <v>476.84519999999992</v>
      </c>
      <c r="G351" s="71">
        <v>0</v>
      </c>
      <c r="H351" s="19">
        <v>0</v>
      </c>
      <c r="I351" s="19">
        <f t="shared" si="28"/>
        <v>715.26779999999985</v>
      </c>
      <c r="J351" s="1"/>
      <c r="K351" s="1"/>
      <c r="L351" s="1"/>
      <c r="M351" s="1">
        <f>39*10-8</f>
        <v>382</v>
      </c>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0.25" customHeight="1" x14ac:dyDescent="0.3">
      <c r="A352" s="74"/>
      <c r="B352" s="75"/>
      <c r="C352" s="68">
        <f t="shared" si="29"/>
        <v>4</v>
      </c>
      <c r="D352" s="68"/>
      <c r="E352" s="19" t="s">
        <v>218</v>
      </c>
      <c r="F352" s="69">
        <f>(41.8+2.5)*10.764</f>
        <v>476.84519999999992</v>
      </c>
      <c r="G352" s="71">
        <v>0</v>
      </c>
      <c r="H352" s="19">
        <v>0</v>
      </c>
      <c r="I352" s="19">
        <f t="shared" si="28"/>
        <v>715.26779999999985</v>
      </c>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1" x14ac:dyDescent="0.3">
      <c r="A353" s="74"/>
      <c r="B353" s="75"/>
      <c r="C353" s="68">
        <f t="shared" si="29"/>
        <v>5</v>
      </c>
      <c r="D353" s="68"/>
      <c r="E353" s="19" t="s">
        <v>218</v>
      </c>
      <c r="F353" s="69">
        <f>(41.8+2.5)*10.764</f>
        <v>476.84519999999992</v>
      </c>
      <c r="G353" s="71">
        <v>0</v>
      </c>
      <c r="H353" s="19">
        <v>0</v>
      </c>
      <c r="I353" s="19">
        <f t="shared" si="28"/>
        <v>715.26779999999985</v>
      </c>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1" x14ac:dyDescent="0.3">
      <c r="A354" s="74"/>
      <c r="B354" s="75"/>
      <c r="C354" s="68">
        <f>C353+1</f>
        <v>6</v>
      </c>
      <c r="D354" s="68"/>
      <c r="E354" s="19" t="s">
        <v>218</v>
      </c>
      <c r="F354" s="69">
        <f>(41.8+2.5)*10.764</f>
        <v>476.84519999999992</v>
      </c>
      <c r="G354" s="71">
        <v>0</v>
      </c>
      <c r="H354" s="19">
        <v>0</v>
      </c>
      <c r="I354" s="19">
        <f t="shared" si="28"/>
        <v>715.26779999999985</v>
      </c>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0.25" customHeight="1" x14ac:dyDescent="0.3">
      <c r="A355" s="74"/>
      <c r="B355" s="75"/>
      <c r="C355" s="68">
        <f t="shared" si="29"/>
        <v>7</v>
      </c>
      <c r="D355" s="68"/>
      <c r="E355" s="19" t="s">
        <v>217</v>
      </c>
      <c r="F355" s="69">
        <f>(58.82+2.57)*10.764</f>
        <v>660.80196000000001</v>
      </c>
      <c r="G355" s="71">
        <v>0</v>
      </c>
      <c r="H355" s="19">
        <v>0</v>
      </c>
      <c r="I355" s="19">
        <f t="shared" si="28"/>
        <v>991.20294000000001</v>
      </c>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0.25" customHeight="1" x14ac:dyDescent="0.3">
      <c r="A356" s="74"/>
      <c r="B356" s="75"/>
      <c r="C356" s="68">
        <f t="shared" si="29"/>
        <v>8</v>
      </c>
      <c r="D356" s="68"/>
      <c r="E356" s="19" t="s">
        <v>217</v>
      </c>
      <c r="F356" s="69">
        <f>(57.18+2.7)*10.764</f>
        <v>644.54831999999999</v>
      </c>
      <c r="G356" s="71">
        <v>0</v>
      </c>
      <c r="H356" s="19">
        <v>0</v>
      </c>
      <c r="I356" s="19">
        <f t="shared" si="28"/>
        <v>966.82248000000004</v>
      </c>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0.25" customHeight="1" x14ac:dyDescent="0.3">
      <c r="A357" s="74"/>
      <c r="B357" s="75"/>
      <c r="C357" s="68">
        <f t="shared" si="29"/>
        <v>9</v>
      </c>
      <c r="D357" s="68"/>
      <c r="E357" s="19" t="s">
        <v>217</v>
      </c>
      <c r="F357" s="69">
        <f>(40+3.05*3.05+1*1.6+2.5+2.5)*10.764</f>
        <v>601.73450999999989</v>
      </c>
      <c r="G357" s="71">
        <v>0</v>
      </c>
      <c r="H357" s="19">
        <v>0</v>
      </c>
      <c r="I357" s="19">
        <f t="shared" si="28"/>
        <v>902.60176499999989</v>
      </c>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1" x14ac:dyDescent="0.3">
      <c r="A358" s="76"/>
      <c r="B358" s="77"/>
      <c r="C358" s="68">
        <f t="shared" si="29"/>
        <v>10</v>
      </c>
      <c r="D358" s="68"/>
      <c r="E358" s="69" t="s">
        <v>221</v>
      </c>
      <c r="F358" s="70"/>
      <c r="G358" s="70"/>
      <c r="H358" s="70"/>
      <c r="I358" s="71"/>
      <c r="J358" s="1"/>
      <c r="K358" s="1"/>
      <c r="L358" s="1"/>
      <c r="M358" s="1"/>
      <c r="N358" s="1"/>
      <c r="O358" s="19">
        <v>10.763999999999999</v>
      </c>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1" x14ac:dyDescent="0.3">
      <c r="A359" s="80" t="s">
        <v>231</v>
      </c>
      <c r="B359" s="81"/>
      <c r="C359" s="81"/>
      <c r="D359" s="81"/>
      <c r="E359" s="81"/>
      <c r="F359" s="81"/>
      <c r="G359" s="81"/>
      <c r="H359" s="81"/>
      <c r="I359" s="82"/>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1" x14ac:dyDescent="0.3">
      <c r="A360" s="80" t="s">
        <v>232</v>
      </c>
      <c r="B360" s="81"/>
      <c r="C360" s="81"/>
      <c r="D360" s="81"/>
      <c r="E360" s="81"/>
      <c r="F360" s="81"/>
      <c r="G360" s="81"/>
      <c r="H360" s="81"/>
      <c r="I360" s="82"/>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1" x14ac:dyDescent="0.3">
      <c r="A361" s="96" t="s">
        <v>234</v>
      </c>
      <c r="B361" s="96"/>
      <c r="C361" s="96"/>
      <c r="D361" s="96"/>
      <c r="E361" s="96"/>
      <c r="F361" s="96"/>
      <c r="G361" s="96"/>
      <c r="H361" s="96"/>
      <c r="I361" s="96"/>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1" x14ac:dyDescent="0.3">
      <c r="A362" s="80" t="s">
        <v>213</v>
      </c>
      <c r="B362" s="81"/>
      <c r="C362" s="81"/>
      <c r="D362" s="81"/>
      <c r="E362" s="81"/>
      <c r="F362" s="81"/>
      <c r="G362" s="81"/>
      <c r="H362" s="81"/>
      <c r="I362" s="82"/>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1" x14ac:dyDescent="0.3">
      <c r="A363" s="80" t="s">
        <v>214</v>
      </c>
      <c r="B363" s="81"/>
      <c r="C363" s="81"/>
      <c r="D363" s="81"/>
      <c r="E363" s="81"/>
      <c r="F363" s="81"/>
      <c r="G363" s="81"/>
      <c r="H363" s="81"/>
      <c r="I363" s="82"/>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1" x14ac:dyDescent="0.3">
      <c r="A364" s="80" t="s">
        <v>228</v>
      </c>
      <c r="B364" s="81"/>
      <c r="C364" s="81"/>
      <c r="D364" s="81"/>
      <c r="E364" s="81"/>
      <c r="F364" s="81"/>
      <c r="G364" s="81"/>
      <c r="H364" s="81"/>
      <c r="I364" s="82"/>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1" x14ac:dyDescent="0.3">
      <c r="A365" s="80" t="s">
        <v>235</v>
      </c>
      <c r="B365" s="81"/>
      <c r="C365" s="81"/>
      <c r="D365" s="81"/>
      <c r="E365" s="81"/>
      <c r="F365" s="81"/>
      <c r="G365" s="81"/>
      <c r="H365" s="81"/>
      <c r="I365" s="82"/>
      <c r="J365" s="1"/>
      <c r="K365" s="1"/>
      <c r="L365" s="1"/>
      <c r="M365" s="1"/>
      <c r="N365" s="1"/>
      <c r="O365" s="19">
        <v>10.763999999999999</v>
      </c>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1" x14ac:dyDescent="0.3">
      <c r="A366" s="80" t="s">
        <v>230</v>
      </c>
      <c r="B366" s="81"/>
      <c r="C366" s="81"/>
      <c r="D366" s="81"/>
      <c r="E366" s="81"/>
      <c r="F366" s="81"/>
      <c r="G366" s="81"/>
      <c r="H366" s="81"/>
      <c r="I366" s="82"/>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s="11" customFormat="1" ht="21" x14ac:dyDescent="0.3">
      <c r="A367" s="72" t="str">
        <f>A366</f>
        <v>1st, 3rd to 6th, 8th to 11th, 13th to 16th, 18th to 21st, 23rd to 26th, 28th to 31st, 33rd to 36th, 38th to 39th Floor For Residential</v>
      </c>
      <c r="B367" s="73"/>
      <c r="C367" s="68">
        <v>1</v>
      </c>
      <c r="D367" s="68"/>
      <c r="E367" s="19" t="s">
        <v>217</v>
      </c>
      <c r="F367" s="69">
        <f>(57.18+2.7)*10.764</f>
        <v>644.54831999999999</v>
      </c>
      <c r="G367" s="71">
        <v>0</v>
      </c>
      <c r="H367" s="19">
        <v>0</v>
      </c>
      <c r="I367" s="19">
        <f t="shared" ref="I367:I374" si="30">F367*(($I$193)+1)+H367</f>
        <v>966.82248000000004</v>
      </c>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27:16384" s="11" customFormat="1" ht="21" x14ac:dyDescent="0.3">
      <c r="A368" s="74"/>
      <c r="B368" s="75"/>
      <c r="C368" s="68">
        <f>C367+1</f>
        <v>2</v>
      </c>
      <c r="D368" s="68"/>
      <c r="E368" s="19" t="s">
        <v>217</v>
      </c>
      <c r="F368" s="69">
        <f>(59.03+2.57)*10.764</f>
        <v>663.06240000000003</v>
      </c>
      <c r="G368" s="71">
        <v>0</v>
      </c>
      <c r="H368" s="19">
        <v>0</v>
      </c>
      <c r="I368" s="19">
        <f t="shared" si="30"/>
        <v>994.59360000000004</v>
      </c>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51 16227:16384" s="11" customFormat="1" ht="20.25" customHeight="1" x14ac:dyDescent="0.3">
      <c r="A369" s="74"/>
      <c r="B369" s="75"/>
      <c r="C369" s="68">
        <f t="shared" ref="C369:C374" si="31">C368+1</f>
        <v>3</v>
      </c>
      <c r="D369" s="68"/>
      <c r="E369" s="19" t="s">
        <v>218</v>
      </c>
      <c r="F369" s="69">
        <f>(41.8+2.5)*10.764</f>
        <v>476.84519999999992</v>
      </c>
      <c r="G369" s="71">
        <v>0</v>
      </c>
      <c r="H369" s="19">
        <v>0</v>
      </c>
      <c r="I369" s="19">
        <f t="shared" si="30"/>
        <v>715.26779999999985</v>
      </c>
      <c r="J369" s="1"/>
      <c r="K369" s="1"/>
      <c r="L369" s="1"/>
      <c r="M369" s="1">
        <f>39*8-8+5</f>
        <v>309</v>
      </c>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c r="XFD369" s="1"/>
    </row>
    <row r="370" spans="1:151 16227:16384" s="11" customFormat="1" ht="20.25" customHeight="1" x14ac:dyDescent="0.3">
      <c r="A370" s="74"/>
      <c r="B370" s="75"/>
      <c r="C370" s="68">
        <f t="shared" si="31"/>
        <v>4</v>
      </c>
      <c r="D370" s="68"/>
      <c r="E370" s="19" t="s">
        <v>218</v>
      </c>
      <c r="F370" s="69">
        <f>(41.8+2.5)*10.764</f>
        <v>476.84519999999992</v>
      </c>
      <c r="G370" s="71">
        <v>0</v>
      </c>
      <c r="H370" s="19">
        <v>0</v>
      </c>
      <c r="I370" s="19">
        <f t="shared" si="30"/>
        <v>715.26779999999985</v>
      </c>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c r="XFD370" s="1"/>
    </row>
    <row r="371" spans="1:151 16227:16384" s="11" customFormat="1" ht="21" x14ac:dyDescent="0.3">
      <c r="A371" s="74"/>
      <c r="B371" s="75"/>
      <c r="C371" s="68">
        <f t="shared" si="31"/>
        <v>5</v>
      </c>
      <c r="D371" s="68"/>
      <c r="E371" s="19" t="s">
        <v>217</v>
      </c>
      <c r="F371" s="69">
        <f>(59.03+2.57)*10.764</f>
        <v>663.06240000000003</v>
      </c>
      <c r="G371" s="71">
        <v>0</v>
      </c>
      <c r="H371" s="19">
        <v>0</v>
      </c>
      <c r="I371" s="19">
        <f t="shared" si="30"/>
        <v>994.59360000000004</v>
      </c>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c r="XFD371" s="1"/>
    </row>
    <row r="372" spans="1:151 16227:16384" s="11" customFormat="1" ht="21" x14ac:dyDescent="0.3">
      <c r="A372" s="74"/>
      <c r="B372" s="75"/>
      <c r="C372" s="68">
        <f>C371+1</f>
        <v>6</v>
      </c>
      <c r="D372" s="68"/>
      <c r="E372" s="19" t="s">
        <v>217</v>
      </c>
      <c r="F372" s="69">
        <f>(57.18+2.7)*10.764</f>
        <v>644.54831999999999</v>
      </c>
      <c r="G372" s="71">
        <v>0</v>
      </c>
      <c r="H372" s="19">
        <v>0</v>
      </c>
      <c r="I372" s="19">
        <f t="shared" si="30"/>
        <v>966.82248000000004</v>
      </c>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c r="XFD372" s="1"/>
    </row>
    <row r="373" spans="1:151 16227:16384" s="11" customFormat="1" ht="20.25" customHeight="1" x14ac:dyDescent="0.3">
      <c r="A373" s="74"/>
      <c r="B373" s="75"/>
      <c r="C373" s="68">
        <f t="shared" si="31"/>
        <v>7</v>
      </c>
      <c r="D373" s="68"/>
      <c r="E373" s="19" t="s">
        <v>218</v>
      </c>
      <c r="F373" s="69">
        <f>(40+2.5)*10.764</f>
        <v>457.46999999999997</v>
      </c>
      <c r="G373" s="71">
        <v>0</v>
      </c>
      <c r="H373" s="19">
        <v>0</v>
      </c>
      <c r="I373" s="19">
        <f t="shared" si="30"/>
        <v>686.20499999999993</v>
      </c>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c r="XFD373" s="1"/>
    </row>
    <row r="374" spans="1:151 16227:16384" s="11" customFormat="1" ht="21" x14ac:dyDescent="0.3">
      <c r="A374" s="76"/>
      <c r="B374" s="77"/>
      <c r="C374" s="68">
        <f t="shared" si="31"/>
        <v>8</v>
      </c>
      <c r="D374" s="68"/>
      <c r="E374" s="19" t="s">
        <v>218</v>
      </c>
      <c r="F374" s="69">
        <f>(40+2.5)*10.764</f>
        <v>457.46999999999997</v>
      </c>
      <c r="G374" s="71">
        <v>0</v>
      </c>
      <c r="H374" s="19">
        <v>0</v>
      </c>
      <c r="I374" s="19">
        <f t="shared" si="30"/>
        <v>686.20499999999993</v>
      </c>
      <c r="J374" s="1"/>
      <c r="K374" s="1"/>
      <c r="L374" s="1"/>
      <c r="M374" s="1"/>
      <c r="N374" s="1"/>
      <c r="O374" s="19">
        <v>10.763999999999999</v>
      </c>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c r="XFD374" s="1"/>
    </row>
    <row r="375" spans="1:151 16227:16384" s="11" customFormat="1" ht="21" x14ac:dyDescent="0.3">
      <c r="A375" s="80" t="s">
        <v>272</v>
      </c>
      <c r="B375" s="81"/>
      <c r="C375" s="81"/>
      <c r="D375" s="81"/>
      <c r="E375" s="81"/>
      <c r="F375" s="81"/>
      <c r="G375" s="81"/>
      <c r="H375" s="81"/>
      <c r="I375" s="82"/>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c r="XFD375" s="1"/>
    </row>
    <row r="376" spans="1:151 16227:16384" s="11" customFormat="1" ht="20.25" customHeight="1" x14ac:dyDescent="0.3">
      <c r="A376" s="72" t="str">
        <f>A375</f>
        <v>2nd, 7th, 12th, 17th, 22nd, 27th, 32nd &amp; 37th Floor (Part Refuge Area)</v>
      </c>
      <c r="B376" s="73"/>
      <c r="C376" s="68">
        <v>1</v>
      </c>
      <c r="D376" s="68"/>
      <c r="E376" s="19" t="s">
        <v>217</v>
      </c>
      <c r="F376" s="69">
        <f>(57.18+2.7)*10.764</f>
        <v>644.54831999999999</v>
      </c>
      <c r="G376" s="71">
        <v>0</v>
      </c>
      <c r="H376" s="19">
        <v>0</v>
      </c>
      <c r="I376" s="19">
        <f t="shared" ref="I376:I382" si="32">F376*(($I$193)+1)+H376</f>
        <v>966.82248000000004</v>
      </c>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c r="XFD376" s="1"/>
    </row>
    <row r="377" spans="1:151 16227:16384" s="11" customFormat="1" ht="20.25" customHeight="1" x14ac:dyDescent="0.3">
      <c r="A377" s="74"/>
      <c r="B377" s="75"/>
      <c r="C377" s="68">
        <f>C376+1</f>
        <v>2</v>
      </c>
      <c r="D377" s="68"/>
      <c r="E377" s="19" t="s">
        <v>217</v>
      </c>
      <c r="F377" s="69">
        <f>(59.03+2.57)*10.764</f>
        <v>663.06240000000003</v>
      </c>
      <c r="G377" s="71">
        <v>0</v>
      </c>
      <c r="H377" s="19">
        <v>0</v>
      </c>
      <c r="I377" s="19">
        <f t="shared" si="32"/>
        <v>994.59360000000004</v>
      </c>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c r="XFD377" s="1"/>
    </row>
    <row r="378" spans="1:151 16227:16384" s="11" customFormat="1" ht="20.25" customHeight="1" x14ac:dyDescent="0.3">
      <c r="A378" s="74"/>
      <c r="B378" s="75"/>
      <c r="C378" s="68">
        <f t="shared" ref="C378:C383" si="33">C377+1</f>
        <v>3</v>
      </c>
      <c r="D378" s="68"/>
      <c r="E378" s="19" t="s">
        <v>218</v>
      </c>
      <c r="F378" s="69">
        <f>(41.8+2.5)*10.764</f>
        <v>476.84519999999992</v>
      </c>
      <c r="G378" s="71">
        <v>0</v>
      </c>
      <c r="H378" s="19">
        <v>0</v>
      </c>
      <c r="I378" s="19">
        <f t="shared" si="32"/>
        <v>715.26779999999985</v>
      </c>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c r="XFD378" s="1"/>
    </row>
    <row r="379" spans="1:151 16227:16384" s="11" customFormat="1" ht="20.25" customHeight="1" x14ac:dyDescent="0.3">
      <c r="A379" s="74"/>
      <c r="B379" s="75"/>
      <c r="C379" s="68">
        <f t="shared" si="33"/>
        <v>4</v>
      </c>
      <c r="D379" s="68"/>
      <c r="E379" s="19" t="s">
        <v>218</v>
      </c>
      <c r="F379" s="69">
        <f>(41.8+2.5)*10.764</f>
        <v>476.84519999999992</v>
      </c>
      <c r="G379" s="71">
        <v>0</v>
      </c>
      <c r="H379" s="19">
        <v>0</v>
      </c>
      <c r="I379" s="19">
        <f t="shared" si="32"/>
        <v>715.26779999999985</v>
      </c>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c r="XFD379" s="1"/>
    </row>
    <row r="380" spans="1:151 16227:16384" s="11" customFormat="1" ht="20.25" customHeight="1" x14ac:dyDescent="0.3">
      <c r="A380" s="74"/>
      <c r="B380" s="75"/>
      <c r="C380" s="68">
        <f t="shared" si="33"/>
        <v>5</v>
      </c>
      <c r="D380" s="68"/>
      <c r="E380" s="19" t="s">
        <v>217</v>
      </c>
      <c r="F380" s="69">
        <f>(59.03+2.57)*10.764</f>
        <v>663.06240000000003</v>
      </c>
      <c r="G380" s="71">
        <v>0</v>
      </c>
      <c r="H380" s="19">
        <v>0</v>
      </c>
      <c r="I380" s="19">
        <f t="shared" si="32"/>
        <v>994.59360000000004</v>
      </c>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c r="XFD380" s="1"/>
    </row>
    <row r="381" spans="1:151 16227:16384" s="11" customFormat="1" ht="20.25" customHeight="1" x14ac:dyDescent="0.3">
      <c r="A381" s="74"/>
      <c r="B381" s="75"/>
      <c r="C381" s="68">
        <f>C380+1</f>
        <v>6</v>
      </c>
      <c r="D381" s="68"/>
      <c r="E381" s="19" t="s">
        <v>217</v>
      </c>
      <c r="F381" s="69">
        <f>(57.18+2.7)*10.764</f>
        <v>644.54831999999999</v>
      </c>
      <c r="G381" s="71">
        <v>0</v>
      </c>
      <c r="H381" s="19">
        <v>0</v>
      </c>
      <c r="I381" s="19">
        <f t="shared" si="32"/>
        <v>966.82248000000004</v>
      </c>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c r="XFD381" s="1"/>
    </row>
    <row r="382" spans="1:151 16227:16384" s="11" customFormat="1" ht="20.25" customHeight="1" x14ac:dyDescent="0.3">
      <c r="A382" s="74"/>
      <c r="B382" s="75"/>
      <c r="C382" s="68">
        <f t="shared" si="33"/>
        <v>7</v>
      </c>
      <c r="D382" s="68"/>
      <c r="E382" s="19" t="s">
        <v>218</v>
      </c>
      <c r="F382" s="69">
        <f>(40+2.5)*10.764</f>
        <v>457.46999999999997</v>
      </c>
      <c r="G382" s="71">
        <v>0</v>
      </c>
      <c r="H382" s="19">
        <v>0</v>
      </c>
      <c r="I382" s="19">
        <f t="shared" si="32"/>
        <v>686.20499999999993</v>
      </c>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c r="XFD382" s="1"/>
    </row>
    <row r="383" spans="1:151 16227:16384" s="11" customFormat="1" ht="20.25" customHeight="1" x14ac:dyDescent="0.3">
      <c r="A383" s="76"/>
      <c r="B383" s="77"/>
      <c r="C383" s="68">
        <f t="shared" si="33"/>
        <v>8</v>
      </c>
      <c r="D383" s="68"/>
      <c r="E383" s="69" t="s">
        <v>221</v>
      </c>
      <c r="F383" s="70"/>
      <c r="G383" s="70"/>
      <c r="H383" s="70"/>
      <c r="I383" s="7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c r="XFD383" s="1"/>
    </row>
    <row r="384" spans="1:151 16227:16384" s="11" customFormat="1" ht="21" x14ac:dyDescent="0.3">
      <c r="A384" s="80" t="s">
        <v>273</v>
      </c>
      <c r="B384" s="81"/>
      <c r="C384" s="81"/>
      <c r="D384" s="81"/>
      <c r="E384" s="81"/>
      <c r="F384" s="81"/>
      <c r="G384" s="81"/>
      <c r="H384" s="81"/>
      <c r="I384" s="82"/>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c r="XFD384" s="1"/>
    </row>
    <row r="385" spans="1:151 16227:16384" s="11" customFormat="1" ht="21" x14ac:dyDescent="0.3">
      <c r="A385" s="72" t="str">
        <f>A384</f>
        <v>40th Floor For Residential &amp; part terrace area</v>
      </c>
      <c r="B385" s="73"/>
      <c r="C385" s="69" t="s">
        <v>274</v>
      </c>
      <c r="D385" s="70"/>
      <c r="E385" s="70"/>
      <c r="F385" s="70"/>
      <c r="G385" s="70"/>
      <c r="H385" s="70"/>
      <c r="I385" s="7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c r="XFD385" s="1"/>
    </row>
    <row r="386" spans="1:151 16227:16384" s="11" customFormat="1" ht="21" x14ac:dyDescent="0.3">
      <c r="A386" s="74"/>
      <c r="B386" s="75"/>
      <c r="C386" s="68">
        <v>2</v>
      </c>
      <c r="D386" s="68"/>
      <c r="E386" s="19" t="s">
        <v>217</v>
      </c>
      <c r="F386" s="69">
        <f>(59.03+2.57)*10.764</f>
        <v>663.06240000000003</v>
      </c>
      <c r="G386" s="71">
        <v>0</v>
      </c>
      <c r="H386" s="19">
        <v>0</v>
      </c>
      <c r="I386" s="19">
        <f t="shared" ref="I386:I390" si="34">F386*(($I$193)+1)+H386</f>
        <v>994.59360000000004</v>
      </c>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c r="XFD386" s="1"/>
    </row>
    <row r="387" spans="1:151 16227:16384" s="11" customFormat="1" ht="20.25" customHeight="1" x14ac:dyDescent="0.3">
      <c r="A387" s="74"/>
      <c r="B387" s="75"/>
      <c r="C387" s="68">
        <f t="shared" ref="C387:C392" si="35">C386+1</f>
        <v>3</v>
      </c>
      <c r="D387" s="68"/>
      <c r="E387" s="19" t="s">
        <v>218</v>
      </c>
      <c r="F387" s="69">
        <f>(41.8+2.5)*10.764</f>
        <v>476.84519999999992</v>
      </c>
      <c r="G387" s="71">
        <v>0</v>
      </c>
      <c r="H387" s="19">
        <v>0</v>
      </c>
      <c r="I387" s="19">
        <f t="shared" si="34"/>
        <v>715.26779999999985</v>
      </c>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c r="XFD387" s="1"/>
    </row>
    <row r="388" spans="1:151 16227:16384" s="11" customFormat="1" ht="20.25" customHeight="1" x14ac:dyDescent="0.3">
      <c r="A388" s="74"/>
      <c r="B388" s="75"/>
      <c r="C388" s="68">
        <f t="shared" si="35"/>
        <v>4</v>
      </c>
      <c r="D388" s="68"/>
      <c r="E388" s="19" t="s">
        <v>218</v>
      </c>
      <c r="F388" s="69">
        <f>(41.8+2.5)*10.764</f>
        <v>476.84519999999992</v>
      </c>
      <c r="G388" s="71">
        <v>0</v>
      </c>
      <c r="H388" s="19">
        <v>0</v>
      </c>
      <c r="I388" s="19">
        <f t="shared" si="34"/>
        <v>715.26779999999985</v>
      </c>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c r="XFD388" s="1"/>
    </row>
    <row r="389" spans="1:151 16227:16384" s="11" customFormat="1" ht="21" x14ac:dyDescent="0.3">
      <c r="A389" s="74"/>
      <c r="B389" s="75"/>
      <c r="C389" s="68">
        <f t="shared" si="35"/>
        <v>5</v>
      </c>
      <c r="D389" s="68"/>
      <c r="E389" s="19" t="s">
        <v>217</v>
      </c>
      <c r="F389" s="69">
        <f>(59.03+2.57)*10.764</f>
        <v>663.06240000000003</v>
      </c>
      <c r="G389" s="71">
        <v>0</v>
      </c>
      <c r="H389" s="19">
        <v>0</v>
      </c>
      <c r="I389" s="19">
        <f t="shared" si="34"/>
        <v>994.59360000000004</v>
      </c>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c r="XFD389" s="1"/>
    </row>
    <row r="390" spans="1:151 16227:16384" s="11" customFormat="1" ht="21" x14ac:dyDescent="0.3">
      <c r="A390" s="74"/>
      <c r="B390" s="75"/>
      <c r="C390" s="68">
        <f>C389+1</f>
        <v>6</v>
      </c>
      <c r="D390" s="68"/>
      <c r="E390" s="19" t="s">
        <v>217</v>
      </c>
      <c r="F390" s="69">
        <f>(57.18+2.7)*10.764</f>
        <v>644.54831999999999</v>
      </c>
      <c r="G390" s="71">
        <v>0</v>
      </c>
      <c r="H390" s="19">
        <v>0</v>
      </c>
      <c r="I390" s="19">
        <f t="shared" si="34"/>
        <v>966.82248000000004</v>
      </c>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c r="XFD390" s="1"/>
    </row>
    <row r="391" spans="1:151 16227:16384" s="11" customFormat="1" ht="20.25" customHeight="1" x14ac:dyDescent="0.3">
      <c r="A391" s="74"/>
      <c r="B391" s="75"/>
      <c r="C391" s="68">
        <f t="shared" si="35"/>
        <v>7</v>
      </c>
      <c r="D391" s="68"/>
      <c r="E391" s="72" t="s">
        <v>274</v>
      </c>
      <c r="F391" s="78"/>
      <c r="G391" s="78"/>
      <c r="H391" s="78"/>
      <c r="I391" s="73"/>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c r="XFD391" s="1"/>
    </row>
    <row r="392" spans="1:151 16227:16384" s="11" customFormat="1" ht="21" x14ac:dyDescent="0.3">
      <c r="A392" s="76"/>
      <c r="B392" s="77"/>
      <c r="C392" s="68">
        <f t="shared" si="35"/>
        <v>8</v>
      </c>
      <c r="D392" s="68"/>
      <c r="E392" s="76"/>
      <c r="F392" s="79"/>
      <c r="G392" s="79"/>
      <c r="H392" s="79"/>
      <c r="I392" s="77"/>
      <c r="J392" s="1"/>
      <c r="K392" s="1"/>
      <c r="L392" s="1"/>
      <c r="M392" s="1"/>
      <c r="N392" s="1"/>
      <c r="O392" s="19">
        <v>10.763999999999999</v>
      </c>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c r="XFD392" s="1"/>
    </row>
    <row r="393" spans="1:151 16227:16384" ht="21" x14ac:dyDescent="0.3">
      <c r="A393" s="104" t="s">
        <v>71</v>
      </c>
      <c r="B393" s="104"/>
      <c r="C393" s="104"/>
      <c r="D393" s="104"/>
      <c r="E393" s="104"/>
      <c r="F393" s="104"/>
      <c r="G393" s="104"/>
      <c r="H393" s="104"/>
      <c r="I393" s="104"/>
    </row>
    <row r="394" spans="1:151 16227:16384" ht="189.75" customHeight="1" x14ac:dyDescent="0.3">
      <c r="A394" s="9" t="s">
        <v>79</v>
      </c>
      <c r="B394" s="12" t="s">
        <v>4</v>
      </c>
      <c r="C394" s="102" t="s">
        <v>283</v>
      </c>
      <c r="D394" s="102"/>
      <c r="E394" s="102"/>
      <c r="F394" s="102"/>
      <c r="G394" s="102"/>
      <c r="H394" s="102"/>
      <c r="I394" s="102"/>
    </row>
    <row r="395" spans="1:151 16227:16384" ht="21" x14ac:dyDescent="0.3">
      <c r="A395" s="133" t="s">
        <v>80</v>
      </c>
      <c r="B395" s="133"/>
      <c r="C395" s="133"/>
      <c r="D395" s="133"/>
      <c r="E395" s="133"/>
      <c r="F395" s="133"/>
      <c r="G395" s="133"/>
      <c r="H395" s="133"/>
      <c r="I395" s="133"/>
    </row>
    <row r="396" spans="1:151 16227:16384" ht="21" x14ac:dyDescent="0.3">
      <c r="A396" s="108" t="s">
        <v>72</v>
      </c>
      <c r="B396" s="108"/>
      <c r="C396" s="108"/>
      <c r="D396" s="2" t="s">
        <v>4</v>
      </c>
      <c r="E396" s="114" t="str">
        <f>E3</f>
        <v>Ashar Arize</v>
      </c>
      <c r="F396" s="123"/>
      <c r="G396" s="123"/>
      <c r="H396" s="123"/>
      <c r="I396" s="115"/>
    </row>
    <row r="397" spans="1:151 16227:16384" ht="43.5" customHeight="1" x14ac:dyDescent="0.3">
      <c r="A397" s="108" t="s">
        <v>128</v>
      </c>
      <c r="B397" s="108"/>
      <c r="C397" s="108"/>
      <c r="D397" s="2" t="s">
        <v>4</v>
      </c>
      <c r="E397" s="114" t="str">
        <f>E9</f>
        <v xml:space="preserve"> Ashar Arize Galleria, Plot Bearing Cts No. 2459, 2460, 2461, 2490, 2491, 2492, 2546, 2547 At Thane (M Corp.), Thane, Thane, 400605
</v>
      </c>
      <c r="F397" s="123"/>
      <c r="G397" s="123"/>
      <c r="H397" s="123"/>
      <c r="I397" s="115"/>
    </row>
    <row r="398" spans="1:151 16227:16384" ht="21" x14ac:dyDescent="0.3">
      <c r="A398" s="143" t="s">
        <v>134</v>
      </c>
      <c r="B398" s="143"/>
      <c r="C398" s="143"/>
      <c r="D398" s="15" t="s">
        <v>4</v>
      </c>
      <c r="E398" s="114" t="str">
        <f>I3</f>
        <v>10/07/2025 @05:09 PM</v>
      </c>
      <c r="F398" s="123"/>
      <c r="G398" s="123"/>
      <c r="H398" s="123"/>
      <c r="I398" s="115"/>
    </row>
    <row r="399" spans="1:151 16227:16384" ht="21" x14ac:dyDescent="0.3">
      <c r="A399" s="29"/>
      <c r="B399" s="30"/>
      <c r="C399" s="30"/>
      <c r="D399" s="30"/>
      <c r="E399" s="30"/>
      <c r="F399" s="30"/>
      <c r="G399" s="30"/>
      <c r="H399" s="30"/>
      <c r="I399" s="24"/>
    </row>
    <row r="400" spans="1:151 16227:16384" ht="21" x14ac:dyDescent="0.3">
      <c r="A400" s="31"/>
      <c r="B400" s="32"/>
      <c r="C400" s="32"/>
      <c r="D400" s="32"/>
      <c r="E400" s="32"/>
      <c r="F400" s="32"/>
      <c r="G400" s="32"/>
      <c r="H400" s="32"/>
      <c r="I400" s="25"/>
    </row>
    <row r="401" spans="1:9" ht="21" x14ac:dyDescent="0.3">
      <c r="A401" s="31"/>
      <c r="B401" s="32"/>
      <c r="C401" s="32"/>
      <c r="D401" s="32"/>
      <c r="E401" s="32"/>
      <c r="F401" s="32"/>
      <c r="G401" s="32"/>
      <c r="H401" s="32"/>
      <c r="I401" s="25"/>
    </row>
    <row r="402" spans="1:9" ht="21" x14ac:dyDescent="0.3">
      <c r="A402" s="31"/>
      <c r="B402" s="32"/>
      <c r="C402" s="32"/>
      <c r="D402" s="32"/>
      <c r="E402" s="32"/>
      <c r="F402" s="32"/>
      <c r="G402" s="32"/>
      <c r="H402" s="32"/>
      <c r="I402" s="25"/>
    </row>
    <row r="403" spans="1:9" ht="21" x14ac:dyDescent="0.3">
      <c r="A403" s="31"/>
      <c r="B403" s="32"/>
      <c r="C403" s="32"/>
      <c r="D403" s="32"/>
      <c r="E403" s="32"/>
      <c r="F403" s="32"/>
      <c r="G403" s="32"/>
      <c r="H403" s="32"/>
      <c r="I403" s="25"/>
    </row>
    <row r="404" spans="1:9" ht="21" x14ac:dyDescent="0.3">
      <c r="A404" s="31"/>
      <c r="B404" s="32"/>
      <c r="C404" s="32"/>
      <c r="D404" s="32"/>
      <c r="E404" s="32"/>
      <c r="F404" s="32"/>
      <c r="G404" s="32"/>
      <c r="H404" s="32"/>
      <c r="I404" s="25"/>
    </row>
    <row r="405" spans="1:9" ht="21" x14ac:dyDescent="0.3">
      <c r="A405" s="31"/>
      <c r="B405" s="32"/>
      <c r="C405" s="32"/>
      <c r="D405" s="32"/>
      <c r="E405" s="32"/>
      <c r="F405" s="32"/>
      <c r="G405" s="32"/>
      <c r="H405" s="32"/>
      <c r="I405" s="25"/>
    </row>
    <row r="406" spans="1:9" ht="21" x14ac:dyDescent="0.3">
      <c r="A406" s="31"/>
      <c r="B406" s="32"/>
      <c r="C406" s="32"/>
      <c r="D406" s="32"/>
      <c r="E406" s="32"/>
      <c r="F406" s="32"/>
      <c r="G406" s="32"/>
      <c r="H406" s="32"/>
      <c r="I406" s="25"/>
    </row>
    <row r="407" spans="1:9" ht="21" x14ac:dyDescent="0.3">
      <c r="A407" s="31"/>
      <c r="B407" s="32"/>
      <c r="C407" s="32"/>
      <c r="D407" s="32"/>
      <c r="E407" s="32"/>
      <c r="F407" s="32"/>
      <c r="G407" s="32"/>
      <c r="H407" s="32"/>
      <c r="I407" s="25"/>
    </row>
    <row r="408" spans="1:9" ht="21" x14ac:dyDescent="0.3">
      <c r="A408" s="31"/>
      <c r="B408" s="32"/>
      <c r="C408" s="32"/>
      <c r="D408" s="32"/>
      <c r="E408" s="32"/>
      <c r="F408" s="32"/>
      <c r="G408" s="32"/>
      <c r="H408" s="32"/>
      <c r="I408" s="25"/>
    </row>
    <row r="409" spans="1:9" ht="21" x14ac:dyDescent="0.3">
      <c r="A409" s="31"/>
      <c r="B409" s="32"/>
      <c r="C409" s="32"/>
      <c r="D409" s="32"/>
      <c r="E409" s="32"/>
      <c r="F409" s="32"/>
      <c r="G409" s="32"/>
      <c r="H409" s="32"/>
      <c r="I409" s="25"/>
    </row>
    <row r="410" spans="1:9" ht="21" x14ac:dyDescent="0.3">
      <c r="A410" s="31"/>
      <c r="B410" s="32"/>
      <c r="C410" s="32"/>
      <c r="D410" s="32"/>
      <c r="E410" s="32"/>
      <c r="F410" s="32"/>
      <c r="G410" s="32"/>
      <c r="H410" s="32"/>
      <c r="I410" s="25"/>
    </row>
    <row r="411" spans="1:9" ht="21" x14ac:dyDescent="0.3">
      <c r="A411" s="31"/>
      <c r="B411" s="32"/>
      <c r="C411" s="32"/>
      <c r="D411" s="32"/>
      <c r="E411" s="32"/>
      <c r="F411" s="32"/>
      <c r="G411" s="32"/>
      <c r="H411" s="32"/>
      <c r="I411" s="25"/>
    </row>
    <row r="412" spans="1:9" ht="21" x14ac:dyDescent="0.3">
      <c r="A412" s="31"/>
      <c r="B412" s="32"/>
      <c r="C412" s="32"/>
      <c r="D412" s="32"/>
      <c r="E412" s="32"/>
      <c r="F412" s="32"/>
      <c r="G412" s="32"/>
      <c r="H412" s="32"/>
      <c r="I412" s="25"/>
    </row>
    <row r="413" spans="1:9" ht="21" x14ac:dyDescent="0.3">
      <c r="A413" s="31"/>
      <c r="B413" s="32"/>
      <c r="C413" s="32"/>
      <c r="D413" s="32"/>
      <c r="E413" s="32"/>
      <c r="F413" s="32"/>
      <c r="G413" s="32"/>
      <c r="H413" s="32"/>
      <c r="I413" s="25"/>
    </row>
    <row r="414" spans="1:9" ht="21" x14ac:dyDescent="0.3">
      <c r="A414" s="31"/>
      <c r="B414" s="32"/>
      <c r="C414" s="32"/>
      <c r="D414" s="32"/>
      <c r="E414" s="32"/>
      <c r="F414" s="32"/>
      <c r="G414" s="32"/>
      <c r="H414" s="32"/>
      <c r="I414" s="25"/>
    </row>
    <row r="415" spans="1:9" ht="21" x14ac:dyDescent="0.3">
      <c r="A415" s="31"/>
      <c r="B415" s="32"/>
      <c r="C415" s="32"/>
      <c r="D415" s="32"/>
      <c r="E415" s="32"/>
      <c r="F415" s="32"/>
      <c r="G415" s="32"/>
      <c r="H415" s="32"/>
      <c r="I415" s="25"/>
    </row>
    <row r="416" spans="1:9" ht="21" x14ac:dyDescent="0.3">
      <c r="A416" s="31"/>
      <c r="B416" s="32"/>
      <c r="C416" s="32"/>
      <c r="D416" s="32"/>
      <c r="E416" s="32"/>
      <c r="F416" s="32"/>
      <c r="G416" s="32"/>
      <c r="H416" s="32"/>
      <c r="I416" s="25"/>
    </row>
    <row r="417" spans="1:9" ht="21" x14ac:dyDescent="0.3">
      <c r="A417" s="31"/>
      <c r="B417" s="32"/>
      <c r="C417" s="32"/>
      <c r="D417" s="32"/>
      <c r="E417" s="32"/>
      <c r="F417" s="32"/>
      <c r="G417" s="32"/>
      <c r="H417" s="32"/>
      <c r="I417" s="25"/>
    </row>
    <row r="418" spans="1:9" ht="21" x14ac:dyDescent="0.3">
      <c r="A418" s="31"/>
      <c r="B418" s="32"/>
      <c r="C418" s="32"/>
      <c r="D418" s="32"/>
      <c r="E418" s="32"/>
      <c r="F418" s="32"/>
      <c r="G418" s="32"/>
      <c r="H418" s="32"/>
      <c r="I418" s="25"/>
    </row>
    <row r="419" spans="1:9" ht="21" x14ac:dyDescent="0.3">
      <c r="A419" s="31"/>
      <c r="B419" s="32"/>
      <c r="C419" s="32"/>
      <c r="D419" s="32"/>
      <c r="E419" s="32"/>
      <c r="F419" s="32"/>
      <c r="G419" s="32"/>
      <c r="H419" s="32"/>
      <c r="I419" s="25"/>
    </row>
    <row r="420" spans="1:9" ht="21" x14ac:dyDescent="0.3">
      <c r="A420" s="31"/>
      <c r="B420" s="32"/>
      <c r="C420" s="32"/>
      <c r="D420" s="32"/>
      <c r="E420" s="32"/>
      <c r="F420" s="32"/>
      <c r="G420" s="32"/>
      <c r="H420" s="32"/>
      <c r="I420" s="25"/>
    </row>
    <row r="421" spans="1:9" ht="21" x14ac:dyDescent="0.3">
      <c r="A421" s="31"/>
      <c r="B421" s="32"/>
      <c r="C421" s="32"/>
      <c r="D421" s="32"/>
      <c r="E421" s="32"/>
      <c r="F421" s="32"/>
      <c r="G421" s="32"/>
      <c r="H421" s="32"/>
      <c r="I421" s="25"/>
    </row>
    <row r="422" spans="1:9" ht="21" x14ac:dyDescent="0.3">
      <c r="A422" s="31"/>
      <c r="B422" s="32"/>
      <c r="C422" s="32"/>
      <c r="D422" s="32"/>
      <c r="E422" s="32"/>
      <c r="F422" s="32"/>
      <c r="G422" s="32"/>
      <c r="H422" s="32"/>
      <c r="I422" s="25"/>
    </row>
    <row r="423" spans="1:9" ht="21" x14ac:dyDescent="0.3">
      <c r="A423" s="31"/>
      <c r="B423" s="32"/>
      <c r="C423" s="32"/>
      <c r="D423" s="32"/>
      <c r="E423" s="32"/>
      <c r="F423" s="32"/>
      <c r="G423" s="32"/>
      <c r="H423" s="32"/>
      <c r="I423" s="25"/>
    </row>
    <row r="424" spans="1:9" ht="21" x14ac:dyDescent="0.3">
      <c r="A424" s="31"/>
      <c r="B424" s="32"/>
      <c r="C424" s="32"/>
      <c r="D424" s="32"/>
      <c r="E424" s="32"/>
      <c r="F424" s="32"/>
      <c r="G424" s="32"/>
      <c r="H424" s="32"/>
      <c r="I424" s="25"/>
    </row>
    <row r="425" spans="1:9" ht="21" x14ac:dyDescent="0.3">
      <c r="A425" s="31"/>
      <c r="B425" s="32"/>
      <c r="C425" s="32"/>
      <c r="D425" s="32"/>
      <c r="E425" s="32"/>
      <c r="F425" s="32"/>
      <c r="G425" s="32"/>
      <c r="H425" s="32"/>
      <c r="I425" s="25"/>
    </row>
    <row r="426" spans="1:9" ht="21" x14ac:dyDescent="0.3">
      <c r="A426" s="31"/>
      <c r="B426" s="32"/>
      <c r="C426" s="32"/>
      <c r="D426" s="32"/>
      <c r="E426" s="32"/>
      <c r="F426" s="32"/>
      <c r="G426" s="32"/>
      <c r="H426" s="32"/>
      <c r="I426" s="25"/>
    </row>
    <row r="427" spans="1:9" ht="21" x14ac:dyDescent="0.3">
      <c r="A427" s="31"/>
      <c r="B427" s="32"/>
      <c r="C427" s="32"/>
      <c r="D427" s="32"/>
      <c r="E427" s="32"/>
      <c r="F427" s="32"/>
      <c r="G427" s="32"/>
      <c r="H427" s="32"/>
      <c r="I427" s="25"/>
    </row>
    <row r="428" spans="1:9" ht="21" x14ac:dyDescent="0.3">
      <c r="A428" s="31"/>
      <c r="B428" s="32"/>
      <c r="C428" s="32"/>
      <c r="D428" s="32"/>
      <c r="E428" s="32"/>
      <c r="F428" s="32"/>
      <c r="G428" s="32"/>
      <c r="H428" s="32"/>
      <c r="I428" s="25"/>
    </row>
    <row r="429" spans="1:9" ht="21" x14ac:dyDescent="0.3">
      <c r="A429" s="31"/>
      <c r="B429" s="32"/>
      <c r="C429" s="32"/>
      <c r="D429" s="32"/>
      <c r="E429" s="32"/>
      <c r="F429" s="32"/>
      <c r="G429" s="32"/>
      <c r="H429" s="32"/>
      <c r="I429" s="25"/>
    </row>
    <row r="430" spans="1:9" ht="21" x14ac:dyDescent="0.3">
      <c r="A430" s="31"/>
      <c r="B430" s="32"/>
      <c r="C430" s="32"/>
      <c r="D430" s="32"/>
      <c r="E430" s="32"/>
      <c r="F430" s="32"/>
      <c r="G430" s="32"/>
      <c r="H430" s="32"/>
      <c r="I430" s="25"/>
    </row>
    <row r="431" spans="1:9" ht="21" x14ac:dyDescent="0.3">
      <c r="A431" s="31"/>
      <c r="B431" s="32"/>
      <c r="C431" s="32"/>
      <c r="D431" s="32"/>
      <c r="E431" s="32"/>
      <c r="F431" s="32"/>
      <c r="G431" s="32"/>
      <c r="H431" s="32"/>
      <c r="I431" s="25"/>
    </row>
    <row r="432" spans="1:9" ht="21" x14ac:dyDescent="0.3">
      <c r="A432" s="31"/>
      <c r="B432" s="32"/>
      <c r="C432" s="32"/>
      <c r="D432" s="32"/>
      <c r="E432" s="32"/>
      <c r="F432" s="32"/>
      <c r="G432" s="32"/>
      <c r="H432" s="32"/>
      <c r="I432" s="25"/>
    </row>
    <row r="433" spans="1:9" ht="21" x14ac:dyDescent="0.3">
      <c r="A433" s="31"/>
      <c r="B433" s="32"/>
      <c r="C433" s="32"/>
      <c r="D433" s="32"/>
      <c r="E433" s="32"/>
      <c r="F433" s="32"/>
      <c r="G433" s="32"/>
      <c r="H433" s="32"/>
      <c r="I433" s="25"/>
    </row>
    <row r="434" spans="1:9" ht="21" x14ac:dyDescent="0.3">
      <c r="A434" s="31"/>
      <c r="B434" s="32"/>
      <c r="C434" s="32"/>
      <c r="D434" s="32"/>
      <c r="E434" s="32"/>
      <c r="F434" s="32"/>
      <c r="G434" s="32"/>
      <c r="H434" s="32"/>
      <c r="I434" s="25"/>
    </row>
    <row r="435" spans="1:9" ht="21" x14ac:dyDescent="0.3">
      <c r="A435" s="31"/>
      <c r="B435" s="32"/>
      <c r="C435" s="32"/>
      <c r="D435" s="32"/>
      <c r="E435" s="32"/>
      <c r="F435" s="32"/>
      <c r="G435" s="32"/>
      <c r="H435" s="32"/>
      <c r="I435" s="25"/>
    </row>
    <row r="436" spans="1:9" ht="21" x14ac:dyDescent="0.3">
      <c r="A436" s="31"/>
      <c r="B436" s="32"/>
      <c r="C436" s="32"/>
      <c r="D436" s="32"/>
      <c r="E436" s="32"/>
      <c r="F436" s="32"/>
      <c r="G436" s="32"/>
      <c r="H436" s="32"/>
      <c r="I436" s="25"/>
    </row>
    <row r="437" spans="1:9" ht="21" x14ac:dyDescent="0.3">
      <c r="A437" s="31"/>
      <c r="B437" s="32"/>
      <c r="C437" s="32"/>
      <c r="D437" s="32"/>
      <c r="E437" s="32"/>
      <c r="F437" s="32"/>
      <c r="G437" s="32"/>
      <c r="H437" s="32"/>
      <c r="I437" s="25"/>
    </row>
    <row r="438" spans="1:9" ht="21" x14ac:dyDescent="0.3">
      <c r="A438" s="31"/>
      <c r="B438" s="32"/>
      <c r="C438" s="32"/>
      <c r="D438" s="32"/>
      <c r="E438" s="32"/>
      <c r="F438" s="32"/>
      <c r="G438" s="32"/>
      <c r="H438" s="32"/>
      <c r="I438" s="25"/>
    </row>
    <row r="439" spans="1:9" ht="21" x14ac:dyDescent="0.3">
      <c r="A439" s="31"/>
      <c r="B439" s="32"/>
      <c r="C439" s="32"/>
      <c r="D439" s="32"/>
      <c r="E439" s="32"/>
      <c r="F439" s="32"/>
      <c r="G439" s="32"/>
      <c r="H439" s="32"/>
      <c r="I439" s="25"/>
    </row>
    <row r="440" spans="1:9" ht="21" x14ac:dyDescent="0.3">
      <c r="A440" s="31"/>
      <c r="B440" s="32"/>
      <c r="C440" s="32"/>
      <c r="D440" s="32"/>
      <c r="E440" s="32"/>
      <c r="F440" s="32"/>
      <c r="G440" s="32"/>
      <c r="H440" s="32"/>
      <c r="I440" s="25"/>
    </row>
    <row r="441" spans="1:9" ht="21" x14ac:dyDescent="0.3">
      <c r="A441" s="31"/>
      <c r="B441" s="32"/>
      <c r="C441" s="32"/>
      <c r="D441" s="32"/>
      <c r="E441" s="32"/>
      <c r="F441" s="32"/>
      <c r="G441" s="32"/>
      <c r="H441" s="32"/>
      <c r="I441" s="25"/>
    </row>
    <row r="442" spans="1:9" ht="21" x14ac:dyDescent="0.3">
      <c r="A442" s="31"/>
      <c r="B442" s="32"/>
      <c r="C442" s="32"/>
      <c r="D442" s="32"/>
      <c r="E442" s="32"/>
      <c r="F442" s="32"/>
      <c r="G442" s="32"/>
      <c r="H442" s="32"/>
      <c r="I442" s="25"/>
    </row>
    <row r="443" spans="1:9" ht="21" x14ac:dyDescent="0.3">
      <c r="A443" s="31"/>
      <c r="B443" s="32"/>
      <c r="C443" s="32"/>
      <c r="D443" s="32"/>
      <c r="E443" s="32"/>
      <c r="F443" s="32"/>
      <c r="G443" s="32"/>
      <c r="H443" s="32"/>
      <c r="I443" s="25"/>
    </row>
    <row r="444" spans="1:9" ht="21" x14ac:dyDescent="0.3">
      <c r="A444" s="31"/>
      <c r="B444" s="32"/>
      <c r="C444" s="32"/>
      <c r="D444" s="32"/>
      <c r="E444" s="32"/>
      <c r="F444" s="32"/>
      <c r="G444" s="32"/>
      <c r="H444" s="32"/>
      <c r="I444" s="25"/>
    </row>
    <row r="445" spans="1:9" ht="21" x14ac:dyDescent="0.3">
      <c r="A445" s="31"/>
      <c r="B445" s="32"/>
      <c r="C445" s="32"/>
      <c r="D445" s="32"/>
      <c r="E445" s="32"/>
      <c r="F445" s="32"/>
      <c r="G445" s="32"/>
      <c r="H445" s="32"/>
      <c r="I445" s="25"/>
    </row>
    <row r="446" spans="1:9" ht="21" x14ac:dyDescent="0.3">
      <c r="A446" s="31"/>
      <c r="B446" s="32"/>
      <c r="C446" s="32"/>
      <c r="D446" s="32"/>
      <c r="E446" s="32"/>
      <c r="F446" s="32"/>
      <c r="G446" s="32"/>
      <c r="H446" s="32"/>
      <c r="I446" s="25"/>
    </row>
    <row r="447" spans="1:9" ht="21" x14ac:dyDescent="0.3">
      <c r="A447" s="33"/>
      <c r="B447" s="34"/>
      <c r="C447" s="34"/>
      <c r="D447" s="34"/>
      <c r="E447" s="34"/>
      <c r="F447" s="34"/>
      <c r="G447" s="34"/>
      <c r="H447" s="34"/>
      <c r="I447" s="26"/>
    </row>
    <row r="448" spans="1:9" ht="21" x14ac:dyDescent="0.3">
      <c r="A448" s="133" t="s">
        <v>189</v>
      </c>
      <c r="B448" s="133"/>
      <c r="C448" s="133"/>
      <c r="D448" s="133"/>
      <c r="E448" s="133"/>
      <c r="F448" s="133"/>
      <c r="G448" s="133"/>
      <c r="H448" s="133"/>
      <c r="I448" s="133"/>
    </row>
    <row r="449" spans="1:9" ht="21" x14ac:dyDescent="0.3">
      <c r="A449" s="29"/>
      <c r="B449" s="30"/>
      <c r="C449" s="30"/>
      <c r="D449" s="30"/>
      <c r="E449" s="30"/>
      <c r="F449" s="30"/>
      <c r="G449" s="30"/>
      <c r="H449" s="30"/>
      <c r="I449" s="24"/>
    </row>
    <row r="450" spans="1:9" ht="21" x14ac:dyDescent="0.3">
      <c r="A450" s="31"/>
      <c r="B450" s="32"/>
      <c r="C450" s="32"/>
      <c r="D450" s="32"/>
      <c r="E450" s="32"/>
      <c r="F450" s="32"/>
      <c r="G450" s="32"/>
      <c r="H450" s="32"/>
      <c r="I450" s="25"/>
    </row>
    <row r="451" spans="1:9" ht="21" x14ac:dyDescent="0.3">
      <c r="A451" s="31"/>
      <c r="B451" s="32"/>
      <c r="C451" s="32"/>
      <c r="D451" s="32"/>
      <c r="E451" s="32"/>
      <c r="F451" s="32"/>
      <c r="G451" s="32"/>
      <c r="H451" s="32"/>
      <c r="I451" s="25"/>
    </row>
    <row r="452" spans="1:9" ht="21" x14ac:dyDescent="0.3">
      <c r="A452" s="31"/>
      <c r="B452" s="32"/>
      <c r="C452" s="32"/>
      <c r="D452" s="32"/>
      <c r="E452" s="32"/>
      <c r="F452" s="32"/>
      <c r="G452" s="32"/>
      <c r="H452" s="32"/>
      <c r="I452" s="25"/>
    </row>
    <row r="453" spans="1:9" ht="21" x14ac:dyDescent="0.3">
      <c r="A453" s="31"/>
      <c r="B453" s="32"/>
      <c r="C453" s="32"/>
      <c r="D453" s="32"/>
      <c r="E453" s="32"/>
      <c r="F453" s="32"/>
      <c r="G453" s="32"/>
      <c r="H453" s="32"/>
      <c r="I453" s="25"/>
    </row>
    <row r="454" spans="1:9" ht="21" x14ac:dyDescent="0.3">
      <c r="A454" s="31"/>
      <c r="B454" s="32"/>
      <c r="C454" s="32"/>
      <c r="D454" s="32"/>
      <c r="E454" s="32"/>
      <c r="F454" s="32"/>
      <c r="G454" s="32"/>
      <c r="H454" s="32"/>
      <c r="I454" s="25"/>
    </row>
    <row r="455" spans="1:9" ht="21" x14ac:dyDescent="0.3">
      <c r="A455" s="31"/>
      <c r="B455" s="32"/>
      <c r="C455" s="32"/>
      <c r="D455" s="32"/>
      <c r="E455" s="32"/>
      <c r="F455" s="32"/>
      <c r="G455" s="32"/>
      <c r="H455" s="32"/>
      <c r="I455" s="25"/>
    </row>
    <row r="456" spans="1:9" ht="21" x14ac:dyDescent="0.3">
      <c r="A456" s="31"/>
      <c r="B456" s="32"/>
      <c r="C456" s="32"/>
      <c r="D456" s="32"/>
      <c r="E456" s="32"/>
      <c r="F456" s="32"/>
      <c r="G456" s="32"/>
      <c r="H456" s="32"/>
      <c r="I456" s="25"/>
    </row>
    <row r="457" spans="1:9" ht="21" x14ac:dyDescent="0.3">
      <c r="A457" s="31"/>
      <c r="B457" s="32"/>
      <c r="C457" s="32"/>
      <c r="D457" s="32"/>
      <c r="E457" s="32"/>
      <c r="F457" s="32"/>
      <c r="G457" s="32"/>
      <c r="H457" s="32"/>
      <c r="I457" s="25"/>
    </row>
    <row r="458" spans="1:9" ht="21" x14ac:dyDescent="0.3">
      <c r="A458" s="31"/>
      <c r="B458" s="32"/>
      <c r="C458" s="32"/>
      <c r="D458" s="32"/>
      <c r="E458" s="32"/>
      <c r="F458" s="32"/>
      <c r="G458" s="32"/>
      <c r="H458" s="32"/>
      <c r="I458" s="25"/>
    </row>
    <row r="459" spans="1:9" ht="21" x14ac:dyDescent="0.3">
      <c r="A459" s="31"/>
      <c r="B459" s="32"/>
      <c r="C459" s="32"/>
      <c r="D459" s="32"/>
      <c r="E459" s="32"/>
      <c r="F459" s="32"/>
      <c r="G459" s="32"/>
      <c r="H459" s="32"/>
      <c r="I459" s="25"/>
    </row>
    <row r="460" spans="1:9" ht="21" x14ac:dyDescent="0.3">
      <c r="A460" s="31"/>
      <c r="B460" s="32"/>
      <c r="C460" s="32"/>
      <c r="D460" s="32"/>
      <c r="E460" s="32"/>
      <c r="F460" s="32"/>
      <c r="G460" s="32"/>
      <c r="H460" s="32"/>
      <c r="I460" s="25"/>
    </row>
    <row r="461" spans="1:9" ht="21" x14ac:dyDescent="0.3">
      <c r="A461" s="31"/>
      <c r="B461" s="32"/>
      <c r="C461" s="32"/>
      <c r="D461" s="32"/>
      <c r="E461" s="32"/>
      <c r="F461" s="32"/>
      <c r="G461" s="32"/>
      <c r="H461" s="32"/>
      <c r="I461" s="25"/>
    </row>
    <row r="462" spans="1:9" ht="21" x14ac:dyDescent="0.3">
      <c r="A462" s="31"/>
      <c r="B462" s="32"/>
      <c r="C462" s="32"/>
      <c r="D462" s="32"/>
      <c r="E462" s="32"/>
      <c r="F462" s="32"/>
      <c r="G462" s="32"/>
      <c r="H462" s="32"/>
      <c r="I462" s="25"/>
    </row>
    <row r="463" spans="1:9" ht="21" x14ac:dyDescent="0.3">
      <c r="A463" s="31"/>
      <c r="B463" s="32"/>
      <c r="C463" s="32"/>
      <c r="D463" s="32"/>
      <c r="E463" s="32"/>
      <c r="F463" s="32"/>
      <c r="G463" s="32"/>
      <c r="H463" s="32"/>
      <c r="I463" s="25"/>
    </row>
    <row r="464" spans="1:9" ht="21" x14ac:dyDescent="0.3">
      <c r="A464" s="31"/>
      <c r="B464" s="32"/>
      <c r="C464" s="32"/>
      <c r="D464" s="32"/>
      <c r="E464" s="32"/>
      <c r="F464" s="32"/>
      <c r="G464" s="32"/>
      <c r="H464" s="32"/>
      <c r="I464" s="25"/>
    </row>
    <row r="465" spans="1:9" ht="21" x14ac:dyDescent="0.3">
      <c r="A465" s="31"/>
      <c r="B465" s="32"/>
      <c r="C465" s="32"/>
      <c r="D465" s="32"/>
      <c r="E465" s="32"/>
      <c r="F465" s="32"/>
      <c r="G465" s="32"/>
      <c r="H465" s="32"/>
      <c r="I465" s="25"/>
    </row>
    <row r="466" spans="1:9" ht="21" x14ac:dyDescent="0.3">
      <c r="A466" s="31"/>
      <c r="B466" s="32"/>
      <c r="C466" s="32"/>
      <c r="D466" s="32"/>
      <c r="E466" s="32"/>
      <c r="F466" s="32"/>
      <c r="G466" s="32"/>
      <c r="H466" s="32"/>
      <c r="I466" s="25"/>
    </row>
    <row r="467" spans="1:9" ht="21" x14ac:dyDescent="0.3">
      <c r="A467" s="31"/>
      <c r="B467" s="32"/>
      <c r="C467" s="32"/>
      <c r="D467" s="32"/>
      <c r="E467" s="32"/>
      <c r="F467" s="32"/>
      <c r="G467" s="32"/>
      <c r="H467" s="32"/>
      <c r="I467" s="25"/>
    </row>
    <row r="468" spans="1:9" ht="21" x14ac:dyDescent="0.3">
      <c r="A468" s="31"/>
      <c r="B468" s="32"/>
      <c r="C468" s="32"/>
      <c r="D468" s="32"/>
      <c r="E468" s="32"/>
      <c r="F468" s="32"/>
      <c r="G468" s="32"/>
      <c r="H468" s="32"/>
      <c r="I468" s="25"/>
    </row>
    <row r="469" spans="1:9" ht="21" x14ac:dyDescent="0.3">
      <c r="A469" s="31"/>
      <c r="B469" s="32"/>
      <c r="C469" s="32"/>
      <c r="D469" s="32"/>
      <c r="E469" s="32"/>
      <c r="F469" s="32"/>
      <c r="G469" s="32"/>
      <c r="H469" s="32"/>
      <c r="I469" s="25"/>
    </row>
    <row r="470" spans="1:9" ht="21" x14ac:dyDescent="0.3">
      <c r="A470" s="31"/>
      <c r="B470" s="32"/>
      <c r="C470" s="32"/>
      <c r="D470" s="32"/>
      <c r="E470" s="32"/>
      <c r="F470" s="32"/>
      <c r="G470" s="32"/>
      <c r="H470" s="32"/>
      <c r="I470" s="25"/>
    </row>
    <row r="471" spans="1:9" ht="21" x14ac:dyDescent="0.3">
      <c r="A471" s="31"/>
      <c r="B471" s="32"/>
      <c r="C471" s="32"/>
      <c r="D471" s="32"/>
      <c r="E471" s="32"/>
      <c r="F471" s="32"/>
      <c r="G471" s="32"/>
      <c r="H471" s="32"/>
      <c r="I471" s="25"/>
    </row>
    <row r="472" spans="1:9" ht="21" x14ac:dyDescent="0.3">
      <c r="A472" s="31"/>
      <c r="B472" s="32"/>
      <c r="C472" s="32"/>
      <c r="D472" s="32"/>
      <c r="E472" s="32"/>
      <c r="F472" s="32"/>
      <c r="G472" s="32"/>
      <c r="H472" s="32"/>
      <c r="I472" s="25"/>
    </row>
    <row r="473" spans="1:9" ht="21" x14ac:dyDescent="0.3">
      <c r="A473" s="31"/>
      <c r="B473" s="32"/>
      <c r="C473" s="32"/>
      <c r="D473" s="32"/>
      <c r="E473" s="32"/>
      <c r="F473" s="32"/>
      <c r="G473" s="32"/>
      <c r="H473" s="32"/>
      <c r="I473" s="25"/>
    </row>
    <row r="474" spans="1:9" ht="21" x14ac:dyDescent="0.3">
      <c r="A474" s="31"/>
      <c r="B474" s="32"/>
      <c r="C474" s="32"/>
      <c r="D474" s="32"/>
      <c r="E474" s="32"/>
      <c r="F474" s="32"/>
      <c r="G474" s="32"/>
      <c r="H474" s="32"/>
      <c r="I474" s="25"/>
    </row>
    <row r="475" spans="1:9" ht="21" x14ac:dyDescent="0.3">
      <c r="A475" s="31"/>
      <c r="B475" s="32"/>
      <c r="C475" s="32"/>
      <c r="D475" s="32"/>
      <c r="E475" s="32"/>
      <c r="F475" s="32"/>
      <c r="G475" s="32"/>
      <c r="H475" s="32"/>
      <c r="I475" s="25"/>
    </row>
    <row r="476" spans="1:9" ht="21" x14ac:dyDescent="0.3">
      <c r="A476" s="31"/>
      <c r="B476" s="32"/>
      <c r="C476" s="32"/>
      <c r="D476" s="32"/>
      <c r="E476" s="32"/>
      <c r="F476" s="32"/>
      <c r="G476" s="32"/>
      <c r="H476" s="32"/>
      <c r="I476" s="25"/>
    </row>
    <row r="477" spans="1:9" ht="21" x14ac:dyDescent="0.3">
      <c r="A477" s="31"/>
      <c r="B477" s="32"/>
      <c r="C477" s="32"/>
      <c r="D477" s="32"/>
      <c r="E477" s="32"/>
      <c r="F477" s="32"/>
      <c r="G477" s="32"/>
      <c r="H477" s="32"/>
      <c r="I477" s="25"/>
    </row>
    <row r="478" spans="1:9" ht="21" x14ac:dyDescent="0.3">
      <c r="A478" s="31"/>
      <c r="B478" s="32"/>
      <c r="C478" s="32"/>
      <c r="D478" s="32"/>
      <c r="E478" s="32"/>
      <c r="F478" s="32"/>
      <c r="G478" s="32"/>
      <c r="H478" s="32"/>
      <c r="I478" s="25"/>
    </row>
    <row r="479" spans="1:9" ht="21" x14ac:dyDescent="0.3">
      <c r="A479" s="31"/>
      <c r="B479" s="32"/>
      <c r="C479" s="32"/>
      <c r="D479" s="32"/>
      <c r="E479" s="32"/>
      <c r="F479" s="32"/>
      <c r="G479" s="32"/>
      <c r="H479" s="32"/>
      <c r="I479" s="25"/>
    </row>
    <row r="480" spans="1:9" ht="21" x14ac:dyDescent="0.3">
      <c r="A480" s="31"/>
      <c r="B480" s="32"/>
      <c r="C480" s="32"/>
      <c r="D480" s="32"/>
      <c r="E480" s="32"/>
      <c r="F480" s="32"/>
      <c r="G480" s="32"/>
      <c r="H480" s="32"/>
      <c r="I480" s="25"/>
    </row>
    <row r="481" spans="1:9" ht="21" x14ac:dyDescent="0.3">
      <c r="A481" s="31"/>
      <c r="B481" s="32"/>
      <c r="C481" s="32"/>
      <c r="D481" s="32"/>
      <c r="E481" s="32"/>
      <c r="F481" s="32"/>
      <c r="G481" s="32"/>
      <c r="H481" s="32"/>
      <c r="I481" s="25"/>
    </row>
    <row r="482" spans="1:9" ht="21" x14ac:dyDescent="0.3">
      <c r="A482" s="31"/>
      <c r="B482" s="32"/>
      <c r="C482" s="32"/>
      <c r="D482" s="32"/>
      <c r="E482" s="32"/>
      <c r="F482" s="32"/>
      <c r="G482" s="32"/>
      <c r="H482" s="32"/>
      <c r="I482" s="25"/>
    </row>
    <row r="483" spans="1:9" ht="21" x14ac:dyDescent="0.3">
      <c r="A483" s="31"/>
      <c r="B483" s="32"/>
      <c r="C483" s="32"/>
      <c r="D483" s="32"/>
      <c r="E483" s="32"/>
      <c r="F483" s="32"/>
      <c r="G483" s="32"/>
      <c r="H483" s="32"/>
      <c r="I483" s="25"/>
    </row>
    <row r="484" spans="1:9" ht="21" x14ac:dyDescent="0.3">
      <c r="A484" s="31"/>
      <c r="B484" s="32"/>
      <c r="C484" s="32"/>
      <c r="D484" s="32"/>
      <c r="E484" s="32"/>
      <c r="F484" s="32"/>
      <c r="G484" s="32"/>
      <c r="H484" s="32"/>
      <c r="I484" s="25"/>
    </row>
    <row r="485" spans="1:9" ht="21" x14ac:dyDescent="0.3">
      <c r="A485" s="31"/>
      <c r="B485" s="32"/>
      <c r="C485" s="32"/>
      <c r="D485" s="32"/>
      <c r="E485" s="32"/>
      <c r="F485" s="32"/>
      <c r="G485" s="32"/>
      <c r="H485" s="32"/>
      <c r="I485" s="25"/>
    </row>
    <row r="486" spans="1:9" ht="21" x14ac:dyDescent="0.3">
      <c r="A486" s="31"/>
      <c r="B486" s="32"/>
      <c r="C486" s="32"/>
      <c r="D486" s="32"/>
      <c r="E486" s="32"/>
      <c r="F486" s="32"/>
      <c r="G486" s="32"/>
      <c r="H486" s="32"/>
      <c r="I486" s="25"/>
    </row>
    <row r="487" spans="1:9" ht="21" x14ac:dyDescent="0.3">
      <c r="A487" s="31"/>
      <c r="B487" s="32"/>
      <c r="C487" s="32"/>
      <c r="D487" s="32"/>
      <c r="E487" s="32"/>
      <c r="F487" s="32"/>
      <c r="G487" s="32"/>
      <c r="H487" s="32"/>
      <c r="I487" s="25"/>
    </row>
    <row r="488" spans="1:9" ht="21" x14ac:dyDescent="0.3">
      <c r="A488" s="31"/>
      <c r="B488" s="32"/>
      <c r="C488" s="32"/>
      <c r="D488" s="32"/>
      <c r="E488" s="32"/>
      <c r="F488" s="32"/>
      <c r="G488" s="32"/>
      <c r="H488" s="32"/>
      <c r="I488" s="25"/>
    </row>
    <row r="489" spans="1:9" ht="21" x14ac:dyDescent="0.3">
      <c r="A489" s="31"/>
      <c r="B489" s="32"/>
      <c r="C489" s="32"/>
      <c r="D489" s="32"/>
      <c r="E489" s="32"/>
      <c r="F489" s="32"/>
      <c r="G489" s="32"/>
      <c r="H489" s="32"/>
      <c r="I489" s="25"/>
    </row>
    <row r="490" spans="1:9" ht="21" x14ac:dyDescent="0.3">
      <c r="A490" s="31"/>
      <c r="B490" s="32"/>
      <c r="C490" s="32"/>
      <c r="D490" s="32"/>
      <c r="E490" s="32"/>
      <c r="F490" s="32"/>
      <c r="G490" s="32"/>
      <c r="H490" s="32"/>
      <c r="I490" s="25"/>
    </row>
    <row r="491" spans="1:9" ht="21" x14ac:dyDescent="0.3">
      <c r="A491" s="31"/>
      <c r="B491" s="32"/>
      <c r="C491" s="32"/>
      <c r="D491" s="32"/>
      <c r="E491" s="32"/>
      <c r="F491" s="32"/>
      <c r="G491" s="32"/>
      <c r="H491" s="32"/>
      <c r="I491" s="25"/>
    </row>
    <row r="492" spans="1:9" ht="21" x14ac:dyDescent="0.3">
      <c r="A492" s="31"/>
      <c r="B492" s="32"/>
      <c r="C492" s="32"/>
      <c r="D492" s="32"/>
      <c r="E492" s="32"/>
      <c r="F492" s="32"/>
      <c r="G492" s="32"/>
      <c r="H492" s="32"/>
      <c r="I492" s="25"/>
    </row>
    <row r="493" spans="1:9" ht="21" x14ac:dyDescent="0.3">
      <c r="A493" s="31"/>
      <c r="B493" s="32"/>
      <c r="C493" s="32"/>
      <c r="D493" s="32"/>
      <c r="E493" s="32"/>
      <c r="F493" s="32"/>
      <c r="G493" s="32"/>
      <c r="H493" s="32"/>
      <c r="I493" s="25"/>
    </row>
    <row r="494" spans="1:9" ht="21" x14ac:dyDescent="0.3">
      <c r="A494" s="31"/>
      <c r="B494" s="32"/>
      <c r="C494" s="32"/>
      <c r="D494" s="32"/>
      <c r="E494" s="32"/>
      <c r="F494" s="32"/>
      <c r="G494" s="32"/>
      <c r="H494" s="32"/>
      <c r="I494" s="25"/>
    </row>
    <row r="495" spans="1:9" ht="21" x14ac:dyDescent="0.3">
      <c r="A495" s="31"/>
      <c r="B495" s="32"/>
      <c r="C495" s="32"/>
      <c r="D495" s="32"/>
      <c r="E495" s="32"/>
      <c r="F495" s="32"/>
      <c r="G495" s="32"/>
      <c r="H495" s="32"/>
      <c r="I495" s="25"/>
    </row>
    <row r="496" spans="1:9" ht="21" x14ac:dyDescent="0.3">
      <c r="A496" s="31"/>
      <c r="B496" s="32"/>
      <c r="C496" s="32"/>
      <c r="D496" s="32"/>
      <c r="E496" s="32"/>
      <c r="F496" s="32"/>
      <c r="G496" s="32"/>
      <c r="H496" s="32"/>
      <c r="I496" s="25"/>
    </row>
    <row r="497" spans="1:9" ht="21" x14ac:dyDescent="0.3">
      <c r="A497" s="31"/>
      <c r="B497" s="32"/>
      <c r="C497" s="32"/>
      <c r="D497" s="32"/>
      <c r="E497" s="32"/>
      <c r="F497" s="32"/>
      <c r="G497" s="32"/>
      <c r="H497" s="32"/>
      <c r="I497" s="25"/>
    </row>
    <row r="498" spans="1:9" ht="21" x14ac:dyDescent="0.3">
      <c r="A498" s="31"/>
      <c r="B498" s="32"/>
      <c r="C498" s="32"/>
      <c r="D498" s="32"/>
      <c r="E498" s="32"/>
      <c r="F498" s="32"/>
      <c r="G498" s="32"/>
      <c r="H498" s="32"/>
      <c r="I498" s="25"/>
    </row>
    <row r="499" spans="1:9" ht="21" x14ac:dyDescent="0.3">
      <c r="A499" s="31"/>
      <c r="B499" s="32"/>
      <c r="C499" s="32"/>
      <c r="D499" s="32"/>
      <c r="E499" s="32"/>
      <c r="F499" s="32"/>
      <c r="G499" s="32"/>
      <c r="H499" s="32"/>
      <c r="I499" s="25"/>
    </row>
    <row r="500" spans="1:9" ht="21" x14ac:dyDescent="0.3">
      <c r="A500" s="31"/>
      <c r="B500" s="32"/>
      <c r="C500" s="32"/>
      <c r="D500" s="32"/>
      <c r="E500" s="32"/>
      <c r="F500" s="32"/>
      <c r="G500" s="32"/>
      <c r="H500" s="32"/>
      <c r="I500" s="25"/>
    </row>
    <row r="501" spans="1:9" ht="21" x14ac:dyDescent="0.3">
      <c r="A501" s="33"/>
      <c r="B501" s="34"/>
      <c r="C501" s="34"/>
      <c r="D501" s="34"/>
      <c r="E501" s="34"/>
      <c r="F501" s="34"/>
      <c r="G501" s="34"/>
      <c r="H501" s="34"/>
      <c r="I501" s="26"/>
    </row>
    <row r="502" spans="1:9" ht="21" x14ac:dyDescent="0.3">
      <c r="A502" s="105" t="s">
        <v>81</v>
      </c>
      <c r="B502" s="106"/>
      <c r="C502" s="106"/>
      <c r="D502" s="106"/>
      <c r="E502" s="106"/>
      <c r="F502" s="106"/>
      <c r="G502" s="106"/>
      <c r="H502" s="106"/>
      <c r="I502" s="107"/>
    </row>
    <row r="503" spans="1:9" ht="21" x14ac:dyDescent="0.3">
      <c r="A503" s="29"/>
      <c r="B503" s="30"/>
      <c r="C503" s="30"/>
      <c r="D503" s="30"/>
      <c r="E503" s="30"/>
      <c r="F503" s="30"/>
      <c r="G503" s="30"/>
      <c r="H503" s="30"/>
      <c r="I503" s="24"/>
    </row>
    <row r="504" spans="1:9" ht="21" x14ac:dyDescent="0.3">
      <c r="A504" s="31"/>
      <c r="B504" s="32"/>
      <c r="C504" s="32"/>
      <c r="D504" s="32"/>
      <c r="E504" s="32"/>
      <c r="F504" s="32"/>
      <c r="G504" s="32"/>
      <c r="H504" s="32"/>
      <c r="I504" s="25"/>
    </row>
    <row r="505" spans="1:9" ht="21" x14ac:dyDescent="0.3">
      <c r="A505" s="31"/>
      <c r="B505" s="32"/>
      <c r="C505" s="32"/>
      <c r="D505" s="32"/>
      <c r="E505" s="32"/>
      <c r="F505" s="32"/>
      <c r="G505" s="32"/>
      <c r="H505" s="32"/>
      <c r="I505" s="25"/>
    </row>
    <row r="506" spans="1:9" ht="21" x14ac:dyDescent="0.3">
      <c r="A506" s="31"/>
      <c r="B506" s="32"/>
      <c r="C506" s="32"/>
      <c r="D506" s="32"/>
      <c r="E506" s="32"/>
      <c r="F506" s="32"/>
      <c r="G506" s="32"/>
      <c r="H506" s="32"/>
      <c r="I506" s="25"/>
    </row>
    <row r="507" spans="1:9" ht="21" x14ac:dyDescent="0.3">
      <c r="A507" s="31"/>
      <c r="B507" s="32"/>
      <c r="C507" s="32"/>
      <c r="D507" s="32"/>
      <c r="E507" s="32"/>
      <c r="F507" s="32"/>
      <c r="G507" s="32"/>
      <c r="H507" s="32"/>
      <c r="I507" s="25"/>
    </row>
    <row r="508" spans="1:9" ht="21" x14ac:dyDescent="0.3">
      <c r="A508" s="31"/>
      <c r="B508" s="32"/>
      <c r="C508" s="32"/>
      <c r="D508" s="32"/>
      <c r="E508" s="32"/>
      <c r="F508" s="32"/>
      <c r="G508" s="32"/>
      <c r="H508" s="32"/>
      <c r="I508" s="25"/>
    </row>
    <row r="509" spans="1:9" ht="21" x14ac:dyDescent="0.3">
      <c r="A509" s="31"/>
      <c r="B509" s="32"/>
      <c r="C509" s="32"/>
      <c r="D509" s="32"/>
      <c r="E509" s="32"/>
      <c r="F509" s="32"/>
      <c r="G509" s="32"/>
      <c r="H509" s="32"/>
      <c r="I509" s="25"/>
    </row>
    <row r="510" spans="1:9" ht="21" x14ac:dyDescent="0.3">
      <c r="A510" s="31"/>
      <c r="B510" s="32"/>
      <c r="C510" s="32"/>
      <c r="D510" s="32"/>
      <c r="E510" s="32"/>
      <c r="F510" s="32"/>
      <c r="G510" s="32"/>
      <c r="H510" s="32"/>
      <c r="I510" s="25"/>
    </row>
    <row r="511" spans="1:9" ht="21" x14ac:dyDescent="0.3">
      <c r="A511" s="31"/>
      <c r="B511" s="32"/>
      <c r="C511" s="32"/>
      <c r="D511" s="32"/>
      <c r="E511" s="32"/>
      <c r="F511" s="32"/>
      <c r="G511" s="32"/>
      <c r="H511" s="32"/>
      <c r="I511" s="25"/>
    </row>
    <row r="512" spans="1:9" ht="21" x14ac:dyDescent="0.3">
      <c r="A512" s="31"/>
      <c r="B512" s="32"/>
      <c r="C512" s="32"/>
      <c r="D512" s="32"/>
      <c r="E512" s="32"/>
      <c r="F512" s="32"/>
      <c r="G512" s="32"/>
      <c r="H512" s="32"/>
      <c r="I512" s="25"/>
    </row>
    <row r="513" spans="1:9" ht="21" x14ac:dyDescent="0.3">
      <c r="A513" s="31"/>
      <c r="B513" s="32"/>
      <c r="C513" s="32"/>
      <c r="D513" s="32"/>
      <c r="E513" s="32"/>
      <c r="F513" s="32"/>
      <c r="G513" s="32"/>
      <c r="H513" s="32"/>
      <c r="I513" s="25"/>
    </row>
    <row r="514" spans="1:9" ht="21" x14ac:dyDescent="0.3">
      <c r="A514" s="31"/>
      <c r="B514" s="32"/>
      <c r="C514" s="32"/>
      <c r="D514" s="32"/>
      <c r="E514" s="32"/>
      <c r="F514" s="32"/>
      <c r="G514" s="32"/>
      <c r="H514" s="32"/>
      <c r="I514" s="25"/>
    </row>
    <row r="515" spans="1:9" ht="21" x14ac:dyDescent="0.3">
      <c r="A515" s="31"/>
      <c r="B515" s="32"/>
      <c r="C515" s="32"/>
      <c r="D515" s="32"/>
      <c r="E515" s="32"/>
      <c r="F515" s="32"/>
      <c r="G515" s="32"/>
      <c r="H515" s="32"/>
      <c r="I515" s="25"/>
    </row>
    <row r="516" spans="1:9" ht="21" x14ac:dyDescent="0.3">
      <c r="A516" s="31"/>
      <c r="B516" s="32"/>
      <c r="C516" s="32"/>
      <c r="D516" s="32"/>
      <c r="E516" s="32"/>
      <c r="F516" s="32"/>
      <c r="G516" s="32"/>
      <c r="H516" s="32"/>
      <c r="I516" s="25"/>
    </row>
    <row r="517" spans="1:9" ht="21" x14ac:dyDescent="0.3">
      <c r="A517" s="31"/>
      <c r="B517" s="32"/>
      <c r="C517" s="32"/>
      <c r="D517" s="32"/>
      <c r="E517" s="32"/>
      <c r="F517" s="32"/>
      <c r="G517" s="32"/>
      <c r="H517" s="32"/>
      <c r="I517" s="25"/>
    </row>
    <row r="518" spans="1:9" ht="21" x14ac:dyDescent="0.3">
      <c r="A518" s="31"/>
      <c r="B518" s="32"/>
      <c r="C518" s="32"/>
      <c r="D518" s="32"/>
      <c r="E518" s="32"/>
      <c r="F518" s="32"/>
      <c r="G518" s="32"/>
      <c r="H518" s="32"/>
      <c r="I518" s="25"/>
    </row>
    <row r="519" spans="1:9" ht="21" x14ac:dyDescent="0.3">
      <c r="A519" s="31"/>
      <c r="B519" s="32"/>
      <c r="C519" s="32"/>
      <c r="D519" s="32"/>
      <c r="E519" s="32"/>
      <c r="F519" s="32"/>
      <c r="G519" s="32"/>
      <c r="H519" s="32"/>
      <c r="I519" s="25"/>
    </row>
    <row r="520" spans="1:9" ht="21" x14ac:dyDescent="0.3">
      <c r="A520" s="31"/>
      <c r="B520" s="32"/>
      <c r="C520" s="32"/>
      <c r="D520" s="32"/>
      <c r="E520" s="32"/>
      <c r="F520" s="32"/>
      <c r="G520" s="32"/>
      <c r="H520" s="32"/>
      <c r="I520" s="25"/>
    </row>
    <row r="521" spans="1:9" ht="21" x14ac:dyDescent="0.3">
      <c r="A521" s="31"/>
      <c r="B521" s="32"/>
      <c r="C521" s="32"/>
      <c r="D521" s="32"/>
      <c r="E521" s="32"/>
      <c r="F521" s="32"/>
      <c r="G521" s="32"/>
      <c r="H521" s="32"/>
      <c r="I521" s="25"/>
    </row>
    <row r="522" spans="1:9" ht="21" x14ac:dyDescent="0.3">
      <c r="A522" s="31"/>
      <c r="B522" s="32"/>
      <c r="C522" s="32"/>
      <c r="D522" s="32"/>
      <c r="E522" s="32"/>
      <c r="F522" s="32"/>
      <c r="G522" s="32"/>
      <c r="H522" s="32"/>
      <c r="I522" s="25"/>
    </row>
    <row r="523" spans="1:9" ht="21" x14ac:dyDescent="0.3">
      <c r="A523" s="31"/>
      <c r="B523" s="32"/>
      <c r="C523" s="32"/>
      <c r="D523" s="32"/>
      <c r="E523" s="32"/>
      <c r="F523" s="32"/>
      <c r="G523" s="32"/>
      <c r="H523" s="32"/>
      <c r="I523" s="25"/>
    </row>
    <row r="524" spans="1:9" ht="21" x14ac:dyDescent="0.3">
      <c r="A524" s="31"/>
      <c r="B524" s="32"/>
      <c r="C524" s="32"/>
      <c r="D524" s="32"/>
      <c r="E524" s="32"/>
      <c r="F524" s="32"/>
      <c r="G524" s="32"/>
      <c r="H524" s="32"/>
      <c r="I524" s="25"/>
    </row>
    <row r="525" spans="1:9" ht="21" x14ac:dyDescent="0.3">
      <c r="A525" s="31"/>
      <c r="B525" s="32"/>
      <c r="C525" s="32"/>
      <c r="D525" s="32"/>
      <c r="E525" s="32"/>
      <c r="F525" s="32"/>
      <c r="G525" s="32"/>
      <c r="H525" s="32"/>
      <c r="I525" s="25"/>
    </row>
    <row r="526" spans="1:9" ht="21" x14ac:dyDescent="0.3">
      <c r="A526" s="31"/>
      <c r="B526" s="32"/>
      <c r="C526" s="32"/>
      <c r="D526" s="32"/>
      <c r="E526" s="32"/>
      <c r="F526" s="32"/>
      <c r="G526" s="32"/>
      <c r="H526" s="32"/>
      <c r="I526" s="25"/>
    </row>
    <row r="527" spans="1:9" ht="21" x14ac:dyDescent="0.3">
      <c r="A527" s="31"/>
      <c r="B527" s="32"/>
      <c r="C527" s="32"/>
      <c r="D527" s="32"/>
      <c r="E527" s="32"/>
      <c r="F527" s="32"/>
      <c r="G527" s="32"/>
      <c r="H527" s="32"/>
      <c r="I527" s="25"/>
    </row>
    <row r="528" spans="1:9" ht="21" x14ac:dyDescent="0.3">
      <c r="A528" s="31"/>
      <c r="B528" s="32"/>
      <c r="C528" s="32"/>
      <c r="D528" s="32"/>
      <c r="E528" s="32"/>
      <c r="F528" s="32"/>
      <c r="G528" s="32"/>
      <c r="H528" s="32"/>
      <c r="I528" s="25"/>
    </row>
    <row r="529" spans="1:9" ht="21" x14ac:dyDescent="0.3">
      <c r="A529" s="31"/>
      <c r="B529" s="32"/>
      <c r="C529" s="32"/>
      <c r="D529" s="32"/>
      <c r="E529" s="32"/>
      <c r="F529" s="32"/>
      <c r="G529" s="32"/>
      <c r="H529" s="32"/>
      <c r="I529" s="25"/>
    </row>
    <row r="530" spans="1:9" ht="21" x14ac:dyDescent="0.3">
      <c r="A530" s="31"/>
      <c r="B530" s="32"/>
      <c r="C530" s="32"/>
      <c r="D530" s="32"/>
      <c r="E530" s="32"/>
      <c r="F530" s="32"/>
      <c r="G530" s="32"/>
      <c r="H530" s="32"/>
      <c r="I530" s="25"/>
    </row>
    <row r="531" spans="1:9" ht="21" x14ac:dyDescent="0.3">
      <c r="A531" s="31"/>
      <c r="B531" s="32"/>
      <c r="C531" s="32"/>
      <c r="D531" s="32"/>
      <c r="E531" s="32"/>
      <c r="F531" s="32"/>
      <c r="G531" s="32"/>
      <c r="H531" s="32"/>
      <c r="I531" s="25"/>
    </row>
    <row r="532" spans="1:9" ht="21" x14ac:dyDescent="0.3">
      <c r="A532" s="31"/>
      <c r="B532" s="32"/>
      <c r="C532" s="32"/>
      <c r="D532" s="32"/>
      <c r="E532" s="32"/>
      <c r="F532" s="32"/>
      <c r="G532" s="32"/>
      <c r="H532" s="32"/>
      <c r="I532" s="25"/>
    </row>
    <row r="533" spans="1:9" ht="21" x14ac:dyDescent="0.3">
      <c r="A533" s="31"/>
      <c r="B533" s="32"/>
      <c r="C533" s="32"/>
      <c r="D533" s="32"/>
      <c r="E533" s="32"/>
      <c r="F533" s="32"/>
      <c r="G533" s="32"/>
      <c r="H533" s="32"/>
      <c r="I533" s="25"/>
    </row>
    <row r="534" spans="1:9" ht="21" x14ac:dyDescent="0.3">
      <c r="A534" s="31"/>
      <c r="B534" s="32"/>
      <c r="C534" s="32"/>
      <c r="D534" s="32"/>
      <c r="E534" s="32"/>
      <c r="F534" s="32"/>
      <c r="G534" s="32"/>
      <c r="H534" s="32"/>
      <c r="I534" s="25"/>
    </row>
    <row r="535" spans="1:9" ht="21" x14ac:dyDescent="0.3">
      <c r="A535" s="31"/>
      <c r="B535" s="32"/>
      <c r="C535" s="32"/>
      <c r="D535" s="32"/>
      <c r="E535" s="32"/>
      <c r="F535" s="32"/>
      <c r="G535" s="32"/>
      <c r="H535" s="32"/>
      <c r="I535" s="25"/>
    </row>
    <row r="536" spans="1:9" ht="21" x14ac:dyDescent="0.3">
      <c r="A536" s="31"/>
      <c r="B536" s="32"/>
      <c r="C536" s="32"/>
      <c r="D536" s="32"/>
      <c r="E536" s="32"/>
      <c r="F536" s="32"/>
      <c r="G536" s="32"/>
      <c r="H536" s="32"/>
      <c r="I536" s="25"/>
    </row>
    <row r="537" spans="1:9" ht="21" x14ac:dyDescent="0.3">
      <c r="A537" s="31"/>
      <c r="B537" s="32"/>
      <c r="C537" s="32"/>
      <c r="D537" s="32"/>
      <c r="E537" s="32"/>
      <c r="F537" s="32"/>
      <c r="G537" s="32"/>
      <c r="H537" s="32"/>
      <c r="I537" s="25"/>
    </row>
    <row r="538" spans="1:9" ht="21" x14ac:dyDescent="0.3">
      <c r="A538" s="31"/>
      <c r="B538" s="32"/>
      <c r="C538" s="32"/>
      <c r="D538" s="32"/>
      <c r="E538" s="32"/>
      <c r="F538" s="32"/>
      <c r="G538" s="32"/>
      <c r="H538" s="32"/>
      <c r="I538" s="25"/>
    </row>
    <row r="539" spans="1:9" ht="21" x14ac:dyDescent="0.3">
      <c r="A539" s="31"/>
      <c r="B539" s="32"/>
      <c r="C539" s="32"/>
      <c r="D539" s="32"/>
      <c r="E539" s="32"/>
      <c r="F539" s="32"/>
      <c r="G539" s="32"/>
      <c r="H539" s="32"/>
      <c r="I539" s="25"/>
    </row>
    <row r="540" spans="1:9" ht="21" x14ac:dyDescent="0.3">
      <c r="A540" s="31"/>
      <c r="B540" s="32"/>
      <c r="C540" s="32"/>
      <c r="D540" s="32"/>
      <c r="E540" s="32"/>
      <c r="F540" s="32"/>
      <c r="G540" s="32"/>
      <c r="H540" s="32"/>
      <c r="I540" s="25"/>
    </row>
    <row r="541" spans="1:9" ht="21" x14ac:dyDescent="0.3">
      <c r="A541" s="31"/>
      <c r="B541" s="32"/>
      <c r="C541" s="32"/>
      <c r="D541" s="32"/>
      <c r="E541" s="32"/>
      <c r="F541" s="32"/>
      <c r="G541" s="32"/>
      <c r="H541" s="32"/>
      <c r="I541" s="25"/>
    </row>
    <row r="542" spans="1:9" ht="21" x14ac:dyDescent="0.3">
      <c r="A542" s="31"/>
      <c r="B542" s="32"/>
      <c r="C542" s="32"/>
      <c r="D542" s="32"/>
      <c r="E542" s="32"/>
      <c r="F542" s="32"/>
      <c r="G542" s="32"/>
      <c r="H542" s="32"/>
      <c r="I542" s="25"/>
    </row>
    <row r="543" spans="1:9" ht="21" x14ac:dyDescent="0.3">
      <c r="A543" s="31"/>
      <c r="B543" s="32"/>
      <c r="C543" s="32"/>
      <c r="D543" s="32"/>
      <c r="E543" s="32"/>
      <c r="F543" s="32"/>
      <c r="G543" s="32"/>
      <c r="H543" s="32"/>
      <c r="I543" s="25"/>
    </row>
    <row r="544" spans="1:9" ht="21" x14ac:dyDescent="0.3">
      <c r="A544" s="104" t="s">
        <v>27</v>
      </c>
      <c r="B544" s="104"/>
      <c r="C544" s="104"/>
      <c r="D544" s="104"/>
      <c r="E544" s="104"/>
      <c r="F544" s="104"/>
      <c r="G544" s="104"/>
      <c r="H544" s="104"/>
      <c r="I544" s="104"/>
    </row>
    <row r="545" spans="1:9" ht="21" x14ac:dyDescent="0.3">
      <c r="A545" s="134" t="s">
        <v>82</v>
      </c>
      <c r="B545" s="135"/>
      <c r="C545" s="135"/>
      <c r="D545" s="135"/>
      <c r="E545" s="135"/>
      <c r="F545" s="135"/>
      <c r="G545" s="135"/>
      <c r="H545" s="135"/>
      <c r="I545" s="136"/>
    </row>
    <row r="546" spans="1:9" ht="21" x14ac:dyDescent="0.3">
      <c r="A546" s="137" t="s">
        <v>83</v>
      </c>
      <c r="B546" s="138"/>
      <c r="C546" s="138"/>
      <c r="D546" s="138"/>
      <c r="E546" s="138"/>
      <c r="F546" s="138"/>
      <c r="G546" s="138"/>
      <c r="H546" s="138"/>
      <c r="I546" s="139"/>
    </row>
    <row r="547" spans="1:9" ht="42.75" customHeight="1" x14ac:dyDescent="0.3">
      <c r="A547" s="137" t="s">
        <v>84</v>
      </c>
      <c r="B547" s="138"/>
      <c r="C547" s="138"/>
      <c r="D547" s="138"/>
      <c r="E547" s="138"/>
      <c r="F547" s="138"/>
      <c r="G547" s="138"/>
      <c r="H547" s="138"/>
      <c r="I547" s="139"/>
    </row>
    <row r="548" spans="1:9" ht="21" x14ac:dyDescent="0.3">
      <c r="A548" s="137" t="s">
        <v>85</v>
      </c>
      <c r="B548" s="138"/>
      <c r="C548" s="138"/>
      <c r="D548" s="138"/>
      <c r="E548" s="138"/>
      <c r="F548" s="138"/>
      <c r="G548" s="138"/>
      <c r="H548" s="138"/>
      <c r="I548" s="139"/>
    </row>
    <row r="549" spans="1:9" ht="21" x14ac:dyDescent="0.3">
      <c r="A549" s="137" t="s">
        <v>86</v>
      </c>
      <c r="B549" s="138"/>
      <c r="C549" s="138"/>
      <c r="D549" s="138"/>
      <c r="E549" s="138"/>
      <c r="F549" s="138"/>
      <c r="G549" s="138"/>
      <c r="H549" s="138"/>
      <c r="I549" s="139"/>
    </row>
    <row r="550" spans="1:9" ht="45" hidden="1" customHeight="1" x14ac:dyDescent="0.3">
      <c r="A550" s="137" t="s">
        <v>87</v>
      </c>
      <c r="B550" s="138"/>
      <c r="C550" s="138"/>
      <c r="D550" s="138"/>
      <c r="E550" s="138"/>
      <c r="F550" s="138"/>
      <c r="G550" s="138"/>
      <c r="H550" s="138"/>
      <c r="I550" s="139"/>
    </row>
    <row r="551" spans="1:9" ht="45" hidden="1" customHeight="1" x14ac:dyDescent="0.3">
      <c r="A551" s="137" t="s">
        <v>88</v>
      </c>
      <c r="B551" s="138"/>
      <c r="C551" s="138"/>
      <c r="D551" s="138"/>
      <c r="E551" s="138"/>
      <c r="F551" s="138"/>
      <c r="G551" s="138"/>
      <c r="H551" s="138"/>
      <c r="I551" s="139"/>
    </row>
    <row r="552" spans="1:9" ht="21" x14ac:dyDescent="0.3">
      <c r="A552" s="137" t="s">
        <v>89</v>
      </c>
      <c r="B552" s="138"/>
      <c r="C552" s="138"/>
      <c r="D552" s="138"/>
      <c r="E552" s="138"/>
      <c r="F552" s="138"/>
      <c r="G552" s="138"/>
      <c r="H552" s="138"/>
      <c r="I552" s="139"/>
    </row>
    <row r="553" spans="1:9" ht="21" x14ac:dyDescent="0.3">
      <c r="A553" s="140" t="s">
        <v>90</v>
      </c>
      <c r="B553" s="141"/>
      <c r="C553" s="141"/>
      <c r="D553" s="141"/>
      <c r="E553" s="141"/>
      <c r="F553" s="141"/>
      <c r="G553" s="141"/>
      <c r="H553" s="141"/>
      <c r="I553" s="142"/>
    </row>
    <row r="554" spans="1:9" ht="60" customHeight="1" x14ac:dyDescent="0.3">
      <c r="A554" s="132" t="s">
        <v>33</v>
      </c>
      <c r="B554" s="132"/>
      <c r="C554" s="132"/>
      <c r="D554" s="2" t="s">
        <v>4</v>
      </c>
      <c r="E554" s="65" t="s">
        <v>297</v>
      </c>
      <c r="F554" s="66" t="s">
        <v>10</v>
      </c>
      <c r="G554" s="2" t="s">
        <v>4</v>
      </c>
      <c r="H554" s="112"/>
      <c r="I554" s="112"/>
    </row>
  </sheetData>
  <mergeCells count="790">
    <mergeCell ref="F183:G183"/>
    <mergeCell ref="F184:G184"/>
    <mergeCell ref="F185:G185"/>
    <mergeCell ref="F186:G186"/>
    <mergeCell ref="F187:G187"/>
    <mergeCell ref="F188:G188"/>
    <mergeCell ref="F189:G189"/>
    <mergeCell ref="F190:G190"/>
    <mergeCell ref="F174:G174"/>
    <mergeCell ref="F175:G175"/>
    <mergeCell ref="F176:G176"/>
    <mergeCell ref="F177:G177"/>
    <mergeCell ref="F178:G178"/>
    <mergeCell ref="F179:G179"/>
    <mergeCell ref="F180:G180"/>
    <mergeCell ref="F181:G181"/>
    <mergeCell ref="F182:G182"/>
    <mergeCell ref="F165:G165"/>
    <mergeCell ref="F166:G166"/>
    <mergeCell ref="F167:G167"/>
    <mergeCell ref="F168:G168"/>
    <mergeCell ref="F169:G169"/>
    <mergeCell ref="F170:G170"/>
    <mergeCell ref="F171:G171"/>
    <mergeCell ref="F172:G172"/>
    <mergeCell ref="F173:G173"/>
    <mergeCell ref="F156:G156"/>
    <mergeCell ref="F157:G157"/>
    <mergeCell ref="F158:G158"/>
    <mergeCell ref="F159:G159"/>
    <mergeCell ref="F160:G160"/>
    <mergeCell ref="F161:G161"/>
    <mergeCell ref="F162:G162"/>
    <mergeCell ref="F163:G163"/>
    <mergeCell ref="F164:G164"/>
    <mergeCell ref="F147:G147"/>
    <mergeCell ref="F148:G148"/>
    <mergeCell ref="F149:G149"/>
    <mergeCell ref="F150:G150"/>
    <mergeCell ref="F151:G151"/>
    <mergeCell ref="F152:G152"/>
    <mergeCell ref="F153:G153"/>
    <mergeCell ref="F154:G154"/>
    <mergeCell ref="F155:G155"/>
    <mergeCell ref="A100:B100"/>
    <mergeCell ref="C100:D100"/>
    <mergeCell ref="H104:I104"/>
    <mergeCell ref="A89:B89"/>
    <mergeCell ref="C89:D89"/>
    <mergeCell ref="F89:G100"/>
    <mergeCell ref="H89:I100"/>
    <mergeCell ref="A90:B90"/>
    <mergeCell ref="C90:D90"/>
    <mergeCell ref="A91:B91"/>
    <mergeCell ref="C91:D91"/>
    <mergeCell ref="A92:B92"/>
    <mergeCell ref="C92:D92"/>
    <mergeCell ref="A93:B93"/>
    <mergeCell ref="C93:D93"/>
    <mergeCell ref="A94:B94"/>
    <mergeCell ref="C94:D94"/>
    <mergeCell ref="A95:B95"/>
    <mergeCell ref="C95:D95"/>
    <mergeCell ref="A96:B96"/>
    <mergeCell ref="C96:D96"/>
    <mergeCell ref="A97:B97"/>
    <mergeCell ref="C97:D97"/>
    <mergeCell ref="A98:B98"/>
    <mergeCell ref="C98:D98"/>
    <mergeCell ref="A99:B99"/>
    <mergeCell ref="C99:D99"/>
    <mergeCell ref="A84:B84"/>
    <mergeCell ref="C84:D84"/>
    <mergeCell ref="A85:I85"/>
    <mergeCell ref="A86:C87"/>
    <mergeCell ref="D86:D87"/>
    <mergeCell ref="F86:G86"/>
    <mergeCell ref="F87:G87"/>
    <mergeCell ref="A88:B88"/>
    <mergeCell ref="C88:D88"/>
    <mergeCell ref="F88:G88"/>
    <mergeCell ref="H88:I88"/>
    <mergeCell ref="A73:B73"/>
    <mergeCell ref="C73:D73"/>
    <mergeCell ref="F73:G84"/>
    <mergeCell ref="H73:I84"/>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 ref="A83:B83"/>
    <mergeCell ref="C83:D83"/>
    <mergeCell ref="H56:I56"/>
    <mergeCell ref="A69:I69"/>
    <mergeCell ref="A70:C71"/>
    <mergeCell ref="D70:D71"/>
    <mergeCell ref="F70:G70"/>
    <mergeCell ref="F71:G71"/>
    <mergeCell ref="A72:B72"/>
    <mergeCell ref="C72:D72"/>
    <mergeCell ref="F72:G72"/>
    <mergeCell ref="H72:I72"/>
    <mergeCell ref="A64:B64"/>
    <mergeCell ref="C64:D64"/>
    <mergeCell ref="A65:B65"/>
    <mergeCell ref="C65:D65"/>
    <mergeCell ref="A66:B66"/>
    <mergeCell ref="C66:D66"/>
    <mergeCell ref="A67:B67"/>
    <mergeCell ref="C67:D67"/>
    <mergeCell ref="A68:B68"/>
    <mergeCell ref="C68:D68"/>
    <mergeCell ref="A53:I53"/>
    <mergeCell ref="A54:C55"/>
    <mergeCell ref="D54:D55"/>
    <mergeCell ref="F54:G54"/>
    <mergeCell ref="F55:G55"/>
    <mergeCell ref="A56:B56"/>
    <mergeCell ref="C56:D56"/>
    <mergeCell ref="F56:G56"/>
    <mergeCell ref="A57:B57"/>
    <mergeCell ref="C57:D57"/>
    <mergeCell ref="F57:G68"/>
    <mergeCell ref="H57:I68"/>
    <mergeCell ref="A58:B58"/>
    <mergeCell ref="C58:D58"/>
    <mergeCell ref="A59:B59"/>
    <mergeCell ref="C59:D59"/>
    <mergeCell ref="A60:B60"/>
    <mergeCell ref="C60:D60"/>
    <mergeCell ref="A61:B61"/>
    <mergeCell ref="C61:D61"/>
    <mergeCell ref="A62:B62"/>
    <mergeCell ref="C62:D62"/>
    <mergeCell ref="A63:B63"/>
    <mergeCell ref="C63:D63"/>
    <mergeCell ref="C115:D115"/>
    <mergeCell ref="A116:B116"/>
    <mergeCell ref="C116:D116"/>
    <mergeCell ref="F104:G104"/>
    <mergeCell ref="A105:B105"/>
    <mergeCell ref="C105:D105"/>
    <mergeCell ref="F105:G116"/>
    <mergeCell ref="H105:I116"/>
    <mergeCell ref="A106:B106"/>
    <mergeCell ref="C106:D106"/>
    <mergeCell ref="A107:B107"/>
    <mergeCell ref="C107:D107"/>
    <mergeCell ref="A108:B108"/>
    <mergeCell ref="C108:D108"/>
    <mergeCell ref="A109:B109"/>
    <mergeCell ref="C109:D109"/>
    <mergeCell ref="A110:B110"/>
    <mergeCell ref="C110:D110"/>
    <mergeCell ref="A111:B111"/>
    <mergeCell ref="C111:D111"/>
    <mergeCell ref="A112:B112"/>
    <mergeCell ref="C112:D112"/>
    <mergeCell ref="A113:B113"/>
    <mergeCell ref="C113:D113"/>
    <mergeCell ref="A114:B114"/>
    <mergeCell ref="C114:D114"/>
    <mergeCell ref="A115:B115"/>
    <mergeCell ref="H52:I52"/>
    <mergeCell ref="H50:I50"/>
    <mergeCell ref="A128:I128"/>
    <mergeCell ref="A124:C124"/>
    <mergeCell ref="H124:I124"/>
    <mergeCell ref="A125:C125"/>
    <mergeCell ref="H125:I125"/>
    <mergeCell ref="A126:C126"/>
    <mergeCell ref="H126:I126"/>
    <mergeCell ref="A127:C127"/>
    <mergeCell ref="H127:I127"/>
    <mergeCell ref="A120:C120"/>
    <mergeCell ref="H120:I120"/>
    <mergeCell ref="A122:C122"/>
    <mergeCell ref="A101:I101"/>
    <mergeCell ref="A102:C103"/>
    <mergeCell ref="D102:D103"/>
    <mergeCell ref="F102:G102"/>
    <mergeCell ref="F103:G103"/>
    <mergeCell ref="H122:I122"/>
    <mergeCell ref="A123:C123"/>
    <mergeCell ref="A104:B104"/>
    <mergeCell ref="C104:D104"/>
    <mergeCell ref="A192:B193"/>
    <mergeCell ref="C200:D200"/>
    <mergeCell ref="A191:I191"/>
    <mergeCell ref="A195:I195"/>
    <mergeCell ref="A194:I194"/>
    <mergeCell ref="A196:I196"/>
    <mergeCell ref="A197:I197"/>
    <mergeCell ref="A130:F130"/>
    <mergeCell ref="A129:F129"/>
    <mergeCell ref="A139:B139"/>
    <mergeCell ref="C139:D139"/>
    <mergeCell ref="A140:B140"/>
    <mergeCell ref="C140:D140"/>
    <mergeCell ref="A137:B137"/>
    <mergeCell ref="C137:D137"/>
    <mergeCell ref="F137:G137"/>
    <mergeCell ref="A138:B138"/>
    <mergeCell ref="C138:D138"/>
    <mergeCell ref="F138:G138"/>
    <mergeCell ref="C154:D154"/>
    <mergeCell ref="C155:D155"/>
    <mergeCell ref="C156:D156"/>
    <mergeCell ref="C14:E14"/>
    <mergeCell ref="C15:E15"/>
    <mergeCell ref="C16:E16"/>
    <mergeCell ref="C17:E17"/>
    <mergeCell ref="C18:E18"/>
    <mergeCell ref="H123:I123"/>
    <mergeCell ref="A121:C121"/>
    <mergeCell ref="H121:I121"/>
    <mergeCell ref="H14:I14"/>
    <mergeCell ref="G38:H38"/>
    <mergeCell ref="A39:C39"/>
    <mergeCell ref="A35:C35"/>
    <mergeCell ref="A40:C40"/>
    <mergeCell ref="A38:C38"/>
    <mergeCell ref="H16:I16"/>
    <mergeCell ref="H17:I17"/>
    <mergeCell ref="A34:C34"/>
    <mergeCell ref="H34:I34"/>
    <mergeCell ref="H15:I15"/>
    <mergeCell ref="H18:I18"/>
    <mergeCell ref="H19:I19"/>
    <mergeCell ref="H31:I31"/>
    <mergeCell ref="H22:I22"/>
    <mergeCell ref="G39:H39"/>
    <mergeCell ref="C28:E28"/>
    <mergeCell ref="C29:E29"/>
    <mergeCell ref="C30:E30"/>
    <mergeCell ref="C19:E19"/>
    <mergeCell ref="C20:E20"/>
    <mergeCell ref="C21:E21"/>
    <mergeCell ref="C22:E22"/>
    <mergeCell ref="C24:I24"/>
    <mergeCell ref="C23:I23"/>
    <mergeCell ref="C31:E31"/>
    <mergeCell ref="C32:I32"/>
    <mergeCell ref="A554:C554"/>
    <mergeCell ref="H554:I554"/>
    <mergeCell ref="A395:I395"/>
    <mergeCell ref="E397:I397"/>
    <mergeCell ref="A545:I545"/>
    <mergeCell ref="A551:I551"/>
    <mergeCell ref="A552:I552"/>
    <mergeCell ref="A553:I553"/>
    <mergeCell ref="A546:I546"/>
    <mergeCell ref="A547:I547"/>
    <mergeCell ref="A548:I548"/>
    <mergeCell ref="A549:I549"/>
    <mergeCell ref="A397:C397"/>
    <mergeCell ref="A544:I544"/>
    <mergeCell ref="A550:I550"/>
    <mergeCell ref="A502:I502"/>
    <mergeCell ref="E396:I396"/>
    <mergeCell ref="A398:C398"/>
    <mergeCell ref="E398:I398"/>
    <mergeCell ref="A448:I448"/>
    <mergeCell ref="H36:I36"/>
    <mergeCell ref="A36:C36"/>
    <mergeCell ref="A1:I1"/>
    <mergeCell ref="A4:C4"/>
    <mergeCell ref="A396:C396"/>
    <mergeCell ref="H27:I27"/>
    <mergeCell ref="H28:I28"/>
    <mergeCell ref="A37:I37"/>
    <mergeCell ref="H49:I49"/>
    <mergeCell ref="H51:I51"/>
    <mergeCell ref="A42:I42"/>
    <mergeCell ref="A48:I48"/>
    <mergeCell ref="A135:I135"/>
    <mergeCell ref="H130:I130"/>
    <mergeCell ref="A2:C2"/>
    <mergeCell ref="E2:F2"/>
    <mergeCell ref="A41:C41"/>
    <mergeCell ref="H41:I41"/>
    <mergeCell ref="E4:F4"/>
    <mergeCell ref="E12:I12"/>
    <mergeCell ref="A6:C6"/>
    <mergeCell ref="A7:C7"/>
    <mergeCell ref="A8:C8"/>
    <mergeCell ref="E8:I8"/>
    <mergeCell ref="H7:I7"/>
    <mergeCell ref="E9:I9"/>
    <mergeCell ref="G2:H2"/>
    <mergeCell ref="G3:H3"/>
    <mergeCell ref="G4:H4"/>
    <mergeCell ref="H47:I47"/>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C26:E26"/>
    <mergeCell ref="C27:E27"/>
    <mergeCell ref="H35:I35"/>
    <mergeCell ref="A331:I331"/>
    <mergeCell ref="C203:D203"/>
    <mergeCell ref="C204:D204"/>
    <mergeCell ref="A199:I199"/>
    <mergeCell ref="C207:D207"/>
    <mergeCell ref="C158:D158"/>
    <mergeCell ref="C159:D159"/>
    <mergeCell ref="C160:D160"/>
    <mergeCell ref="C161:D161"/>
    <mergeCell ref="C162:D162"/>
    <mergeCell ref="C163:D163"/>
    <mergeCell ref="C164:D164"/>
    <mergeCell ref="C201:D201"/>
    <mergeCell ref="A131:F131"/>
    <mergeCell ref="H131:I131"/>
    <mergeCell ref="H129:I129"/>
    <mergeCell ref="H44:I44"/>
    <mergeCell ref="C153:D153"/>
    <mergeCell ref="F136:G136"/>
    <mergeCell ref="F139:G139"/>
    <mergeCell ref="F140:G140"/>
    <mergeCell ref="A136:B136"/>
    <mergeCell ref="C136:D136"/>
    <mergeCell ref="C394:I394"/>
    <mergeCell ref="A393:I393"/>
    <mergeCell ref="A118:I118"/>
    <mergeCell ref="A119:C119"/>
    <mergeCell ref="H119:I119"/>
    <mergeCell ref="A43:B43"/>
    <mergeCell ref="A44:B44"/>
    <mergeCell ref="A47:B47"/>
    <mergeCell ref="E44:G44"/>
    <mergeCell ref="E43:G43"/>
    <mergeCell ref="E47:G47"/>
    <mergeCell ref="C43:D43"/>
    <mergeCell ref="C44:D44"/>
    <mergeCell ref="C47:D47"/>
    <mergeCell ref="A45:B45"/>
    <mergeCell ref="C45:D45"/>
    <mergeCell ref="E45:G45"/>
    <mergeCell ref="A46:B46"/>
    <mergeCell ref="C46:D46"/>
    <mergeCell ref="E46:G46"/>
    <mergeCell ref="C50:E50"/>
    <mergeCell ref="E143:E144"/>
    <mergeCell ref="F143:G144"/>
    <mergeCell ref="H143:H144"/>
    <mergeCell ref="F209:G209"/>
    <mergeCell ref="F210:G210"/>
    <mergeCell ref="F211:G211"/>
    <mergeCell ref="F212:G212"/>
    <mergeCell ref="F213:G213"/>
    <mergeCell ref="A117:G117"/>
    <mergeCell ref="H117:I117"/>
    <mergeCell ref="H45:I45"/>
    <mergeCell ref="H46:I46"/>
    <mergeCell ref="C49:E49"/>
    <mergeCell ref="C51:E51"/>
    <mergeCell ref="C52:E52"/>
    <mergeCell ref="C212:D212"/>
    <mergeCell ref="C213:D213"/>
    <mergeCell ref="C174:D174"/>
    <mergeCell ref="A143:B144"/>
    <mergeCell ref="C143:D144"/>
    <mergeCell ref="A145:I145"/>
    <mergeCell ref="A146:I146"/>
    <mergeCell ref="C147:D147"/>
    <mergeCell ref="C148:D148"/>
    <mergeCell ref="C149:D149"/>
    <mergeCell ref="C150:D150"/>
    <mergeCell ref="C151:D151"/>
    <mergeCell ref="C208:D208"/>
    <mergeCell ref="C202:D202"/>
    <mergeCell ref="C205:D205"/>
    <mergeCell ref="C206:D206"/>
    <mergeCell ref="F203:G203"/>
    <mergeCell ref="F204:G204"/>
    <mergeCell ref="F205:G205"/>
    <mergeCell ref="F206:G206"/>
    <mergeCell ref="F207:G207"/>
    <mergeCell ref="F208:G208"/>
    <mergeCell ref="C233:D233"/>
    <mergeCell ref="C234:D234"/>
    <mergeCell ref="C235:D235"/>
    <mergeCell ref="C236:D236"/>
    <mergeCell ref="C237:D237"/>
    <mergeCell ref="C228:D228"/>
    <mergeCell ref="A229:I229"/>
    <mergeCell ref="C230:D230"/>
    <mergeCell ref="C231:D231"/>
    <mergeCell ref="C232:D232"/>
    <mergeCell ref="A215:B228"/>
    <mergeCell ref="C225:D225"/>
    <mergeCell ref="C226:D226"/>
    <mergeCell ref="C227:D227"/>
    <mergeCell ref="C222:D222"/>
    <mergeCell ref="C223:D223"/>
    <mergeCell ref="C224:D224"/>
    <mergeCell ref="C219:D219"/>
    <mergeCell ref="C220:D220"/>
    <mergeCell ref="C221:D221"/>
    <mergeCell ref="C216:D216"/>
    <mergeCell ref="C217:D217"/>
    <mergeCell ref="C218:D218"/>
    <mergeCell ref="F223:G223"/>
    <mergeCell ref="C243:D243"/>
    <mergeCell ref="E243:I243"/>
    <mergeCell ref="A244:I244"/>
    <mergeCell ref="C245:D245"/>
    <mergeCell ref="C246:D246"/>
    <mergeCell ref="C238:D238"/>
    <mergeCell ref="C239:D239"/>
    <mergeCell ref="C240:D240"/>
    <mergeCell ref="C241:D241"/>
    <mergeCell ref="C242:D242"/>
    <mergeCell ref="F246:G246"/>
    <mergeCell ref="C252:D252"/>
    <mergeCell ref="C253:D253"/>
    <mergeCell ref="C254:D254"/>
    <mergeCell ref="C255:D255"/>
    <mergeCell ref="C256:D256"/>
    <mergeCell ref="C247:D247"/>
    <mergeCell ref="C248:D248"/>
    <mergeCell ref="C249:D249"/>
    <mergeCell ref="C250:D250"/>
    <mergeCell ref="C251:D251"/>
    <mergeCell ref="C262:D262"/>
    <mergeCell ref="C263:D263"/>
    <mergeCell ref="C264:D264"/>
    <mergeCell ref="C265:D265"/>
    <mergeCell ref="C266:D266"/>
    <mergeCell ref="C257:D257"/>
    <mergeCell ref="C258:D258"/>
    <mergeCell ref="A259:I259"/>
    <mergeCell ref="C260:D260"/>
    <mergeCell ref="C261:D261"/>
    <mergeCell ref="F266:G266"/>
    <mergeCell ref="F258:G258"/>
    <mergeCell ref="F260:G260"/>
    <mergeCell ref="F261:G261"/>
    <mergeCell ref="F262:G262"/>
    <mergeCell ref="F263:G263"/>
    <mergeCell ref="F264:G264"/>
    <mergeCell ref="F265:G265"/>
    <mergeCell ref="C272:D272"/>
    <mergeCell ref="C273:D273"/>
    <mergeCell ref="E273:I273"/>
    <mergeCell ref="A274:I274"/>
    <mergeCell ref="C275:D275"/>
    <mergeCell ref="C267:D267"/>
    <mergeCell ref="C268:D268"/>
    <mergeCell ref="C269:D269"/>
    <mergeCell ref="C270:D270"/>
    <mergeCell ref="C271:D271"/>
    <mergeCell ref="F267:G267"/>
    <mergeCell ref="F268:G268"/>
    <mergeCell ref="F269:G269"/>
    <mergeCell ref="F270:G270"/>
    <mergeCell ref="F271:G271"/>
    <mergeCell ref="F272:G272"/>
    <mergeCell ref="F275:G275"/>
    <mergeCell ref="C281:D281"/>
    <mergeCell ref="C282:D282"/>
    <mergeCell ref="C283:D283"/>
    <mergeCell ref="C284:D284"/>
    <mergeCell ref="C285:D285"/>
    <mergeCell ref="C276:D276"/>
    <mergeCell ref="C277:D277"/>
    <mergeCell ref="C278:D278"/>
    <mergeCell ref="C279:D279"/>
    <mergeCell ref="C280:D280"/>
    <mergeCell ref="C291:D291"/>
    <mergeCell ref="C292:D292"/>
    <mergeCell ref="C293:D293"/>
    <mergeCell ref="C294:D294"/>
    <mergeCell ref="C295:D295"/>
    <mergeCell ref="C286:D286"/>
    <mergeCell ref="C287:D287"/>
    <mergeCell ref="C288:D288"/>
    <mergeCell ref="A289:I289"/>
    <mergeCell ref="C290:D290"/>
    <mergeCell ref="F295:G295"/>
    <mergeCell ref="F286:G286"/>
    <mergeCell ref="F287:G287"/>
    <mergeCell ref="F288:G288"/>
    <mergeCell ref="F290:G290"/>
    <mergeCell ref="F291:G291"/>
    <mergeCell ref="F292:G292"/>
    <mergeCell ref="F293:G293"/>
    <mergeCell ref="F294:G294"/>
    <mergeCell ref="C301:D301"/>
    <mergeCell ref="C302:D302"/>
    <mergeCell ref="C303:D303"/>
    <mergeCell ref="E303:I303"/>
    <mergeCell ref="A304:I304"/>
    <mergeCell ref="C305:D305"/>
    <mergeCell ref="C296:D296"/>
    <mergeCell ref="C297:D297"/>
    <mergeCell ref="C298:D298"/>
    <mergeCell ref="C299:D299"/>
    <mergeCell ref="C300:D300"/>
    <mergeCell ref="F296:G296"/>
    <mergeCell ref="F297:G297"/>
    <mergeCell ref="F298:G298"/>
    <mergeCell ref="F299:G299"/>
    <mergeCell ref="F300:G300"/>
    <mergeCell ref="F301:G301"/>
    <mergeCell ref="F302:G302"/>
    <mergeCell ref="F305:G305"/>
    <mergeCell ref="C311:D311"/>
    <mergeCell ref="C312:D312"/>
    <mergeCell ref="C313:D313"/>
    <mergeCell ref="C314:D314"/>
    <mergeCell ref="C306:D306"/>
    <mergeCell ref="C307:D307"/>
    <mergeCell ref="C308:D308"/>
    <mergeCell ref="C309:D309"/>
    <mergeCell ref="C310:D310"/>
    <mergeCell ref="C320:D320"/>
    <mergeCell ref="C321:D321"/>
    <mergeCell ref="C322:D322"/>
    <mergeCell ref="C323:D323"/>
    <mergeCell ref="C324:D324"/>
    <mergeCell ref="C315:D315"/>
    <mergeCell ref="C316:D316"/>
    <mergeCell ref="C317:D317"/>
    <mergeCell ref="A318:I318"/>
    <mergeCell ref="F315:G315"/>
    <mergeCell ref="F316:G316"/>
    <mergeCell ref="F317:G317"/>
    <mergeCell ref="C319:D319"/>
    <mergeCell ref="E319:I319"/>
    <mergeCell ref="F320:G320"/>
    <mergeCell ref="F321:G321"/>
    <mergeCell ref="F322:G322"/>
    <mergeCell ref="F323:G323"/>
    <mergeCell ref="F324:G324"/>
    <mergeCell ref="C325:D325"/>
    <mergeCell ref="C326:D326"/>
    <mergeCell ref="C327:D327"/>
    <mergeCell ref="C328:D328"/>
    <mergeCell ref="F325:G325"/>
    <mergeCell ref="F326:G326"/>
    <mergeCell ref="F327:G327"/>
    <mergeCell ref="F328:G328"/>
    <mergeCell ref="F329:G329"/>
    <mergeCell ref="F347:G347"/>
    <mergeCell ref="C329:D329"/>
    <mergeCell ref="C330:D330"/>
    <mergeCell ref="A332:I332"/>
    <mergeCell ref="A333:I333"/>
    <mergeCell ref="A334:I334"/>
    <mergeCell ref="A336:I336"/>
    <mergeCell ref="A337:I337"/>
    <mergeCell ref="A335:I335"/>
    <mergeCell ref="F330:G330"/>
    <mergeCell ref="C341:D341"/>
    <mergeCell ref="C342:D342"/>
    <mergeCell ref="C339:D339"/>
    <mergeCell ref="C340:D340"/>
    <mergeCell ref="C338:D338"/>
    <mergeCell ref="F338:G338"/>
    <mergeCell ref="F339:G339"/>
    <mergeCell ref="F340:G340"/>
    <mergeCell ref="F341:G341"/>
    <mergeCell ref="F342:G342"/>
    <mergeCell ref="F343:G343"/>
    <mergeCell ref="F344:G344"/>
    <mergeCell ref="F345:G345"/>
    <mergeCell ref="F346:G346"/>
    <mergeCell ref="C373:D373"/>
    <mergeCell ref="C374:D374"/>
    <mergeCell ref="C343:D343"/>
    <mergeCell ref="A348:I348"/>
    <mergeCell ref="C349:D349"/>
    <mergeCell ref="C353:D353"/>
    <mergeCell ref="E358:I358"/>
    <mergeCell ref="A359:I359"/>
    <mergeCell ref="C347:D347"/>
    <mergeCell ref="C350:D350"/>
    <mergeCell ref="C351:D351"/>
    <mergeCell ref="C352:D352"/>
    <mergeCell ref="C354:D354"/>
    <mergeCell ref="C355:D355"/>
    <mergeCell ref="C356:D356"/>
    <mergeCell ref="C357:D357"/>
    <mergeCell ref="C358:D358"/>
    <mergeCell ref="C344:D344"/>
    <mergeCell ref="C345:D345"/>
    <mergeCell ref="C346:D346"/>
    <mergeCell ref="C368:D368"/>
    <mergeCell ref="C369:D369"/>
    <mergeCell ref="C370:D370"/>
    <mergeCell ref="C371:D371"/>
    <mergeCell ref="C372:D372"/>
    <mergeCell ref="A360:I360"/>
    <mergeCell ref="A361:I361"/>
    <mergeCell ref="A362:I362"/>
    <mergeCell ref="A363:I363"/>
    <mergeCell ref="A364:I364"/>
    <mergeCell ref="A365:I365"/>
    <mergeCell ref="A366:I366"/>
    <mergeCell ref="C367:D367"/>
    <mergeCell ref="F382:G382"/>
    <mergeCell ref="C376:D376"/>
    <mergeCell ref="A375:I375"/>
    <mergeCell ref="C377:D377"/>
    <mergeCell ref="C378:D378"/>
    <mergeCell ref="C379:D379"/>
    <mergeCell ref="F376:G376"/>
    <mergeCell ref="F377:G377"/>
    <mergeCell ref="F378:G378"/>
    <mergeCell ref="F379:G379"/>
    <mergeCell ref="C157:D157"/>
    <mergeCell ref="A147:B190"/>
    <mergeCell ref="C175:D175"/>
    <mergeCell ref="C176:D176"/>
    <mergeCell ref="C177:D177"/>
    <mergeCell ref="C187:D187"/>
    <mergeCell ref="C188:D188"/>
    <mergeCell ref="C179:D179"/>
    <mergeCell ref="C180:D180"/>
    <mergeCell ref="C181:D181"/>
    <mergeCell ref="C182:D182"/>
    <mergeCell ref="C183:D183"/>
    <mergeCell ref="C152:D152"/>
    <mergeCell ref="H192:H193"/>
    <mergeCell ref="E192:E193"/>
    <mergeCell ref="F192:G193"/>
    <mergeCell ref="A142:I142"/>
    <mergeCell ref="C165:D165"/>
    <mergeCell ref="A338:B347"/>
    <mergeCell ref="A349:B358"/>
    <mergeCell ref="A320:B330"/>
    <mergeCell ref="A305:B317"/>
    <mergeCell ref="A290:B303"/>
    <mergeCell ref="A275:B288"/>
    <mergeCell ref="A260:B273"/>
    <mergeCell ref="A245:B258"/>
    <mergeCell ref="A230:B243"/>
    <mergeCell ref="F200:G200"/>
    <mergeCell ref="F201:G201"/>
    <mergeCell ref="F202:G202"/>
    <mergeCell ref="F224:G224"/>
    <mergeCell ref="F215:G215"/>
    <mergeCell ref="F216:G216"/>
    <mergeCell ref="F217:G217"/>
    <mergeCell ref="F218:G218"/>
    <mergeCell ref="F219:G219"/>
    <mergeCell ref="F220:G220"/>
    <mergeCell ref="A132:I132"/>
    <mergeCell ref="A133:B133"/>
    <mergeCell ref="C133:D133"/>
    <mergeCell ref="F133:G133"/>
    <mergeCell ref="A134:B134"/>
    <mergeCell ref="C134:D134"/>
    <mergeCell ref="F134:G134"/>
    <mergeCell ref="A141:B141"/>
    <mergeCell ref="C141:D141"/>
    <mergeCell ref="F141:G141"/>
    <mergeCell ref="F221:G221"/>
    <mergeCell ref="F222:G222"/>
    <mergeCell ref="C166:D166"/>
    <mergeCell ref="C167:D167"/>
    <mergeCell ref="C168:D168"/>
    <mergeCell ref="C169:D169"/>
    <mergeCell ref="C170:D170"/>
    <mergeCell ref="C171:D171"/>
    <mergeCell ref="C172:D172"/>
    <mergeCell ref="C173:D173"/>
    <mergeCell ref="C178:D178"/>
    <mergeCell ref="C192:D193"/>
    <mergeCell ref="C189:D189"/>
    <mergeCell ref="C190:D190"/>
    <mergeCell ref="C184:D184"/>
    <mergeCell ref="C185:D185"/>
    <mergeCell ref="C186:D186"/>
    <mergeCell ref="A214:I214"/>
    <mergeCell ref="C215:D215"/>
    <mergeCell ref="C209:D209"/>
    <mergeCell ref="C210:D210"/>
    <mergeCell ref="C211:D211"/>
    <mergeCell ref="A200:B213"/>
    <mergeCell ref="A198:I198"/>
    <mergeCell ref="F225:G225"/>
    <mergeCell ref="F226:G226"/>
    <mergeCell ref="F227:G227"/>
    <mergeCell ref="F228:G228"/>
    <mergeCell ref="F230:G230"/>
    <mergeCell ref="F231:G231"/>
    <mergeCell ref="F232:G232"/>
    <mergeCell ref="F233:G233"/>
    <mergeCell ref="F234:G234"/>
    <mergeCell ref="F235:G235"/>
    <mergeCell ref="F236:G236"/>
    <mergeCell ref="F237:G237"/>
    <mergeCell ref="F238:G238"/>
    <mergeCell ref="F239:G239"/>
    <mergeCell ref="F240:G240"/>
    <mergeCell ref="F241:G241"/>
    <mergeCell ref="F242:G242"/>
    <mergeCell ref="F276:G276"/>
    <mergeCell ref="F277:G277"/>
    <mergeCell ref="F278:G278"/>
    <mergeCell ref="F279:G279"/>
    <mergeCell ref="F280:G280"/>
    <mergeCell ref="F281:G281"/>
    <mergeCell ref="F282:G282"/>
    <mergeCell ref="F283:G283"/>
    <mergeCell ref="F284:G284"/>
    <mergeCell ref="F285:G285"/>
    <mergeCell ref="F306:G306"/>
    <mergeCell ref="F307:G307"/>
    <mergeCell ref="F308:G308"/>
    <mergeCell ref="F309:G309"/>
    <mergeCell ref="F310:G310"/>
    <mergeCell ref="F311:G311"/>
    <mergeCell ref="F312:G312"/>
    <mergeCell ref="F313:G313"/>
    <mergeCell ref="F314:G314"/>
    <mergeCell ref="F349:G349"/>
    <mergeCell ref="F350:G350"/>
    <mergeCell ref="F351:G351"/>
    <mergeCell ref="F352:G352"/>
    <mergeCell ref="F353:G353"/>
    <mergeCell ref="F354:G354"/>
    <mergeCell ref="F355:G355"/>
    <mergeCell ref="F356:G356"/>
    <mergeCell ref="F380:G380"/>
    <mergeCell ref="F357:G357"/>
    <mergeCell ref="F367:G367"/>
    <mergeCell ref="F368:G368"/>
    <mergeCell ref="F369:G369"/>
    <mergeCell ref="F370:G370"/>
    <mergeCell ref="F371:G371"/>
    <mergeCell ref="F372:G372"/>
    <mergeCell ref="F373:G373"/>
    <mergeCell ref="F374:G374"/>
    <mergeCell ref="C391:D391"/>
    <mergeCell ref="C392:D392"/>
    <mergeCell ref="C385:I385"/>
    <mergeCell ref="A367:B374"/>
    <mergeCell ref="A376:B383"/>
    <mergeCell ref="A385:B392"/>
    <mergeCell ref="E391:I392"/>
    <mergeCell ref="C388:D388"/>
    <mergeCell ref="F388:G388"/>
    <mergeCell ref="C389:D389"/>
    <mergeCell ref="F389:G389"/>
    <mergeCell ref="C390:D390"/>
    <mergeCell ref="F390:G390"/>
    <mergeCell ref="A384:I384"/>
    <mergeCell ref="C386:D386"/>
    <mergeCell ref="F386:G386"/>
    <mergeCell ref="C387:D387"/>
    <mergeCell ref="F387:G387"/>
    <mergeCell ref="C380:D380"/>
    <mergeCell ref="C381:D381"/>
    <mergeCell ref="C382:D382"/>
    <mergeCell ref="C383:D383"/>
    <mergeCell ref="E383:I383"/>
    <mergeCell ref="F381:G381"/>
  </mergeCells>
  <hyperlinks>
    <hyperlink ref="C23" r:id="rId1" xr:uid="{00000000-0004-0000-0000-000000000000}"/>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68" max="16383" man="1"/>
    <brk id="394" max="8" man="1"/>
    <brk id="447" max="16383" man="1"/>
    <brk id="50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L2" sqref="L2"/>
    </sheetView>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Kunal Kadam</cp:lastModifiedBy>
  <cp:lastPrinted>2025-07-11T08:36:16Z</cp:lastPrinted>
  <dcterms:created xsi:type="dcterms:W3CDTF">2010-11-23T11:42:48Z</dcterms:created>
  <dcterms:modified xsi:type="dcterms:W3CDTF">2025-07-11T08:36:16Z</dcterms:modified>
</cp:coreProperties>
</file>