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3" r:id="rId1"/>
    <sheet name="Construction table" sheetId="4" r:id="rId2"/>
    <sheet name="Remarks" sheetId="5" r:id="rId3"/>
    <sheet name="Area Calculation" sheetId="6" r:id="rId4"/>
  </sheets>
  <definedNames>
    <definedName name="_xlnm.Print_Area" localSheetId="0">Report!$A$1:$H$343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9" i="3" l="1"/>
  <c r="E207" i="3"/>
  <c r="I163" i="3"/>
  <c r="E163" i="3"/>
  <c r="G191" i="3"/>
  <c r="G190" i="3"/>
  <c r="E195" i="3"/>
  <c r="H195" i="3" s="1"/>
  <c r="E194" i="3"/>
  <c r="H194" i="3" s="1"/>
  <c r="E193" i="3"/>
  <c r="H193" i="3" s="1"/>
  <c r="E192" i="3"/>
  <c r="H192" i="3" s="1"/>
  <c r="E191" i="3"/>
  <c r="E190" i="3"/>
  <c r="E189" i="3"/>
  <c r="H189" i="3" s="1"/>
  <c r="E188" i="3"/>
  <c r="H188" i="3" s="1"/>
  <c r="G174" i="3"/>
  <c r="G173" i="3"/>
  <c r="G172" i="3"/>
  <c r="G171" i="3"/>
  <c r="G175" i="3"/>
  <c r="G177" i="3"/>
  <c r="H190" i="3" l="1"/>
  <c r="H191" i="3"/>
  <c r="I128" i="3"/>
  <c r="G97" i="3" l="1"/>
  <c r="G96" i="3"/>
  <c r="D223" i="3"/>
  <c r="D221" i="3"/>
  <c r="I195" i="3"/>
  <c r="I186" i="3"/>
  <c r="I177" i="3"/>
  <c r="I168" i="3"/>
  <c r="I159" i="3"/>
  <c r="I151" i="3"/>
  <c r="I143" i="3"/>
  <c r="I135" i="3"/>
  <c r="E213" i="3"/>
  <c r="E212" i="3"/>
  <c r="H212" i="3" s="1"/>
  <c r="E211" i="3"/>
  <c r="E210" i="3"/>
  <c r="E209" i="3"/>
  <c r="E206" i="3"/>
  <c r="H206" i="3" s="1"/>
  <c r="E204" i="3"/>
  <c r="E203" i="3"/>
  <c r="H203" i="3" s="1"/>
  <c r="E202" i="3"/>
  <c r="E201" i="3"/>
  <c r="E198" i="3"/>
  <c r="E197" i="3"/>
  <c r="H197" i="3" s="1"/>
  <c r="E186" i="3"/>
  <c r="E185" i="3"/>
  <c r="H185" i="3" s="1"/>
  <c r="E184" i="3"/>
  <c r="E183" i="3"/>
  <c r="E182" i="3"/>
  <c r="E181" i="3"/>
  <c r="E180" i="3"/>
  <c r="E179" i="3"/>
  <c r="H179" i="3" s="1"/>
  <c r="E177" i="3"/>
  <c r="E176" i="3"/>
  <c r="H176" i="3" s="1"/>
  <c r="E175" i="3"/>
  <c r="E174" i="3"/>
  <c r="E173" i="3"/>
  <c r="E172" i="3"/>
  <c r="E171" i="3"/>
  <c r="E170" i="3"/>
  <c r="E167" i="3"/>
  <c r="H167" i="3" s="1"/>
  <c r="E166" i="3"/>
  <c r="H166" i="3" s="1"/>
  <c r="E165" i="3"/>
  <c r="H165" i="3" s="1"/>
  <c r="E164" i="3"/>
  <c r="H164" i="3" s="1"/>
  <c r="H163" i="3"/>
  <c r="E161" i="3"/>
  <c r="H161" i="3" s="1"/>
  <c r="E159" i="3"/>
  <c r="H159" i="3" s="1"/>
  <c r="E158" i="3"/>
  <c r="H158" i="3" s="1"/>
  <c r="E157" i="3"/>
  <c r="H157" i="3" s="1"/>
  <c r="E156" i="3"/>
  <c r="H156" i="3" s="1"/>
  <c r="E153" i="3"/>
  <c r="H153" i="3" s="1"/>
  <c r="E151" i="3"/>
  <c r="E150" i="3"/>
  <c r="E149" i="3"/>
  <c r="E148" i="3"/>
  <c r="E147" i="3"/>
  <c r="E146" i="3"/>
  <c r="E145" i="3"/>
  <c r="G143" i="3"/>
  <c r="G142" i="3"/>
  <c r="G141" i="3"/>
  <c r="G140" i="3"/>
  <c r="G139" i="3"/>
  <c r="G138" i="3"/>
  <c r="E143" i="3"/>
  <c r="E142" i="3"/>
  <c r="E141" i="3"/>
  <c r="E140" i="3"/>
  <c r="E139" i="3"/>
  <c r="E138" i="3"/>
  <c r="E137" i="3"/>
  <c r="E131" i="3"/>
  <c r="H131" i="3" s="1"/>
  <c r="E130" i="3"/>
  <c r="H130" i="3" s="1"/>
  <c r="E129" i="3"/>
  <c r="H129" i="3" s="1"/>
  <c r="G102" i="3" s="1"/>
  <c r="E128" i="3"/>
  <c r="H128" i="3" s="1"/>
  <c r="E127" i="3"/>
  <c r="H127" i="3" s="1"/>
  <c r="E126" i="3"/>
  <c r="H126" i="3" s="1"/>
  <c r="E125" i="3"/>
  <c r="H125" i="3" s="1"/>
  <c r="E124" i="3"/>
  <c r="H124" i="3" s="1"/>
  <c r="E123" i="3"/>
  <c r="H123" i="3" s="1"/>
  <c r="E122" i="3"/>
  <c r="H122" i="3" s="1"/>
  <c r="E121" i="3"/>
  <c r="H121" i="3" s="1"/>
  <c r="E120" i="3"/>
  <c r="H120" i="3" s="1"/>
  <c r="E119" i="3"/>
  <c r="H119" i="3" s="1"/>
  <c r="E118" i="3"/>
  <c r="H118" i="3" s="1"/>
  <c r="E117" i="3"/>
  <c r="H117" i="3" s="1"/>
  <c r="A118" i="3"/>
  <c r="A119" i="3" s="1"/>
  <c r="A120" i="3" s="1"/>
  <c r="A121" i="3" s="1"/>
  <c r="A122" i="3" s="1"/>
  <c r="A123" i="3" s="1"/>
  <c r="A124" i="3" s="1"/>
  <c r="A125" i="3" s="1"/>
  <c r="A126" i="3" s="1"/>
  <c r="A127" i="3" s="1"/>
  <c r="A128" i="3" s="1"/>
  <c r="A129" i="3" s="1"/>
  <c r="A130" i="3" s="1"/>
  <c r="A131" i="3" s="1"/>
  <c r="C19" i="3"/>
  <c r="V178" i="3"/>
  <c r="U178" i="3"/>
  <c r="V169" i="3"/>
  <c r="U160" i="3"/>
  <c r="V160" i="3"/>
  <c r="U187" i="3"/>
  <c r="U152" i="3"/>
  <c r="V187" i="3"/>
  <c r="V152" i="3"/>
  <c r="U169" i="3"/>
  <c r="V196" i="3"/>
  <c r="U196" i="3"/>
  <c r="E107" i="3" l="1"/>
  <c r="E106" i="3"/>
  <c r="I106" i="3"/>
  <c r="H170" i="3"/>
  <c r="I107" i="3"/>
  <c r="H213" i="3"/>
  <c r="G101" i="3"/>
  <c r="G103" i="3" s="1"/>
  <c r="H201" i="3"/>
  <c r="H210" i="3"/>
  <c r="H204" i="3"/>
  <c r="E101" i="3"/>
  <c r="H209" i="3"/>
  <c r="H211" i="3"/>
  <c r="E102" i="3"/>
  <c r="H175" i="3"/>
  <c r="H207" i="3"/>
  <c r="U197" i="3"/>
  <c r="T196" i="3"/>
  <c r="V197" i="3"/>
  <c r="V198" i="3" s="1"/>
  <c r="V199" i="3" s="1"/>
  <c r="V200" i="3" s="1"/>
  <c r="V201" i="3" s="1"/>
  <c r="V202" i="3" s="1"/>
  <c r="V203" i="3" s="1"/>
  <c r="H174" i="3"/>
  <c r="H186" i="3"/>
  <c r="H181" i="3"/>
  <c r="H183" i="3"/>
  <c r="H198" i="3"/>
  <c r="H202" i="3"/>
  <c r="U188" i="3"/>
  <c r="T187" i="3"/>
  <c r="V188" i="3"/>
  <c r="V189" i="3" s="1"/>
  <c r="V190" i="3" s="1"/>
  <c r="V191" i="3" s="1"/>
  <c r="V192" i="3" s="1"/>
  <c r="V193" i="3" s="1"/>
  <c r="V194" i="3" s="1"/>
  <c r="H180" i="3"/>
  <c r="H184" i="3"/>
  <c r="H171" i="3"/>
  <c r="H177" i="3"/>
  <c r="H182" i="3"/>
  <c r="H172" i="3"/>
  <c r="H173" i="3"/>
  <c r="V179" i="3"/>
  <c r="V180" i="3" s="1"/>
  <c r="V181" i="3" s="1"/>
  <c r="V182" i="3" s="1"/>
  <c r="V183" i="3" s="1"/>
  <c r="V184" i="3" s="1"/>
  <c r="V185" i="3" s="1"/>
  <c r="U179" i="3"/>
  <c r="T178" i="3"/>
  <c r="V170" i="3"/>
  <c r="V171" i="3" s="1"/>
  <c r="V172" i="3" s="1"/>
  <c r="V173" i="3" s="1"/>
  <c r="V174" i="3" s="1"/>
  <c r="V175" i="3" s="1"/>
  <c r="V176" i="3" s="1"/>
  <c r="T169" i="3"/>
  <c r="U170" i="3"/>
  <c r="V161" i="3"/>
  <c r="V162" i="3" s="1"/>
  <c r="V163" i="3" s="1"/>
  <c r="V164" i="3" s="1"/>
  <c r="V165" i="3" s="1"/>
  <c r="V166" i="3" s="1"/>
  <c r="T160" i="3"/>
  <c r="U161" i="3"/>
  <c r="V153" i="3"/>
  <c r="V154" i="3" s="1"/>
  <c r="V155" i="3" s="1"/>
  <c r="V156" i="3" s="1"/>
  <c r="V157" i="3" s="1"/>
  <c r="V158" i="3" s="1"/>
  <c r="T152" i="3"/>
  <c r="U153" i="3"/>
  <c r="G107" i="3" l="1"/>
  <c r="E108" i="3"/>
  <c r="E103" i="3"/>
  <c r="T197" i="3"/>
  <c r="U198" i="3"/>
  <c r="T188" i="3"/>
  <c r="U189" i="3"/>
  <c r="T179" i="3"/>
  <c r="U180" i="3"/>
  <c r="U171" i="3"/>
  <c r="T170" i="3"/>
  <c r="T161" i="3"/>
  <c r="U162" i="3"/>
  <c r="U154" i="3"/>
  <c r="T153" i="3"/>
  <c r="E109" i="3" l="1"/>
  <c r="U199" i="3"/>
  <c r="T198" i="3"/>
  <c r="U190" i="3"/>
  <c r="T189" i="3"/>
  <c r="U181" i="3"/>
  <c r="T180" i="3"/>
  <c r="U172" i="3"/>
  <c r="T171" i="3"/>
  <c r="U163" i="3"/>
  <c r="T162" i="3"/>
  <c r="U155" i="3"/>
  <c r="T154" i="3"/>
  <c r="T199" i="3" l="1"/>
  <c r="U200" i="3"/>
  <c r="T190" i="3"/>
  <c r="U191" i="3"/>
  <c r="T181" i="3"/>
  <c r="U182" i="3"/>
  <c r="T172" i="3"/>
  <c r="U173" i="3"/>
  <c r="U164" i="3"/>
  <c r="T163" i="3"/>
  <c r="T155" i="3"/>
  <c r="U156" i="3"/>
  <c r="U201" i="3" l="1"/>
  <c r="T200" i="3"/>
  <c r="U192" i="3"/>
  <c r="T191" i="3"/>
  <c r="U183" i="3"/>
  <c r="T182" i="3"/>
  <c r="T173" i="3"/>
  <c r="U174" i="3"/>
  <c r="T164" i="3"/>
  <c r="U165" i="3"/>
  <c r="T156" i="3"/>
  <c r="U157" i="3"/>
  <c r="U202" i="3" l="1"/>
  <c r="T201" i="3"/>
  <c r="U193" i="3"/>
  <c r="T192" i="3"/>
  <c r="T183" i="3"/>
  <c r="U184" i="3"/>
  <c r="U175" i="3"/>
  <c r="T174" i="3"/>
  <c r="T165" i="3"/>
  <c r="U166" i="3"/>
  <c r="T166" i="3" s="1"/>
  <c r="U158" i="3"/>
  <c r="T158" i="3" s="1"/>
  <c r="T157" i="3"/>
  <c r="T202" i="3" l="1"/>
  <c r="U203" i="3"/>
  <c r="T203" i="3" s="1"/>
  <c r="T193" i="3"/>
  <c r="U194" i="3"/>
  <c r="T194" i="3" s="1"/>
  <c r="T184" i="3"/>
  <c r="U185" i="3"/>
  <c r="T185" i="3" s="1"/>
  <c r="T175" i="3"/>
  <c r="U176" i="3"/>
  <c r="T176" i="3" s="1"/>
  <c r="H137" i="3" l="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I42" i="6" s="1"/>
  <c r="H42" i="6" s="1"/>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L42" i="6" l="1"/>
  <c r="K42" i="6" s="1"/>
  <c r="E44" i="6"/>
  <c r="D42" i="6"/>
  <c r="D44" i="6" s="1"/>
  <c r="C26" i="3" l="1"/>
  <c r="C18" i="3"/>
  <c r="H151" i="3"/>
  <c r="H150" i="3"/>
  <c r="H149" i="3"/>
  <c r="H148" i="3"/>
  <c r="H147" i="3"/>
  <c r="H146" i="3"/>
  <c r="H145" i="3"/>
  <c r="I145" i="3" s="1"/>
  <c r="H138" i="3"/>
  <c r="H139" i="3"/>
  <c r="H140" i="3"/>
  <c r="H141" i="3"/>
  <c r="H142" i="3"/>
  <c r="H143" i="3"/>
  <c r="G106" i="3" l="1"/>
  <c r="G108" i="3" s="1"/>
  <c r="G109" i="3" s="1"/>
  <c r="A75" i="3"/>
  <c r="D76" i="3" s="1"/>
  <c r="A59" i="3"/>
  <c r="D60" i="3" s="1"/>
  <c r="C38" i="4" l="1"/>
  <c r="G37" i="4"/>
  <c r="F37" i="4"/>
  <c r="G36" i="4"/>
  <c r="F36" i="4"/>
  <c r="G35" i="4"/>
  <c r="F35" i="4"/>
  <c r="G34" i="4"/>
  <c r="F34" i="4"/>
  <c r="G33" i="4"/>
  <c r="F33" i="4"/>
  <c r="G32" i="4"/>
  <c r="F32" i="4"/>
  <c r="G31" i="4"/>
  <c r="F31" i="4"/>
  <c r="G30" i="4"/>
  <c r="F30" i="4"/>
  <c r="G29" i="4"/>
  <c r="F29" i="4"/>
  <c r="G28" i="4"/>
  <c r="F28" i="4"/>
  <c r="G27" i="4"/>
  <c r="F27" i="4"/>
  <c r="G26" i="4"/>
  <c r="G38" i="4" s="1"/>
  <c r="F26" i="4"/>
  <c r="F38" i="4" s="1"/>
  <c r="K15" i="4"/>
  <c r="K14" i="4"/>
  <c r="K13" i="4"/>
  <c r="H76" i="3"/>
  <c r="I5" i="4"/>
  <c r="E18" i="4" l="1"/>
  <c r="E15" i="4"/>
  <c r="E17" i="4"/>
  <c r="E11" i="4"/>
  <c r="K6" i="4"/>
  <c r="E9" i="4"/>
  <c r="K8" i="4"/>
  <c r="C7" i="4" s="1"/>
  <c r="E14" i="4"/>
  <c r="E12" i="4"/>
  <c r="E16" i="4"/>
  <c r="E10" i="4"/>
  <c r="K9" i="4"/>
  <c r="K10" i="4" s="1"/>
  <c r="K11" i="4" s="1"/>
  <c r="E13" i="4"/>
  <c r="K7" i="4"/>
  <c r="J85" i="3"/>
  <c r="C79" i="3" s="1"/>
  <c r="J84" i="3"/>
  <c r="K12" i="4" l="1"/>
  <c r="K16" i="4" s="1"/>
  <c r="C8" i="4" s="1"/>
  <c r="E8" i="4" s="1"/>
  <c r="E7" i="4"/>
  <c r="A138" i="3"/>
  <c r="A139" i="3" s="1"/>
  <c r="A140" i="3" s="1"/>
  <c r="A141" i="3" s="1"/>
  <c r="A142" i="3" s="1"/>
  <c r="A143" i="3" s="1"/>
  <c r="F7" i="4" l="1"/>
  <c r="J4" i="4" s="1"/>
  <c r="H7" i="4" s="1"/>
  <c r="G4" i="3" l="1"/>
  <c r="D222" i="3" l="1"/>
  <c r="G98" i="3"/>
  <c r="J69" i="3"/>
  <c r="J68" i="3"/>
  <c r="H60" i="3"/>
  <c r="J64" i="3" l="1"/>
  <c r="C63" i="3" s="1"/>
  <c r="D69" i="3"/>
  <c r="D66" i="3"/>
  <c r="D64" i="3"/>
  <c r="J62" i="3"/>
  <c r="D73" i="3"/>
  <c r="D71" i="3"/>
  <c r="D68" i="3"/>
  <c r="D65" i="3"/>
  <c r="J63" i="3"/>
  <c r="C62" i="3" s="1"/>
  <c r="J61" i="3"/>
  <c r="D72" i="3"/>
  <c r="D70" i="3"/>
  <c r="D67" i="3"/>
  <c r="D89" i="3" l="1"/>
  <c r="D81" i="3"/>
  <c r="D84" i="3"/>
  <c r="J78" i="3"/>
  <c r="C78" i="3" s="1"/>
  <c r="D88" i="3"/>
  <c r="D82" i="3"/>
  <c r="J77" i="3"/>
  <c r="D87" i="3"/>
  <c r="J80" i="3"/>
  <c r="J81" i="3" s="1"/>
  <c r="D86" i="3"/>
  <c r="D80" i="3"/>
  <c r="J79" i="3"/>
  <c r="D85" i="3"/>
  <c r="D83" i="3"/>
  <c r="J65" i="3"/>
  <c r="J70" i="3" s="1"/>
  <c r="D78" i="3" l="1"/>
  <c r="J82" i="3"/>
  <c r="J86" i="3"/>
  <c r="J83" i="3"/>
  <c r="D62" i="3"/>
  <c r="J66" i="3"/>
  <c r="J87" i="3" l="1"/>
  <c r="J67" i="3"/>
  <c r="D79" i="3" l="1"/>
  <c r="E78" i="3"/>
  <c r="I75" i="3" s="1"/>
  <c r="G78" i="3" s="1"/>
  <c r="J71" i="3"/>
  <c r="U144" i="3"/>
  <c r="V144" i="3"/>
  <c r="E62" i="3" l="1"/>
  <c r="G90" i="3" s="1"/>
  <c r="V145" i="3"/>
  <c r="V146" i="3" s="1"/>
  <c r="V147" i="3" s="1"/>
  <c r="V148" i="3" s="1"/>
  <c r="V149" i="3" s="1"/>
  <c r="V150" i="3" s="1"/>
  <c r="U145" i="3"/>
  <c r="T144" i="3"/>
  <c r="D63" i="3" l="1"/>
  <c r="I59" i="3"/>
  <c r="G62" i="3" s="1"/>
  <c r="U146" i="3"/>
  <c r="T145" i="3"/>
  <c r="U147" i="3" l="1"/>
  <c r="T146" i="3"/>
  <c r="U148" i="3" l="1"/>
  <c r="T147" i="3"/>
  <c r="U149" i="3" l="1"/>
  <c r="T148" i="3"/>
  <c r="U150" i="3" l="1"/>
  <c r="T149" i="3"/>
  <c r="T150"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6"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<sst xmlns="http://schemas.openxmlformats.org/spreadsheetml/2006/main" count="708" uniqueCount="370">
  <si>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</si>
  <si>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</si>
  <si>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</si>
  <si>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</si>
  <si>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</si>
  <si>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</si>
  <si>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</si>
  <si>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</si>
  <si>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</si>
  <si>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</si>
  <si>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</si>
  <si>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</si>
  <si>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</si>
  <si>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</si>
  <si>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</si>
  <si>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</si>
  <si>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</si>
  <si>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</si>
  <si>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</si>
  <si>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</si>
  <si>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</si>
  <si>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</si>
  <si>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</si>
  <si>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</si>
  <si>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</si>
  <si>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</si>
  <si>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</si>
  <si>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</si>
  <si>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</si>
  <si>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</si>
  <si>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</si>
  <si>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</si>
  <si>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</si>
  <si>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</si>
  <si>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</si>
  <si>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</si>
  <si>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</si>
  <si>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</si>
  <si>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</si>
  <si>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</si>
  <si>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</si>
  <si>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</si>
  <si>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</si>
  <si>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</si>
  <si>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</si>
  <si>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</si>
  <si>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</si>
  <si>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</si>
  <si>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</si>
  <si>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</si>
  <si>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</si>
  <si>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</si>
  <si>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</si>
  <si>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</si>
  <si>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</si>
  <si>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</si>
  <si>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</si>
  <si>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</si>
  <si>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</si>
  <si>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</si>
  <si>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</si>
  <si>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</si>
  <si>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</si>
  <si>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</si>
  <si>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</si>
  <si>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</si>
  <si>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</si>
  <si>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</si>
  <si>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</si>
  <si>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</si>
  <si>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</si>
  <si>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</si>
  <si>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</si>
  <si>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</si>
  <si>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</si>
  <si>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</si>
  <si>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</si>
  <si>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</si>
  <si>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</si>
  <si>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</si>
  <si>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</si>
  <si>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</si>
  <si>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</si>
  <si>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</si>
  <si>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</si>
  <si>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</si>
  <si>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</si>
  <si>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</si>
  <si>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</si>
  <si>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</si>
  <si>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</si>
  <si>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</si>
  <si>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</si>
  <si>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</si>
  <si>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</si>
  <si>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</si>
  <si>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</si>
  <si>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</si>
  <si>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</si>
  <si>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</si>
  <si>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</si>
  <si>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</si>
  <si>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</si>
  <si>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</si>
  <si>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</si>
  <si>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</si>
  <si>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</si>
  <si>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</si>
  <si>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</si>
  <si>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</si>
  <si>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</si>
  <si>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</si>
  <si>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</si>
  <si>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</si>
  <si>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</si>
  <si>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</si>
  <si>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</si>
  <si>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</si>
  <si>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</si>
  <si>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</si>
  <si>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</si>
  <si>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</si>
  <si>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</si>
  <si>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</si>
  <si>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</si>
  <si>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</si>
  <si>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</si>
  <si>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</si>
  <si>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</si>
  <si>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</si>
  <si>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</si>
  <si>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</si>
  <si>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</si>
  <si>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</si>
  <si>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</si>
  <si>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</si>
  <si>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</si>
  <si>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</si>
  <si>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</si>
  <si>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</si>
  <si>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</si>
  <si>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</si>
  <si>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</si>
  <si>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</si>
  <si>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</si>
  <si>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</si>
  <si>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</si>
  <si>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</si>
  <si>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</si>
  <si>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</si>
  <si>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</si>
  <si>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</si>
  <si>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</si>
  <si>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</si>
  <si>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</si>
  <si>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</si>
  <si>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</si>
  <si>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</si>
  <si>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</si>
  <si>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</si>
  <si>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</si>
  <si>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</si>
  <si>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</si>
  <si>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</si>
  <si>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</si>
  <si>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</si>
  <si>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</si>
  <si>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</si>
  <si>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</si>
  <si>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</si>
  <si>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</si>
  <si>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</si>
  <si>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</si>
  <si>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</si>
  <si>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</si>
  <si>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</si>
  <si>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</si>
  <si>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</si>
  <si>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</si>
  <si>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</si>
  <si>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</si>
  <si>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</si>
  <si>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</si>
  <si>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</si>
  <si>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</si>
  <si>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</si>
  <si>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</si>
  <si>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</si>
  <si>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</si>
  <si>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</si>
  <si>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</si>
  <si>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</si>
  <si>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</si>
  <si>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</si>
  <si>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</si>
  <si>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</si>
  <si>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</si>
  <si>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</si>
  <si>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</si>
  <si>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</si>
  <si>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</si>
  <si>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</si>
  <si>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</si>
  <si>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</si>
  <si>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</si>
  <si>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</si>
  <si>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</si>
  <si>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</si>
  <si>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</si>
  <si>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</si>
  <si>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</si>
  <si>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</si>
  <si>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</si>
  <si>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</si>
  <si>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</si>
  <si>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</si>
  <si>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</si>
  <si>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</si>
  <si>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</si>
  <si>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</si>
  <si>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</si>
  <si>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</si>
  <si>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</si>
  <si>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</si>
  <si>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</si>
  <si>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</si>
  <si>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</si>
  <si>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</si>
  <si>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</si>
  <si>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</si>
  <si>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</si>
  <si>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</si>
  <si>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</si>
  <si>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</si>
  <si>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</si>
  <si>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</si>
  <si>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</si>
  <si>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</si>
  <si>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</si>
  <si>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</si>
  <si>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</si>
  <si>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</si>
  <si>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</si>
  <si>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</si>
  <si>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</si>
  <si>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</si>
  <si>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</si>
  <si>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</si>
  <si>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</si>
  <si>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</si>
  <si>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</si>
  <si>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</si>
  <si>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</si>
  <si>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</si>
  <si>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</si>
  <si>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</si>
  <si>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</si>
  <si>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</si>
  <si>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</si>
  <si>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</si>
  <si>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</si>
  <si>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</si>
  <si>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</si>
  <si>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</si>
  <si>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</si>
  <si>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</si>
  <si>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</si>
  <si>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</si>
  <si>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</si>
  <si>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</si>
  <si>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</si>
  <si>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</si>
  <si>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</si>
  <si>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</si>
  <si>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</si>
  <si>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</si>
  <si>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</si>
  <si>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</si>
  <si>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</si>
  <si>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</si>
  <si>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</si>
  <si>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</si>
  <si>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</si>
  <si>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</si>
  <si>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</si>
  <si>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</si>
  <si>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</si>
  <si>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</si>
  <si>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</si>
  <si>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</si>
  <si>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</si>
  <si>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</si>
  <si>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</si>
  <si>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</si>
  <si>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</si>
  <si>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</si>
  <si>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</si>
  <si>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</si>
  <si>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78 Lake Town</t>
  </si>
  <si>
    <t>M/s. Anirdesh Developers Private Limited</t>
  </si>
  <si>
    <t>2nd Floor, Citi Mall, New Link Road, Near Infiniti Mall, Oshiwara, Andheri West, Tal. Andheri, Dist. Mumbai 400053.</t>
  </si>
  <si>
    <t>Ajmera 78 Lake Town Sahyadri Nagar, Samarth Nagar, Bhandup West, Mumbai, Maharashtra 400078.</t>
  </si>
  <si>
    <t>Ajmera 78 Lake Town, Sahyadri Nagar, Samarth Nagar, Bhandup West, Mumbai, Maharashtra 400078</t>
  </si>
  <si>
    <t>Approved Layout &amp; Floor Plans, CC, RERA certificate, Fire NOC, EC</t>
  </si>
  <si>
    <t>Slum Rehabilitation Authority (SRA)</t>
  </si>
  <si>
    <t>P51800055387</t>
  </si>
  <si>
    <t>ICICI Bank</t>
  </si>
  <si>
    <t>19.144028,72.926250</t>
  </si>
  <si>
    <t>https://maps.app.goo.gl/LFdSF2WJPRq5FPCaA</t>
  </si>
  <si>
    <t>Kalimata Mandir</t>
  </si>
  <si>
    <t>Other Plot</t>
  </si>
  <si>
    <t>CTS No. 243</t>
  </si>
  <si>
    <t>Jamil Nagar Road</t>
  </si>
  <si>
    <t>Slum Area</t>
  </si>
  <si>
    <t>Samarth Nagar Road</t>
  </si>
  <si>
    <t>Wing D</t>
  </si>
  <si>
    <t>Wing E</t>
  </si>
  <si>
    <t>Building No.1 (Wing D)</t>
  </si>
  <si>
    <t>Building No.1 (Wing E)</t>
  </si>
  <si>
    <t>1B + LG + G + 1st to 30th Floor</t>
  </si>
  <si>
    <t>SRA/ENG/S/MCGM &amp; PVT/0002/20110418/AP/R1</t>
  </si>
  <si>
    <t>SRA/MCGM &amp; PVT/0002/20110418/AP/R1</t>
  </si>
  <si>
    <t xml:space="preserve">CC Details
Valid Up to: </t>
  </si>
  <si>
    <t>This C.C is granted for work upto Plinth Level.</t>
  </si>
  <si>
    <t>Building No.1</t>
  </si>
  <si>
    <t>Basement Floor For Parking, Fire Water Tank &amp; Domestic Tank</t>
  </si>
  <si>
    <t>Lower Ground Floor For Parking &amp; Entrance Lobby</t>
  </si>
  <si>
    <t>Ground Floor For Commercial  Entrance Lobby &amp; Parking</t>
  </si>
  <si>
    <t>Rehab</t>
  </si>
  <si>
    <t>Shop</t>
  </si>
  <si>
    <t>Ground Floor For Meter Room &amp; Parking</t>
  </si>
  <si>
    <t>1BHK</t>
  </si>
  <si>
    <t>2nd to 7th, 9th to 14th, 16th to 21st, 23rd to 28th &amp; 30th Floor</t>
  </si>
  <si>
    <t>8th, 15th &amp; 22nd Floor For Residential (Part Refuge Area)</t>
  </si>
  <si>
    <t>Refuge Area</t>
  </si>
  <si>
    <t>29th Floor For Residential (Part Refuge Area)</t>
  </si>
  <si>
    <t>8th, 15th &amp; 22nd Floor For Residential ( Part Refuge Area)</t>
  </si>
  <si>
    <t>Building No.1
(Wing E)</t>
  </si>
  <si>
    <t xml:space="preserve">Rehab </t>
  </si>
  <si>
    <t>OK</t>
  </si>
  <si>
    <t>Gym, Indoor Games, Swimming Pool, Basketball Court, Jogging Track, Tennis Court, Vitrified tiles flooring, Granite Kitchen Platform, Decorative Entrance, Landscaping &amp; Garden, etc.</t>
  </si>
  <si>
    <t>0.35 KM from Sahyadri Nagar Bus Stop</t>
  </si>
  <si>
    <t>About 1KM from Mandar Vidyamandir</t>
  </si>
  <si>
    <t>About 0.11 KM from Medicare Hospital</t>
  </si>
  <si>
    <t>1. Approx. 0.60 KM from Vegetable Market.
2. Approx. 0.65 KM from Fruit Market.</t>
  </si>
  <si>
    <t>1.70 KM from Bhandup Railway Station
2.60 KM from Kanjurmarg Railway Station</t>
  </si>
  <si>
    <t>Mr. Nainesh Tambe</t>
  </si>
  <si>
    <t>Mr. Suraj Khare</t>
  </si>
  <si>
    <t>Mumbai-RO Thane</t>
  </si>
  <si>
    <t>Upper</t>
  </si>
  <si>
    <t>18m</t>
  </si>
  <si>
    <t>13.40 M. Wide Road</t>
  </si>
  <si>
    <t>13.40 M. Wide  Road</t>
  </si>
  <si>
    <t>Fire NOC No.
Valid Up to :</t>
  </si>
  <si>
    <r>
      <t xml:space="preserve">P-16901/2023/(200 ( PT ) And Other)/S Ward/TIRANDAZ/SRA-CFO/1/New
</t>
    </r>
    <r>
      <rPr>
        <b/>
        <sz val="16"/>
        <rFont val="Times New Roman"/>
        <family val="1"/>
      </rPr>
      <t>Wing D &amp; E</t>
    </r>
    <r>
      <rPr>
        <sz val="16"/>
        <rFont val="Times New Roman"/>
        <family val="1"/>
      </rPr>
      <t xml:space="preserve"> = Basement + Lower Ground floor + Ground floor +  1st to 30th upper Residential Floors = 94.83 mtrs Height</t>
    </r>
  </si>
  <si>
    <r>
      <t xml:space="preserve">SIA/MH/INFRA2/449449/2023
S.No.200(Pt), 214, 214/1 to 2, 215, 215/1 to 2, 216, 216/1 to 117, 217, 217/1 to 122
</t>
    </r>
    <r>
      <rPr>
        <b/>
        <sz val="16"/>
        <rFont val="Times New Roman"/>
        <family val="1"/>
      </rPr>
      <t>Proposed BUA</t>
    </r>
    <r>
      <rPr>
        <sz val="16"/>
        <rFont val="Times New Roman"/>
        <family val="1"/>
      </rPr>
      <t xml:space="preserve">= 210642.07 Sq.M
</t>
    </r>
    <r>
      <rPr>
        <b/>
        <sz val="16"/>
        <rFont val="Times New Roman"/>
        <family val="1"/>
      </rPr>
      <t>Composite Building No.1 (Wing D &amp; E</t>
    </r>
    <r>
      <rPr>
        <sz val="16"/>
        <rFont val="Times New Roman"/>
        <family val="1"/>
      </rPr>
      <t>) = B + LG + G + 1st to 30th Floors</t>
    </r>
  </si>
  <si>
    <t>Sale /Rehab</t>
  </si>
  <si>
    <t xml:space="preserve">1st Floor For Residential </t>
  </si>
  <si>
    <t>9th, 16th &amp; 23rd Floor</t>
  </si>
  <si>
    <t>2nd to 7th, 10th to 14th, 17th to 21st, 24rd to 28th &amp; 30th Floor</t>
  </si>
  <si>
    <t>1.5BHK</t>
  </si>
  <si>
    <t xml:space="preserve">We considered Gross carpet area = Net carpet + Balcony Area.
</t>
  </si>
  <si>
    <t xml:space="preserve">Mr Saurabh 9920255826 </t>
  </si>
  <si>
    <t>Sale Flat = 436
Sale Shop = 1
Rehab Shop = 14</t>
  </si>
  <si>
    <t>As per RERA Site, 
Sale Flat = 436
Sale Shop = 1
Rehab Shop = 14</t>
  </si>
  <si>
    <t>23000 to 24000</t>
  </si>
  <si>
    <t xml:space="preserve">Proposed Slum Rehabilitation Scheme on plot bearing CTS No.200 (Pt), 214, 214/1 to 2, 215, 215/1 to 2, 216, 216/1 to 117, 217, 217/1 to 122 of Village Kanjur, at Jamil nagar, Bhandup (W), Mumbai 400 078. 'S' Ward 
For Shree Sai Smartha SRA Co-Operative Housing Society
Shree Swami Smartha SRA Co-Operative Housing Society
Jai Shree Ram SRA Co-Operative Housing Society
Shree Siddhi SRA Co-Operative Housing Society
Mangalnurti SRA Co-Operative Housing Society
Om Sai SRA Co-Operative Housing Society
</t>
  </si>
  <si>
    <t>Unit Details, Nomenclature and Area Details (Residential)</t>
  </si>
  <si>
    <t>05/07/2025 @ 01:46 PM</t>
  </si>
  <si>
    <t>Construction work is in process at the time of Visit (Slow Speed).
Construction work was not active at the time of Visit. (labour Not found)
All work completed. Wait for OC / OC received.
Work not yet Started.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</si>
</sst>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20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4" fontId="4" fillId="4" borderId="1" xfId="0" applyNumberFormat="1" applyFont="1" applyFill="1" applyBorder="1" applyAlignment="1">
      <alignment horizontal="left" vertical="top" wrapText="1"/>
    </xf>
    <xf numFmtId="0" fontId="3" fillId="0" borderId="0" xfId="0" applyFont="1"/>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0" fontId="9" fillId="11" borderId="1" xfId="0" applyFont="1" applyFill="1" applyBorder="1" applyAlignment="1">
      <alignmen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2" fillId="2" borderId="12" xfId="1" applyNumberFormat="1" applyFont="1" applyFill="1" applyBorder="1" applyAlignment="1">
      <alignment horizontal="center" vertical="center" wrapText="1"/>
    </xf>
    <xf numFmtId="1" fontId="2" fillId="2" borderId="8" xfId="1" applyNumberFormat="1" applyFont="1" applyFill="1" applyBorder="1" applyAlignment="1">
      <alignment horizontal="center" vertical="center" wrapText="1"/>
    </xf>
    <xf numFmtId="1" fontId="2" fillId="2" borderId="13"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26" fillId="4" borderId="1" xfId="2" applyFill="1" applyBorder="1" applyAlignment="1">
      <alignment horizontal="left" vertical="top" wrapText="1"/>
    </xf>
    <xf numFmtId="0" fontId="20"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1" xfId="0" applyFont="1" applyFill="1" applyBorder="1" applyAlignment="1">
      <alignment horizontal="center" vertical="top"/>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4" fillId="4" borderId="2"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1" xfId="0" applyFont="1" applyFill="1" applyBorder="1" applyAlignment="1">
      <alignment horizontal="left" vertical="top"/>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9" fillId="0" borderId="1"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0" applyFont="1" applyFill="1" applyBorder="1" applyAlignment="1">
      <alignment horizontal="left" vertical="center" wrapText="1"/>
    </xf>
    <xf numFmtId="0" fontId="9" fillId="4" borderId="1"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6" fillId="4" borderId="7" xfId="1" applyNumberFormat="1" applyFont="1" applyFill="1" applyBorder="1" applyAlignment="1">
      <alignment horizontal="center" vertical="top" wrapText="1"/>
    </xf>
    <xf numFmtId="1" fontId="6" fillId="4" borderId="9" xfId="1" applyNumberFormat="1" applyFont="1" applyFill="1" applyBorder="1" applyAlignment="1">
      <alignment horizontal="center" vertical="top" wrapText="1"/>
    </xf>
    <xf numFmtId="1" fontId="6" fillId="4" borderId="12" xfId="1" applyNumberFormat="1" applyFont="1" applyFill="1" applyBorder="1" applyAlignment="1">
      <alignment horizontal="center" vertical="top" wrapText="1"/>
    </xf>
    <xf numFmtId="1" fontId="6" fillId="4" borderId="13" xfId="1" applyNumberFormat="1" applyFont="1" applyFill="1" applyBorder="1" applyAlignment="1">
      <alignment horizontal="center" vertical="top"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3"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197554</xdr:colOff>
      <xdr:row>264</xdr:row>
      <xdr:rowOff>26063</xdr:rowOff>
    </xdr:from>
    <xdr:to>
      <xdr:col>7</xdr:col>
      <xdr:colOff>981965</xdr:colOff>
      <xdr:row>300</xdr:row>
      <xdr:rowOff>161234</xdr:rowOff>
    </xdr:to>
    <xdr:grpSp>
      <xdr:nvGrpSpPr>
        <xdr:cNvPr id="13" name="Group 12">
          <a:extLst>
            <a:ext uri="{FF2B5EF4-FFF2-40B4-BE49-F238E27FC236}">
              <a16:creationId xmlns:a16="http://schemas.microsoft.com/office/drawing/2014/main" xmlns="" id="{4727AD47-6A28-9145-DD2D-A39945C89663}"/>
            </a:ext>
          </a:extLst>
        </xdr:cNvPr>
        <xdr:cNvGrpSpPr/>
      </xdr:nvGrpSpPr>
      <xdr:grpSpPr>
        <a:xfrm>
          <a:off x="197554" y="83812445"/>
          <a:ext cx="9020735" cy="9413642"/>
          <a:chOff x="0" y="0"/>
          <a:chExt cx="6318253" cy="7206072"/>
        </a:xfrm>
      </xdr:grpSpPr>
      <xdr:pic>
        <xdr:nvPicPr>
          <xdr:cNvPr id="14" name="Picture 13">
            <a:extLst>
              <a:ext uri="{FF2B5EF4-FFF2-40B4-BE49-F238E27FC236}">
                <a16:creationId xmlns:a16="http://schemas.microsoft.com/office/drawing/2014/main" xmlns="" id="{014AD4BD-0132-4FAC-BBF1-A4FF7B62CFCB}"/>
              </a:ext>
            </a:extLst>
          </xdr:cNvPr>
          <xdr:cNvPicPr>
            <a:picLocks noChangeAspect="1"/>
          </xdr:cNvPicPr>
        </xdr:nvPicPr>
        <xdr:blipFill>
          <a:blip xmlns:r="http://schemas.openxmlformats.org/officeDocument/2006/relationships" r:embed="rId1"/>
          <a:stretch>
            <a:fillRect/>
          </a:stretch>
        </xdr:blipFill>
        <xdr:spPr>
          <a:xfrm>
            <a:off x="4377325" y="0"/>
            <a:ext cx="1940928" cy="2066847"/>
          </a:xfrm>
          <a:prstGeom prst="rect">
            <a:avLst/>
          </a:prstGeom>
          <a:ln>
            <a:solidFill>
              <a:sysClr val="windowText" lastClr="000000"/>
            </a:solidFill>
          </a:ln>
        </xdr:spPr>
      </xdr:pic>
      <xdr:grpSp>
        <xdr:nvGrpSpPr>
          <xdr:cNvPr id="15" name="Group 14">
            <a:extLst>
              <a:ext uri="{FF2B5EF4-FFF2-40B4-BE49-F238E27FC236}">
                <a16:creationId xmlns:a16="http://schemas.microsoft.com/office/drawing/2014/main" xmlns="" id="{E77071FF-E39E-4D64-AEC8-9CB7FDE70FD6}"/>
              </a:ext>
            </a:extLst>
          </xdr:cNvPr>
          <xdr:cNvGrpSpPr/>
        </xdr:nvGrpSpPr>
        <xdr:grpSpPr>
          <a:xfrm>
            <a:off x="0" y="374"/>
            <a:ext cx="4269441" cy="7205698"/>
            <a:chOff x="0" y="374"/>
            <a:chExt cx="4255834" cy="7103940"/>
          </a:xfrm>
        </xdr:grpSpPr>
        <xdr:grpSp>
          <xdr:nvGrpSpPr>
            <xdr:cNvPr id="16" name="Group 15">
              <a:extLst>
                <a:ext uri="{FF2B5EF4-FFF2-40B4-BE49-F238E27FC236}">
                  <a16:creationId xmlns:a16="http://schemas.microsoft.com/office/drawing/2014/main" xmlns="" id="{2B2051C0-FC78-C862-F94C-9907B711E201}"/>
                </a:ext>
              </a:extLst>
            </xdr:cNvPr>
            <xdr:cNvGrpSpPr/>
          </xdr:nvGrpSpPr>
          <xdr:grpSpPr>
            <a:xfrm rot="16200000">
              <a:off x="-1424053" y="1424427"/>
              <a:ext cx="7103940" cy="4255834"/>
              <a:chOff x="-1424053" y="1424427"/>
              <a:chExt cx="9486901" cy="5067300"/>
            </a:xfrm>
          </xdr:grpSpPr>
          <xdr:pic>
            <xdr:nvPicPr>
              <xdr:cNvPr id="20" name="Picture 19">
                <a:extLst>
                  <a:ext uri="{FF2B5EF4-FFF2-40B4-BE49-F238E27FC236}">
                    <a16:creationId xmlns:a16="http://schemas.microsoft.com/office/drawing/2014/main" xmlns="" id="{D8EAF0BD-1608-8792-0320-4D0A8CB9D8A8}"/>
                  </a:ext>
                </a:extLst>
              </xdr:cNvPr>
              <xdr:cNvPicPr>
                <a:picLocks noChangeAspect="1"/>
              </xdr:cNvPicPr>
            </xdr:nvPicPr>
            <xdr:blipFill>
              <a:blip xmlns:r="http://schemas.openxmlformats.org/officeDocument/2006/relationships" r:embed="rId2"/>
              <a:stretch>
                <a:fillRect/>
              </a:stretch>
            </xdr:blipFill>
            <xdr:spPr>
              <a:xfrm>
                <a:off x="-1424053" y="1424427"/>
                <a:ext cx="9486901" cy="5067300"/>
              </a:xfrm>
              <a:prstGeom prst="rect">
                <a:avLst/>
              </a:prstGeom>
              <a:ln>
                <a:solidFill>
                  <a:schemeClr val="tx1"/>
                </a:solidFill>
              </a:ln>
            </xdr:spPr>
          </xdr:pic>
          <xdr:sp macro="" textlink="">
            <xdr:nvSpPr>
              <xdr:cNvPr id="21" name="Rectangle 20">
                <a:extLst>
                  <a:ext uri="{FF2B5EF4-FFF2-40B4-BE49-F238E27FC236}">
                    <a16:creationId xmlns:a16="http://schemas.microsoft.com/office/drawing/2014/main" xmlns="" id="{E321E05E-D037-A91C-1180-EA0634B9827A}"/>
                  </a:ext>
                </a:extLst>
              </xdr:cNvPr>
              <xdr:cNvSpPr/>
            </xdr:nvSpPr>
            <xdr:spPr>
              <a:xfrm>
                <a:off x="5979387" y="4167627"/>
                <a:ext cx="723900" cy="97631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914400" rtl="0" eaLnBrk="1" latinLnBrk="0" hangingPunct="1">
                  <a:defRPr sz="1800" kern="1200">
                    <a:solidFill>
                      <a:schemeClr val="lt1"/>
                    </a:solidFill>
                    <a:latin typeface="+mn-lt"/>
                    <a:ea typeface="+mn-ea"/>
                    <a:cs typeface="+mn-cs"/>
                  </a:defRPr>
                </a:lvl1pPr>
                <a:lvl2pPr marL="457200" indent="0" algn="l" defTabSz="914400" rtl="0" eaLnBrk="1" latinLnBrk="0" hangingPunct="1">
                  <a:defRPr sz="1800" kern="1200">
                    <a:solidFill>
                      <a:schemeClr val="lt1"/>
                    </a:solidFill>
                    <a:latin typeface="+mn-lt"/>
                    <a:ea typeface="+mn-ea"/>
                    <a:cs typeface="+mn-cs"/>
                  </a:defRPr>
                </a:lvl2pPr>
                <a:lvl3pPr marL="914400" indent="0" algn="l" defTabSz="914400" rtl="0" eaLnBrk="1" latinLnBrk="0" hangingPunct="1">
                  <a:defRPr sz="1800" kern="1200">
                    <a:solidFill>
                      <a:schemeClr val="lt1"/>
                    </a:solidFill>
                    <a:latin typeface="+mn-lt"/>
                    <a:ea typeface="+mn-ea"/>
                    <a:cs typeface="+mn-cs"/>
                  </a:defRPr>
                </a:lvl3pPr>
                <a:lvl4pPr marL="1371600" indent="0" algn="l" defTabSz="914400" rtl="0" eaLnBrk="1" latinLnBrk="0" hangingPunct="1">
                  <a:defRPr sz="1800" kern="1200">
                    <a:solidFill>
                      <a:schemeClr val="lt1"/>
                    </a:solidFill>
                    <a:latin typeface="+mn-lt"/>
                    <a:ea typeface="+mn-ea"/>
                    <a:cs typeface="+mn-cs"/>
                  </a:defRPr>
                </a:lvl4pPr>
                <a:lvl5pPr marL="1828800" indent="0" algn="l" defTabSz="914400" rtl="0" eaLnBrk="1" latinLnBrk="0" hangingPunct="1">
                  <a:defRPr sz="1800" kern="1200">
                    <a:solidFill>
                      <a:schemeClr val="lt1"/>
                    </a:solidFill>
                    <a:latin typeface="+mn-lt"/>
                    <a:ea typeface="+mn-ea"/>
                    <a:cs typeface="+mn-cs"/>
                  </a:defRPr>
                </a:lvl5pPr>
                <a:lvl6pPr marL="2286000" indent="0" algn="l" defTabSz="914400" rtl="0" eaLnBrk="1" latinLnBrk="0" hangingPunct="1">
                  <a:defRPr sz="1800" kern="1200">
                    <a:solidFill>
                      <a:schemeClr val="lt1"/>
                    </a:solidFill>
                    <a:latin typeface="+mn-lt"/>
                    <a:ea typeface="+mn-ea"/>
                    <a:cs typeface="+mn-cs"/>
                  </a:defRPr>
                </a:lvl6pPr>
                <a:lvl7pPr marL="2743200" indent="0" algn="l" defTabSz="914400" rtl="0" eaLnBrk="1" latinLnBrk="0" hangingPunct="1">
                  <a:defRPr sz="1800" kern="1200">
                    <a:solidFill>
                      <a:schemeClr val="lt1"/>
                    </a:solidFill>
                    <a:latin typeface="+mn-lt"/>
                    <a:ea typeface="+mn-ea"/>
                    <a:cs typeface="+mn-cs"/>
                  </a:defRPr>
                </a:lvl7pPr>
                <a:lvl8pPr marL="3200400" indent="0" algn="l" defTabSz="914400" rtl="0" eaLnBrk="1" latinLnBrk="0" hangingPunct="1">
                  <a:defRPr sz="1800" kern="1200">
                    <a:solidFill>
                      <a:schemeClr val="lt1"/>
                    </a:solidFill>
                    <a:latin typeface="+mn-lt"/>
                    <a:ea typeface="+mn-ea"/>
                    <a:cs typeface="+mn-cs"/>
                  </a:defRPr>
                </a:lvl8pPr>
                <a:lvl9pPr marL="3657600" indent="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Rectangle 21">
                <a:extLst>
                  <a:ext uri="{FF2B5EF4-FFF2-40B4-BE49-F238E27FC236}">
                    <a16:creationId xmlns:a16="http://schemas.microsoft.com/office/drawing/2014/main" xmlns="" id="{A18DAD3E-2E59-C084-E669-CDD69B354F85}"/>
                  </a:ext>
                </a:extLst>
              </xdr:cNvPr>
              <xdr:cNvSpPr/>
            </xdr:nvSpPr>
            <xdr:spPr>
              <a:xfrm>
                <a:off x="5650774" y="5143940"/>
                <a:ext cx="1290637" cy="5143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914400" rtl="0" eaLnBrk="1" latinLnBrk="0" hangingPunct="1">
                  <a:defRPr sz="1800" kern="1200">
                    <a:solidFill>
                      <a:schemeClr val="lt1"/>
                    </a:solidFill>
                    <a:latin typeface="+mn-lt"/>
                    <a:ea typeface="+mn-ea"/>
                    <a:cs typeface="+mn-cs"/>
                  </a:defRPr>
                </a:lvl1pPr>
                <a:lvl2pPr marL="457200" indent="0" algn="l" defTabSz="914400" rtl="0" eaLnBrk="1" latinLnBrk="0" hangingPunct="1">
                  <a:defRPr sz="1800" kern="1200">
                    <a:solidFill>
                      <a:schemeClr val="lt1"/>
                    </a:solidFill>
                    <a:latin typeface="+mn-lt"/>
                    <a:ea typeface="+mn-ea"/>
                    <a:cs typeface="+mn-cs"/>
                  </a:defRPr>
                </a:lvl2pPr>
                <a:lvl3pPr marL="914400" indent="0" algn="l" defTabSz="914400" rtl="0" eaLnBrk="1" latinLnBrk="0" hangingPunct="1">
                  <a:defRPr sz="1800" kern="1200">
                    <a:solidFill>
                      <a:schemeClr val="lt1"/>
                    </a:solidFill>
                    <a:latin typeface="+mn-lt"/>
                    <a:ea typeface="+mn-ea"/>
                    <a:cs typeface="+mn-cs"/>
                  </a:defRPr>
                </a:lvl3pPr>
                <a:lvl4pPr marL="1371600" indent="0" algn="l" defTabSz="914400" rtl="0" eaLnBrk="1" latinLnBrk="0" hangingPunct="1">
                  <a:defRPr sz="1800" kern="1200">
                    <a:solidFill>
                      <a:schemeClr val="lt1"/>
                    </a:solidFill>
                    <a:latin typeface="+mn-lt"/>
                    <a:ea typeface="+mn-ea"/>
                    <a:cs typeface="+mn-cs"/>
                  </a:defRPr>
                </a:lvl4pPr>
                <a:lvl5pPr marL="1828800" indent="0" algn="l" defTabSz="914400" rtl="0" eaLnBrk="1" latinLnBrk="0" hangingPunct="1">
                  <a:defRPr sz="1800" kern="1200">
                    <a:solidFill>
                      <a:schemeClr val="lt1"/>
                    </a:solidFill>
                    <a:latin typeface="+mn-lt"/>
                    <a:ea typeface="+mn-ea"/>
                    <a:cs typeface="+mn-cs"/>
                  </a:defRPr>
                </a:lvl5pPr>
                <a:lvl6pPr marL="2286000" indent="0" algn="l" defTabSz="914400" rtl="0" eaLnBrk="1" latinLnBrk="0" hangingPunct="1">
                  <a:defRPr sz="1800" kern="1200">
                    <a:solidFill>
                      <a:schemeClr val="lt1"/>
                    </a:solidFill>
                    <a:latin typeface="+mn-lt"/>
                    <a:ea typeface="+mn-ea"/>
                    <a:cs typeface="+mn-cs"/>
                  </a:defRPr>
                </a:lvl6pPr>
                <a:lvl7pPr marL="2743200" indent="0" algn="l" defTabSz="914400" rtl="0" eaLnBrk="1" latinLnBrk="0" hangingPunct="1">
                  <a:defRPr sz="1800" kern="1200">
                    <a:solidFill>
                      <a:schemeClr val="lt1"/>
                    </a:solidFill>
                    <a:latin typeface="+mn-lt"/>
                    <a:ea typeface="+mn-ea"/>
                    <a:cs typeface="+mn-cs"/>
                  </a:defRPr>
                </a:lvl7pPr>
                <a:lvl8pPr marL="3200400" indent="0" algn="l" defTabSz="914400" rtl="0" eaLnBrk="1" latinLnBrk="0" hangingPunct="1">
                  <a:defRPr sz="1800" kern="1200">
                    <a:solidFill>
                      <a:schemeClr val="lt1"/>
                    </a:solidFill>
                    <a:latin typeface="+mn-lt"/>
                    <a:ea typeface="+mn-ea"/>
                    <a:cs typeface="+mn-cs"/>
                  </a:defRPr>
                </a:lvl8pPr>
                <a:lvl9pPr marL="3657600" indent="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TextBox 16">
                <a:extLst>
                  <a:ext uri="{FF2B5EF4-FFF2-40B4-BE49-F238E27FC236}">
                    <a16:creationId xmlns:a16="http://schemas.microsoft.com/office/drawing/2014/main" xmlns="" id="{73515C66-3363-4B01-4472-46396038E7B7}"/>
                  </a:ext>
                </a:extLst>
              </xdr:cNvPr>
              <xdr:cNvSpPr txBox="1"/>
            </xdr:nvSpPr>
            <xdr:spPr>
              <a:xfrm rot="5400000">
                <a:off x="5206883" y="4401085"/>
                <a:ext cx="1162172" cy="499644"/>
              </a:xfrm>
              <a:prstGeom prst="rect">
                <a:avLst/>
              </a:prstGeom>
              <a:noFill/>
            </xdr:spPr>
            <xdr:txBody>
              <a:bodyPr wrap="square" rtlCol="0">
                <a:spAutoFit/>
              </a:bodyPr>
              <a:lstStyle>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24" name="TextBox 17">
                <a:extLst>
                  <a:ext uri="{FF2B5EF4-FFF2-40B4-BE49-F238E27FC236}">
                    <a16:creationId xmlns:a16="http://schemas.microsoft.com/office/drawing/2014/main" xmlns="" id="{7F622DCE-80D4-BF16-E2F8-E7F2FF237479}"/>
                  </a:ext>
                </a:extLst>
              </xdr:cNvPr>
              <xdr:cNvSpPr txBox="1"/>
            </xdr:nvSpPr>
            <xdr:spPr>
              <a:xfrm rot="5400000">
                <a:off x="4677646" y="5454486"/>
                <a:ext cx="1509619" cy="499644"/>
              </a:xfrm>
              <a:prstGeom prst="rect">
                <a:avLst/>
              </a:prstGeom>
              <a:noFill/>
            </xdr:spPr>
            <xdr:txBody>
              <a:bodyPr wrap="square" rtlCol="0">
                <a:spAutoFit/>
              </a:bodyPr>
              <a:lstStyle>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grpSp>
        <xdr:grpSp>
          <xdr:nvGrpSpPr>
            <xdr:cNvPr id="17" name="Group 16">
              <a:extLst>
                <a:ext uri="{FF2B5EF4-FFF2-40B4-BE49-F238E27FC236}">
                  <a16:creationId xmlns:a16="http://schemas.microsoft.com/office/drawing/2014/main" xmlns="" id="{7F2D3FB0-6E7A-B9B8-3DBB-946DE8363221}"/>
                </a:ext>
              </a:extLst>
            </xdr:cNvPr>
            <xdr:cNvGrpSpPr/>
          </xdr:nvGrpSpPr>
          <xdr:grpSpPr>
            <a:xfrm rot="16200000">
              <a:off x="3238500" y="6137193"/>
              <a:ext cx="474784" cy="971636"/>
              <a:chOff x="3238500" y="6137193"/>
              <a:chExt cx="474784" cy="971636"/>
            </a:xfrm>
          </xdr:grpSpPr>
          <xdr:sp macro="" textlink="">
            <xdr:nvSpPr>
              <xdr:cNvPr id="18" name="Right Arrow 45">
                <a:extLst>
                  <a:ext uri="{FF2B5EF4-FFF2-40B4-BE49-F238E27FC236}">
                    <a16:creationId xmlns:a16="http://schemas.microsoft.com/office/drawing/2014/main" xmlns="" id="{5F65D6DC-0405-8919-F9DE-3CEEA2A8E936}"/>
                  </a:ext>
                </a:extLst>
              </xdr:cNvPr>
              <xdr:cNvSpPr/>
            </xdr:nvSpPr>
            <xdr:spPr>
              <a:xfrm rot="16200000">
                <a:off x="3282461" y="6765928"/>
                <a:ext cx="386861" cy="298941"/>
              </a:xfrm>
              <a:prstGeom prst="rightArrow">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914400" rtl="0" eaLnBrk="1" latinLnBrk="0" hangingPunct="1">
                  <a:defRPr sz="1800" kern="1200">
                    <a:solidFill>
                      <a:schemeClr val="lt1"/>
                    </a:solidFill>
                    <a:latin typeface="+mn-lt"/>
                    <a:ea typeface="+mn-ea"/>
                    <a:cs typeface="+mn-cs"/>
                  </a:defRPr>
                </a:lvl1pPr>
                <a:lvl2pPr marL="457200" indent="0" algn="l" defTabSz="914400" rtl="0" eaLnBrk="1" latinLnBrk="0" hangingPunct="1">
                  <a:defRPr sz="1800" kern="1200">
                    <a:solidFill>
                      <a:schemeClr val="lt1"/>
                    </a:solidFill>
                    <a:latin typeface="+mn-lt"/>
                    <a:ea typeface="+mn-ea"/>
                    <a:cs typeface="+mn-cs"/>
                  </a:defRPr>
                </a:lvl2pPr>
                <a:lvl3pPr marL="914400" indent="0" algn="l" defTabSz="914400" rtl="0" eaLnBrk="1" latinLnBrk="0" hangingPunct="1">
                  <a:defRPr sz="1800" kern="1200">
                    <a:solidFill>
                      <a:schemeClr val="lt1"/>
                    </a:solidFill>
                    <a:latin typeface="+mn-lt"/>
                    <a:ea typeface="+mn-ea"/>
                    <a:cs typeface="+mn-cs"/>
                  </a:defRPr>
                </a:lvl3pPr>
                <a:lvl4pPr marL="1371600" indent="0" algn="l" defTabSz="914400" rtl="0" eaLnBrk="1" latinLnBrk="0" hangingPunct="1">
                  <a:defRPr sz="1800" kern="1200">
                    <a:solidFill>
                      <a:schemeClr val="lt1"/>
                    </a:solidFill>
                    <a:latin typeface="+mn-lt"/>
                    <a:ea typeface="+mn-ea"/>
                    <a:cs typeface="+mn-cs"/>
                  </a:defRPr>
                </a:lvl4pPr>
                <a:lvl5pPr marL="1828800" indent="0" algn="l" defTabSz="914400" rtl="0" eaLnBrk="1" latinLnBrk="0" hangingPunct="1">
                  <a:defRPr sz="1800" kern="1200">
                    <a:solidFill>
                      <a:schemeClr val="lt1"/>
                    </a:solidFill>
                    <a:latin typeface="+mn-lt"/>
                    <a:ea typeface="+mn-ea"/>
                    <a:cs typeface="+mn-cs"/>
                  </a:defRPr>
                </a:lvl5pPr>
                <a:lvl6pPr marL="2286000" indent="0" algn="l" defTabSz="914400" rtl="0" eaLnBrk="1" latinLnBrk="0" hangingPunct="1">
                  <a:defRPr sz="1800" kern="1200">
                    <a:solidFill>
                      <a:schemeClr val="lt1"/>
                    </a:solidFill>
                    <a:latin typeface="+mn-lt"/>
                    <a:ea typeface="+mn-ea"/>
                    <a:cs typeface="+mn-cs"/>
                  </a:defRPr>
                </a:lvl6pPr>
                <a:lvl7pPr marL="2743200" indent="0" algn="l" defTabSz="914400" rtl="0" eaLnBrk="1" latinLnBrk="0" hangingPunct="1">
                  <a:defRPr sz="1800" kern="1200">
                    <a:solidFill>
                      <a:schemeClr val="lt1"/>
                    </a:solidFill>
                    <a:latin typeface="+mn-lt"/>
                    <a:ea typeface="+mn-ea"/>
                    <a:cs typeface="+mn-cs"/>
                  </a:defRPr>
                </a:lvl7pPr>
                <a:lvl8pPr marL="3200400" indent="0" algn="l" defTabSz="914400" rtl="0" eaLnBrk="1" latinLnBrk="0" hangingPunct="1">
                  <a:defRPr sz="1800" kern="1200">
                    <a:solidFill>
                      <a:schemeClr val="lt1"/>
                    </a:solidFill>
                    <a:latin typeface="+mn-lt"/>
                    <a:ea typeface="+mn-ea"/>
                    <a:cs typeface="+mn-cs"/>
                  </a:defRPr>
                </a:lvl8pPr>
                <a:lvl9pPr marL="3657600" indent="0" algn="l" defTabSz="914400" rtl="0" eaLnBrk="1" latinLnBrk="0" hangingPunct="1">
                  <a:defRPr sz="1800" kern="1200">
                    <a:solidFill>
                      <a:schemeClr val="lt1"/>
                    </a:solidFill>
                    <a:latin typeface="+mn-lt"/>
                    <a:ea typeface="+mn-ea"/>
                    <a:cs typeface="+mn-cs"/>
                  </a:defRPr>
                </a:lvl9pPr>
              </a:lstStyle>
              <a:p>
                <a:pPr algn="ctr"/>
                <a:endParaRPr lang="en-IN" sz="1400"/>
              </a:p>
            </xdr:txBody>
          </xdr:sp>
          <xdr:sp macro="" textlink="">
            <xdr:nvSpPr>
              <xdr:cNvPr id="19" name="TextBox 7">
                <a:extLst>
                  <a:ext uri="{FF2B5EF4-FFF2-40B4-BE49-F238E27FC236}">
                    <a16:creationId xmlns:a16="http://schemas.microsoft.com/office/drawing/2014/main" xmlns="" id="{D275CA71-28B9-4FB6-294C-19151872CEA4}"/>
                  </a:ext>
                </a:extLst>
              </xdr:cNvPr>
              <xdr:cNvSpPr txBox="1"/>
            </xdr:nvSpPr>
            <xdr:spPr>
              <a:xfrm>
                <a:off x="3238500" y="6137193"/>
                <a:ext cx="474784" cy="584775"/>
              </a:xfrm>
              <a:prstGeom prst="rect">
                <a:avLst/>
              </a:prstGeom>
              <a:noFill/>
            </xdr:spPr>
            <xdr:txBody>
              <a:bodyPr wrap="square" rtlCol="0">
                <a:spAutoFit/>
              </a:bodyPr>
              <a:lstStyle>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a:r>
                  <a:rPr lang="en-US" sz="3200" b="1">
                    <a:latin typeface="Times New Roman" panose="02020603050405020304" pitchFamily="18" charset="0"/>
                    <a:cs typeface="Times New Roman" panose="02020603050405020304" pitchFamily="18" charset="0"/>
                  </a:rPr>
                  <a:t>N</a:t>
                </a:r>
                <a:endParaRPr lang="en-IN" sz="3200" b="1">
                  <a:latin typeface="Times New Roman" panose="02020603050405020304" pitchFamily="18" charset="0"/>
                  <a:cs typeface="Times New Roman" panose="02020603050405020304" pitchFamily="18" charset="0"/>
                </a:endParaRPr>
              </a:p>
            </xdr:txBody>
          </xdr:sp>
        </xdr:grpSp>
      </xdr:grpSp>
    </xdr:grpSp>
    <xdr:clientData/>
  </xdr:twoCellAnchor>
  <xdr:twoCellAnchor editAs="oneCell">
    <xdr:from>
      <xdr:col>8</xdr:col>
      <xdr:colOff>1841039</xdr:colOff>
      <xdr:row>89</xdr:row>
      <xdr:rowOff>419129</xdr:rowOff>
    </xdr:from>
    <xdr:to>
      <xdr:col>25</xdr:col>
      <xdr:colOff>502037</xdr:colOff>
      <xdr:row>105</xdr:row>
      <xdr:rowOff>67091</xdr:rowOff>
    </xdr:to>
    <xdr:pic>
      <xdr:nvPicPr>
        <xdr:cNvPr id="32" name="Picture 31">
          <a:extLst>
            <a:ext uri="{FF2B5EF4-FFF2-40B4-BE49-F238E27FC236}">
              <a16:creationId xmlns:a16="http://schemas.microsoft.com/office/drawing/2014/main" xmlns="" id="{2844F5F5-0507-9BA0-4667-7DFE466D552F}"/>
            </a:ext>
          </a:extLst>
        </xdr:cNvPr>
        <xdr:cNvPicPr>
          <a:picLocks noChangeAspect="1"/>
        </xdr:cNvPicPr>
      </xdr:nvPicPr>
      <xdr:blipFill>
        <a:blip xmlns:r="http://schemas.openxmlformats.org/officeDocument/2006/relationships" r:embed="rId3"/>
        <a:stretch>
          <a:fillRect/>
        </a:stretch>
      </xdr:blipFill>
      <xdr:spPr>
        <a:xfrm>
          <a:off x="11202753" y="38369450"/>
          <a:ext cx="9070463" cy="4588156"/>
        </a:xfrm>
        <a:prstGeom prst="rect">
          <a:avLst/>
        </a:prstGeom>
      </xdr:spPr>
    </xdr:pic>
    <xdr:clientData/>
  </xdr:twoCellAnchor>
  <xdr:twoCellAnchor editAs="oneCell">
    <xdr:from>
      <xdr:col>8</xdr:col>
      <xdr:colOff>1005691</xdr:colOff>
      <xdr:row>3</xdr:row>
      <xdr:rowOff>139782</xdr:rowOff>
    </xdr:from>
    <xdr:to>
      <xdr:col>26</xdr:col>
      <xdr:colOff>554381</xdr:colOff>
      <xdr:row>9</xdr:row>
      <xdr:rowOff>917863</xdr:rowOff>
    </xdr:to>
    <xdr:pic>
      <xdr:nvPicPr>
        <xdr:cNvPr id="2" name="Picture 1"/>
        <xdr:cNvPicPr>
          <a:picLocks noChangeAspect="1"/>
        </xdr:cNvPicPr>
      </xdr:nvPicPr>
      <xdr:blipFill>
        <a:blip xmlns:r="http://schemas.openxmlformats.org/officeDocument/2006/relationships" r:embed="rId4"/>
        <a:stretch>
          <a:fillRect/>
        </a:stretch>
      </xdr:blipFill>
      <xdr:spPr>
        <a:xfrm>
          <a:off x="10367405" y="1187532"/>
          <a:ext cx="10488833" cy="3921331"/>
        </a:xfrm>
        <a:prstGeom prst="rect">
          <a:avLst/>
        </a:prstGeom>
      </xdr:spPr>
    </xdr:pic>
    <xdr:clientData/>
  </xdr:twoCellAnchor>
  <xdr:twoCellAnchor>
    <xdr:from>
      <xdr:col>1</xdr:col>
      <xdr:colOff>1064095</xdr:colOff>
      <xdr:row>321</xdr:row>
      <xdr:rowOff>13212</xdr:rowOff>
    </xdr:from>
    <xdr:to>
      <xdr:col>6</xdr:col>
      <xdr:colOff>338212</xdr:colOff>
      <xdr:row>330</xdr:row>
      <xdr:rowOff>463176</xdr:rowOff>
    </xdr:to>
    <xdr:pic>
      <xdr:nvPicPr>
        <xdr:cNvPr id="3" name="Picture 2"/>
        <xdr:cNvPicPr>
          <a:picLocks noChangeAspect="1"/>
        </xdr:cNvPicPr>
      </xdr:nvPicPr>
      <xdr:blipFill>
        <a:blip xmlns:r="http://schemas.openxmlformats.org/officeDocument/2006/relationships" r:embed="rId5"/>
        <a:stretch>
          <a:fillRect/>
        </a:stretch>
      </xdr:blipFill>
      <xdr:spPr>
        <a:xfrm>
          <a:off x="2289271" y="98804271"/>
          <a:ext cx="5400000" cy="3079611"/>
        </a:xfrm>
        <a:prstGeom prst="rect">
          <a:avLst/>
        </a:prstGeom>
        <a:ln>
          <a:solidFill>
            <a:sysClr val="windowText" lastClr="000000"/>
          </a:solidFill>
        </a:ln>
      </xdr:spPr>
    </xdr:pic>
    <xdr:clientData/>
  </xdr:twoCellAnchor>
  <xdr:twoCellAnchor>
    <xdr:from>
      <xdr:col>1</xdr:col>
      <xdr:colOff>963261</xdr:colOff>
      <xdr:row>308</xdr:row>
      <xdr:rowOff>126255</xdr:rowOff>
    </xdr:from>
    <xdr:to>
      <xdr:col>6</xdr:col>
      <xdr:colOff>356732</xdr:colOff>
      <xdr:row>320</xdr:row>
      <xdr:rowOff>208042</xdr:rowOff>
    </xdr:to>
    <xdr:grpSp>
      <xdr:nvGrpSpPr>
        <xdr:cNvPr id="26" name="Group 25">
          <a:extLst>
            <a:ext uri="{FF2B5EF4-FFF2-40B4-BE49-F238E27FC236}">
              <a16:creationId xmlns:a16="http://schemas.microsoft.com/office/drawing/2014/main" xmlns="" id="{CB976712-824E-E869-65AA-11729EDAE48B}"/>
            </a:ext>
          </a:extLst>
        </xdr:cNvPr>
        <xdr:cNvGrpSpPr/>
      </xdr:nvGrpSpPr>
      <xdr:grpSpPr>
        <a:xfrm>
          <a:off x="2139879" y="95252990"/>
          <a:ext cx="5276559" cy="3174611"/>
          <a:chOff x="254855" y="4917742"/>
          <a:chExt cx="6184548" cy="3583495"/>
        </a:xfrm>
      </xdr:grpSpPr>
      <xdr:pic>
        <xdr:nvPicPr>
          <xdr:cNvPr id="30" name="Picture 29">
            <a:extLst>
              <a:ext uri="{FF2B5EF4-FFF2-40B4-BE49-F238E27FC236}">
                <a16:creationId xmlns:a16="http://schemas.microsoft.com/office/drawing/2014/main" xmlns="" id="{6AC97600-3C4D-8F41-8FEC-5F40CAE4FA4E}"/>
              </a:ext>
            </a:extLst>
          </xdr:cNvPr>
          <xdr:cNvPicPr>
            <a:picLocks noChangeAspect="1"/>
          </xdr:cNvPicPr>
        </xdr:nvPicPr>
        <xdr:blipFill>
          <a:blip xmlns:r="http://schemas.openxmlformats.org/officeDocument/2006/relationships" r:embed="rId6"/>
          <a:stretch>
            <a:fillRect/>
          </a:stretch>
        </xdr:blipFill>
        <xdr:spPr>
          <a:xfrm>
            <a:off x="254855" y="4917742"/>
            <a:ext cx="6184548" cy="3583495"/>
          </a:xfrm>
          <a:prstGeom prst="rect">
            <a:avLst/>
          </a:prstGeom>
          <a:ln>
            <a:solidFill>
              <a:schemeClr val="tx1"/>
            </a:solidFill>
          </a:ln>
        </xdr:spPr>
      </xdr:pic>
      <xdr:pic>
        <xdr:nvPicPr>
          <xdr:cNvPr id="31" name="Picture 30">
            <a:extLst>
              <a:ext uri="{FF2B5EF4-FFF2-40B4-BE49-F238E27FC236}">
                <a16:creationId xmlns:a16="http://schemas.microsoft.com/office/drawing/2014/main" xmlns="" id="{7D3FD444-9534-EB23-6DB9-5291E913EA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5046" y="6401315"/>
            <a:ext cx="222597" cy="262568"/>
          </a:xfrm>
          <a:prstGeom prst="rect">
            <a:avLst/>
          </a:prstGeom>
        </xdr:spPr>
      </xdr:pic>
    </xdr:grpSp>
    <xdr:clientData/>
  </xdr:twoCellAnchor>
  <xdr:twoCellAnchor>
    <xdr:from>
      <xdr:col>4</xdr:col>
      <xdr:colOff>206868</xdr:colOff>
      <xdr:row>325</xdr:row>
      <xdr:rowOff>9208</xdr:rowOff>
    </xdr:from>
    <xdr:to>
      <xdr:col>4</xdr:col>
      <xdr:colOff>1085850</xdr:colOff>
      <xdr:row>326</xdr:row>
      <xdr:rowOff>244319</xdr:rowOff>
    </xdr:to>
    <xdr:sp macro="" textlink="">
      <xdr:nvSpPr>
        <xdr:cNvPr id="5" name="Rectangle 4"/>
        <xdr:cNvSpPr/>
      </xdr:nvSpPr>
      <xdr:spPr>
        <a:xfrm rot="392338">
          <a:off x="5107574" y="99846149"/>
          <a:ext cx="878982" cy="496582"/>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11</xdr:col>
      <xdr:colOff>258535</xdr:colOff>
      <xdr:row>136</xdr:row>
      <xdr:rowOff>231321</xdr:rowOff>
    </xdr:from>
    <xdr:to>
      <xdr:col>18</xdr:col>
      <xdr:colOff>68607</xdr:colOff>
      <xdr:row>154</xdr:row>
      <xdr:rowOff>2431</xdr:rowOff>
    </xdr:to>
    <xdr:pic>
      <xdr:nvPicPr>
        <xdr:cNvPr id="38" name="Picture 37"/>
        <xdr:cNvPicPr>
          <a:picLocks noChangeAspect="1"/>
        </xdr:cNvPicPr>
      </xdr:nvPicPr>
      <xdr:blipFill>
        <a:blip xmlns:r="http://schemas.openxmlformats.org/officeDocument/2006/relationships" r:embed="rId8"/>
        <a:stretch>
          <a:fillRect/>
        </a:stretch>
      </xdr:blipFill>
      <xdr:spPr>
        <a:xfrm>
          <a:off x="13294178" y="51557464"/>
          <a:ext cx="4096322" cy="4420217"/>
        </a:xfrm>
        <a:prstGeom prst="rect">
          <a:avLst/>
        </a:prstGeom>
      </xdr:spPr>
    </xdr:pic>
    <xdr:clientData/>
  </xdr:twoCellAnchor>
  <xdr:twoCellAnchor editAs="oneCell">
    <xdr:from>
      <xdr:col>8</xdr:col>
      <xdr:colOff>2163536</xdr:colOff>
      <xdr:row>129</xdr:row>
      <xdr:rowOff>217713</xdr:rowOff>
    </xdr:from>
    <xdr:to>
      <xdr:col>22</xdr:col>
      <xdr:colOff>30835</xdr:colOff>
      <xdr:row>138</xdr:row>
      <xdr:rowOff>5736</xdr:rowOff>
    </xdr:to>
    <xdr:pic>
      <xdr:nvPicPr>
        <xdr:cNvPr id="39" name="Picture 38"/>
        <xdr:cNvPicPr>
          <a:picLocks noChangeAspect="1"/>
        </xdr:cNvPicPr>
      </xdr:nvPicPr>
      <xdr:blipFill>
        <a:blip xmlns:r="http://schemas.openxmlformats.org/officeDocument/2006/relationships" r:embed="rId9"/>
        <a:stretch>
          <a:fillRect/>
        </a:stretch>
      </xdr:blipFill>
      <xdr:spPr>
        <a:xfrm>
          <a:off x="11525250" y="49734106"/>
          <a:ext cx="6439799" cy="2114845"/>
        </a:xfrm>
        <a:prstGeom prst="rect">
          <a:avLst/>
        </a:prstGeom>
      </xdr:spPr>
    </xdr:pic>
    <xdr:clientData/>
  </xdr:twoCellAnchor>
  <xdr:twoCellAnchor editAs="oneCell">
    <xdr:from>
      <xdr:col>8</xdr:col>
      <xdr:colOff>394607</xdr:colOff>
      <xdr:row>8</xdr:row>
      <xdr:rowOff>217714</xdr:rowOff>
    </xdr:from>
    <xdr:to>
      <xdr:col>22</xdr:col>
      <xdr:colOff>100487</xdr:colOff>
      <xdr:row>13</xdr:row>
      <xdr:rowOff>93105</xdr:rowOff>
    </xdr:to>
    <xdr:pic>
      <xdr:nvPicPr>
        <xdr:cNvPr id="40" name="Picture 39"/>
        <xdr:cNvPicPr>
          <a:picLocks noChangeAspect="1"/>
        </xdr:cNvPicPr>
      </xdr:nvPicPr>
      <xdr:blipFill>
        <a:blip xmlns:r="http://schemas.openxmlformats.org/officeDocument/2006/relationships" r:embed="rId10"/>
        <a:stretch>
          <a:fillRect/>
        </a:stretch>
      </xdr:blipFill>
      <xdr:spPr>
        <a:xfrm>
          <a:off x="9756321" y="3837214"/>
          <a:ext cx="8278380" cy="4134427"/>
        </a:xfrm>
        <a:prstGeom prst="rect">
          <a:avLst/>
        </a:prstGeom>
      </xdr:spPr>
    </xdr:pic>
    <xdr:clientData/>
  </xdr:twoCellAnchor>
  <xdr:twoCellAnchor editAs="oneCell">
    <xdr:from>
      <xdr:col>8</xdr:col>
      <xdr:colOff>1360714</xdr:colOff>
      <xdr:row>13</xdr:row>
      <xdr:rowOff>272144</xdr:rowOff>
    </xdr:from>
    <xdr:to>
      <xdr:col>16</xdr:col>
      <xdr:colOff>541029</xdr:colOff>
      <xdr:row>20</xdr:row>
      <xdr:rowOff>301241</xdr:rowOff>
    </xdr:to>
    <xdr:pic>
      <xdr:nvPicPr>
        <xdr:cNvPr id="41" name="Picture 40"/>
        <xdr:cNvPicPr>
          <a:picLocks noChangeAspect="1"/>
        </xdr:cNvPicPr>
      </xdr:nvPicPr>
      <xdr:blipFill>
        <a:blip xmlns:r="http://schemas.openxmlformats.org/officeDocument/2006/relationships" r:embed="rId11"/>
        <a:stretch>
          <a:fillRect/>
        </a:stretch>
      </xdr:blipFill>
      <xdr:spPr>
        <a:xfrm>
          <a:off x="10722428" y="8150680"/>
          <a:ext cx="5915851" cy="3743847"/>
        </a:xfrm>
        <a:prstGeom prst="rect">
          <a:avLst/>
        </a:prstGeom>
      </xdr:spPr>
    </xdr:pic>
    <xdr:clientData/>
  </xdr:twoCellAnchor>
  <xdr:twoCellAnchor>
    <xdr:from>
      <xdr:col>0</xdr:col>
      <xdr:colOff>956235</xdr:colOff>
      <xdr:row>223</xdr:row>
      <xdr:rowOff>201706</xdr:rowOff>
    </xdr:from>
    <xdr:to>
      <xdr:col>7</xdr:col>
      <xdr:colOff>58611</xdr:colOff>
      <xdr:row>249</xdr:row>
      <xdr:rowOff>68418</xdr:rowOff>
    </xdr:to>
    <xdr:grpSp>
      <xdr:nvGrpSpPr>
        <xdr:cNvPr id="7" name="Group 6"/>
        <xdr:cNvGrpSpPr/>
      </xdr:nvGrpSpPr>
      <xdr:grpSpPr>
        <a:xfrm>
          <a:off x="956235" y="73420941"/>
          <a:ext cx="7338700" cy="6567830"/>
          <a:chOff x="956235" y="73368647"/>
          <a:chExt cx="7678611" cy="6664947"/>
        </a:xfrm>
      </xdr:grpSpPr>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999069" y="77153594"/>
            <a:ext cx="2166026" cy="2880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956235" y="73368647"/>
            <a:ext cx="2707532" cy="360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4"/>
          <a:stretch>
            <a:fillRect/>
          </a:stretch>
        </xdr:blipFill>
        <xdr:spPr>
          <a:xfrm>
            <a:off x="3859201" y="73368647"/>
            <a:ext cx="4775645" cy="3600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37609" y="77153594"/>
            <a:ext cx="2166026" cy="28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LFdSF2WJPRq5FPCa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43"/>
  <sheetViews>
    <sheetView tabSelected="1" view="pageBreakPreview" topLeftCell="A211" zoomScale="85" zoomScaleNormal="85" zoomScaleSheetLayoutView="85" zoomScalePageLayoutView="70" workbookViewId="0">
      <selection activeCell="J220" sqref="J220"/>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59" t="s">
        <v>38</v>
      </c>
      <c r="B1" s="160"/>
      <c r="C1" s="160"/>
      <c r="D1" s="160"/>
      <c r="E1" s="160"/>
      <c r="F1" s="160"/>
      <c r="G1" s="160"/>
      <c r="H1" s="161"/>
    </row>
    <row r="2" spans="1:11" ht="42" customHeight="1" x14ac:dyDescent="0.25">
      <c r="A2" s="102" t="s">
        <v>10</v>
      </c>
      <c r="B2" s="102"/>
      <c r="C2" s="101" t="s">
        <v>86</v>
      </c>
      <c r="D2" s="101"/>
      <c r="E2" s="102" t="s">
        <v>12</v>
      </c>
      <c r="F2" s="102"/>
      <c r="G2" s="127">
        <v>45840</v>
      </c>
      <c r="H2" s="127"/>
      <c r="J2" s="128"/>
      <c r="K2" s="129"/>
    </row>
    <row r="3" spans="1:11" ht="20.25" x14ac:dyDescent="0.25">
      <c r="A3" s="102" t="s">
        <v>39</v>
      </c>
      <c r="B3" s="102"/>
      <c r="C3" s="131" t="s">
        <v>298</v>
      </c>
      <c r="D3" s="131"/>
      <c r="E3" s="102" t="s">
        <v>156</v>
      </c>
      <c r="F3" s="102"/>
      <c r="G3" s="127" t="s">
        <v>368</v>
      </c>
      <c r="H3" s="101"/>
    </row>
    <row r="4" spans="1:11" ht="43.5" customHeight="1" x14ac:dyDescent="0.25">
      <c r="A4" s="102" t="s">
        <v>36</v>
      </c>
      <c r="B4" s="102"/>
      <c r="C4" s="101" t="s">
        <v>362</v>
      </c>
      <c r="D4" s="101"/>
      <c r="E4" s="102" t="s">
        <v>33</v>
      </c>
      <c r="F4" s="102"/>
      <c r="G4" s="101" t="str">
        <f ca="1">TEXT(TODAY(),"DD/MM/YYYY")</f>
        <v>08/07/2025</v>
      </c>
      <c r="H4" s="101"/>
    </row>
    <row r="5" spans="1:11" ht="20.25" x14ac:dyDescent="0.25">
      <c r="A5" s="130" t="s">
        <v>40</v>
      </c>
      <c r="B5" s="130"/>
      <c r="C5" s="130"/>
      <c r="D5" s="130"/>
      <c r="E5" s="130"/>
      <c r="F5" s="130"/>
      <c r="G5" s="130"/>
      <c r="H5" s="130"/>
    </row>
    <row r="6" spans="1:11" ht="43.5" customHeight="1" x14ac:dyDescent="0.25">
      <c r="A6" s="102" t="s">
        <v>29</v>
      </c>
      <c r="B6" s="102"/>
      <c r="C6" s="101" t="s">
        <v>348</v>
      </c>
      <c r="D6" s="101"/>
      <c r="E6" s="102" t="s">
        <v>35</v>
      </c>
      <c r="F6" s="102"/>
      <c r="G6" s="101" t="s">
        <v>347</v>
      </c>
      <c r="H6" s="101"/>
    </row>
    <row r="7" spans="1:11" ht="45" customHeight="1" x14ac:dyDescent="0.25">
      <c r="A7" s="102" t="s">
        <v>42</v>
      </c>
      <c r="B7" s="102"/>
      <c r="C7" s="101" t="s">
        <v>299</v>
      </c>
      <c r="D7" s="101"/>
      <c r="E7" s="102" t="s">
        <v>43</v>
      </c>
      <c r="F7" s="102"/>
      <c r="G7" s="101" t="s">
        <v>299</v>
      </c>
      <c r="H7" s="101"/>
    </row>
    <row r="8" spans="1:11" ht="48.75" customHeight="1" x14ac:dyDescent="0.25">
      <c r="A8" s="102" t="s">
        <v>44</v>
      </c>
      <c r="B8" s="102"/>
      <c r="C8" s="101" t="s">
        <v>300</v>
      </c>
      <c r="D8" s="101"/>
      <c r="E8" s="101"/>
      <c r="F8" s="101"/>
      <c r="G8" s="101"/>
      <c r="H8" s="101"/>
    </row>
    <row r="9" spans="1:11" ht="45" customHeight="1" x14ac:dyDescent="0.25">
      <c r="A9" s="121" t="s">
        <v>147</v>
      </c>
      <c r="B9" s="33" t="s">
        <v>41</v>
      </c>
      <c r="C9" s="101" t="s">
        <v>301</v>
      </c>
      <c r="D9" s="101"/>
      <c r="E9" s="101"/>
      <c r="F9" s="101"/>
      <c r="G9" s="101"/>
      <c r="H9" s="101"/>
    </row>
    <row r="10" spans="1:11" ht="188.25" customHeight="1" x14ac:dyDescent="0.25">
      <c r="A10" s="121"/>
      <c r="B10" s="33" t="s">
        <v>11</v>
      </c>
      <c r="C10" s="101" t="s">
        <v>366</v>
      </c>
      <c r="D10" s="101"/>
      <c r="E10" s="101"/>
      <c r="F10" s="101"/>
      <c r="G10" s="101"/>
      <c r="H10" s="101"/>
    </row>
    <row r="11" spans="1:11" ht="42" customHeight="1" x14ac:dyDescent="0.25">
      <c r="A11" s="121"/>
      <c r="B11" s="33" t="s">
        <v>5</v>
      </c>
      <c r="C11" s="101" t="s">
        <v>302</v>
      </c>
      <c r="D11" s="101"/>
      <c r="E11" s="101"/>
      <c r="F11" s="101"/>
      <c r="G11" s="101"/>
      <c r="H11" s="101"/>
    </row>
    <row r="12" spans="1:11" ht="40.5" customHeight="1" x14ac:dyDescent="0.25">
      <c r="A12" s="102" t="s">
        <v>34</v>
      </c>
      <c r="B12" s="102"/>
      <c r="C12" s="101" t="s">
        <v>303</v>
      </c>
      <c r="D12" s="101"/>
      <c r="E12" s="101"/>
      <c r="F12" s="101"/>
      <c r="G12" s="101"/>
      <c r="H12" s="101"/>
    </row>
    <row r="13" spans="1:11" ht="20.100000000000001" customHeight="1" x14ac:dyDescent="0.25">
      <c r="A13" s="130" t="s">
        <v>45</v>
      </c>
      <c r="B13" s="130"/>
      <c r="C13" s="130"/>
      <c r="D13" s="130"/>
      <c r="E13" s="130"/>
      <c r="F13" s="130"/>
      <c r="G13" s="130"/>
      <c r="H13" s="130"/>
    </row>
    <row r="14" spans="1:11" ht="41.25" customHeight="1" x14ac:dyDescent="0.25">
      <c r="A14" s="102" t="s">
        <v>27</v>
      </c>
      <c r="B14" s="102" t="s">
        <v>4</v>
      </c>
      <c r="C14" s="101" t="s">
        <v>87</v>
      </c>
      <c r="D14" s="101"/>
      <c r="E14" s="102" t="s">
        <v>46</v>
      </c>
      <c r="F14" s="102" t="s">
        <v>4</v>
      </c>
      <c r="G14" s="101" t="s">
        <v>304</v>
      </c>
      <c r="H14" s="101"/>
    </row>
    <row r="15" spans="1:11" ht="41.25" customHeight="1" x14ac:dyDescent="0.25">
      <c r="A15" s="102" t="s">
        <v>47</v>
      </c>
      <c r="B15" s="102" t="s">
        <v>4</v>
      </c>
      <c r="C15" s="101" t="s">
        <v>305</v>
      </c>
      <c r="D15" s="101"/>
      <c r="E15" s="102" t="s">
        <v>48</v>
      </c>
      <c r="F15" s="102" t="s">
        <v>4</v>
      </c>
      <c r="G15" s="127">
        <v>47150</v>
      </c>
      <c r="H15" s="101"/>
    </row>
    <row r="16" spans="1:11" ht="41.25" customHeight="1" x14ac:dyDescent="0.25">
      <c r="A16" s="102" t="s">
        <v>49</v>
      </c>
      <c r="B16" s="102" t="s">
        <v>4</v>
      </c>
      <c r="C16" s="127">
        <v>45373</v>
      </c>
      <c r="D16" s="101"/>
      <c r="E16" s="102" t="s">
        <v>50</v>
      </c>
      <c r="F16" s="102" t="s">
        <v>4</v>
      </c>
      <c r="G16" s="144">
        <v>45352</v>
      </c>
      <c r="H16" s="101"/>
    </row>
    <row r="17" spans="1:8" ht="41.25" customHeight="1" x14ac:dyDescent="0.25">
      <c r="A17" s="102" t="s">
        <v>51</v>
      </c>
      <c r="B17" s="102" t="s">
        <v>4</v>
      </c>
      <c r="C17" s="127">
        <v>47150</v>
      </c>
      <c r="D17" s="101"/>
      <c r="E17" s="102" t="s">
        <v>52</v>
      </c>
      <c r="F17" s="102" t="s">
        <v>4</v>
      </c>
      <c r="G17" s="101" t="s">
        <v>306</v>
      </c>
      <c r="H17" s="101"/>
    </row>
    <row r="18" spans="1:8" ht="41.25" customHeight="1" x14ac:dyDescent="0.25">
      <c r="A18" s="102" t="s">
        <v>53</v>
      </c>
      <c r="B18" s="102" t="s">
        <v>4</v>
      </c>
      <c r="C18" s="101"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1"/>
      <c r="E18" s="102" t="s">
        <v>94</v>
      </c>
      <c r="F18" s="102" t="s">
        <v>4</v>
      </c>
      <c r="G18" s="101">
        <v>27633.53</v>
      </c>
      <c r="H18" s="101"/>
    </row>
    <row r="19" spans="1:8" ht="41.25" customHeight="1" x14ac:dyDescent="0.25">
      <c r="A19" s="102" t="s">
        <v>54</v>
      </c>
      <c r="B19" s="102" t="s">
        <v>4</v>
      </c>
      <c r="C19" s="101">
        <f>25517.51/G19</f>
        <v>1</v>
      </c>
      <c r="D19" s="101"/>
      <c r="E19" s="102" t="s">
        <v>238</v>
      </c>
      <c r="F19" s="102" t="s">
        <v>4</v>
      </c>
      <c r="G19" s="101">
        <v>25517.51</v>
      </c>
      <c r="H19" s="101"/>
    </row>
    <row r="20" spans="1:8" ht="41.25" customHeight="1" x14ac:dyDescent="0.25">
      <c r="A20" s="102" t="s">
        <v>92</v>
      </c>
      <c r="B20" s="102" t="s">
        <v>4</v>
      </c>
      <c r="C20" s="101">
        <v>60551.81</v>
      </c>
      <c r="D20" s="101"/>
      <c r="E20" s="102" t="s">
        <v>93</v>
      </c>
      <c r="F20" s="102" t="s">
        <v>4</v>
      </c>
      <c r="G20" s="101">
        <v>32861.269999999997</v>
      </c>
      <c r="H20" s="101"/>
    </row>
    <row r="21" spans="1:8" ht="89.25" customHeight="1" x14ac:dyDescent="0.25">
      <c r="A21" s="102" t="s">
        <v>56</v>
      </c>
      <c r="B21" s="102" t="s">
        <v>4</v>
      </c>
      <c r="C21" s="101" t="s">
        <v>363</v>
      </c>
      <c r="D21" s="101"/>
      <c r="E21" s="102" t="s">
        <v>55</v>
      </c>
      <c r="F21" s="102" t="s">
        <v>4</v>
      </c>
      <c r="G21" s="101" t="s">
        <v>364</v>
      </c>
      <c r="H21" s="101"/>
    </row>
    <row r="22" spans="1:8" ht="20.25" x14ac:dyDescent="0.25">
      <c r="A22" s="102" t="s">
        <v>160</v>
      </c>
      <c r="B22" s="102" t="s">
        <v>4</v>
      </c>
      <c r="C22" s="101" t="s">
        <v>307</v>
      </c>
      <c r="D22" s="101"/>
      <c r="E22" s="102" t="s">
        <v>161</v>
      </c>
      <c r="F22" s="102" t="s">
        <v>4</v>
      </c>
      <c r="G22" s="101" t="s">
        <v>309</v>
      </c>
      <c r="H22" s="101"/>
    </row>
    <row r="23" spans="1:8" ht="26.25" customHeight="1" x14ac:dyDescent="0.25">
      <c r="A23" s="102" t="s">
        <v>158</v>
      </c>
      <c r="B23" s="102" t="s">
        <v>4</v>
      </c>
      <c r="C23" s="125" t="s">
        <v>308</v>
      </c>
      <c r="D23" s="126"/>
      <c r="E23" s="126"/>
      <c r="F23" s="126"/>
      <c r="G23" s="126"/>
      <c r="H23" s="126"/>
    </row>
    <row r="24" spans="1:8" ht="63" customHeight="1" x14ac:dyDescent="0.25">
      <c r="A24" s="102" t="s">
        <v>25</v>
      </c>
      <c r="B24" s="102" t="s">
        <v>4</v>
      </c>
      <c r="C24" s="101" t="s">
        <v>340</v>
      </c>
      <c r="D24" s="101"/>
      <c r="E24" s="101"/>
      <c r="F24" s="101"/>
      <c r="G24" s="101"/>
      <c r="H24" s="101"/>
    </row>
    <row r="25" spans="1:8" ht="24" customHeight="1" x14ac:dyDescent="0.25">
      <c r="A25" s="130" t="s">
        <v>20</v>
      </c>
      <c r="B25" s="130"/>
      <c r="C25" s="130"/>
      <c r="D25" s="130"/>
      <c r="E25" s="130"/>
      <c r="F25" s="130"/>
      <c r="G25" s="130"/>
      <c r="H25" s="130"/>
    </row>
    <row r="26" spans="1:8" ht="43.5" customHeight="1" x14ac:dyDescent="0.25">
      <c r="A26" s="102" t="s">
        <v>26</v>
      </c>
      <c r="B26" s="102" t="s">
        <v>4</v>
      </c>
      <c r="C26" s="101" t="str">
        <f>IF(AND(G26="Upper"),"Developed","Developing")</f>
        <v>Developed</v>
      </c>
      <c r="D26" s="101"/>
      <c r="E26" s="102" t="s">
        <v>13</v>
      </c>
      <c r="F26" s="102" t="s">
        <v>4</v>
      </c>
      <c r="G26" s="101" t="s">
        <v>349</v>
      </c>
      <c r="H26" s="101"/>
    </row>
    <row r="27" spans="1:8" ht="43.5" customHeight="1" x14ac:dyDescent="0.25">
      <c r="A27" s="102" t="s">
        <v>14</v>
      </c>
      <c r="B27" s="102" t="s">
        <v>4</v>
      </c>
      <c r="C27" s="101" t="s">
        <v>97</v>
      </c>
      <c r="D27" s="101"/>
      <c r="E27" s="102" t="s">
        <v>148</v>
      </c>
      <c r="F27" s="102" t="s">
        <v>4</v>
      </c>
      <c r="G27" s="101" t="s">
        <v>350</v>
      </c>
      <c r="H27" s="101"/>
    </row>
    <row r="28" spans="1:8" ht="43.5" customHeight="1" x14ac:dyDescent="0.25">
      <c r="A28" s="102" t="s">
        <v>23</v>
      </c>
      <c r="B28" s="102" t="s">
        <v>4</v>
      </c>
      <c r="C28" s="101" t="s">
        <v>96</v>
      </c>
      <c r="D28" s="101"/>
      <c r="E28" s="102" t="s">
        <v>16</v>
      </c>
      <c r="F28" s="102" t="s">
        <v>4</v>
      </c>
      <c r="G28" s="101" t="s">
        <v>341</v>
      </c>
      <c r="H28" s="101"/>
    </row>
    <row r="29" spans="1:8" ht="43.5" customHeight="1" x14ac:dyDescent="0.25">
      <c r="A29" s="102" t="s">
        <v>106</v>
      </c>
      <c r="B29" s="102" t="s">
        <v>4</v>
      </c>
      <c r="C29" s="101" t="s">
        <v>342</v>
      </c>
      <c r="D29" s="101"/>
      <c r="E29" s="102" t="s">
        <v>107</v>
      </c>
      <c r="F29" s="102" t="s">
        <v>4</v>
      </c>
      <c r="G29" s="101" t="s">
        <v>343</v>
      </c>
      <c r="H29" s="101"/>
    </row>
    <row r="30" spans="1:8" ht="84" customHeight="1" x14ac:dyDescent="0.25">
      <c r="A30" s="102" t="s">
        <v>17</v>
      </c>
      <c r="B30" s="102" t="s">
        <v>4</v>
      </c>
      <c r="C30" s="101" t="s">
        <v>344</v>
      </c>
      <c r="D30" s="101"/>
      <c r="E30" s="102" t="s">
        <v>15</v>
      </c>
      <c r="F30" s="102" t="s">
        <v>4</v>
      </c>
      <c r="G30" s="101" t="s">
        <v>345</v>
      </c>
      <c r="H30" s="101"/>
    </row>
    <row r="31" spans="1:8" ht="20.25" x14ac:dyDescent="0.25">
      <c r="A31" s="102" t="s">
        <v>112</v>
      </c>
      <c r="B31" s="102" t="s">
        <v>4</v>
      </c>
      <c r="C31" s="101" t="s">
        <v>113</v>
      </c>
      <c r="D31" s="101"/>
      <c r="E31" s="102" t="s">
        <v>114</v>
      </c>
      <c r="F31" s="102" t="s">
        <v>4</v>
      </c>
      <c r="G31" s="101" t="s">
        <v>113</v>
      </c>
      <c r="H31" s="101"/>
    </row>
    <row r="32" spans="1:8" ht="21.75" customHeight="1" x14ac:dyDescent="0.25">
      <c r="A32" s="102" t="s">
        <v>115</v>
      </c>
      <c r="B32" s="102" t="s">
        <v>4</v>
      </c>
      <c r="C32" s="101" t="s">
        <v>113</v>
      </c>
      <c r="D32" s="101"/>
      <c r="E32" s="101"/>
      <c r="F32" s="101"/>
      <c r="G32" s="101"/>
      <c r="H32" s="101"/>
    </row>
    <row r="33" spans="1:15" ht="20.25" x14ac:dyDescent="0.25">
      <c r="A33" s="164" t="s">
        <v>37</v>
      </c>
      <c r="B33" s="164"/>
      <c r="C33" s="164"/>
      <c r="D33" s="164"/>
      <c r="E33" s="164"/>
      <c r="F33" s="164"/>
      <c r="G33" s="164"/>
      <c r="H33" s="164"/>
    </row>
    <row r="34" spans="1:15" ht="43.5" customHeight="1" x14ac:dyDescent="0.25">
      <c r="A34" s="102" t="s">
        <v>18</v>
      </c>
      <c r="B34" s="102"/>
      <c r="C34" s="101" t="s">
        <v>98</v>
      </c>
      <c r="D34" s="101"/>
      <c r="E34" s="102" t="s">
        <v>19</v>
      </c>
      <c r="F34" s="102" t="s">
        <v>4</v>
      </c>
      <c r="G34" s="101" t="s">
        <v>99</v>
      </c>
      <c r="H34" s="101"/>
    </row>
    <row r="35" spans="1:15" ht="43.5" customHeight="1" x14ac:dyDescent="0.25">
      <c r="A35" s="102" t="s">
        <v>22</v>
      </c>
      <c r="B35" s="102"/>
      <c r="C35" s="101" t="s">
        <v>99</v>
      </c>
      <c r="D35" s="101"/>
      <c r="E35" s="102" t="s">
        <v>32</v>
      </c>
      <c r="F35" s="102" t="s">
        <v>4</v>
      </c>
      <c r="G35" s="101" t="s">
        <v>99</v>
      </c>
      <c r="H35" s="101"/>
    </row>
    <row r="36" spans="1:15" ht="20.25" x14ac:dyDescent="0.25">
      <c r="A36" s="102" t="s">
        <v>31</v>
      </c>
      <c r="B36" s="102"/>
      <c r="C36" s="101" t="s">
        <v>100</v>
      </c>
      <c r="D36" s="101"/>
      <c r="E36" s="102" t="s">
        <v>21</v>
      </c>
      <c r="F36" s="102" t="s">
        <v>4</v>
      </c>
      <c r="G36" s="101" t="s">
        <v>101</v>
      </c>
      <c r="H36" s="101"/>
    </row>
    <row r="37" spans="1:15" ht="20.25" x14ac:dyDescent="0.25">
      <c r="A37" s="130" t="s">
        <v>0</v>
      </c>
      <c r="B37" s="130"/>
      <c r="C37" s="130"/>
      <c r="D37" s="130"/>
      <c r="E37" s="130"/>
      <c r="F37" s="130"/>
      <c r="G37" s="130"/>
      <c r="H37" s="130"/>
    </row>
    <row r="38" spans="1:15" ht="20.25" x14ac:dyDescent="0.25">
      <c r="A38" s="124" t="s">
        <v>0</v>
      </c>
      <c r="B38" s="124"/>
      <c r="C38" s="124" t="s">
        <v>226</v>
      </c>
      <c r="D38" s="124"/>
      <c r="E38" s="124"/>
      <c r="F38" s="124" t="s">
        <v>7</v>
      </c>
      <c r="G38" s="124"/>
      <c r="H38" s="124"/>
      <c r="J38" s="122" t="s">
        <v>1</v>
      </c>
      <c r="K38" s="123"/>
      <c r="L38" s="2" t="s">
        <v>6</v>
      </c>
      <c r="M38" s="122" t="s">
        <v>2</v>
      </c>
      <c r="N38" s="123"/>
      <c r="O38" s="2" t="s">
        <v>3</v>
      </c>
    </row>
    <row r="39" spans="1:15" ht="20.25" x14ac:dyDescent="0.25">
      <c r="A39" s="121" t="s">
        <v>2</v>
      </c>
      <c r="B39" s="121"/>
      <c r="C39" s="120" t="s">
        <v>311</v>
      </c>
      <c r="D39" s="120"/>
      <c r="E39" s="120"/>
      <c r="F39" s="120" t="s">
        <v>313</v>
      </c>
      <c r="G39" s="120"/>
      <c r="H39" s="120"/>
    </row>
    <row r="40" spans="1:15" ht="20.25" x14ac:dyDescent="0.25">
      <c r="A40" s="121" t="s">
        <v>3</v>
      </c>
      <c r="B40" s="121"/>
      <c r="C40" s="120" t="s">
        <v>352</v>
      </c>
      <c r="D40" s="120"/>
      <c r="E40" s="120"/>
      <c r="F40" s="120" t="s">
        <v>312</v>
      </c>
      <c r="G40" s="120"/>
      <c r="H40" s="120"/>
    </row>
    <row r="41" spans="1:15" ht="20.25" x14ac:dyDescent="0.25">
      <c r="A41" s="121" t="s">
        <v>1</v>
      </c>
      <c r="B41" s="121"/>
      <c r="C41" s="120" t="s">
        <v>310</v>
      </c>
      <c r="D41" s="120"/>
      <c r="E41" s="120"/>
      <c r="F41" s="120" t="s">
        <v>313</v>
      </c>
      <c r="G41" s="120"/>
      <c r="H41" s="120"/>
    </row>
    <row r="42" spans="1:15" ht="20.25" x14ac:dyDescent="0.25">
      <c r="A42" s="121" t="s">
        <v>6</v>
      </c>
      <c r="B42" s="121"/>
      <c r="C42" s="120" t="s">
        <v>351</v>
      </c>
      <c r="D42" s="120"/>
      <c r="E42" s="120"/>
      <c r="F42" s="120" t="s">
        <v>314</v>
      </c>
      <c r="G42" s="120"/>
      <c r="H42" s="120"/>
    </row>
    <row r="43" spans="1:15" ht="45.75" customHeight="1" x14ac:dyDescent="0.25">
      <c r="A43" s="102" t="s">
        <v>227</v>
      </c>
      <c r="B43" s="102"/>
      <c r="C43" s="101" t="s">
        <v>96</v>
      </c>
      <c r="D43" s="101"/>
      <c r="E43" s="101"/>
      <c r="F43" s="101"/>
      <c r="G43" s="101"/>
      <c r="H43" s="101"/>
    </row>
    <row r="44" spans="1:15" ht="20.25" x14ac:dyDescent="0.25">
      <c r="A44" s="130" t="s">
        <v>57</v>
      </c>
      <c r="B44" s="130"/>
      <c r="C44" s="130"/>
      <c r="D44" s="130"/>
      <c r="E44" s="130"/>
      <c r="F44" s="130"/>
      <c r="G44" s="130"/>
      <c r="H44" s="130"/>
    </row>
    <row r="45" spans="1:15" ht="21" customHeight="1" x14ac:dyDescent="0.25">
      <c r="A45" s="124" t="s">
        <v>58</v>
      </c>
      <c r="B45" s="124"/>
      <c r="C45" s="2" t="s">
        <v>59</v>
      </c>
      <c r="D45" s="124" t="s">
        <v>146</v>
      </c>
      <c r="E45" s="124"/>
      <c r="F45" s="124"/>
      <c r="G45" s="124" t="s">
        <v>60</v>
      </c>
      <c r="H45" s="124"/>
    </row>
    <row r="46" spans="1:15" ht="40.5" customHeight="1" x14ac:dyDescent="0.25">
      <c r="A46" s="121" t="s">
        <v>317</v>
      </c>
      <c r="B46" s="121"/>
      <c r="C46" s="72" t="s">
        <v>88</v>
      </c>
      <c r="D46" s="175" t="s">
        <v>319</v>
      </c>
      <c r="E46" s="175"/>
      <c r="F46" s="175"/>
      <c r="G46" s="145" t="s">
        <v>319</v>
      </c>
      <c r="H46" s="146"/>
    </row>
    <row r="47" spans="1:15" ht="40.5" customHeight="1" x14ac:dyDescent="0.25">
      <c r="A47" s="121" t="s">
        <v>318</v>
      </c>
      <c r="B47" s="121"/>
      <c r="C47" s="72" t="s">
        <v>88</v>
      </c>
      <c r="D47" s="175" t="s">
        <v>319</v>
      </c>
      <c r="E47" s="175"/>
      <c r="F47" s="175"/>
      <c r="G47" s="145" t="s">
        <v>319</v>
      </c>
      <c r="H47" s="146"/>
    </row>
    <row r="48" spans="1:15" ht="20.25" x14ac:dyDescent="0.25">
      <c r="A48" s="130" t="s">
        <v>61</v>
      </c>
      <c r="B48" s="130"/>
      <c r="C48" s="130"/>
      <c r="D48" s="130"/>
      <c r="E48" s="130"/>
      <c r="F48" s="130"/>
      <c r="G48" s="130"/>
      <c r="H48" s="130"/>
    </row>
    <row r="49" spans="1:10" ht="42.75" customHeight="1" x14ac:dyDescent="0.25">
      <c r="A49" s="102" t="s">
        <v>62</v>
      </c>
      <c r="B49" s="102" t="s">
        <v>4</v>
      </c>
      <c r="C49" s="101" t="s">
        <v>96</v>
      </c>
      <c r="D49" s="101"/>
      <c r="E49" s="101"/>
      <c r="F49" s="101"/>
      <c r="G49" s="101"/>
      <c r="H49" s="101"/>
    </row>
    <row r="50" spans="1:10" ht="20.25" x14ac:dyDescent="0.25">
      <c r="A50" s="102" t="s">
        <v>63</v>
      </c>
      <c r="B50" s="102" t="s">
        <v>4</v>
      </c>
      <c r="C50" s="101" t="s">
        <v>320</v>
      </c>
      <c r="D50" s="101"/>
      <c r="E50" s="101"/>
      <c r="F50" s="101"/>
      <c r="G50" s="49" t="s">
        <v>228</v>
      </c>
      <c r="H50" s="71">
        <v>44978</v>
      </c>
    </row>
    <row r="51" spans="1:10" ht="20.25" x14ac:dyDescent="0.25">
      <c r="A51" s="102" t="s">
        <v>64</v>
      </c>
      <c r="B51" s="102" t="s">
        <v>4</v>
      </c>
      <c r="C51" s="101" t="s">
        <v>320</v>
      </c>
      <c r="D51" s="101"/>
      <c r="E51" s="101"/>
      <c r="F51" s="101"/>
      <c r="G51" s="49" t="s">
        <v>228</v>
      </c>
      <c r="H51" s="71">
        <v>44978</v>
      </c>
    </row>
    <row r="52" spans="1:10" ht="20.25" x14ac:dyDescent="0.25">
      <c r="A52" s="102" t="s">
        <v>322</v>
      </c>
      <c r="B52" s="102"/>
      <c r="C52" s="101" t="s">
        <v>321</v>
      </c>
      <c r="D52" s="101"/>
      <c r="E52" s="101"/>
      <c r="F52" s="101"/>
      <c r="G52" s="49" t="s">
        <v>228</v>
      </c>
      <c r="H52" s="71">
        <v>45352</v>
      </c>
    </row>
    <row r="53" spans="1:10" ht="20.25" x14ac:dyDescent="0.25">
      <c r="A53" s="102"/>
      <c r="B53" s="102"/>
      <c r="C53" s="103" t="s">
        <v>323</v>
      </c>
      <c r="D53" s="104"/>
      <c r="E53" s="104"/>
      <c r="F53" s="104"/>
      <c r="G53" s="104"/>
      <c r="H53" s="105"/>
    </row>
    <row r="54" spans="1:10" ht="126" customHeight="1" x14ac:dyDescent="0.25">
      <c r="A54" s="102" t="s">
        <v>353</v>
      </c>
      <c r="B54" s="102" t="s">
        <v>4</v>
      </c>
      <c r="C54" s="101" t="s">
        <v>354</v>
      </c>
      <c r="D54" s="101"/>
      <c r="E54" s="101"/>
      <c r="F54" s="101"/>
      <c r="G54" s="49" t="s">
        <v>229</v>
      </c>
      <c r="H54" s="69">
        <v>45114</v>
      </c>
    </row>
    <row r="55" spans="1:10" ht="135" customHeight="1" x14ac:dyDescent="0.25">
      <c r="A55" s="102" t="s">
        <v>65</v>
      </c>
      <c r="B55" s="102" t="s">
        <v>4</v>
      </c>
      <c r="C55" s="101" t="s">
        <v>355</v>
      </c>
      <c r="D55" s="101"/>
      <c r="E55" s="101"/>
      <c r="F55" s="101"/>
      <c r="G55" s="49" t="s">
        <v>229</v>
      </c>
      <c r="H55" s="69">
        <v>45329</v>
      </c>
    </row>
    <row r="56" spans="1:10" ht="46.5" hidden="1" customHeight="1" x14ac:dyDescent="0.25">
      <c r="A56" s="165" t="s">
        <v>67</v>
      </c>
      <c r="B56" s="165" t="s">
        <v>4</v>
      </c>
      <c r="C56" s="176"/>
      <c r="D56" s="176"/>
      <c r="E56" s="176"/>
      <c r="F56" s="176"/>
      <c r="G56" s="78" t="s">
        <v>229</v>
      </c>
      <c r="H56" s="34"/>
    </row>
    <row r="57" spans="1:10" ht="28.5" hidden="1" customHeight="1" x14ac:dyDescent="0.25">
      <c r="A57" s="165" t="s">
        <v>66</v>
      </c>
      <c r="B57" s="165" t="s">
        <v>4</v>
      </c>
      <c r="C57" s="176"/>
      <c r="D57" s="176"/>
      <c r="E57" s="176"/>
      <c r="F57" s="176"/>
      <c r="G57" s="78" t="s">
        <v>229</v>
      </c>
      <c r="H57" s="34"/>
    </row>
    <row r="58" spans="1:10" ht="21" thickBot="1" x14ac:dyDescent="0.3">
      <c r="A58" s="130" t="s">
        <v>68</v>
      </c>
      <c r="B58" s="130"/>
      <c r="C58" s="130"/>
      <c r="D58" s="130"/>
      <c r="E58" s="130"/>
      <c r="F58" s="130"/>
      <c r="G58" s="130"/>
      <c r="H58" s="130"/>
    </row>
    <row r="59" spans="1:10" ht="20.25" customHeight="1" x14ac:dyDescent="0.3">
      <c r="A59" s="171" t="str">
        <f>CONCATENATE((IF(OR(A46="",A46="NA"),"",A46)),"= ",(IF(OR(D46="",D46="NA"),"",D46)),".")</f>
        <v>Building No.1 (Wing D)= 1B + LG + G + 1st to 30th Floor.</v>
      </c>
      <c r="B59" s="171"/>
      <c r="C59" s="171"/>
      <c r="D59" s="73" t="s">
        <v>116</v>
      </c>
      <c r="E59" s="119" t="s">
        <v>103</v>
      </c>
      <c r="F59" s="119"/>
      <c r="G59" s="73" t="s">
        <v>117</v>
      </c>
      <c r="H59" s="73" t="s">
        <v>118</v>
      </c>
      <c r="I59" s="16"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Footing work is process</v>
      </c>
      <c r="J59" s="18"/>
    </row>
    <row r="60" spans="1:10" ht="20.25" x14ac:dyDescent="0.3">
      <c r="A60" s="171"/>
      <c r="B60" s="171"/>
      <c r="C60" s="171"/>
      <c r="D60" s="73">
        <f>IF(AND(ISNUMBER(SEARCH("1B",A59))),1,IF(AND(ISNUMBER(SEARCH("2B",A59))),2,IF(AND(ISNUMBER(SEARCH("3B",A59))),3,IF(AND(ISNUMBER(SEARCH("4B",A59))),4,IF(ISNUMBER(SEARCH("5B",A59)),5,0)))))</f>
        <v>1</v>
      </c>
      <c r="E60" s="119">
        <v>2</v>
      </c>
      <c r="F60" s="119"/>
      <c r="G60" s="73">
        <v>0</v>
      </c>
      <c r="H60" s="73">
        <f ca="1">--TRIM(RIGHT(SUBSTITUTE(LEFT(A59,_xlfn.AGGREGATE(16,6,FIND({0,1,2,3,4,5,6,7,8,9},A59,ROW(INDIRECT("1:"&amp;LEN(A59)))),1))," ",REPT(" ",LEN(A59))),LEN(A59)))</f>
        <v>30</v>
      </c>
      <c r="I60" s="17" t="s">
        <v>122</v>
      </c>
      <c r="J60" s="18"/>
    </row>
    <row r="61" spans="1:10" ht="20.25" customHeight="1" x14ac:dyDescent="0.3">
      <c r="A61" s="174" t="s">
        <v>120</v>
      </c>
      <c r="B61" s="174"/>
      <c r="C61" s="74" t="s">
        <v>130</v>
      </c>
      <c r="D61" s="74" t="s">
        <v>131</v>
      </c>
      <c r="E61" s="174" t="s">
        <v>121</v>
      </c>
      <c r="F61" s="174"/>
      <c r="G61" s="29" t="s">
        <v>119</v>
      </c>
      <c r="H61" s="29"/>
      <c r="I61" s="20" t="s">
        <v>132</v>
      </c>
      <c r="J61" s="19">
        <f ca="1">H60*25%</f>
        <v>7.5</v>
      </c>
    </row>
    <row r="62" spans="1:10" ht="20.25" customHeight="1" x14ac:dyDescent="0.3">
      <c r="A62" s="116" t="s">
        <v>133</v>
      </c>
      <c r="B62" s="116"/>
      <c r="C62" s="80">
        <f ca="1">J63</f>
        <v>30</v>
      </c>
      <c r="D62" s="79">
        <f ca="1">((100/H60)*C62)/100</f>
        <v>1</v>
      </c>
      <c r="E62" s="116">
        <f ca="1">(((C62/H60*10)+(C63/H60*15)+(25/(E60+G60+H60)*C64)+(5/(H60)*C65)+(2.5/(H60)*C66)+(2.5/(H60)*C67)+(5/H60*C68)+(10/H60*C69)+(2.5/H60*C70)+(2.5/H60*C71)+(10/H60*C72)+(10/H60*C73))/100)</f>
        <v>0.13</v>
      </c>
      <c r="F62" s="116"/>
      <c r="G62" s="116" t="str">
        <f ca="1">I59</f>
        <v>Excavation work Completed. Footing work is process</v>
      </c>
      <c r="H62" s="116"/>
      <c r="I62" s="20" t="s">
        <v>123</v>
      </c>
      <c r="J62" s="24">
        <f ca="1">H60*50%</f>
        <v>15</v>
      </c>
    </row>
    <row r="63" spans="1:10" ht="20.25" x14ac:dyDescent="0.3">
      <c r="A63" s="116" t="s">
        <v>104</v>
      </c>
      <c r="B63" s="116"/>
      <c r="C63" s="82">
        <f ca="1">J64</f>
        <v>6</v>
      </c>
      <c r="D63" s="79">
        <f ca="1">((100/H60)*C63)/100</f>
        <v>0.2</v>
      </c>
      <c r="E63" s="116"/>
      <c r="F63" s="116"/>
      <c r="G63" s="116"/>
      <c r="H63" s="116"/>
      <c r="I63" s="20" t="s">
        <v>124</v>
      </c>
      <c r="J63" s="24">
        <f ca="1">H60</f>
        <v>30</v>
      </c>
    </row>
    <row r="64" spans="1:10" ht="21" customHeight="1" x14ac:dyDescent="0.35">
      <c r="A64" s="116" t="s">
        <v>134</v>
      </c>
      <c r="B64" s="116"/>
      <c r="C64" s="80">
        <v>0</v>
      </c>
      <c r="D64" s="79">
        <f ca="1">((100/(E60+G60+H60))*C64)/100</f>
        <v>0</v>
      </c>
      <c r="E64" s="116"/>
      <c r="F64" s="116"/>
      <c r="G64" s="116"/>
      <c r="H64" s="116"/>
      <c r="I64" s="20" t="s">
        <v>125</v>
      </c>
      <c r="J64" s="25">
        <f ca="1">(IF(D60&gt;1,(H60/(D60+2)),H60*0.2))</f>
        <v>6</v>
      </c>
    </row>
    <row r="65" spans="1:10" ht="21" customHeight="1" x14ac:dyDescent="0.35">
      <c r="A65" s="116" t="s">
        <v>135</v>
      </c>
      <c r="B65" s="116"/>
      <c r="C65" s="80">
        <v>0</v>
      </c>
      <c r="D65" s="79">
        <f ca="1">((100/H60)*C65)/100</f>
        <v>0</v>
      </c>
      <c r="E65" s="116"/>
      <c r="F65" s="116"/>
      <c r="G65" s="116"/>
      <c r="H65" s="116"/>
      <c r="I65" s="20" t="s">
        <v>126</v>
      </c>
      <c r="J65" s="25">
        <f ca="1">(IF(D60&gt;1,(H60/(D60+2)+J64),H60*0.2+J64))</f>
        <v>12</v>
      </c>
    </row>
    <row r="66" spans="1:10" ht="21" customHeight="1" x14ac:dyDescent="0.35">
      <c r="A66" s="116" t="s">
        <v>136</v>
      </c>
      <c r="B66" s="116"/>
      <c r="C66" s="80">
        <v>0</v>
      </c>
      <c r="D66" s="79">
        <f ca="1">((100/H60)*C66)/100</f>
        <v>0</v>
      </c>
      <c r="E66" s="116"/>
      <c r="F66" s="116"/>
      <c r="G66" s="116"/>
      <c r="H66" s="116"/>
      <c r="I66" s="20" t="s">
        <v>137</v>
      </c>
      <c r="J66" s="25">
        <f>(IF(D60&gt;1,(H60/(D60+2)+J65),0))</f>
        <v>0</v>
      </c>
    </row>
    <row r="67" spans="1:10" ht="21" customHeight="1" x14ac:dyDescent="0.35">
      <c r="A67" s="116" t="s">
        <v>167</v>
      </c>
      <c r="B67" s="116"/>
      <c r="C67" s="80">
        <v>0</v>
      </c>
      <c r="D67" s="79">
        <f ca="1">((100/H60)*C67)/100</f>
        <v>0</v>
      </c>
      <c r="E67" s="116"/>
      <c r="F67" s="116"/>
      <c r="G67" s="116"/>
      <c r="H67" s="116"/>
      <c r="I67" s="20" t="s">
        <v>138</v>
      </c>
      <c r="J67" s="25">
        <f>(IF(D60&gt;2,(H60/(D60+2)+J66),0))</f>
        <v>0</v>
      </c>
    </row>
    <row r="68" spans="1:10" ht="21" x14ac:dyDescent="0.35">
      <c r="A68" s="116" t="s">
        <v>164</v>
      </c>
      <c r="B68" s="116"/>
      <c r="C68" s="80">
        <v>0</v>
      </c>
      <c r="D68" s="79">
        <f ca="1">((100/(H60))*C68)/100</f>
        <v>0</v>
      </c>
      <c r="E68" s="116"/>
      <c r="F68" s="116"/>
      <c r="G68" s="116"/>
      <c r="H68" s="116"/>
      <c r="I68" s="20" t="s">
        <v>140</v>
      </c>
      <c r="J68" s="26">
        <f>(IF(D60&gt;3,(H60/(D60+2)+J67),0))</f>
        <v>0</v>
      </c>
    </row>
    <row r="69" spans="1:10" ht="21" x14ac:dyDescent="0.35">
      <c r="A69" s="116" t="s">
        <v>139</v>
      </c>
      <c r="B69" s="116"/>
      <c r="C69" s="80">
        <v>0</v>
      </c>
      <c r="D69" s="79">
        <f ca="1">((100/(H60))*C69)/100</f>
        <v>0</v>
      </c>
      <c r="E69" s="116"/>
      <c r="F69" s="116"/>
      <c r="G69" s="116"/>
      <c r="H69" s="116"/>
      <c r="I69" s="20" t="s">
        <v>141</v>
      </c>
      <c r="J69" s="25">
        <f>(IF(D60&gt;4,(H60/(D60+2)+J68),0))</f>
        <v>0</v>
      </c>
    </row>
    <row r="70" spans="1:10" ht="21" customHeight="1" x14ac:dyDescent="0.35">
      <c r="A70" s="116" t="s">
        <v>166</v>
      </c>
      <c r="B70" s="116"/>
      <c r="C70" s="80">
        <v>0</v>
      </c>
      <c r="D70" s="79">
        <f ca="1">((100/H60)*C70)/100</f>
        <v>0</v>
      </c>
      <c r="E70" s="116"/>
      <c r="F70" s="116"/>
      <c r="G70" s="116"/>
      <c r="H70" s="116"/>
      <c r="I70" s="20" t="s">
        <v>127</v>
      </c>
      <c r="J70" s="25">
        <f ca="1">(IF(D60=1,(H60/(D60+3)+J65),IF(D60=0,(H60*0.3+J65),IF(D60&gt;1,0))))</f>
        <v>19.5</v>
      </c>
    </row>
    <row r="71" spans="1:10" ht="21.75" thickBot="1" x14ac:dyDescent="0.4">
      <c r="A71" s="116" t="s">
        <v>165</v>
      </c>
      <c r="B71" s="116"/>
      <c r="C71" s="80">
        <v>0</v>
      </c>
      <c r="D71" s="79">
        <f ca="1">((100/H60)*C71)/100</f>
        <v>0</v>
      </c>
      <c r="E71" s="116"/>
      <c r="F71" s="116"/>
      <c r="G71" s="116"/>
      <c r="H71" s="116"/>
      <c r="I71" s="22" t="s">
        <v>128</v>
      </c>
      <c r="J71" s="27">
        <f ca="1">(IF(D60&gt;1.5,(H60/(D60+2)+J65+MAX(0,J66-J65)+MAX(0,J67-J66)+MAX(0,J68-J67)+MAX(0,J69-J68)+MAX(0,J70-J69)),IF(D60=1,(H60/(D60+3)+J70),IF(D60=0,H60*0.3+J70))))</f>
        <v>27</v>
      </c>
    </row>
    <row r="72" spans="1:10" ht="20.25" x14ac:dyDescent="0.25">
      <c r="A72" s="116" t="s">
        <v>142</v>
      </c>
      <c r="B72" s="116"/>
      <c r="C72" s="80">
        <v>0</v>
      </c>
      <c r="D72" s="79">
        <f ca="1">((100/(H60))*C72)/100</f>
        <v>0</v>
      </c>
      <c r="E72" s="116"/>
      <c r="F72" s="116"/>
      <c r="G72" s="116"/>
      <c r="H72" s="116"/>
    </row>
    <row r="73" spans="1:10" ht="20.25" x14ac:dyDescent="0.25">
      <c r="A73" s="116" t="s">
        <v>143</v>
      </c>
      <c r="B73" s="116"/>
      <c r="C73" s="80">
        <v>0</v>
      </c>
      <c r="D73" s="79">
        <f ca="1">((100/(H60))*C73)/100</f>
        <v>0</v>
      </c>
      <c r="E73" s="116"/>
      <c r="F73" s="116"/>
      <c r="G73" s="116"/>
      <c r="H73" s="116"/>
    </row>
    <row r="74" spans="1:10" ht="21" thickBot="1" x14ac:dyDescent="0.3">
      <c r="A74" s="130" t="s">
        <v>68</v>
      </c>
      <c r="B74" s="130"/>
      <c r="C74" s="130"/>
      <c r="D74" s="130"/>
      <c r="E74" s="130"/>
      <c r="F74" s="130"/>
      <c r="G74" s="130"/>
      <c r="H74" s="130"/>
    </row>
    <row r="75" spans="1:10" ht="20.25" customHeight="1" x14ac:dyDescent="0.3">
      <c r="A75" s="171" t="str">
        <f>CONCATENATE((IF(OR(A47="",A47="NA"),"",A47)),"= ",(IF(OR(D47="",D47="NA"),"",D47)),".")</f>
        <v>Building No.1 (Wing E)= 1B + LG + G + 1st to 30th Floor.</v>
      </c>
      <c r="B75" s="171"/>
      <c r="C75" s="171"/>
      <c r="D75" s="80" t="s">
        <v>116</v>
      </c>
      <c r="E75" s="119" t="s">
        <v>103</v>
      </c>
      <c r="F75" s="119"/>
      <c r="G75" s="80" t="s">
        <v>117</v>
      </c>
      <c r="H75" s="80" t="s">
        <v>118</v>
      </c>
      <c r="I75" s="16" t="str">
        <f ca="1">(IF(E78&gt;99%,"All work completed. Please provide OC.",IF(E78&gt;89.8%,"Plinth, RCC, Brick, Plaster, Flooring, Wooden, Plumbing, Electrification, etc.,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completed","0")))))))))))&amp;(IF(C80=(E76+G76+H76),", RCC Slab",IF(C80&gt;0,", RCC upto "&amp;C80&amp;" Slab",""))&amp;(IF(C81=H76,", Brickwork",IF(C81&gt;0,", Brickwork upto "&amp;C81&amp;" Floor",""))&amp;(IF(C82=H76,", Internal Plaster",IF(C82&gt;0,", Internal Plaster upto "&amp;C82&amp;" Floor",""))&amp;(IF(C83=H76,", External Plaster",IF(C83&gt;0,", External Plaster upto "&amp;C83&amp;" Floor",""))&amp;(IF(C84=H76,", External Plumbing, Elevation and Waterproofing",IF(C84&gt;0,", External Plumbing, Elevation and Waterproofing upto "&amp;C84&amp;" Floor",""))&amp;(IF(C85=H76,", Flooring &amp; Fitting",IF(C85&gt;0,", Flooring &amp; Fitting upto "&amp;C85&amp;" Floor",""))&amp;(IF(C86=H76,", Wooden Work",IF(C86&gt;0,", Wooden Work upto "&amp;C86&amp;" Floor",""))&amp;(IF(C87=H76,", Electrical &amp; Sanitary fittings",IF(C87&gt;0,", Electrical &amp; Sanitary fittings upto "&amp;C87&amp;" Floor",""))&amp;(IF(C88&gt;0,", Finishing upto "&amp;C88&amp;" Floor","")&amp;(IF(C80&gt;0.5," Completed",""))))))))))))))))</f>
        <v>Excavation work in process</v>
      </c>
      <c r="J75" s="18"/>
    </row>
    <row r="76" spans="1:10" ht="20.25" x14ac:dyDescent="0.3">
      <c r="A76" s="171"/>
      <c r="B76" s="171"/>
      <c r="C76" s="171"/>
      <c r="D76" s="80">
        <f>IF(AND(ISNUMBER(SEARCH("1B",A75))),1,IF(AND(ISNUMBER(SEARCH("2B",A75))),2,IF(AND(ISNUMBER(SEARCH("3B",A75))),3,IF(AND(ISNUMBER(SEARCH("4B",A75))),4,IF(ISNUMBER(SEARCH("5B",A75)),5,0)))))</f>
        <v>1</v>
      </c>
      <c r="E76" s="119">
        <v>2</v>
      </c>
      <c r="F76" s="119"/>
      <c r="G76" s="80">
        <v>0</v>
      </c>
      <c r="H76" s="80">
        <f ca="1">--TRIM(RIGHT(SUBSTITUTE(LEFT(A75,_xlfn.AGGREGATE(16,6,FIND({0,1,2,3,4,5,6,7,8,9},A75,ROW(INDIRECT("1:"&amp;LEN(A75)))),1))," ",REPT(" ",LEN(A75))),LEN(A75)))</f>
        <v>30</v>
      </c>
      <c r="I76" s="17" t="s">
        <v>122</v>
      </c>
      <c r="J76" s="18"/>
    </row>
    <row r="77" spans="1:10" ht="20.25" customHeight="1" x14ac:dyDescent="0.3">
      <c r="A77" s="174" t="s">
        <v>120</v>
      </c>
      <c r="B77" s="174"/>
      <c r="C77" s="81" t="s">
        <v>130</v>
      </c>
      <c r="D77" s="81" t="s">
        <v>131</v>
      </c>
      <c r="E77" s="174" t="s">
        <v>121</v>
      </c>
      <c r="F77" s="174"/>
      <c r="G77" s="29" t="s">
        <v>119</v>
      </c>
      <c r="H77" s="29"/>
      <c r="I77" s="20" t="s">
        <v>132</v>
      </c>
      <c r="J77" s="19">
        <f ca="1">H76*25%</f>
        <v>7.5</v>
      </c>
    </row>
    <row r="78" spans="1:10" ht="20.25" customHeight="1" x14ac:dyDescent="0.3">
      <c r="A78" s="116" t="s">
        <v>133</v>
      </c>
      <c r="B78" s="116"/>
      <c r="C78" s="73">
        <f ca="1">J78</f>
        <v>15</v>
      </c>
      <c r="D78" s="75">
        <f ca="1">((100/H76)*C78)/100</f>
        <v>0.5</v>
      </c>
      <c r="E78" s="132">
        <f ca="1">(((C78/H76*10)+(C79/H76*15)+(25/(E76+G76+H76)*C80)+(5/(H76)*C81)+(2.5/(H76)*C82)+(2.5/(H76)*C83)+(5/H76*C84)+(10/H76*C85)+(2.5/H76*C86)+(2.5/H76*C87)+(10/H76*C88)+(10/H76*C89))/100)</f>
        <v>0.05</v>
      </c>
      <c r="F78" s="133"/>
      <c r="G78" s="116" t="str">
        <f ca="1">I75</f>
        <v>Excavation work in process</v>
      </c>
      <c r="H78" s="116"/>
      <c r="I78" s="20" t="s">
        <v>123</v>
      </c>
      <c r="J78" s="24">
        <f ca="1">H76*50%</f>
        <v>15</v>
      </c>
    </row>
    <row r="79" spans="1:10" ht="20.25" x14ac:dyDescent="0.3">
      <c r="A79" s="116" t="s">
        <v>104</v>
      </c>
      <c r="B79" s="116"/>
      <c r="C79" s="77">
        <f>J85</f>
        <v>0</v>
      </c>
      <c r="D79" s="75">
        <f ca="1">((100/H76)*C79)/100</f>
        <v>0</v>
      </c>
      <c r="E79" s="134"/>
      <c r="F79" s="135"/>
      <c r="G79" s="116"/>
      <c r="H79" s="116"/>
      <c r="I79" s="20" t="s">
        <v>124</v>
      </c>
      <c r="J79" s="24">
        <f ca="1">H76</f>
        <v>30</v>
      </c>
    </row>
    <row r="80" spans="1:10" ht="21" customHeight="1" x14ac:dyDescent="0.35">
      <c r="A80" s="116" t="s">
        <v>134</v>
      </c>
      <c r="B80" s="116"/>
      <c r="C80" s="73">
        <v>0</v>
      </c>
      <c r="D80" s="75">
        <f ca="1">((100/(E76+G76+H76))*C80)/100</f>
        <v>0</v>
      </c>
      <c r="E80" s="134"/>
      <c r="F80" s="135"/>
      <c r="G80" s="116"/>
      <c r="H80" s="116"/>
      <c r="I80" s="20" t="s">
        <v>125</v>
      </c>
      <c r="J80" s="25">
        <f ca="1">(IF(D76&gt;1,(H76/(D76+2)),H76*0.2))</f>
        <v>6</v>
      </c>
    </row>
    <row r="81" spans="1:11" ht="21" customHeight="1" x14ac:dyDescent="0.35">
      <c r="A81" s="116" t="s">
        <v>135</v>
      </c>
      <c r="B81" s="116"/>
      <c r="C81" s="73">
        <v>0</v>
      </c>
      <c r="D81" s="75">
        <f ca="1">((100/H76)*C81)/100</f>
        <v>0</v>
      </c>
      <c r="E81" s="134"/>
      <c r="F81" s="135"/>
      <c r="G81" s="116"/>
      <c r="H81" s="116"/>
      <c r="I81" s="20" t="s">
        <v>126</v>
      </c>
      <c r="J81" s="25">
        <f ca="1">(IF(D76&gt;1,(H76/(D76+2)+J80),H76*0.2+J80))</f>
        <v>12</v>
      </c>
    </row>
    <row r="82" spans="1:11" ht="21" customHeight="1" x14ac:dyDescent="0.35">
      <c r="A82" s="138" t="s">
        <v>136</v>
      </c>
      <c r="B82" s="139"/>
      <c r="C82" s="73">
        <v>0</v>
      </c>
      <c r="D82" s="75">
        <f ca="1">((100/H76)*C82)/100</f>
        <v>0</v>
      </c>
      <c r="E82" s="134"/>
      <c r="F82" s="135"/>
      <c r="G82" s="116"/>
      <c r="H82" s="116"/>
      <c r="I82" s="20" t="s">
        <v>137</v>
      </c>
      <c r="J82" s="25">
        <f>(IF(D76&gt;1,(H76/(D76+2)+J81),0))</f>
        <v>0</v>
      </c>
    </row>
    <row r="83" spans="1:11" ht="21" customHeight="1" x14ac:dyDescent="0.35">
      <c r="A83" s="138" t="s">
        <v>167</v>
      </c>
      <c r="B83" s="139"/>
      <c r="C83" s="73">
        <v>0</v>
      </c>
      <c r="D83" s="75">
        <f ca="1">((100/H76)*C83)/100</f>
        <v>0</v>
      </c>
      <c r="E83" s="134"/>
      <c r="F83" s="135"/>
      <c r="G83" s="116"/>
      <c r="H83" s="116"/>
      <c r="I83" s="20" t="s">
        <v>138</v>
      </c>
      <c r="J83" s="25">
        <f>(IF(D76&gt;2,(H76/(D76+2)+J82),0))</f>
        <v>0</v>
      </c>
    </row>
    <row r="84" spans="1:11" ht="57.75" customHeight="1" x14ac:dyDescent="0.35">
      <c r="A84" s="138" t="s">
        <v>164</v>
      </c>
      <c r="B84" s="139"/>
      <c r="C84" s="73">
        <v>0</v>
      </c>
      <c r="D84" s="75">
        <f ca="1">((100/(H76))*C84)/100</f>
        <v>0</v>
      </c>
      <c r="E84" s="134"/>
      <c r="F84" s="135"/>
      <c r="G84" s="116"/>
      <c r="H84" s="116"/>
      <c r="I84" s="20" t="s">
        <v>140</v>
      </c>
      <c r="J84" s="26">
        <f>(IF(D76&gt;3,(H76/(D76+2)+J83),0))</f>
        <v>0</v>
      </c>
    </row>
    <row r="85" spans="1:11" ht="21" x14ac:dyDescent="0.35">
      <c r="A85" s="116" t="s">
        <v>139</v>
      </c>
      <c r="B85" s="116"/>
      <c r="C85" s="73">
        <v>0</v>
      </c>
      <c r="D85" s="75">
        <f ca="1">((100/(H76))*C85)/100</f>
        <v>0</v>
      </c>
      <c r="E85" s="134"/>
      <c r="F85" s="135"/>
      <c r="G85" s="116"/>
      <c r="H85" s="116"/>
      <c r="I85" s="20" t="s">
        <v>141</v>
      </c>
      <c r="J85" s="25">
        <f>(IF(D76&gt;4,(H76/(D76+2)+J84),0))</f>
        <v>0</v>
      </c>
    </row>
    <row r="86" spans="1:11" ht="21" customHeight="1" x14ac:dyDescent="0.35">
      <c r="A86" s="116" t="s">
        <v>166</v>
      </c>
      <c r="B86" s="116"/>
      <c r="C86" s="73">
        <v>0</v>
      </c>
      <c r="D86" s="75">
        <f ca="1">((100/H76)*C86)/100</f>
        <v>0</v>
      </c>
      <c r="E86" s="134"/>
      <c r="F86" s="135"/>
      <c r="G86" s="116"/>
      <c r="H86" s="116"/>
      <c r="I86" s="20" t="s">
        <v>127</v>
      </c>
      <c r="J86" s="25">
        <f ca="1">(IF(D76=1,(H76/(D76+3)+J81),IF(D76=0,(H76*0.3+J81),IF(D76&gt;1,0))))</f>
        <v>19.5</v>
      </c>
    </row>
    <row r="87" spans="1:11" ht="21.75" thickBot="1" x14ac:dyDescent="0.4">
      <c r="A87" s="116" t="s">
        <v>165</v>
      </c>
      <c r="B87" s="116"/>
      <c r="C87" s="73">
        <v>0</v>
      </c>
      <c r="D87" s="75">
        <f ca="1">((100/H76)*C87)/100</f>
        <v>0</v>
      </c>
      <c r="E87" s="134"/>
      <c r="F87" s="135"/>
      <c r="G87" s="116"/>
      <c r="H87" s="116"/>
      <c r="I87" s="22" t="s">
        <v>128</v>
      </c>
      <c r="J87" s="27">
        <f ca="1">(IF(D76&gt;1.5,(H76/(D76+2)+J81+MAX(0,J82-J81)+MAX(0,J83-J82)+MAX(0,J84-J83)+MAX(0,J85-J84)+MAX(0,J86-J85)),IF(D76=1,(H76/(D76+3)+J86),IF(D76=0,H76*0.3+J86))))</f>
        <v>27</v>
      </c>
    </row>
    <row r="88" spans="1:11" ht="20.25" x14ac:dyDescent="0.25">
      <c r="A88" s="116" t="s">
        <v>142</v>
      </c>
      <c r="B88" s="116"/>
      <c r="C88" s="73">
        <v>0</v>
      </c>
      <c r="D88" s="75">
        <f ca="1">((100/(H76))*C88)/100</f>
        <v>0</v>
      </c>
      <c r="E88" s="134"/>
      <c r="F88" s="135"/>
      <c r="G88" s="116"/>
      <c r="H88" s="116"/>
    </row>
    <row r="89" spans="1:11" ht="20.25" x14ac:dyDescent="0.25">
      <c r="A89" s="116" t="s">
        <v>143</v>
      </c>
      <c r="B89" s="116"/>
      <c r="C89" s="73">
        <v>0</v>
      </c>
      <c r="D89" s="75">
        <f ca="1">((100/(H76))*C89)/100</f>
        <v>0</v>
      </c>
      <c r="E89" s="136"/>
      <c r="F89" s="137"/>
      <c r="G89" s="116"/>
      <c r="H89" s="116"/>
    </row>
    <row r="90" spans="1:11" ht="36.75" customHeight="1" x14ac:dyDescent="0.3">
      <c r="A90" s="177" t="s">
        <v>129</v>
      </c>
      <c r="B90" s="178"/>
      <c r="C90" s="178"/>
      <c r="D90" s="178"/>
      <c r="E90" s="178"/>
      <c r="F90" s="178"/>
      <c r="G90" s="172">
        <f ca="1">AVERAGE(E62,E78)</f>
        <v>0.09</v>
      </c>
      <c r="H90" s="173"/>
      <c r="I90" s="20"/>
      <c r="J90" s="21"/>
      <c r="K90" s="21"/>
    </row>
    <row r="91" spans="1:11" ht="20.25" x14ac:dyDescent="0.25">
      <c r="A91" s="159" t="s">
        <v>72</v>
      </c>
      <c r="B91" s="160"/>
      <c r="C91" s="160"/>
      <c r="D91" s="160"/>
      <c r="E91" s="160"/>
      <c r="F91" s="160"/>
      <c r="G91" s="160"/>
      <c r="H91" s="161"/>
    </row>
    <row r="92" spans="1:11" ht="44.25" customHeight="1" x14ac:dyDescent="0.25">
      <c r="A92" s="109" t="s">
        <v>73</v>
      </c>
      <c r="B92" s="110"/>
      <c r="C92" s="111" t="s">
        <v>108</v>
      </c>
      <c r="D92" s="112"/>
      <c r="E92" s="109" t="s">
        <v>144</v>
      </c>
      <c r="F92" s="110" t="s">
        <v>4</v>
      </c>
      <c r="G92" s="147" t="s">
        <v>157</v>
      </c>
      <c r="H92" s="147"/>
    </row>
    <row r="93" spans="1:11" ht="44.25" customHeight="1" x14ac:dyDescent="0.25">
      <c r="A93" s="109" t="s">
        <v>154</v>
      </c>
      <c r="B93" s="110"/>
      <c r="C93" s="111" t="s">
        <v>365</v>
      </c>
      <c r="D93" s="112"/>
      <c r="E93" s="109" t="s">
        <v>155</v>
      </c>
      <c r="F93" s="110" t="s">
        <v>4</v>
      </c>
      <c r="G93" s="101" t="s">
        <v>145</v>
      </c>
      <c r="H93" s="101"/>
    </row>
    <row r="94" spans="1:11" ht="20.25" x14ac:dyDescent="0.25">
      <c r="A94" s="109" t="s">
        <v>74</v>
      </c>
      <c r="B94" s="110"/>
      <c r="C94" s="103">
        <v>700000</v>
      </c>
      <c r="D94" s="105"/>
      <c r="E94" s="109" t="s">
        <v>102</v>
      </c>
      <c r="F94" s="110" t="s">
        <v>4</v>
      </c>
      <c r="G94" s="111" t="s">
        <v>109</v>
      </c>
      <c r="H94" s="112"/>
    </row>
    <row r="95" spans="1:11" ht="20.25" x14ac:dyDescent="0.25">
      <c r="A95" s="159" t="s">
        <v>71</v>
      </c>
      <c r="B95" s="160"/>
      <c r="C95" s="160"/>
      <c r="D95" s="160"/>
      <c r="E95" s="160"/>
      <c r="F95" s="160"/>
      <c r="G95" s="160"/>
      <c r="H95" s="161"/>
    </row>
    <row r="96" spans="1:11" ht="20.25" customHeight="1" x14ac:dyDescent="0.25">
      <c r="A96" s="109" t="s">
        <v>8</v>
      </c>
      <c r="B96" s="113"/>
      <c r="C96" s="113"/>
      <c r="D96" s="113"/>
      <c r="E96" s="113"/>
      <c r="F96" s="110"/>
      <c r="G96" s="169">
        <f>56980/10.764</f>
        <v>5293.5711631363811</v>
      </c>
      <c r="H96" s="170"/>
    </row>
    <row r="97" spans="1:150 16226:16383" ht="20.25" customHeight="1" x14ac:dyDescent="0.25">
      <c r="A97" s="109" t="s">
        <v>28</v>
      </c>
      <c r="B97" s="113"/>
      <c r="C97" s="113"/>
      <c r="D97" s="113"/>
      <c r="E97" s="113"/>
      <c r="F97" s="110" t="s">
        <v>4</v>
      </c>
      <c r="G97" s="163">
        <f>133660/10.764</f>
        <v>12417.316982534374</v>
      </c>
      <c r="H97" s="163"/>
    </row>
    <row r="98" spans="1:150 16226:16383" ht="20.25" customHeight="1" x14ac:dyDescent="0.25">
      <c r="A98" s="109" t="s">
        <v>110</v>
      </c>
      <c r="B98" s="113"/>
      <c r="C98" s="113"/>
      <c r="D98" s="113"/>
      <c r="E98" s="113"/>
      <c r="F98" s="110" t="s">
        <v>4</v>
      </c>
      <c r="G98" s="163">
        <f>G96*0.8</f>
        <v>4234.856930509105</v>
      </c>
      <c r="H98" s="163"/>
    </row>
    <row r="99" spans="1:150 16226:16383" ht="20.25" x14ac:dyDescent="0.25">
      <c r="A99" s="166" t="s">
        <v>239</v>
      </c>
      <c r="B99" s="167"/>
      <c r="C99" s="167"/>
      <c r="D99" s="167"/>
      <c r="E99" s="167"/>
      <c r="F99" s="167"/>
      <c r="G99" s="167"/>
      <c r="H99" s="168"/>
    </row>
    <row r="100" spans="1:150 16226:16383" s="3" customFormat="1" ht="20.25" x14ac:dyDescent="0.25">
      <c r="A100" s="117" t="s">
        <v>151</v>
      </c>
      <c r="B100" s="118"/>
      <c r="C100" s="117" t="s">
        <v>152</v>
      </c>
      <c r="D100" s="118"/>
      <c r="E100" s="117" t="s">
        <v>150</v>
      </c>
      <c r="F100" s="118"/>
      <c r="G100" s="117" t="s">
        <v>162</v>
      </c>
      <c r="H100" s="118"/>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25">
      <c r="A101" s="181" t="s">
        <v>337</v>
      </c>
      <c r="B101" s="182"/>
      <c r="C101" s="114" t="s">
        <v>338</v>
      </c>
      <c r="D101" s="115"/>
      <c r="E101" s="114">
        <f>COUNT(E117:E128)+COUNT(E130:E131)</f>
        <v>14</v>
      </c>
      <c r="F101" s="115"/>
      <c r="G101" s="114">
        <f>SUM(H117:H128)+SUM(H130:H131)</f>
        <v>1836.4460400000003</v>
      </c>
      <c r="H101" s="115"/>
      <c r="I101" s="1" t="s">
        <v>339</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183"/>
      <c r="B102" s="184"/>
      <c r="C102" s="114" t="s">
        <v>88</v>
      </c>
      <c r="D102" s="115"/>
      <c r="E102" s="114">
        <f>COUNT(E129)</f>
        <v>1</v>
      </c>
      <c r="F102" s="115"/>
      <c r="G102" s="114">
        <f>SUM(H129)</f>
        <v>378.13932</v>
      </c>
      <c r="H102" s="115"/>
      <c r="I102" s="1" t="s">
        <v>339</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117" t="s">
        <v>153</v>
      </c>
      <c r="B103" s="118"/>
      <c r="C103" s="117" t="s">
        <v>95</v>
      </c>
      <c r="D103" s="118"/>
      <c r="E103" s="117">
        <f>SUM(E101:E102)</f>
        <v>15</v>
      </c>
      <c r="F103" s="118"/>
      <c r="G103" s="117">
        <f>SUM(G101:G102)</f>
        <v>2214.58536</v>
      </c>
      <c r="H103" s="118"/>
      <c r="I103" s="1" t="s">
        <v>339</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ht="20.25" x14ac:dyDescent="0.25">
      <c r="A104" s="166" t="s">
        <v>367</v>
      </c>
      <c r="B104" s="167"/>
      <c r="C104" s="167"/>
      <c r="D104" s="167"/>
      <c r="E104" s="167"/>
      <c r="F104" s="167"/>
      <c r="G104" s="167"/>
      <c r="H104" s="168"/>
    </row>
    <row r="105" spans="1:150 16226:16383" s="3" customFormat="1" ht="20.25" x14ac:dyDescent="0.25">
      <c r="A105" s="117" t="s">
        <v>151</v>
      </c>
      <c r="B105" s="118"/>
      <c r="C105" s="117" t="s">
        <v>152</v>
      </c>
      <c r="D105" s="118"/>
      <c r="E105" s="117" t="s">
        <v>150</v>
      </c>
      <c r="F105" s="118"/>
      <c r="G105" s="117" t="s">
        <v>162</v>
      </c>
      <c r="H105" s="118"/>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x14ac:dyDescent="0.25">
      <c r="A106" s="114" t="s">
        <v>317</v>
      </c>
      <c r="B106" s="115"/>
      <c r="C106" s="114" t="s">
        <v>88</v>
      </c>
      <c r="D106" s="115"/>
      <c r="E106" s="114">
        <f>COUNT(E137:E143)+COUNT(E145:E151)*25+COUNT(E153,E156:E159)*3+COUNT(E161,E163:E167)</f>
        <v>203</v>
      </c>
      <c r="F106" s="115"/>
      <c r="G106" s="114">
        <f>SUM(H137:H143)+SUM(H145:H151)*25+SUM(H153,H156:H159)*3+SUM(H161,H163:H167)</f>
        <v>81512.860338000013</v>
      </c>
      <c r="H106" s="115"/>
      <c r="I106" s="114">
        <f>SUM(E137:E143)+SUM(E145:E151)*25+SUM(E153,E156:E159)*3+SUM(E161,E163:E167)</f>
        <v>81177.023538000009</v>
      </c>
      <c r="J106" s="115"/>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14" t="s">
        <v>318</v>
      </c>
      <c r="B107" s="115"/>
      <c r="C107" s="114" t="s">
        <v>88</v>
      </c>
      <c r="D107" s="115"/>
      <c r="E107" s="114">
        <f>COUNT(E170:E177)+COUNT(E179:E186)*22+COUNT(E188:E195)*3+COUNT(E197:E198,E201:E204)*3+COUNT(E206:E207,E209:E213)</f>
        <v>233</v>
      </c>
      <c r="F107" s="115"/>
      <c r="G107" s="114">
        <f>SUM(H170:H177)+SUM(H179:H186)*22+SUM(H188:H195)*3+SUM(H197:H198,H201:H204)*3+SUM(H206:H207,H209:H213)</f>
        <v>94116.105018000002</v>
      </c>
      <c r="H107" s="115"/>
      <c r="I107" s="114">
        <f>SUM(E170:E177)+SUM(E179:E186)*25+SUM(E197:E198,E201:E204)*3+SUM(E206:E207,E209:E213)</f>
        <v>93435.820217999993</v>
      </c>
      <c r="J107" s="115"/>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17" t="s">
        <v>153</v>
      </c>
      <c r="B108" s="118"/>
      <c r="C108" s="117" t="s">
        <v>95</v>
      </c>
      <c r="D108" s="118"/>
      <c r="E108" s="117">
        <f>SUM(E106:E107)</f>
        <v>436</v>
      </c>
      <c r="F108" s="118"/>
      <c r="G108" s="117">
        <f>SUM(G106:G107)</f>
        <v>175628.965356</v>
      </c>
      <c r="H108" s="118"/>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17" t="s">
        <v>240</v>
      </c>
      <c r="B109" s="118"/>
      <c r="C109" s="117" t="s">
        <v>95</v>
      </c>
      <c r="D109" s="118"/>
      <c r="E109" s="117">
        <f>SUM(E103,E108)</f>
        <v>451</v>
      </c>
      <c r="F109" s="118"/>
      <c r="G109" s="117">
        <f>SUM(G103,G108)</f>
        <v>177843.550716</v>
      </c>
      <c r="H109" s="118"/>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ht="20.25" x14ac:dyDescent="0.25">
      <c r="A110" s="179" t="s">
        <v>149</v>
      </c>
      <c r="B110" s="180"/>
      <c r="C110" s="180"/>
      <c r="D110" s="180"/>
      <c r="E110" s="180"/>
      <c r="F110" s="180"/>
      <c r="G110" s="180"/>
      <c r="H110" s="168"/>
    </row>
    <row r="111" spans="1:150 16226:16383" ht="66" customHeight="1" x14ac:dyDescent="0.25">
      <c r="A111" s="50" t="s">
        <v>230</v>
      </c>
      <c r="B111" s="31" t="s">
        <v>231</v>
      </c>
      <c r="C111" s="32" t="s">
        <v>356</v>
      </c>
      <c r="D111" s="31" t="s">
        <v>89</v>
      </c>
      <c r="E111" s="31" t="s">
        <v>163</v>
      </c>
      <c r="F111" s="32" t="s">
        <v>232</v>
      </c>
      <c r="G111" s="31" t="s">
        <v>91</v>
      </c>
      <c r="H111" s="31" t="s">
        <v>90</v>
      </c>
    </row>
    <row r="112" spans="1:150 16226:16383" s="70" customFormat="1" ht="20.25" customHeight="1" x14ac:dyDescent="0.3">
      <c r="A112" s="106" t="s">
        <v>324</v>
      </c>
      <c r="B112" s="107"/>
      <c r="C112" s="107"/>
      <c r="D112" s="107"/>
      <c r="E112" s="107"/>
      <c r="F112" s="107"/>
      <c r="G112" s="107"/>
      <c r="H112" s="108"/>
    </row>
    <row r="113" spans="1:150 16226:16383" s="70" customFormat="1" ht="20.25" customHeight="1" x14ac:dyDescent="0.3">
      <c r="A113" s="106" t="s">
        <v>316</v>
      </c>
      <c r="B113" s="107"/>
      <c r="C113" s="107"/>
      <c r="D113" s="107"/>
      <c r="E113" s="107"/>
      <c r="F113" s="107"/>
      <c r="G113" s="107"/>
      <c r="H113" s="108"/>
    </row>
    <row r="114" spans="1:150 16226:16383" s="70" customFormat="1" ht="20.25" customHeight="1" x14ac:dyDescent="0.3">
      <c r="A114" s="90" t="s">
        <v>325</v>
      </c>
      <c r="B114" s="91"/>
      <c r="C114" s="91"/>
      <c r="D114" s="91"/>
      <c r="E114" s="91"/>
      <c r="F114" s="91"/>
      <c r="G114" s="91"/>
      <c r="H114" s="92"/>
    </row>
    <row r="115" spans="1:150 16226:16383" s="70" customFormat="1" ht="20.25" customHeight="1" x14ac:dyDescent="0.3">
      <c r="A115" s="90" t="s">
        <v>326</v>
      </c>
      <c r="B115" s="91"/>
      <c r="C115" s="91"/>
      <c r="D115" s="91"/>
      <c r="E115" s="91"/>
      <c r="F115" s="91"/>
      <c r="G115" s="91"/>
      <c r="H115" s="92"/>
    </row>
    <row r="116" spans="1:150 16226:16383" s="3" customFormat="1" ht="20.25" x14ac:dyDescent="0.25">
      <c r="A116" s="90" t="s">
        <v>327</v>
      </c>
      <c r="B116" s="91"/>
      <c r="C116" s="91"/>
      <c r="D116" s="91"/>
      <c r="E116" s="91"/>
      <c r="F116" s="91"/>
      <c r="G116" s="91"/>
      <c r="H116" s="92"/>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89">
        <v>1</v>
      </c>
      <c r="B117" s="89"/>
      <c r="C117" s="6" t="s">
        <v>328</v>
      </c>
      <c r="D117" s="6" t="s">
        <v>329</v>
      </c>
      <c r="E117" s="6">
        <f>(18.6)*(10.764)</f>
        <v>200.21039999999999</v>
      </c>
      <c r="F117" s="6">
        <v>0</v>
      </c>
      <c r="G117" s="6">
        <v>0</v>
      </c>
      <c r="H117" s="6">
        <f>E117+F117+(IF(G117&lt;101,G117,IF(G117&lt;201,G117/2,IF(G117&lt;=301,G117/3,G117/4))))</f>
        <v>200.21039999999999</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99">
        <f>A117+1</f>
        <v>2</v>
      </c>
      <c r="B118" s="100"/>
      <c r="C118" s="6" t="s">
        <v>328</v>
      </c>
      <c r="D118" s="6" t="s">
        <v>329</v>
      </c>
      <c r="E118" s="6">
        <f>(7.04)*(10.764)</f>
        <v>75.778559999999999</v>
      </c>
      <c r="F118" s="6">
        <v>0</v>
      </c>
      <c r="G118" s="6">
        <v>0</v>
      </c>
      <c r="H118" s="6">
        <f t="shared" ref="H118:H124" si="0">E118+F118+(IF(G118&lt;101,G118,IF(G118&lt;201,G118/2,IF(G118&lt;=301,G118/3,G118/4))))</f>
        <v>75.778559999999999</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99">
        <f t="shared" ref="A119:A131" si="1">A118+1</f>
        <v>3</v>
      </c>
      <c r="B119" s="100"/>
      <c r="C119" s="6" t="s">
        <v>328</v>
      </c>
      <c r="D119" s="6" t="s">
        <v>329</v>
      </c>
      <c r="E119" s="6">
        <f>(7.41)*(10.764)</f>
        <v>79.761240000000001</v>
      </c>
      <c r="F119" s="6">
        <v>0</v>
      </c>
      <c r="G119" s="6">
        <v>0</v>
      </c>
      <c r="H119" s="6">
        <f t="shared" si="0"/>
        <v>79.761240000000001</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99">
        <f t="shared" si="1"/>
        <v>4</v>
      </c>
      <c r="B120" s="100"/>
      <c r="C120" s="6" t="s">
        <v>328</v>
      </c>
      <c r="D120" s="6" t="s">
        <v>329</v>
      </c>
      <c r="E120" s="6">
        <f>(22.28)*(10.764)</f>
        <v>239.82192000000001</v>
      </c>
      <c r="F120" s="6">
        <v>0</v>
      </c>
      <c r="G120" s="6">
        <v>0</v>
      </c>
      <c r="H120" s="6">
        <f t="shared" si="0"/>
        <v>239.82192000000001</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99">
        <f t="shared" si="1"/>
        <v>5</v>
      </c>
      <c r="B121" s="100"/>
      <c r="C121" s="6" t="s">
        <v>328</v>
      </c>
      <c r="D121" s="6" t="s">
        <v>329</v>
      </c>
      <c r="E121" s="6">
        <f>(24.51)*(10.764)</f>
        <v>263.82564000000002</v>
      </c>
      <c r="F121" s="6">
        <v>0</v>
      </c>
      <c r="G121" s="6">
        <v>0</v>
      </c>
      <c r="H121" s="6">
        <f t="shared" si="0"/>
        <v>263.82564000000002</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99">
        <f t="shared" si="1"/>
        <v>6</v>
      </c>
      <c r="B122" s="100"/>
      <c r="C122" s="6" t="s">
        <v>328</v>
      </c>
      <c r="D122" s="6" t="s">
        <v>329</v>
      </c>
      <c r="E122" s="6">
        <f>(2.79)*(10.764)</f>
        <v>30.031559999999999</v>
      </c>
      <c r="F122" s="6">
        <v>0</v>
      </c>
      <c r="G122" s="6">
        <v>0</v>
      </c>
      <c r="H122" s="6">
        <f t="shared" si="0"/>
        <v>30.031559999999999</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99">
        <f t="shared" si="1"/>
        <v>7</v>
      </c>
      <c r="B123" s="100"/>
      <c r="C123" s="6" t="s">
        <v>328</v>
      </c>
      <c r="D123" s="6" t="s">
        <v>329</v>
      </c>
      <c r="E123" s="6">
        <f>(4.6)*(10.764)</f>
        <v>49.514399999999995</v>
      </c>
      <c r="F123" s="6">
        <v>0</v>
      </c>
      <c r="G123" s="6">
        <v>0</v>
      </c>
      <c r="H123" s="6">
        <f t="shared" si="0"/>
        <v>49.514399999999995</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99">
        <f t="shared" si="1"/>
        <v>8</v>
      </c>
      <c r="B124" s="100"/>
      <c r="C124" s="6" t="s">
        <v>328</v>
      </c>
      <c r="D124" s="6" t="s">
        <v>329</v>
      </c>
      <c r="E124" s="6">
        <f>(26.42)*(10.764)</f>
        <v>284.38488000000001</v>
      </c>
      <c r="F124" s="6">
        <v>0</v>
      </c>
      <c r="G124" s="6">
        <v>0</v>
      </c>
      <c r="H124" s="6">
        <f t="shared" si="0"/>
        <v>284.38488000000001</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99">
        <f>A124+1</f>
        <v>9</v>
      </c>
      <c r="B125" s="100"/>
      <c r="C125" s="6" t="s">
        <v>328</v>
      </c>
      <c r="D125" s="6" t="s">
        <v>329</v>
      </c>
      <c r="E125" s="6">
        <f>(5.7)*(10.764)</f>
        <v>61.354799999999997</v>
      </c>
      <c r="F125" s="6">
        <v>0</v>
      </c>
      <c r="G125" s="6">
        <v>0</v>
      </c>
      <c r="H125" s="6">
        <f t="shared" ref="H125:H131" si="2">E125+F125+(IF(G125&lt;101,G125,IF(G125&lt;201,G125/2,IF(G125&lt;=301,G125/3,G125/4))))</f>
        <v>61.354799999999997</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99">
        <f t="shared" si="1"/>
        <v>10</v>
      </c>
      <c r="B126" s="100"/>
      <c r="C126" s="6" t="s">
        <v>328</v>
      </c>
      <c r="D126" s="6" t="s">
        <v>329</v>
      </c>
      <c r="E126" s="6">
        <f>(16.08)*(10.764)</f>
        <v>173.08511999999996</v>
      </c>
      <c r="F126" s="6">
        <v>0</v>
      </c>
      <c r="G126" s="6">
        <v>0</v>
      </c>
      <c r="H126" s="6">
        <f t="shared" si="2"/>
        <v>173.08511999999996</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99">
        <f t="shared" si="1"/>
        <v>11</v>
      </c>
      <c r="B127" s="100"/>
      <c r="C127" s="6" t="s">
        <v>328</v>
      </c>
      <c r="D127" s="6" t="s">
        <v>329</v>
      </c>
      <c r="E127" s="6">
        <f>(18.06)*(10.764)</f>
        <v>194.39783999999997</v>
      </c>
      <c r="F127" s="6">
        <v>0</v>
      </c>
      <c r="G127" s="6">
        <v>0</v>
      </c>
      <c r="H127" s="6">
        <f t="shared" si="2"/>
        <v>194.39783999999997</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99">
        <f t="shared" si="1"/>
        <v>12</v>
      </c>
      <c r="B128" s="100"/>
      <c r="C128" s="6" t="s">
        <v>328</v>
      </c>
      <c r="D128" s="6" t="s">
        <v>329</v>
      </c>
      <c r="E128" s="6">
        <f>(3.7)*(10.764)</f>
        <v>39.826799999999999</v>
      </c>
      <c r="F128" s="6">
        <v>0</v>
      </c>
      <c r="G128" s="6">
        <v>0</v>
      </c>
      <c r="H128" s="6">
        <f t="shared" si="2"/>
        <v>39.826799999999999</v>
      </c>
      <c r="I128" s="1">
        <f>(2.65*2.89+4.45*3.94+1.3*3.04+2.9091+2.95*0.45+1.25*1.65)*(10.764)</f>
        <v>381.50414640000002</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99">
        <f t="shared" si="1"/>
        <v>13</v>
      </c>
      <c r="B129" s="100"/>
      <c r="C129" s="6" t="s">
        <v>88</v>
      </c>
      <c r="D129" s="6" t="s">
        <v>329</v>
      </c>
      <c r="E129" s="6">
        <f>(35.13)*(10.764)</f>
        <v>378.13932</v>
      </c>
      <c r="F129" s="6">
        <v>0</v>
      </c>
      <c r="G129" s="6">
        <v>0</v>
      </c>
      <c r="H129" s="6">
        <f t="shared" si="2"/>
        <v>378.13932</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99">
        <f t="shared" si="1"/>
        <v>14</v>
      </c>
      <c r="B130" s="100"/>
      <c r="C130" s="6" t="s">
        <v>328</v>
      </c>
      <c r="D130" s="6" t="s">
        <v>329</v>
      </c>
      <c r="E130" s="6">
        <f>(7.12)*(10.764)</f>
        <v>76.639679999999998</v>
      </c>
      <c r="F130" s="6">
        <v>0</v>
      </c>
      <c r="G130" s="6">
        <v>0</v>
      </c>
      <c r="H130" s="6">
        <f t="shared" si="2"/>
        <v>76.639679999999998</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70" customFormat="1" ht="20.25" customHeight="1" x14ac:dyDescent="0.3">
      <c r="A131" s="99">
        <f t="shared" si="1"/>
        <v>15</v>
      </c>
      <c r="B131" s="100"/>
      <c r="C131" s="6" t="s">
        <v>328</v>
      </c>
      <c r="D131" s="6" t="s">
        <v>329</v>
      </c>
      <c r="E131" s="6">
        <f>(6.3)*(10.764)</f>
        <v>67.813199999999995</v>
      </c>
      <c r="F131" s="6">
        <v>0</v>
      </c>
      <c r="G131" s="6">
        <v>0</v>
      </c>
      <c r="H131" s="6">
        <f t="shared" si="2"/>
        <v>67.813199999999995</v>
      </c>
    </row>
    <row r="132" spans="1:150 16226:16383" s="70" customFormat="1" ht="20.25" customHeight="1" x14ac:dyDescent="0.3">
      <c r="A132" s="106" t="s">
        <v>315</v>
      </c>
      <c r="B132" s="107"/>
      <c r="C132" s="107"/>
      <c r="D132" s="107"/>
      <c r="E132" s="107"/>
      <c r="F132" s="107"/>
      <c r="G132" s="107"/>
      <c r="H132" s="108"/>
    </row>
    <row r="133" spans="1:150 16226:16383" s="70" customFormat="1" ht="20.25" x14ac:dyDescent="0.3">
      <c r="A133" s="90" t="s">
        <v>325</v>
      </c>
      <c r="B133" s="91"/>
      <c r="C133" s="91"/>
      <c r="D133" s="91"/>
      <c r="E133" s="91"/>
      <c r="F133" s="91"/>
      <c r="G133" s="91"/>
      <c r="H133" s="92"/>
    </row>
    <row r="134" spans="1:150 16226:16383" s="70" customFormat="1" ht="20.25" customHeight="1" x14ac:dyDescent="0.3">
      <c r="A134" s="90" t="s">
        <v>326</v>
      </c>
      <c r="B134" s="91"/>
      <c r="C134" s="91"/>
      <c r="D134" s="91"/>
      <c r="E134" s="91"/>
      <c r="F134" s="91"/>
      <c r="G134" s="91"/>
      <c r="H134" s="92"/>
    </row>
    <row r="135" spans="1:150 16226:16383" s="3" customFormat="1" ht="20.25" x14ac:dyDescent="0.25">
      <c r="A135" s="90" t="s">
        <v>330</v>
      </c>
      <c r="B135" s="91"/>
      <c r="C135" s="91"/>
      <c r="D135" s="91"/>
      <c r="E135" s="91"/>
      <c r="F135" s="91"/>
      <c r="G135" s="91"/>
      <c r="H135" s="92"/>
      <c r="I135" s="1">
        <f>1</f>
        <v>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90" t="s">
        <v>357</v>
      </c>
      <c r="B136" s="91"/>
      <c r="C136" s="91"/>
      <c r="D136" s="91"/>
      <c r="E136" s="91"/>
      <c r="F136" s="91"/>
      <c r="G136" s="91"/>
      <c r="H136" s="92"/>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89">
        <v>1</v>
      </c>
      <c r="B137" s="89"/>
      <c r="C137" s="6" t="s">
        <v>88</v>
      </c>
      <c r="D137" s="6" t="s">
        <v>331</v>
      </c>
      <c r="E137" s="6">
        <f>(35.66)*(10.764)</f>
        <v>383.84423999999996</v>
      </c>
      <c r="F137" s="6">
        <v>0</v>
      </c>
      <c r="G137" s="6">
        <v>0</v>
      </c>
      <c r="H137" s="6">
        <f>E137+F137+(IF(G137&lt;101,G137,IF(G137&lt;201,G137/2,IF(G137&lt;=301,G137/3,G137/4))))</f>
        <v>383.84423999999996</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99">
        <f>A137+1</f>
        <v>2</v>
      </c>
      <c r="B138" s="100"/>
      <c r="C138" s="6" t="s">
        <v>88</v>
      </c>
      <c r="D138" s="6" t="s">
        <v>331</v>
      </c>
      <c r="E138" s="6">
        <f>(38.31)*(10.764)</f>
        <v>412.36883999999998</v>
      </c>
      <c r="F138" s="6">
        <v>0</v>
      </c>
      <c r="G138" s="6">
        <f t="shared" ref="G138:G143" si="3">(2*2.6)*10.764</f>
        <v>55.972799999999999</v>
      </c>
      <c r="H138" s="6">
        <f t="shared" ref="H138:H143" si="4">E138+F138+(IF(G138&lt;101,G138,IF(G138&lt;201,G138/2,IF(G138&lt;=301,G138/3,G138/4))))</f>
        <v>468.34163999999998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99">
        <f t="shared" ref="A139:A143" si="5">A138+1</f>
        <v>3</v>
      </c>
      <c r="B139" s="100"/>
      <c r="C139" s="6" t="s">
        <v>88</v>
      </c>
      <c r="D139" s="6" t="s">
        <v>331</v>
      </c>
      <c r="E139" s="6">
        <f>(38.31)*(10.764)</f>
        <v>412.36883999999998</v>
      </c>
      <c r="F139" s="6">
        <v>0</v>
      </c>
      <c r="G139" s="6">
        <f t="shared" si="3"/>
        <v>55.972799999999999</v>
      </c>
      <c r="H139" s="6">
        <f t="shared" si="4"/>
        <v>468.34163999999998</v>
      </c>
      <c r="I139" s="1">
        <f>15000*1.5</f>
        <v>22500</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99">
        <f t="shared" si="5"/>
        <v>4</v>
      </c>
      <c r="B140" s="100"/>
      <c r="C140" s="6" t="s">
        <v>88</v>
      </c>
      <c r="D140" s="6" t="s">
        <v>331</v>
      </c>
      <c r="E140" s="6">
        <f t="shared" ref="E140:E141" si="6">(38.31)*(10.764)</f>
        <v>412.36883999999998</v>
      </c>
      <c r="F140" s="6">
        <v>0</v>
      </c>
      <c r="G140" s="6">
        <f t="shared" si="3"/>
        <v>55.972799999999999</v>
      </c>
      <c r="H140" s="6">
        <f t="shared" si="4"/>
        <v>468.34163999999998</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99">
        <f t="shared" si="5"/>
        <v>5</v>
      </c>
      <c r="B141" s="100"/>
      <c r="C141" s="6" t="s">
        <v>88</v>
      </c>
      <c r="D141" s="6" t="s">
        <v>331</v>
      </c>
      <c r="E141" s="6">
        <f t="shared" si="6"/>
        <v>412.36883999999998</v>
      </c>
      <c r="F141" s="6">
        <v>0</v>
      </c>
      <c r="G141" s="6">
        <f t="shared" si="3"/>
        <v>55.972799999999999</v>
      </c>
      <c r="H141" s="6">
        <f t="shared" si="4"/>
        <v>468.34163999999998</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99">
        <f t="shared" si="5"/>
        <v>6</v>
      </c>
      <c r="B142" s="100"/>
      <c r="C142" s="6" t="s">
        <v>88</v>
      </c>
      <c r="D142" s="6" t="s">
        <v>331</v>
      </c>
      <c r="E142" s="6">
        <f>(35.63)*(10.764)</f>
        <v>383.52132</v>
      </c>
      <c r="F142" s="6">
        <v>0</v>
      </c>
      <c r="G142" s="6">
        <f t="shared" si="3"/>
        <v>55.972799999999999</v>
      </c>
      <c r="H142" s="6">
        <f t="shared" si="4"/>
        <v>439.49412000000001</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99">
        <f t="shared" si="5"/>
        <v>7</v>
      </c>
      <c r="B143" s="100"/>
      <c r="C143" s="6" t="s">
        <v>88</v>
      </c>
      <c r="D143" s="6" t="s">
        <v>331</v>
      </c>
      <c r="E143" s="6">
        <f>(35.63)*(10.764)</f>
        <v>383.52132</v>
      </c>
      <c r="F143" s="6">
        <v>0</v>
      </c>
      <c r="G143" s="6">
        <f t="shared" si="3"/>
        <v>55.972799999999999</v>
      </c>
      <c r="H143" s="6">
        <f t="shared" si="4"/>
        <v>439.49412000000001</v>
      </c>
      <c r="I143" s="1">
        <f>25</f>
        <v>25</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96" t="s">
        <v>332</v>
      </c>
      <c r="B144" s="97"/>
      <c r="C144" s="97"/>
      <c r="D144" s="97"/>
      <c r="E144" s="97"/>
      <c r="F144" s="97"/>
      <c r="G144" s="97"/>
      <c r="H144" s="98"/>
      <c r="I144" s="1"/>
      <c r="J144" s="1"/>
      <c r="K144" s="1"/>
      <c r="L144" s="1"/>
      <c r="M144" s="1"/>
      <c r="N144" s="1"/>
      <c r="O144" s="1"/>
      <c r="P144" s="1"/>
      <c r="Q144" s="1"/>
      <c r="R144" s="1"/>
      <c r="S144" s="1"/>
      <c r="T144" s="23" t="str">
        <f t="shared" ref="T144:T150" ca="1" si="7">U144&amp;""&amp;",..,"&amp;""&amp;V144</f>
        <v>2701,..,3001</v>
      </c>
      <c r="U144" s="23">
        <f ca="1">(SUMPRODUCT(MID(0&amp;(LEFT(A144,SUM(LEN(A144)-LEN(SUBSTITUTE(A144,{"0","1","2","3"},""))))), LARGE(INDEX(ISNUMBER(--MID((LEFT(A144,SUM(LEN(A144)-LEN(SUBSTITUTE(A144,{"0","1","2","3"},""))))), ROW(INDIRECT("1:"&amp;LEN((LEFT(A144,SUM(LEN(A144)-LEN(SUBSTITUTE(A144,{"0","1","2","3"},"")))))))), 1)) * ROW(INDIRECT("1:"&amp;LEN((LEFT(A144,SUM(LEN(A144)-LEN(SUBSTITUTE(A144,{"0","1","2","3"},"")))))))), 0), ROW(INDIRECT("1:"&amp;LEN((LEFT(A144,SUM(LEN(A144)-LEN(SUBSTITUTE(A144,{"0","1","2","3"},"")))))))))+1, 1) * 10^ROW(INDIRECT("1:"&amp;LEN((LEFT(A144,SUM(LEN(A144)-LEN(SUBSTITUTE(A144,{"0","1","2","3"},""))))))))/10))*100+1</f>
        <v>2701</v>
      </c>
      <c r="V144" s="23">
        <f ca="1">(SUMPRODUCT(MID(0&amp;(--TRIM(RIGHT(SUBSTITUTE(LEFT(A144,_xlfn.AGGREGATE(16,6,FIND({0,1,2,3,4,5,6,7,8,9},A144,ROW(INDIRECT("1:"&amp;LEN(A144)))),1)),"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3001</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9">
        <v>1</v>
      </c>
      <c r="B145" s="89"/>
      <c r="C145" s="6" t="s">
        <v>88</v>
      </c>
      <c r="D145" s="6" t="s">
        <v>331</v>
      </c>
      <c r="E145" s="6">
        <f>(35.66)*(10.764)</f>
        <v>383.84423999999996</v>
      </c>
      <c r="F145" s="6">
        <v>0</v>
      </c>
      <c r="G145" s="6">
        <v>0</v>
      </c>
      <c r="H145" s="6">
        <f>E145+F145+(IF(G145&lt;101,G145,IF(G145&lt;201,G145/2,IF(G145&lt;=301,G145/3,G145/4))))</f>
        <v>383.84423999999996</v>
      </c>
      <c r="I145" s="1">
        <f>8900000/H145</f>
        <v>23186.488352671389</v>
      </c>
      <c r="J145" s="1"/>
      <c r="K145" s="1"/>
      <c r="L145" s="1"/>
      <c r="M145" s="1"/>
      <c r="N145" s="1"/>
      <c r="O145" s="1"/>
      <c r="P145" s="1"/>
      <c r="Q145" s="1"/>
      <c r="R145" s="1"/>
      <c r="S145" s="1"/>
      <c r="T145" s="23" t="str">
        <f t="shared" ca="1" si="7"/>
        <v>2702,..,3002</v>
      </c>
      <c r="U145" s="23">
        <f ca="1">U144+1</f>
        <v>2702</v>
      </c>
      <c r="V145" s="23">
        <f ca="1">V144+1</f>
        <v>3002</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9">
        <v>2</v>
      </c>
      <c r="B146" s="89"/>
      <c r="C146" s="6" t="s">
        <v>88</v>
      </c>
      <c r="D146" s="6" t="s">
        <v>331</v>
      </c>
      <c r="E146" s="6">
        <f>(38.31)*(10.764)</f>
        <v>412.36883999999998</v>
      </c>
      <c r="F146" s="6">
        <v>0</v>
      </c>
      <c r="G146" s="6">
        <v>0</v>
      </c>
      <c r="H146" s="6">
        <f t="shared" ref="H146:H151" si="8">E146+F146+(IF(G146&lt;101,G146,IF(G146&lt;201,G146/2,IF(G146&lt;=301,G146/3,G146/4))))</f>
        <v>412.36883999999998</v>
      </c>
      <c r="I146" s="1"/>
      <c r="J146" s="1"/>
      <c r="K146" s="1"/>
      <c r="L146" s="1"/>
      <c r="M146" s="1"/>
      <c r="N146" s="1"/>
      <c r="O146" s="1"/>
      <c r="P146" s="1"/>
      <c r="Q146" s="1"/>
      <c r="R146" s="1"/>
      <c r="S146" s="1"/>
      <c r="T146" s="23" t="str">
        <f t="shared" ca="1" si="7"/>
        <v>2703,..,3003</v>
      </c>
      <c r="U146" s="23">
        <f t="shared" ref="U146:U150" ca="1" si="9">U145+1</f>
        <v>2703</v>
      </c>
      <c r="V146" s="23">
        <f t="shared" ref="V146:V150" ca="1" si="10">V145+1</f>
        <v>3003</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9">
        <v>3</v>
      </c>
      <c r="B147" s="89"/>
      <c r="C147" s="6" t="s">
        <v>88</v>
      </c>
      <c r="D147" s="6" t="s">
        <v>331</v>
      </c>
      <c r="E147" s="6">
        <f>(38.31)*(10.764)</f>
        <v>412.36883999999998</v>
      </c>
      <c r="F147" s="6">
        <v>0</v>
      </c>
      <c r="G147" s="6">
        <v>0</v>
      </c>
      <c r="H147" s="6">
        <f t="shared" si="8"/>
        <v>412.36883999999998</v>
      </c>
      <c r="I147" s="1"/>
      <c r="J147" s="1"/>
      <c r="K147" s="1"/>
      <c r="L147" s="1"/>
      <c r="M147" s="1"/>
      <c r="N147" s="1"/>
      <c r="O147" s="1"/>
      <c r="P147" s="1"/>
      <c r="Q147" s="1"/>
      <c r="R147" s="1"/>
      <c r="S147" s="1"/>
      <c r="T147" s="23" t="str">
        <f t="shared" ca="1" si="7"/>
        <v>2704,..,3004</v>
      </c>
      <c r="U147" s="23">
        <f t="shared" ca="1" si="9"/>
        <v>2704</v>
      </c>
      <c r="V147" s="23">
        <f t="shared" ca="1" si="10"/>
        <v>3004</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89">
        <v>4</v>
      </c>
      <c r="B148" s="89"/>
      <c r="C148" s="6" t="s">
        <v>88</v>
      </c>
      <c r="D148" s="6" t="s">
        <v>331</v>
      </c>
      <c r="E148" s="6">
        <f t="shared" ref="E148:E149" si="11">(38.31)*(10.764)</f>
        <v>412.36883999999998</v>
      </c>
      <c r="F148" s="6">
        <v>0</v>
      </c>
      <c r="G148" s="6">
        <v>0</v>
      </c>
      <c r="H148" s="6">
        <f t="shared" si="8"/>
        <v>412.36883999999998</v>
      </c>
      <c r="I148" s="1"/>
      <c r="J148" s="1"/>
      <c r="K148" s="1"/>
      <c r="L148" s="1"/>
      <c r="M148" s="1"/>
      <c r="N148" s="1"/>
      <c r="O148" s="1"/>
      <c r="P148" s="1"/>
      <c r="Q148" s="1"/>
      <c r="R148" s="1"/>
      <c r="S148" s="1"/>
      <c r="T148" s="23" t="str">
        <f t="shared" ca="1" si="7"/>
        <v>2705,..,3005</v>
      </c>
      <c r="U148" s="23">
        <f t="shared" ca="1" si="9"/>
        <v>2705</v>
      </c>
      <c r="V148" s="23">
        <f t="shared" ca="1" si="10"/>
        <v>3005</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89">
        <v>5</v>
      </c>
      <c r="B149" s="89"/>
      <c r="C149" s="6" t="s">
        <v>88</v>
      </c>
      <c r="D149" s="6" t="s">
        <v>331</v>
      </c>
      <c r="E149" s="6">
        <f t="shared" si="11"/>
        <v>412.36883999999998</v>
      </c>
      <c r="F149" s="6">
        <v>0</v>
      </c>
      <c r="G149" s="6">
        <v>0</v>
      </c>
      <c r="H149" s="6">
        <f t="shared" si="8"/>
        <v>412.36883999999998</v>
      </c>
      <c r="I149" s="1"/>
      <c r="J149" s="1"/>
      <c r="K149" s="1"/>
      <c r="L149" s="1"/>
      <c r="M149" s="1"/>
      <c r="N149" s="1"/>
      <c r="O149" s="1"/>
      <c r="P149" s="1"/>
      <c r="Q149" s="1"/>
      <c r="R149" s="1"/>
      <c r="S149" s="1"/>
      <c r="T149" s="23" t="str">
        <f t="shared" ca="1" si="7"/>
        <v>2706,..,3006</v>
      </c>
      <c r="U149" s="23">
        <f t="shared" ca="1" si="9"/>
        <v>2706</v>
      </c>
      <c r="V149" s="23">
        <f t="shared" ca="1" si="10"/>
        <v>3006</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89">
        <v>6</v>
      </c>
      <c r="B150" s="89"/>
      <c r="C150" s="6" t="s">
        <v>88</v>
      </c>
      <c r="D150" s="6" t="s">
        <v>331</v>
      </c>
      <c r="E150" s="6">
        <f>(35.63)*(10.764)</f>
        <v>383.52132</v>
      </c>
      <c r="F150" s="6">
        <v>0</v>
      </c>
      <c r="G150" s="6">
        <v>0</v>
      </c>
      <c r="H150" s="6">
        <f t="shared" si="8"/>
        <v>383.52132</v>
      </c>
      <c r="I150" s="1"/>
      <c r="J150" s="1"/>
      <c r="K150" s="1"/>
      <c r="L150" s="1"/>
      <c r="M150" s="1"/>
      <c r="N150" s="1"/>
      <c r="O150" s="1"/>
      <c r="P150" s="1"/>
      <c r="Q150" s="1"/>
      <c r="R150" s="1"/>
      <c r="S150" s="1"/>
      <c r="T150" s="23" t="str">
        <f t="shared" ca="1" si="7"/>
        <v>2707,..,3007</v>
      </c>
      <c r="U150" s="23">
        <f t="shared" ca="1" si="9"/>
        <v>2707</v>
      </c>
      <c r="V150" s="23">
        <f t="shared" ca="1" si="10"/>
        <v>3007</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89">
        <v>7</v>
      </c>
      <c r="B151" s="89"/>
      <c r="C151" s="6" t="s">
        <v>88</v>
      </c>
      <c r="D151" s="6" t="s">
        <v>331</v>
      </c>
      <c r="E151" s="6">
        <f>(35.63)*(10.764)</f>
        <v>383.52132</v>
      </c>
      <c r="F151" s="6">
        <v>0</v>
      </c>
      <c r="G151" s="6">
        <v>0</v>
      </c>
      <c r="H151" s="6">
        <f t="shared" si="8"/>
        <v>383.52132</v>
      </c>
      <c r="I151" s="1">
        <f>3</f>
        <v>3</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6" t="s">
        <v>333</v>
      </c>
      <c r="B152" s="97"/>
      <c r="C152" s="97"/>
      <c r="D152" s="97"/>
      <c r="E152" s="97"/>
      <c r="F152" s="97"/>
      <c r="G152" s="97"/>
      <c r="H152" s="98"/>
      <c r="I152" s="1"/>
      <c r="J152" s="1"/>
      <c r="K152" s="1"/>
      <c r="L152" s="1"/>
      <c r="M152" s="1"/>
      <c r="N152" s="1"/>
      <c r="O152" s="1"/>
      <c r="P152" s="1"/>
      <c r="Q152" s="1"/>
      <c r="R152" s="1"/>
      <c r="S152" s="1"/>
      <c r="T152" s="23" t="str">
        <f t="shared" ref="T152:T158" ca="1" si="12">U152&amp;""&amp;",..,"&amp;""&amp;V152</f>
        <v>801,..,2201</v>
      </c>
      <c r="U152" s="23">
        <f ca="1">(SUMPRODUCT(MID(0&amp;(LEFT(A152,SUM(LEN(A152)-LEN(SUBSTITUTE(A152,{"0","1","2","3"},""))))), LARGE(INDEX(ISNUMBER(--MID((LEFT(A152,SUM(LEN(A152)-LEN(SUBSTITUTE(A152,{"0","1","2","3"},""))))), ROW(INDIRECT("1:"&amp;LEN((LEFT(A152,SUM(LEN(A152)-LEN(SUBSTITUTE(A152,{"0","1","2","3"},"")))))))), 1)) * ROW(INDIRECT("1:"&amp;LEN((LEFT(A152,SUM(LEN(A152)-LEN(SUBSTITUTE(A152,{"0","1","2","3"},"")))))))), 0), ROW(INDIRECT("1:"&amp;LEN((LEFT(A152,SUM(LEN(A152)-LEN(SUBSTITUTE(A152,{"0","1","2","3"},"")))))))))+1, 1) * 10^ROW(INDIRECT("1:"&amp;LEN((LEFT(A152,SUM(LEN(A152)-LEN(SUBSTITUTE(A152,{"0","1","2","3"},""))))))))/10))*100+1</f>
        <v>801</v>
      </c>
      <c r="V152" s="23">
        <f ca="1">(SUMPRODUCT(MID(0&amp;(--TRIM(RIGHT(SUBSTITUTE(LEFT(A152,_xlfn.AGGREGATE(16,6,FIND({0,1,2,3,4,5,6,7,8,9},A152,ROW(INDIRECT("1:"&amp;LEN(A152)))),1)),"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2201</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89">
        <v>1</v>
      </c>
      <c r="B153" s="89"/>
      <c r="C153" s="6" t="s">
        <v>88</v>
      </c>
      <c r="D153" s="6" t="s">
        <v>331</v>
      </c>
      <c r="E153" s="6">
        <f>(35.66)*(10.764)</f>
        <v>383.84423999999996</v>
      </c>
      <c r="F153" s="6">
        <v>0</v>
      </c>
      <c r="G153" s="6">
        <v>0</v>
      </c>
      <c r="H153" s="6">
        <f>E153+F153+(IF(G153&lt;101,G153,IF(G153&lt;201,G153/2,IF(G153&lt;=301,G153/3,G153/4))))</f>
        <v>383.84423999999996</v>
      </c>
      <c r="I153" s="1"/>
      <c r="J153" s="1"/>
      <c r="K153" s="1"/>
      <c r="L153" s="1"/>
      <c r="M153" s="1"/>
      <c r="N153" s="1"/>
      <c r="O153" s="1"/>
      <c r="P153" s="1"/>
      <c r="Q153" s="1"/>
      <c r="R153" s="1"/>
      <c r="S153" s="1"/>
      <c r="T153" s="23" t="str">
        <f t="shared" ca="1" si="12"/>
        <v>802,..,2202</v>
      </c>
      <c r="U153" s="23">
        <f ca="1">U152+1</f>
        <v>802</v>
      </c>
      <c r="V153" s="23">
        <f ca="1">V152+1</f>
        <v>2202</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9">
        <v>2</v>
      </c>
      <c r="B154" s="89"/>
      <c r="C154" s="185" t="s">
        <v>334</v>
      </c>
      <c r="D154" s="186"/>
      <c r="E154" s="186"/>
      <c r="F154" s="186"/>
      <c r="G154" s="186"/>
      <c r="H154" s="187"/>
      <c r="I154" s="1"/>
      <c r="J154" s="1"/>
      <c r="K154" s="1"/>
      <c r="L154" s="1"/>
      <c r="M154" s="1"/>
      <c r="N154" s="1"/>
      <c r="O154" s="1"/>
      <c r="P154" s="1"/>
      <c r="Q154" s="1"/>
      <c r="R154" s="1"/>
      <c r="S154" s="1"/>
      <c r="T154" s="23" t="str">
        <f t="shared" ca="1" si="12"/>
        <v>803,..,2203</v>
      </c>
      <c r="U154" s="23">
        <f t="shared" ref="U154:V158" ca="1" si="13">U153+1</f>
        <v>803</v>
      </c>
      <c r="V154" s="23">
        <f t="shared" ca="1" si="13"/>
        <v>2203</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89">
        <v>3</v>
      </c>
      <c r="B155" s="89"/>
      <c r="C155" s="188"/>
      <c r="D155" s="189"/>
      <c r="E155" s="189"/>
      <c r="F155" s="189"/>
      <c r="G155" s="189"/>
      <c r="H155" s="190"/>
      <c r="I155" s="1"/>
      <c r="J155" s="1"/>
      <c r="K155" s="1"/>
      <c r="L155" s="1"/>
      <c r="M155" s="1"/>
      <c r="N155" s="1"/>
      <c r="O155" s="1"/>
      <c r="P155" s="1"/>
      <c r="Q155" s="1"/>
      <c r="R155" s="1"/>
      <c r="S155" s="1"/>
      <c r="T155" s="23" t="str">
        <f t="shared" ca="1" si="12"/>
        <v>804,..,2204</v>
      </c>
      <c r="U155" s="23">
        <f t="shared" ca="1" si="13"/>
        <v>804</v>
      </c>
      <c r="V155" s="23">
        <f t="shared" ca="1" si="13"/>
        <v>2204</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9">
        <v>4</v>
      </c>
      <c r="B156" s="89"/>
      <c r="C156" s="6" t="s">
        <v>88</v>
      </c>
      <c r="D156" s="6" t="s">
        <v>331</v>
      </c>
      <c r="E156" s="6">
        <f t="shared" ref="E156:E157" si="14">(38.31)*(10.764)</f>
        <v>412.36883999999998</v>
      </c>
      <c r="F156" s="6">
        <v>0</v>
      </c>
      <c r="G156" s="6">
        <v>0</v>
      </c>
      <c r="H156" s="6">
        <f t="shared" ref="H156:H159" si="15">E156+F156+(IF(G156&lt;101,G156,IF(G156&lt;201,G156/2,IF(G156&lt;=301,G156/3,G156/4))))</f>
        <v>412.36883999999998</v>
      </c>
      <c r="I156" s="1"/>
      <c r="J156" s="1"/>
      <c r="K156" s="1"/>
      <c r="L156" s="1"/>
      <c r="M156" s="1"/>
      <c r="N156" s="1"/>
      <c r="O156" s="1"/>
      <c r="P156" s="1"/>
      <c r="Q156" s="1"/>
      <c r="R156" s="1"/>
      <c r="S156" s="1"/>
      <c r="T156" s="23" t="str">
        <f t="shared" ca="1" si="12"/>
        <v>805,..,2205</v>
      </c>
      <c r="U156" s="23">
        <f t="shared" ca="1" si="13"/>
        <v>805</v>
      </c>
      <c r="V156" s="23">
        <f t="shared" ca="1" si="13"/>
        <v>2205</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9">
        <v>5</v>
      </c>
      <c r="B157" s="89"/>
      <c r="C157" s="6" t="s">
        <v>88</v>
      </c>
      <c r="D157" s="6" t="s">
        <v>331</v>
      </c>
      <c r="E157" s="6">
        <f t="shared" si="14"/>
        <v>412.36883999999998</v>
      </c>
      <c r="F157" s="6">
        <v>0</v>
      </c>
      <c r="G157" s="6">
        <v>0</v>
      </c>
      <c r="H157" s="6">
        <f t="shared" si="15"/>
        <v>412.36883999999998</v>
      </c>
      <c r="I157" s="1"/>
      <c r="J157" s="1"/>
      <c r="K157" s="1"/>
      <c r="L157" s="1"/>
      <c r="M157" s="1"/>
      <c r="N157" s="1"/>
      <c r="O157" s="1"/>
      <c r="P157" s="1"/>
      <c r="Q157" s="1"/>
      <c r="R157" s="1"/>
      <c r="S157" s="1"/>
      <c r="T157" s="23" t="str">
        <f t="shared" ca="1" si="12"/>
        <v>806,..,2206</v>
      </c>
      <c r="U157" s="23">
        <f t="shared" ca="1" si="13"/>
        <v>806</v>
      </c>
      <c r="V157" s="23">
        <f t="shared" ca="1" si="13"/>
        <v>2206</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9">
        <v>6</v>
      </c>
      <c r="B158" s="89"/>
      <c r="C158" s="6" t="s">
        <v>88</v>
      </c>
      <c r="D158" s="6" t="s">
        <v>331</v>
      </c>
      <c r="E158" s="6">
        <f>(35.63)*(10.764)</f>
        <v>383.52132</v>
      </c>
      <c r="F158" s="6">
        <v>0</v>
      </c>
      <c r="G158" s="6">
        <v>0</v>
      </c>
      <c r="H158" s="6">
        <f t="shared" si="15"/>
        <v>383.52132</v>
      </c>
      <c r="I158" s="1"/>
      <c r="J158" s="1"/>
      <c r="K158" s="1"/>
      <c r="L158" s="1"/>
      <c r="M158" s="1"/>
      <c r="N158" s="1"/>
      <c r="O158" s="1"/>
      <c r="P158" s="1"/>
      <c r="Q158" s="1"/>
      <c r="R158" s="1"/>
      <c r="S158" s="1"/>
      <c r="T158" s="23" t="str">
        <f t="shared" ca="1" si="12"/>
        <v>807,..,2207</v>
      </c>
      <c r="U158" s="23">
        <f t="shared" ca="1" si="13"/>
        <v>807</v>
      </c>
      <c r="V158" s="23">
        <f t="shared" ca="1" si="13"/>
        <v>2207</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89">
        <v>7</v>
      </c>
      <c r="B159" s="89"/>
      <c r="C159" s="6" t="s">
        <v>88</v>
      </c>
      <c r="D159" s="6" t="s">
        <v>331</v>
      </c>
      <c r="E159" s="6">
        <f>(35.63)*(10.764)</f>
        <v>383.52132</v>
      </c>
      <c r="F159" s="6">
        <v>0</v>
      </c>
      <c r="G159" s="6">
        <v>0</v>
      </c>
      <c r="H159" s="6">
        <f t="shared" si="15"/>
        <v>383.52132</v>
      </c>
      <c r="I159" s="1">
        <f>1</f>
        <v>1</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96" t="s">
        <v>335</v>
      </c>
      <c r="B160" s="97"/>
      <c r="C160" s="97"/>
      <c r="D160" s="97"/>
      <c r="E160" s="97"/>
      <c r="F160" s="97"/>
      <c r="G160" s="97"/>
      <c r="H160" s="98"/>
      <c r="I160" s="1"/>
      <c r="J160" s="1"/>
      <c r="K160" s="1"/>
      <c r="L160" s="1"/>
      <c r="M160" s="1"/>
      <c r="N160" s="1"/>
      <c r="O160" s="1"/>
      <c r="P160" s="1"/>
      <c r="Q160" s="1"/>
      <c r="R160" s="1"/>
      <c r="S160" s="1"/>
      <c r="T160" s="23" t="str">
        <f t="shared" ref="T160:T166" ca="1" si="16">U160&amp;""&amp;",..,"&amp;""&amp;V160</f>
        <v>201,..,2901</v>
      </c>
      <c r="U160" s="23">
        <f ca="1">(SUMPRODUCT(MID(0&amp;(LEFT(A160,SUM(LEN(A160)-LEN(SUBSTITUTE(A160,{"0","1","2","3"},""))))), LARGE(INDEX(ISNUMBER(--MID((LEFT(A160,SUM(LEN(A160)-LEN(SUBSTITUTE(A160,{"0","1","2","3"},""))))), ROW(INDIRECT("1:"&amp;LEN((LEFT(A160,SUM(LEN(A160)-LEN(SUBSTITUTE(A160,{"0","1","2","3"},"")))))))), 1)) * ROW(INDIRECT("1:"&amp;LEN((LEFT(A160,SUM(LEN(A160)-LEN(SUBSTITUTE(A160,{"0","1","2","3"},"")))))))), 0), ROW(INDIRECT("1:"&amp;LEN((LEFT(A160,SUM(LEN(A160)-LEN(SUBSTITUTE(A160,{"0","1","2","3"},"")))))))))+1, 1) * 10^ROW(INDIRECT("1:"&amp;LEN((LEFT(A160,SUM(LEN(A160)-LEN(SUBSTITUTE(A160,{"0","1","2","3"},""))))))))/10))*100+1</f>
        <v>201</v>
      </c>
      <c r="V160" s="23">
        <f ca="1">(SUMPRODUCT(MID(0&amp;(--TRIM(RIGHT(SUBSTITUTE(LEFT(A160,_xlfn.AGGREGATE(16,6,FIND({0,1,2,3,4,5,6,7,8,9},A160,ROW(INDIRECT("1:"&amp;LEN(A160)))),1)),"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",LEN(A160))),LEN(A160)))))))/10))*100+1</f>
        <v>2901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89">
        <v>1</v>
      </c>
      <c r="B161" s="89"/>
      <c r="C161" s="6" t="s">
        <v>88</v>
      </c>
      <c r="D161" s="6" t="s">
        <v>331</v>
      </c>
      <c r="E161" s="6">
        <f>(35.66)*(10.764)</f>
        <v>383.84423999999996</v>
      </c>
      <c r="F161" s="6">
        <v>0</v>
      </c>
      <c r="G161" s="6">
        <v>0</v>
      </c>
      <c r="H161" s="6">
        <f>E161+F161+(IF(G161&lt;101,G161,IF(G161&lt;201,G161/2,IF(G161&lt;=301,G161/3,G161/4))))</f>
        <v>383.84423999999996</v>
      </c>
      <c r="I161" s="1"/>
      <c r="J161" s="1"/>
      <c r="K161" s="1"/>
      <c r="L161" s="1"/>
      <c r="M161" s="1"/>
      <c r="N161" s="1"/>
      <c r="O161" s="1"/>
      <c r="P161" s="1"/>
      <c r="Q161" s="1"/>
      <c r="R161" s="1"/>
      <c r="S161" s="1"/>
      <c r="T161" s="23" t="str">
        <f t="shared" ca="1" si="16"/>
        <v>202,..,2902</v>
      </c>
      <c r="U161" s="23">
        <f ca="1">U160+1</f>
        <v>202</v>
      </c>
      <c r="V161" s="23">
        <f ca="1">V160+1</f>
        <v>2902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9">
        <v>2</v>
      </c>
      <c r="B162" s="89"/>
      <c r="C162" s="191" t="s">
        <v>334</v>
      </c>
      <c r="D162" s="192"/>
      <c r="E162" s="192"/>
      <c r="F162" s="192"/>
      <c r="G162" s="192"/>
      <c r="H162" s="193"/>
      <c r="I162" s="1"/>
      <c r="J162" s="1"/>
      <c r="K162" s="1"/>
      <c r="L162" s="1"/>
      <c r="M162" s="1"/>
      <c r="N162" s="1"/>
      <c r="O162" s="1"/>
      <c r="P162" s="1"/>
      <c r="Q162" s="1"/>
      <c r="R162" s="1"/>
      <c r="S162" s="1"/>
      <c r="T162" s="23" t="str">
        <f t="shared" ca="1" si="16"/>
        <v>203,..,2903</v>
      </c>
      <c r="U162" s="23">
        <f t="shared" ref="U162:V166" ca="1" si="17">U161+1</f>
        <v>203</v>
      </c>
      <c r="V162" s="23">
        <f t="shared" ca="1" si="17"/>
        <v>2903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89">
        <v>3</v>
      </c>
      <c r="B163" s="89"/>
      <c r="C163" s="83" t="s">
        <v>88</v>
      </c>
      <c r="D163" s="83" t="s">
        <v>360</v>
      </c>
      <c r="E163" s="83">
        <f>(38.31+2.39*2.05)*(10.764)</f>
        <v>465.10705800000005</v>
      </c>
      <c r="F163" s="83">
        <v>0</v>
      </c>
      <c r="G163" s="83">
        <v>0</v>
      </c>
      <c r="H163" s="83">
        <f t="shared" ref="H163:H167" si="18">E163+F163+(IF(G163&lt;101,G163,IF(G163&lt;201,G163/2,IF(G163&lt;=301,G163/3,G163/4))))</f>
        <v>465.10705800000005</v>
      </c>
      <c r="I163" s="1">
        <f>2.39*2.05*(10.764)</f>
        <v>52.738217999999996</v>
      </c>
      <c r="J163" s="1"/>
      <c r="K163" s="1"/>
      <c r="L163" s="1"/>
      <c r="M163" s="1"/>
      <c r="N163" s="1"/>
      <c r="O163" s="1"/>
      <c r="P163" s="1"/>
      <c r="Q163" s="1"/>
      <c r="R163" s="1"/>
      <c r="S163" s="1"/>
      <c r="T163" s="23" t="str">
        <f t="shared" ca="1" si="16"/>
        <v>204,..,2904</v>
      </c>
      <c r="U163" s="23">
        <f t="shared" ca="1" si="17"/>
        <v>204</v>
      </c>
      <c r="V163" s="23">
        <f t="shared" ca="1" si="17"/>
        <v>2904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9">
        <v>4</v>
      </c>
      <c r="B164" s="89"/>
      <c r="C164" s="83" t="s">
        <v>88</v>
      </c>
      <c r="D164" s="83" t="s">
        <v>331</v>
      </c>
      <c r="E164" s="83">
        <f t="shared" ref="E164:E165" si="19">(38.31)*(10.764)</f>
        <v>412.36883999999998</v>
      </c>
      <c r="F164" s="83">
        <v>0</v>
      </c>
      <c r="G164" s="83">
        <v>0</v>
      </c>
      <c r="H164" s="83">
        <f t="shared" si="18"/>
        <v>412.36883999999998</v>
      </c>
      <c r="I164" s="1"/>
      <c r="J164" s="1"/>
      <c r="K164" s="1"/>
      <c r="L164" s="1"/>
      <c r="M164" s="1"/>
      <c r="N164" s="1"/>
      <c r="O164" s="1"/>
      <c r="P164" s="1"/>
      <c r="Q164" s="1"/>
      <c r="R164" s="1"/>
      <c r="S164" s="1"/>
      <c r="T164" s="23" t="str">
        <f t="shared" ca="1" si="16"/>
        <v>205,..,2905</v>
      </c>
      <c r="U164" s="23">
        <f t="shared" ca="1" si="17"/>
        <v>205</v>
      </c>
      <c r="V164" s="23">
        <f t="shared" ca="1" si="17"/>
        <v>2905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89">
        <v>5</v>
      </c>
      <c r="B165" s="89"/>
      <c r="C165" s="83" t="s">
        <v>88</v>
      </c>
      <c r="D165" s="83" t="s">
        <v>331</v>
      </c>
      <c r="E165" s="83">
        <f t="shared" si="19"/>
        <v>412.36883999999998</v>
      </c>
      <c r="F165" s="83">
        <v>0</v>
      </c>
      <c r="G165" s="83">
        <v>0</v>
      </c>
      <c r="H165" s="83">
        <f t="shared" si="18"/>
        <v>412.36883999999998</v>
      </c>
      <c r="I165" s="1"/>
      <c r="J165" s="1"/>
      <c r="K165" s="1"/>
      <c r="L165" s="1"/>
      <c r="M165" s="1"/>
      <c r="N165" s="1"/>
      <c r="O165" s="1"/>
      <c r="P165" s="1"/>
      <c r="Q165" s="1"/>
      <c r="R165" s="1"/>
      <c r="S165" s="1"/>
      <c r="T165" s="23" t="str">
        <f t="shared" ca="1" si="16"/>
        <v>206,..,2906</v>
      </c>
      <c r="U165" s="23">
        <f t="shared" ca="1" si="17"/>
        <v>206</v>
      </c>
      <c r="V165" s="23">
        <f t="shared" ca="1" si="17"/>
        <v>2906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89">
        <v>6</v>
      </c>
      <c r="B166" s="89"/>
      <c r="C166" s="83" t="s">
        <v>88</v>
      </c>
      <c r="D166" s="83" t="s">
        <v>331</v>
      </c>
      <c r="E166" s="83">
        <f>(35.63)*(10.764)</f>
        <v>383.52132</v>
      </c>
      <c r="F166" s="83">
        <v>0</v>
      </c>
      <c r="G166" s="83">
        <v>0</v>
      </c>
      <c r="H166" s="83">
        <f t="shared" si="18"/>
        <v>383.52132</v>
      </c>
      <c r="I166" s="1"/>
      <c r="J166" s="1"/>
      <c r="K166" s="1"/>
      <c r="L166" s="1"/>
      <c r="M166" s="1"/>
      <c r="N166" s="1"/>
      <c r="O166" s="1"/>
      <c r="P166" s="1"/>
      <c r="Q166" s="1"/>
      <c r="R166" s="1"/>
      <c r="S166" s="1"/>
      <c r="T166" s="23" t="str">
        <f t="shared" ca="1" si="16"/>
        <v>207,..,2907</v>
      </c>
      <c r="U166" s="23">
        <f t="shared" ca="1" si="17"/>
        <v>207</v>
      </c>
      <c r="V166" s="23">
        <f t="shared" ca="1" si="17"/>
        <v>2907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70" customFormat="1" ht="20.25" x14ac:dyDescent="0.3">
      <c r="A167" s="89">
        <v>7</v>
      </c>
      <c r="B167" s="89"/>
      <c r="C167" s="6" t="s">
        <v>88</v>
      </c>
      <c r="D167" s="6" t="s">
        <v>331</v>
      </c>
      <c r="E167" s="6">
        <f>(35.63)*(10.764)</f>
        <v>383.52132</v>
      </c>
      <c r="F167" s="6">
        <v>0</v>
      </c>
      <c r="G167" s="6">
        <v>0</v>
      </c>
      <c r="H167" s="6">
        <f t="shared" si="18"/>
        <v>383.52132</v>
      </c>
    </row>
    <row r="168" spans="1:150 16226:16383" s="3" customFormat="1" ht="20.25" x14ac:dyDescent="0.25">
      <c r="A168" s="93" t="s">
        <v>316</v>
      </c>
      <c r="B168" s="94"/>
      <c r="C168" s="94"/>
      <c r="D168" s="94"/>
      <c r="E168" s="94"/>
      <c r="F168" s="94"/>
      <c r="G168" s="94"/>
      <c r="H168" s="95"/>
      <c r="I168" s="1">
        <f>1</f>
        <v>1</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90" t="s">
        <v>357</v>
      </c>
      <c r="B169" s="91"/>
      <c r="C169" s="91"/>
      <c r="D169" s="91"/>
      <c r="E169" s="91"/>
      <c r="F169" s="91"/>
      <c r="G169" s="91"/>
      <c r="H169" s="92"/>
      <c r="I169" s="1"/>
      <c r="J169" s="1"/>
      <c r="K169" s="1"/>
      <c r="L169" s="1"/>
      <c r="M169" s="1"/>
      <c r="N169" s="1"/>
      <c r="O169" s="1"/>
      <c r="P169" s="1"/>
      <c r="Q169" s="1"/>
      <c r="R169" s="1"/>
      <c r="S169" s="1"/>
      <c r="T169" s="23" t="str">
        <f t="shared" ref="T169:T175" ca="1" si="20">U169&amp;""&amp;",..,"&amp;""&amp;V169</f>
        <v>101,..,101</v>
      </c>
      <c r="U169" s="23">
        <f ca="1">(SUMPRODUCT(MID(0&amp;(LEFT(A169,SUM(LEN(A169)-LEN(SUBSTITUTE(A169,{"0","1","2","3"},""))))), LARGE(INDEX(ISNUMBER(--MID((LEFT(A169,SUM(LEN(A169)-LEN(SUBSTITUTE(A169,{"0","1","2","3"},""))))), ROW(INDIRECT("1:"&amp;LEN((LEFT(A169,SUM(LEN(A169)-LEN(SUBSTITUTE(A169,{"0","1","2","3"},"")))))))), 1)) * ROW(INDIRECT("1:"&amp;LEN((LEFT(A169,SUM(LEN(A169)-LEN(SUBSTITUTE(A169,{"0","1","2","3"},"")))))))), 0), ROW(INDIRECT("1:"&amp;LEN((LEFT(A169,SUM(LEN(A169)-LEN(SUBSTITUTE(A169,{"0","1","2","3"},"")))))))))+1, 1) * 10^ROW(INDIRECT("1:"&amp;LEN((LEFT(A169,SUM(LEN(A169)-LEN(SUBSTITUTE(A169,{"0","1","2","3"},""))))))))/10))*100+1</f>
        <v>101</v>
      </c>
      <c r="V169" s="23">
        <f ca="1">(SUMPRODUCT(MID(0&amp;(--TRIM(RIGHT(SUBSTITUTE(LEFT(A169,_xlfn.AGGREGATE(16,6,FIND({0,1,2,3,4,5,6,7,8,9},A169,ROW(INDIRECT("1:"&amp;LEN(A169)))),1)),"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",LEN(A169))),LEN(A169)))))))/10))*100+1</f>
        <v>101</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89">
        <v>1</v>
      </c>
      <c r="B170" s="89"/>
      <c r="C170" s="6" t="s">
        <v>88</v>
      </c>
      <c r="D170" s="6" t="s">
        <v>331</v>
      </c>
      <c r="E170" s="6">
        <f>(35.56)*(10.764)</f>
        <v>382.76783999999998</v>
      </c>
      <c r="F170" s="6">
        <v>0</v>
      </c>
      <c r="G170" s="76">
        <v>0</v>
      </c>
      <c r="H170" s="6">
        <f>E170+F170+(IF(G170&lt;101,G170,IF(G170&lt;201,G170/2,IF(G170&lt;=301,G170/3,G170/4))))</f>
        <v>382.76783999999998</v>
      </c>
      <c r="I170" s="1"/>
      <c r="J170" s="1"/>
      <c r="K170" s="1"/>
      <c r="L170" s="1"/>
      <c r="M170" s="1"/>
      <c r="N170" s="1"/>
      <c r="O170" s="1"/>
      <c r="P170" s="1"/>
      <c r="Q170" s="1"/>
      <c r="R170" s="1"/>
      <c r="S170" s="1"/>
      <c r="T170" s="23" t="str">
        <f t="shared" ca="1" si="20"/>
        <v>102,..,102</v>
      </c>
      <c r="U170" s="23">
        <f ca="1">U169+1</f>
        <v>102</v>
      </c>
      <c r="V170" s="23">
        <f ca="1">V169+1</f>
        <v>102</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89">
        <v>2</v>
      </c>
      <c r="B171" s="89"/>
      <c r="C171" s="6" t="s">
        <v>88</v>
      </c>
      <c r="D171" s="6" t="s">
        <v>331</v>
      </c>
      <c r="E171" s="6">
        <f>(38.3)*(10.764)</f>
        <v>412.26119999999992</v>
      </c>
      <c r="F171" s="6">
        <v>0</v>
      </c>
      <c r="G171" s="76">
        <f>(2*2.6)*10.764</f>
        <v>55.972799999999999</v>
      </c>
      <c r="H171" s="6">
        <f t="shared" ref="H171:H176" si="21">E171+F171+(IF(G171&lt;101,G171,IF(G171&lt;201,G171/2,IF(G171&lt;=301,G171/3,G171/4))))</f>
        <v>468.23399999999992</v>
      </c>
      <c r="I171" s="1"/>
      <c r="J171" s="1"/>
      <c r="K171" s="1"/>
      <c r="L171" s="1"/>
      <c r="M171" s="1"/>
      <c r="N171" s="1"/>
      <c r="O171" s="1"/>
      <c r="P171" s="1"/>
      <c r="Q171" s="1"/>
      <c r="R171" s="1"/>
      <c r="S171" s="1"/>
      <c r="T171" s="23" t="str">
        <f t="shared" ca="1" si="20"/>
        <v>103,..,103</v>
      </c>
      <c r="U171" s="23">
        <f t="shared" ref="U171:V176" ca="1" si="22">U170+1</f>
        <v>103</v>
      </c>
      <c r="V171" s="23">
        <f t="shared" ca="1" si="22"/>
        <v>103</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89">
        <v>3</v>
      </c>
      <c r="B172" s="89"/>
      <c r="C172" s="6" t="s">
        <v>88</v>
      </c>
      <c r="D172" s="6" t="s">
        <v>331</v>
      </c>
      <c r="E172" s="6">
        <f t="shared" ref="E172:E173" si="23">(38.3)*(10.764)</f>
        <v>412.26119999999992</v>
      </c>
      <c r="F172" s="6">
        <v>0</v>
      </c>
      <c r="G172" s="76">
        <f>(2*2.6)*10.764</f>
        <v>55.972799999999999</v>
      </c>
      <c r="H172" s="6">
        <f t="shared" si="21"/>
        <v>468.23399999999992</v>
      </c>
      <c r="I172" s="1"/>
      <c r="J172" s="1"/>
      <c r="K172" s="1"/>
      <c r="L172" s="1"/>
      <c r="M172" s="1"/>
      <c r="N172" s="1"/>
      <c r="O172" s="1"/>
      <c r="P172" s="1"/>
      <c r="Q172" s="1"/>
      <c r="R172" s="1"/>
      <c r="S172" s="1"/>
      <c r="T172" s="23" t="str">
        <f t="shared" ca="1" si="20"/>
        <v>104,..,104</v>
      </c>
      <c r="U172" s="23">
        <f t="shared" ca="1" si="22"/>
        <v>104</v>
      </c>
      <c r="V172" s="23">
        <f t="shared" ca="1" si="22"/>
        <v>104</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89">
        <v>4</v>
      </c>
      <c r="B173" s="89"/>
      <c r="C173" s="6" t="s">
        <v>88</v>
      </c>
      <c r="D173" s="6" t="s">
        <v>331</v>
      </c>
      <c r="E173" s="6">
        <f t="shared" si="23"/>
        <v>412.26119999999992</v>
      </c>
      <c r="F173" s="6">
        <v>0</v>
      </c>
      <c r="G173" s="76">
        <f>(2*2.6)*10.764</f>
        <v>55.972799999999999</v>
      </c>
      <c r="H173" s="6">
        <f t="shared" si="21"/>
        <v>468.23399999999992</v>
      </c>
      <c r="I173" s="1"/>
      <c r="J173" s="1"/>
      <c r="K173" s="1"/>
      <c r="L173" s="1"/>
      <c r="M173" s="1"/>
      <c r="N173" s="1"/>
      <c r="O173" s="1"/>
      <c r="P173" s="1"/>
      <c r="Q173" s="1"/>
      <c r="R173" s="1"/>
      <c r="S173" s="1"/>
      <c r="T173" s="23" t="str">
        <f t="shared" ca="1" si="20"/>
        <v>105,..,105</v>
      </c>
      <c r="U173" s="23">
        <f t="shared" ca="1" si="22"/>
        <v>105</v>
      </c>
      <c r="V173" s="23">
        <f t="shared" ca="1" si="22"/>
        <v>105</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9">
        <v>5</v>
      </c>
      <c r="B174" s="89"/>
      <c r="C174" s="6" t="s">
        <v>88</v>
      </c>
      <c r="D174" s="6" t="s">
        <v>331</v>
      </c>
      <c r="E174" s="6">
        <f>(38.27)*(10.764)</f>
        <v>411.93828000000002</v>
      </c>
      <c r="F174" s="6">
        <v>0</v>
      </c>
      <c r="G174" s="76">
        <f>(2*2.6)*10.764</f>
        <v>55.972799999999999</v>
      </c>
      <c r="H174" s="6">
        <f t="shared" si="21"/>
        <v>467.91108000000003</v>
      </c>
      <c r="I174" s="1"/>
      <c r="J174" s="1"/>
      <c r="K174" s="1"/>
      <c r="L174" s="1"/>
      <c r="M174" s="1"/>
      <c r="N174" s="1"/>
      <c r="O174" s="1"/>
      <c r="P174" s="1"/>
      <c r="Q174" s="1"/>
      <c r="R174" s="1"/>
      <c r="S174" s="1"/>
      <c r="T174" s="23" t="str">
        <f t="shared" ca="1" si="20"/>
        <v>106,..,106</v>
      </c>
      <c r="U174" s="23">
        <f t="shared" ca="1" si="22"/>
        <v>106</v>
      </c>
      <c r="V174" s="23">
        <f t="shared" ca="1" si="22"/>
        <v>106</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89">
        <v>6</v>
      </c>
      <c r="B175" s="89"/>
      <c r="C175" s="6" t="s">
        <v>88</v>
      </c>
      <c r="D175" s="6" t="s">
        <v>331</v>
      </c>
      <c r="E175" s="6">
        <f>(38.27)*(10.764)</f>
        <v>411.93828000000002</v>
      </c>
      <c r="F175" s="6">
        <v>0</v>
      </c>
      <c r="G175" s="6">
        <f>(2*2.6)*10.764</f>
        <v>55.972799999999999</v>
      </c>
      <c r="H175" s="6">
        <f t="shared" si="21"/>
        <v>467.91108000000003</v>
      </c>
      <c r="I175" s="1"/>
      <c r="J175" s="1"/>
      <c r="K175" s="1"/>
      <c r="L175" s="1"/>
      <c r="M175" s="1"/>
      <c r="N175" s="1"/>
      <c r="O175" s="1"/>
      <c r="P175" s="1"/>
      <c r="Q175" s="1"/>
      <c r="R175" s="1"/>
      <c r="S175" s="1"/>
      <c r="T175" s="23" t="str">
        <f t="shared" ca="1" si="20"/>
        <v>107,..,107</v>
      </c>
      <c r="U175" s="23">
        <f t="shared" ca="1" si="22"/>
        <v>107</v>
      </c>
      <c r="V175" s="23">
        <f t="shared" ca="1" si="22"/>
        <v>107</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89">
        <v>7</v>
      </c>
      <c r="B176" s="89"/>
      <c r="C176" s="6" t="s">
        <v>88</v>
      </c>
      <c r="D176" s="6" t="s">
        <v>331</v>
      </c>
      <c r="E176" s="6">
        <f>35.56*(10.764)</f>
        <v>382.76783999999998</v>
      </c>
      <c r="F176" s="6">
        <v>0</v>
      </c>
      <c r="G176" s="6">
        <v>0</v>
      </c>
      <c r="H176" s="6">
        <f t="shared" si="21"/>
        <v>382.76783999999998</v>
      </c>
      <c r="I176" s="1"/>
      <c r="J176" s="1"/>
      <c r="K176" s="1"/>
      <c r="L176" s="1"/>
      <c r="M176" s="1"/>
      <c r="N176" s="1"/>
      <c r="O176" s="1"/>
      <c r="P176" s="1"/>
      <c r="Q176" s="1"/>
      <c r="R176" s="1"/>
      <c r="S176" s="1"/>
      <c r="T176" s="23" t="str">
        <f t="shared" ref="T176" ca="1" si="24">U176&amp;""&amp;",..,"&amp;""&amp;V176</f>
        <v>108,..,108</v>
      </c>
      <c r="U176" s="23">
        <f t="shared" ca="1" si="22"/>
        <v>108</v>
      </c>
      <c r="V176" s="23">
        <f t="shared" ca="1" si="22"/>
        <v>108</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89">
        <v>8</v>
      </c>
      <c r="B177" s="89"/>
      <c r="C177" s="6" t="s">
        <v>88</v>
      </c>
      <c r="D177" s="6" t="s">
        <v>331</v>
      </c>
      <c r="E177" s="6">
        <f>35.56*(10.764)</f>
        <v>382.76783999999998</v>
      </c>
      <c r="F177" s="6">
        <v>0</v>
      </c>
      <c r="G177" s="6">
        <f>(2*3)*10.764</f>
        <v>64.584000000000003</v>
      </c>
      <c r="H177" s="6">
        <f t="shared" ref="H177" si="25">E177+F177+(IF(G177&lt;101,G177,IF(G177&lt;201,G177/2,IF(G177&lt;=301,G177/3,G177/4))))</f>
        <v>447.35183999999998</v>
      </c>
      <c r="I177" s="1">
        <f>25</f>
        <v>25</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90" t="s">
        <v>359</v>
      </c>
      <c r="B178" s="91"/>
      <c r="C178" s="91"/>
      <c r="D178" s="91"/>
      <c r="E178" s="91"/>
      <c r="F178" s="91"/>
      <c r="G178" s="91"/>
      <c r="H178" s="92"/>
      <c r="I178" s="1"/>
      <c r="J178" s="1"/>
      <c r="K178" s="1"/>
      <c r="L178" s="1"/>
      <c r="M178" s="1"/>
      <c r="N178" s="1"/>
      <c r="O178" s="1"/>
      <c r="P178" s="1"/>
      <c r="Q178" s="1"/>
      <c r="R178" s="1"/>
      <c r="S178" s="1"/>
      <c r="T178" s="23" t="str">
        <f t="shared" ref="T178:T185" ca="1" si="26">U178&amp;""&amp;",..,"&amp;""&amp;V178</f>
        <v>2701,..,3001</v>
      </c>
      <c r="U178" s="23">
        <f ca="1">(SUMPRODUCT(MID(0&amp;(LEFT(A178,SUM(LEN(A178)-LEN(SUBSTITUTE(A178,{"0","1","2","3"},""))))), LARGE(INDEX(ISNUMBER(--MID((LEFT(A178,SUM(LEN(A178)-LEN(SUBSTITUTE(A178,{"0","1","2","3"},""))))), ROW(INDIRECT("1:"&amp;LEN((LEFT(A178,SUM(LEN(A178)-LEN(SUBSTITUTE(A178,{"0","1","2","3"},"")))))))), 1)) * ROW(INDIRECT("1:"&amp;LEN((LEFT(A178,SUM(LEN(A178)-LEN(SUBSTITUTE(A178,{"0","1","2","3"},"")))))))), 0), ROW(INDIRECT("1:"&amp;LEN((LEFT(A178,SUM(LEN(A178)-LEN(SUBSTITUTE(A178,{"0","1","2","3"},"")))))))))+1, 1) * 10^ROW(INDIRECT("1:"&amp;LEN((LEFT(A178,SUM(LEN(A178)-LEN(SUBSTITUTE(A178,{"0","1","2","3"},""))))))))/10))*100+1</f>
        <v>2701</v>
      </c>
      <c r="V178" s="23">
        <f ca="1">(SUMPRODUCT(MID(0&amp;(--TRIM(RIGHT(SUBSTITUTE(LEFT(A178,_xlfn.AGGREGATE(16,6,FIND({0,1,2,3,4,5,6,7,8,9},A178,ROW(INDIRECT("1:"&amp;LEN(A178)))),1)),"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",LEN(A178))),LEN(A178)))))))/10))*100+1</f>
        <v>3001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89">
        <v>1</v>
      </c>
      <c r="B179" s="89"/>
      <c r="C179" s="6" t="s">
        <v>88</v>
      </c>
      <c r="D179" s="6" t="s">
        <v>331</v>
      </c>
      <c r="E179" s="6">
        <f>(35.56)*(10.764)</f>
        <v>382.76783999999998</v>
      </c>
      <c r="F179" s="6">
        <v>0</v>
      </c>
      <c r="G179" s="76">
        <v>0</v>
      </c>
      <c r="H179" s="6">
        <f>E179+F179+(IF(G179&lt;101,G179,IF(G179&lt;201,G179/2,IF(G179&lt;=301,G179/3,G179/4))))</f>
        <v>382.76783999999998</v>
      </c>
      <c r="I179" s="1"/>
      <c r="J179" s="1"/>
      <c r="K179" s="1"/>
      <c r="L179" s="1"/>
      <c r="M179" s="1"/>
      <c r="N179" s="1"/>
      <c r="O179" s="1"/>
      <c r="P179" s="1"/>
      <c r="Q179" s="1"/>
      <c r="R179" s="1"/>
      <c r="S179" s="1"/>
      <c r="T179" s="23" t="str">
        <f t="shared" ca="1" si="26"/>
        <v>2702,..,3002</v>
      </c>
      <c r="U179" s="23">
        <f ca="1">U178+1</f>
        <v>2702</v>
      </c>
      <c r="V179" s="23">
        <f ca="1">V178+1</f>
        <v>3002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89">
        <v>2</v>
      </c>
      <c r="B180" s="89"/>
      <c r="C180" s="6" t="s">
        <v>88</v>
      </c>
      <c r="D180" s="6" t="s">
        <v>331</v>
      </c>
      <c r="E180" s="6">
        <f>(38.3)*(10.764)</f>
        <v>412.26119999999992</v>
      </c>
      <c r="F180" s="6">
        <v>0</v>
      </c>
      <c r="G180" s="76">
        <v>0</v>
      </c>
      <c r="H180" s="6">
        <f t="shared" ref="H180:H186" si="27">E180+F180+(IF(G180&lt;101,G180,IF(G180&lt;201,G180/2,IF(G180&lt;=301,G180/3,G180/4))))</f>
        <v>412.26119999999992</v>
      </c>
      <c r="I180" s="1"/>
      <c r="J180" s="1"/>
      <c r="K180" s="1"/>
      <c r="L180" s="1"/>
      <c r="M180" s="1"/>
      <c r="N180" s="1"/>
      <c r="O180" s="1"/>
      <c r="P180" s="1"/>
      <c r="Q180" s="1"/>
      <c r="R180" s="1"/>
      <c r="S180" s="1"/>
      <c r="T180" s="23" t="str">
        <f t="shared" ca="1" si="26"/>
        <v>2703,..,3003</v>
      </c>
      <c r="U180" s="23">
        <f t="shared" ref="U180:V180" ca="1" si="28">U179+1</f>
        <v>2703</v>
      </c>
      <c r="V180" s="23">
        <f t="shared" ca="1" si="28"/>
        <v>3003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89">
        <v>3</v>
      </c>
      <c r="B181" s="89"/>
      <c r="C181" s="6" t="s">
        <v>88</v>
      </c>
      <c r="D181" s="6" t="s">
        <v>331</v>
      </c>
      <c r="E181" s="6">
        <f t="shared" ref="E181:E182" si="29">(38.3)*(10.764)</f>
        <v>412.26119999999992</v>
      </c>
      <c r="F181" s="6">
        <v>0</v>
      </c>
      <c r="G181" s="76">
        <v>0</v>
      </c>
      <c r="H181" s="6">
        <f t="shared" si="27"/>
        <v>412.26119999999992</v>
      </c>
      <c r="I181" s="1"/>
      <c r="J181" s="1"/>
      <c r="K181" s="1"/>
      <c r="L181" s="1"/>
      <c r="M181" s="1"/>
      <c r="N181" s="1"/>
      <c r="O181" s="1"/>
      <c r="P181" s="1"/>
      <c r="Q181" s="1"/>
      <c r="R181" s="1"/>
      <c r="S181" s="1"/>
      <c r="T181" s="23" t="str">
        <f t="shared" ca="1" si="26"/>
        <v>2704,..,3004</v>
      </c>
      <c r="U181" s="23">
        <f t="shared" ref="U181:V181" ca="1" si="30">U180+1</f>
        <v>2704</v>
      </c>
      <c r="V181" s="23">
        <f t="shared" ca="1" si="30"/>
        <v>3004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89">
        <v>4</v>
      </c>
      <c r="B182" s="89"/>
      <c r="C182" s="6" t="s">
        <v>88</v>
      </c>
      <c r="D182" s="6" t="s">
        <v>331</v>
      </c>
      <c r="E182" s="6">
        <f t="shared" si="29"/>
        <v>412.26119999999992</v>
      </c>
      <c r="F182" s="6">
        <v>0</v>
      </c>
      <c r="G182" s="76">
        <v>0</v>
      </c>
      <c r="H182" s="6">
        <f t="shared" si="27"/>
        <v>412.26119999999992</v>
      </c>
      <c r="I182" s="1"/>
      <c r="J182" s="1"/>
      <c r="K182" s="1"/>
      <c r="L182" s="1"/>
      <c r="M182" s="1"/>
      <c r="N182" s="1"/>
      <c r="O182" s="1"/>
      <c r="P182" s="1"/>
      <c r="Q182" s="1"/>
      <c r="R182" s="1"/>
      <c r="S182" s="1"/>
      <c r="T182" s="23" t="str">
        <f t="shared" ca="1" si="26"/>
        <v>2705,..,3005</v>
      </c>
      <c r="U182" s="23">
        <f t="shared" ref="U182:V182" ca="1" si="31">U181+1</f>
        <v>2705</v>
      </c>
      <c r="V182" s="23">
        <f t="shared" ca="1" si="31"/>
        <v>3005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89">
        <v>5</v>
      </c>
      <c r="B183" s="89"/>
      <c r="C183" s="6" t="s">
        <v>88</v>
      </c>
      <c r="D183" s="6" t="s">
        <v>331</v>
      </c>
      <c r="E183" s="6">
        <f>(38.27)*(10.764)</f>
        <v>411.93828000000002</v>
      </c>
      <c r="F183" s="6">
        <v>0</v>
      </c>
      <c r="G183" s="76">
        <v>0</v>
      </c>
      <c r="H183" s="6">
        <f t="shared" si="27"/>
        <v>411.93828000000002</v>
      </c>
      <c r="I183" s="1"/>
      <c r="J183" s="1"/>
      <c r="K183" s="1"/>
      <c r="L183" s="1"/>
      <c r="M183" s="1"/>
      <c r="N183" s="1"/>
      <c r="O183" s="1"/>
      <c r="P183" s="1"/>
      <c r="Q183" s="1"/>
      <c r="R183" s="1"/>
      <c r="S183" s="1"/>
      <c r="T183" s="23" t="str">
        <f t="shared" ca="1" si="26"/>
        <v>2706,..,3006</v>
      </c>
      <c r="U183" s="23">
        <f t="shared" ref="U183:V183" ca="1" si="32">U182+1</f>
        <v>2706</v>
      </c>
      <c r="V183" s="23">
        <f t="shared" ca="1" si="32"/>
        <v>3006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89">
        <v>6</v>
      </c>
      <c r="B184" s="89"/>
      <c r="C184" s="6" t="s">
        <v>88</v>
      </c>
      <c r="D184" s="6" t="s">
        <v>331</v>
      </c>
      <c r="E184" s="6">
        <f>(38.27)*(10.764)</f>
        <v>411.93828000000002</v>
      </c>
      <c r="F184" s="6">
        <v>0</v>
      </c>
      <c r="G184" s="76">
        <v>0</v>
      </c>
      <c r="H184" s="6">
        <f t="shared" si="27"/>
        <v>411.93828000000002</v>
      </c>
      <c r="I184" s="1"/>
      <c r="J184" s="1"/>
      <c r="K184" s="1"/>
      <c r="L184" s="1"/>
      <c r="M184" s="1"/>
      <c r="N184" s="1"/>
      <c r="O184" s="1"/>
      <c r="P184" s="1"/>
      <c r="Q184" s="1"/>
      <c r="R184" s="1"/>
      <c r="S184" s="1"/>
      <c r="T184" s="23" t="str">
        <f t="shared" ca="1" si="26"/>
        <v>2707,..,3007</v>
      </c>
      <c r="U184" s="23">
        <f t="shared" ref="U184:V184" ca="1" si="33">U183+1</f>
        <v>2707</v>
      </c>
      <c r="V184" s="23">
        <f t="shared" ca="1" si="33"/>
        <v>3007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9">
        <v>7</v>
      </c>
      <c r="B185" s="89"/>
      <c r="C185" s="6" t="s">
        <v>88</v>
      </c>
      <c r="D185" s="6" t="s">
        <v>331</v>
      </c>
      <c r="E185" s="6">
        <f>35.56*(10.764)</f>
        <v>382.76783999999998</v>
      </c>
      <c r="F185" s="6">
        <v>0</v>
      </c>
      <c r="G185" s="76">
        <v>0</v>
      </c>
      <c r="H185" s="6">
        <f t="shared" si="27"/>
        <v>382.76783999999998</v>
      </c>
      <c r="I185" s="1"/>
      <c r="J185" s="1"/>
      <c r="K185" s="1"/>
      <c r="L185" s="1"/>
      <c r="M185" s="1"/>
      <c r="N185" s="1"/>
      <c r="O185" s="1"/>
      <c r="P185" s="1"/>
      <c r="Q185" s="1"/>
      <c r="R185" s="1"/>
      <c r="S185" s="1"/>
      <c r="T185" s="23" t="str">
        <f t="shared" ca="1" si="26"/>
        <v>2708,..,3008</v>
      </c>
      <c r="U185" s="23">
        <f t="shared" ref="U185:V185" ca="1" si="34">U184+1</f>
        <v>2708</v>
      </c>
      <c r="V185" s="23">
        <f t="shared" ca="1" si="34"/>
        <v>3008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89">
        <v>8</v>
      </c>
      <c r="B186" s="89"/>
      <c r="C186" s="6" t="s">
        <v>88</v>
      </c>
      <c r="D186" s="6" t="s">
        <v>331</v>
      </c>
      <c r="E186" s="6">
        <f>35.56*(10.764)</f>
        <v>382.76783999999998</v>
      </c>
      <c r="F186" s="6">
        <v>0</v>
      </c>
      <c r="G186" s="76">
        <v>0</v>
      </c>
      <c r="H186" s="6">
        <f t="shared" si="27"/>
        <v>382.76783999999998</v>
      </c>
      <c r="I186" s="1">
        <f>3</f>
        <v>3</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85" t="s">
        <v>358</v>
      </c>
      <c r="B187" s="86"/>
      <c r="C187" s="86"/>
      <c r="D187" s="86"/>
      <c r="E187" s="86"/>
      <c r="F187" s="86"/>
      <c r="G187" s="86"/>
      <c r="H187" s="87"/>
      <c r="I187" s="1"/>
      <c r="J187" s="1"/>
      <c r="K187" s="1"/>
      <c r="L187" s="1"/>
      <c r="M187" s="1"/>
      <c r="N187" s="1"/>
      <c r="O187" s="1"/>
      <c r="P187" s="1"/>
      <c r="Q187" s="1"/>
      <c r="R187" s="1"/>
      <c r="S187" s="1"/>
      <c r="T187" s="23" t="str">
        <f t="shared" ref="T187:T194" ca="1" si="35">U187&amp;""&amp;",..,"&amp;""&amp;V187</f>
        <v>801,..,2201</v>
      </c>
      <c r="U187" s="23">
        <f ca="1">(SUMPRODUCT(MID(0&amp;(LEFT(A196,SUM(LEN(A196)-LEN(SUBSTITUTE(A196,{"0","1","2","3"},""))))), LARGE(INDEX(ISNUMBER(--MID((LEFT(A196,SUM(LEN(A196)-LEN(SUBSTITUTE(A196,{"0","1","2","3"},""))))), ROW(INDIRECT("1:"&amp;LEN((LEFT(A196,SUM(LEN(A196)-LEN(SUBSTITUTE(A196,{"0","1","2","3"},"")))))))), 1)) * ROW(INDIRECT("1:"&amp;LEN((LEFT(A196,SUM(LEN(A196)-LEN(SUBSTITUTE(A196,{"0","1","2","3"},"")))))))), 0), ROW(INDIRECT("1:"&amp;LEN((LEFT(A196,SUM(LEN(A196)-LEN(SUBSTITUTE(A196,{"0","1","2","3"},"")))))))))+1, 1) * 10^ROW(INDIRECT("1:"&amp;LEN((LEFT(A196,SUM(LEN(A196)-LEN(SUBSTITUTE(A196,{"0","1","2","3"},""))))))))/10))*100+1</f>
        <v>801</v>
      </c>
      <c r="V187" s="23">
        <f ca="1">(SUMPRODUCT(MID(0&amp;(--TRIM(RIGHT(SUBSTITUTE(LEFT(A196,_xlfn.AGGREGATE(16,6,FIND({0,1,2,3,4,5,6,7,8,9},A196,ROW(INDIRECT("1:"&amp;LEN(A196)))),1)),"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2201</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88">
        <v>1</v>
      </c>
      <c r="B188" s="88"/>
      <c r="C188" s="83" t="s">
        <v>88</v>
      </c>
      <c r="D188" s="83" t="s">
        <v>331</v>
      </c>
      <c r="E188" s="83">
        <f>(35.56)*(10.764)</f>
        <v>382.76783999999998</v>
      </c>
      <c r="F188" s="83">
        <v>0</v>
      </c>
      <c r="G188" s="83">
        <v>0</v>
      </c>
      <c r="H188" s="83">
        <f>E188+F188+(IF(G188&lt;101,G188,IF(G188&lt;201,G188/2,IF(G188&lt;=301,G188/3,G188/4))))</f>
        <v>382.76783999999998</v>
      </c>
      <c r="I188" s="1"/>
      <c r="J188" s="1"/>
      <c r="K188" s="1"/>
      <c r="L188" s="1"/>
      <c r="M188" s="1"/>
      <c r="N188" s="1"/>
      <c r="O188" s="1"/>
      <c r="P188" s="1"/>
      <c r="Q188" s="1"/>
      <c r="R188" s="1"/>
      <c r="S188" s="1"/>
      <c r="T188" s="23" t="str">
        <f t="shared" ca="1" si="35"/>
        <v>802,..,2202</v>
      </c>
      <c r="U188" s="23">
        <f ca="1">U187+1</f>
        <v>802</v>
      </c>
      <c r="V188" s="23">
        <f ca="1">V187+1</f>
        <v>2202</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88">
        <v>2</v>
      </c>
      <c r="B189" s="88"/>
      <c r="C189" s="83" t="s">
        <v>88</v>
      </c>
      <c r="D189" s="83" t="s">
        <v>331</v>
      </c>
      <c r="E189" s="83">
        <f>(38.3)*(10.764)</f>
        <v>412.26119999999992</v>
      </c>
      <c r="F189" s="83">
        <v>0</v>
      </c>
      <c r="G189" s="83">
        <v>0</v>
      </c>
      <c r="H189" s="83">
        <f t="shared" ref="H189:H195" si="36">E189+F189+(IF(G189&lt;101,G189,IF(G189&lt;201,G189/2,IF(G189&lt;=301,G189/3,G189/4))))</f>
        <v>412.26119999999992</v>
      </c>
      <c r="I189" s="1"/>
      <c r="J189" s="1"/>
      <c r="K189" s="1"/>
      <c r="L189" s="1"/>
      <c r="M189" s="1"/>
      <c r="N189" s="1"/>
      <c r="O189" s="1"/>
      <c r="P189" s="1"/>
      <c r="Q189" s="1"/>
      <c r="R189" s="1"/>
      <c r="S189" s="1"/>
      <c r="T189" s="23" t="str">
        <f t="shared" ca="1" si="35"/>
        <v>803,..,2203</v>
      </c>
      <c r="U189" s="23">
        <f t="shared" ref="U189:V189" ca="1" si="37">U188+1</f>
        <v>803</v>
      </c>
      <c r="V189" s="23">
        <f t="shared" ca="1" si="37"/>
        <v>2203</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88">
        <v>3</v>
      </c>
      <c r="B190" s="88"/>
      <c r="C190" s="83" t="s">
        <v>88</v>
      </c>
      <c r="D190" s="83" t="s">
        <v>331</v>
      </c>
      <c r="E190" s="83">
        <f t="shared" ref="E190:E191" si="38">(38.3)*(10.764)</f>
        <v>412.26119999999992</v>
      </c>
      <c r="F190" s="83">
        <v>0</v>
      </c>
      <c r="G190" s="83">
        <f>(2*2.6)*10.764</f>
        <v>55.972799999999999</v>
      </c>
      <c r="H190" s="83">
        <f t="shared" si="36"/>
        <v>468.23399999999992</v>
      </c>
      <c r="I190" s="1"/>
      <c r="J190" s="1"/>
      <c r="K190" s="1"/>
      <c r="L190" s="1"/>
      <c r="M190" s="1"/>
      <c r="N190" s="1"/>
      <c r="O190" s="1"/>
      <c r="P190" s="1"/>
      <c r="Q190" s="1"/>
      <c r="R190" s="1"/>
      <c r="S190" s="1"/>
      <c r="T190" s="23" t="str">
        <f t="shared" ca="1" si="35"/>
        <v>804,..,2204</v>
      </c>
      <c r="U190" s="23">
        <f t="shared" ref="U190:V190" ca="1" si="39">U189+1</f>
        <v>804</v>
      </c>
      <c r="V190" s="23">
        <f t="shared" ca="1" si="39"/>
        <v>2204</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88">
        <v>4</v>
      </c>
      <c r="B191" s="88"/>
      <c r="C191" s="83" t="s">
        <v>88</v>
      </c>
      <c r="D191" s="83" t="s">
        <v>331</v>
      </c>
      <c r="E191" s="83">
        <f t="shared" si="38"/>
        <v>412.26119999999992</v>
      </c>
      <c r="F191" s="83">
        <v>0</v>
      </c>
      <c r="G191" s="83">
        <f>(2*2.6)*10.764</f>
        <v>55.972799999999999</v>
      </c>
      <c r="H191" s="83">
        <f t="shared" si="36"/>
        <v>468.23399999999992</v>
      </c>
      <c r="I191" s="1"/>
      <c r="J191" s="1"/>
      <c r="K191" s="1"/>
      <c r="L191" s="1"/>
      <c r="M191" s="1"/>
      <c r="N191" s="1"/>
      <c r="O191" s="1"/>
      <c r="P191" s="1"/>
      <c r="Q191" s="1"/>
      <c r="R191" s="1"/>
      <c r="S191" s="1"/>
      <c r="T191" s="23" t="str">
        <f t="shared" ca="1" si="35"/>
        <v>805,..,2205</v>
      </c>
      <c r="U191" s="23">
        <f t="shared" ref="U191:V191" ca="1" si="40">U190+1</f>
        <v>805</v>
      </c>
      <c r="V191" s="23">
        <f t="shared" ca="1" si="40"/>
        <v>2205</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8">
        <v>5</v>
      </c>
      <c r="B192" s="88"/>
      <c r="C192" s="83" t="s">
        <v>88</v>
      </c>
      <c r="D192" s="83" t="s">
        <v>331</v>
      </c>
      <c r="E192" s="83">
        <f>(38.27)*(10.764)</f>
        <v>411.93828000000002</v>
      </c>
      <c r="F192" s="83">
        <v>0</v>
      </c>
      <c r="G192" s="83">
        <v>0</v>
      </c>
      <c r="H192" s="83">
        <f t="shared" si="36"/>
        <v>411.93828000000002</v>
      </c>
      <c r="I192" s="1"/>
      <c r="J192" s="1"/>
      <c r="K192" s="1"/>
      <c r="L192" s="1"/>
      <c r="M192" s="1"/>
      <c r="N192" s="1"/>
      <c r="O192" s="1"/>
      <c r="P192" s="1"/>
      <c r="Q192" s="1"/>
      <c r="R192" s="1"/>
      <c r="S192" s="1"/>
      <c r="T192" s="23" t="str">
        <f t="shared" ca="1" si="35"/>
        <v>806,..,2206</v>
      </c>
      <c r="U192" s="23">
        <f t="shared" ref="U192:V192" ca="1" si="41">U191+1</f>
        <v>806</v>
      </c>
      <c r="V192" s="23">
        <f t="shared" ca="1" si="41"/>
        <v>2206</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88">
        <v>6</v>
      </c>
      <c r="B193" s="88"/>
      <c r="C193" s="83" t="s">
        <v>88</v>
      </c>
      <c r="D193" s="83" t="s">
        <v>331</v>
      </c>
      <c r="E193" s="83">
        <f>(38.27)*(10.764)</f>
        <v>411.93828000000002</v>
      </c>
      <c r="F193" s="83">
        <v>0</v>
      </c>
      <c r="G193" s="83">
        <v>0</v>
      </c>
      <c r="H193" s="83">
        <f t="shared" si="36"/>
        <v>411.93828000000002</v>
      </c>
      <c r="I193" s="1"/>
      <c r="J193" s="1"/>
      <c r="K193" s="1"/>
      <c r="L193" s="1"/>
      <c r="M193" s="1"/>
      <c r="N193" s="1"/>
      <c r="O193" s="1"/>
      <c r="P193" s="1"/>
      <c r="Q193" s="1"/>
      <c r="R193" s="1"/>
      <c r="S193" s="1"/>
      <c r="T193" s="23" t="str">
        <f t="shared" ca="1" si="35"/>
        <v>807,..,2207</v>
      </c>
      <c r="U193" s="23">
        <f t="shared" ref="U193:V193" ca="1" si="42">U192+1</f>
        <v>807</v>
      </c>
      <c r="V193" s="23">
        <f t="shared" ca="1" si="42"/>
        <v>2207</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88">
        <v>7</v>
      </c>
      <c r="B194" s="88"/>
      <c r="C194" s="83" t="s">
        <v>88</v>
      </c>
      <c r="D194" s="83" t="s">
        <v>331</v>
      </c>
      <c r="E194" s="83">
        <f>35.56*(10.764)</f>
        <v>382.76783999999998</v>
      </c>
      <c r="F194" s="83">
        <v>0</v>
      </c>
      <c r="G194" s="83">
        <v>0</v>
      </c>
      <c r="H194" s="83">
        <f t="shared" si="36"/>
        <v>382.76783999999998</v>
      </c>
      <c r="I194" s="1"/>
      <c r="J194" s="1"/>
      <c r="K194" s="1"/>
      <c r="L194" s="1"/>
      <c r="M194" s="1"/>
      <c r="N194" s="1"/>
      <c r="O194" s="1"/>
      <c r="P194" s="1"/>
      <c r="Q194" s="1"/>
      <c r="R194" s="1"/>
      <c r="S194" s="1"/>
      <c r="T194" s="23" t="str">
        <f t="shared" ca="1" si="35"/>
        <v>808,..,2208</v>
      </c>
      <c r="U194" s="23">
        <f t="shared" ref="U194:V194" ca="1" si="43">U193+1</f>
        <v>808</v>
      </c>
      <c r="V194" s="23">
        <f t="shared" ca="1" si="43"/>
        <v>2208</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88">
        <v>8</v>
      </c>
      <c r="B195" s="88"/>
      <c r="C195" s="83" t="s">
        <v>88</v>
      </c>
      <c r="D195" s="83" t="s">
        <v>331</v>
      </c>
      <c r="E195" s="83">
        <f>35.56*(10.764)</f>
        <v>382.76783999999998</v>
      </c>
      <c r="F195" s="83">
        <v>0</v>
      </c>
      <c r="G195" s="83">
        <v>0</v>
      </c>
      <c r="H195" s="83">
        <f t="shared" si="36"/>
        <v>382.76783999999998</v>
      </c>
      <c r="I195" s="1">
        <f>1</f>
        <v>1</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90" t="s">
        <v>336</v>
      </c>
      <c r="B196" s="91"/>
      <c r="C196" s="91"/>
      <c r="D196" s="91"/>
      <c r="E196" s="91"/>
      <c r="F196" s="91"/>
      <c r="G196" s="91"/>
      <c r="H196" s="92"/>
      <c r="I196" s="1"/>
      <c r="J196" s="1"/>
      <c r="K196" s="1"/>
      <c r="L196" s="1"/>
      <c r="M196" s="1"/>
      <c r="N196" s="1"/>
      <c r="O196" s="1"/>
      <c r="P196" s="1"/>
      <c r="Q196" s="1"/>
      <c r="R196" s="1"/>
      <c r="S196" s="1"/>
      <c r="T196" s="23" t="str">
        <f t="shared" ref="T196:T203" ca="1" si="44">U196&amp;""&amp;",..,"&amp;""&amp;V196</f>
        <v>201,..,2901</v>
      </c>
      <c r="U196" s="23">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201</v>
      </c>
      <c r="V196" s="23">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2901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89">
        <v>1</v>
      </c>
      <c r="B197" s="89"/>
      <c r="C197" s="6" t="s">
        <v>88</v>
      </c>
      <c r="D197" s="6" t="s">
        <v>331</v>
      </c>
      <c r="E197" s="6">
        <f>(35.56)*(10.764)</f>
        <v>382.76783999999998</v>
      </c>
      <c r="F197" s="6">
        <v>0</v>
      </c>
      <c r="G197" s="6">
        <v>0</v>
      </c>
      <c r="H197" s="6">
        <f>E197+F197+(IF(G197&lt;101,G197,IF(G197&lt;201,G197/2,IF(G197&lt;=301,G197/3,G197/4))))</f>
        <v>382.76783999999998</v>
      </c>
      <c r="I197" s="1"/>
      <c r="J197" s="1"/>
      <c r="K197" s="1"/>
      <c r="L197" s="1"/>
      <c r="M197" s="1"/>
      <c r="N197" s="1"/>
      <c r="O197" s="1"/>
      <c r="P197" s="1"/>
      <c r="Q197" s="1"/>
      <c r="R197" s="1"/>
      <c r="S197" s="1"/>
      <c r="T197" s="23" t="str">
        <f t="shared" ca="1" si="44"/>
        <v>202,..,2902</v>
      </c>
      <c r="U197" s="23">
        <f ca="1">U196+1</f>
        <v>202</v>
      </c>
      <c r="V197" s="23">
        <f ca="1">V196+1</f>
        <v>2902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89">
        <v>2</v>
      </c>
      <c r="B198" s="89"/>
      <c r="C198" s="6" t="s">
        <v>88</v>
      </c>
      <c r="D198" s="6" t="s">
        <v>331</v>
      </c>
      <c r="E198" s="6">
        <f>(38.3)*(10.764)</f>
        <v>412.26119999999992</v>
      </c>
      <c r="F198" s="6">
        <v>0</v>
      </c>
      <c r="G198" s="76">
        <v>0</v>
      </c>
      <c r="H198" s="6">
        <f t="shared" ref="H198:H204" si="45">E198+F198+(IF(G198&lt;101,G198,IF(G198&lt;201,G198/2,IF(G198&lt;=301,G198/3,G198/4))))</f>
        <v>412.26119999999992</v>
      </c>
      <c r="I198" s="1"/>
      <c r="J198" s="1"/>
      <c r="K198" s="1"/>
      <c r="L198" s="1"/>
      <c r="M198" s="1"/>
      <c r="N198" s="1"/>
      <c r="O198" s="1"/>
      <c r="P198" s="1"/>
      <c r="Q198" s="1"/>
      <c r="R198" s="1"/>
      <c r="S198" s="1"/>
      <c r="T198" s="23" t="str">
        <f t="shared" ca="1" si="44"/>
        <v>203,..,2903</v>
      </c>
      <c r="U198" s="23">
        <f t="shared" ref="U198:V198" ca="1" si="46">U197+1</f>
        <v>203</v>
      </c>
      <c r="V198" s="23">
        <f t="shared" ca="1" si="46"/>
        <v>2903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89">
        <v>3</v>
      </c>
      <c r="B199" s="89"/>
      <c r="C199" s="185" t="s">
        <v>334</v>
      </c>
      <c r="D199" s="186"/>
      <c r="E199" s="186"/>
      <c r="F199" s="186"/>
      <c r="G199" s="186"/>
      <c r="H199" s="187"/>
      <c r="I199" s="1"/>
      <c r="J199" s="1"/>
      <c r="K199" s="1"/>
      <c r="L199" s="1"/>
      <c r="M199" s="1"/>
      <c r="N199" s="1"/>
      <c r="O199" s="1"/>
      <c r="P199" s="1"/>
      <c r="Q199" s="1"/>
      <c r="R199" s="1"/>
      <c r="S199" s="1"/>
      <c r="T199" s="23" t="str">
        <f t="shared" ca="1" si="44"/>
        <v>204,..,2904</v>
      </c>
      <c r="U199" s="23">
        <f t="shared" ref="U199:V199" ca="1" si="47">U198+1</f>
        <v>204</v>
      </c>
      <c r="V199" s="23">
        <f t="shared" ca="1" si="47"/>
        <v>2904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89">
        <v>4</v>
      </c>
      <c r="B200" s="89"/>
      <c r="C200" s="188"/>
      <c r="D200" s="189"/>
      <c r="E200" s="189"/>
      <c r="F200" s="189"/>
      <c r="G200" s="189"/>
      <c r="H200" s="190"/>
      <c r="I200" s="1"/>
      <c r="J200" s="1"/>
      <c r="K200" s="1"/>
      <c r="L200" s="1"/>
      <c r="M200" s="1"/>
      <c r="N200" s="1"/>
      <c r="O200" s="1"/>
      <c r="P200" s="1"/>
      <c r="Q200" s="1"/>
      <c r="R200" s="1"/>
      <c r="S200" s="1"/>
      <c r="T200" s="23" t="str">
        <f t="shared" ca="1" si="44"/>
        <v>205,..,2905</v>
      </c>
      <c r="U200" s="23">
        <f t="shared" ref="U200:V200" ca="1" si="48">U199+1</f>
        <v>205</v>
      </c>
      <c r="V200" s="23">
        <f t="shared" ca="1" si="48"/>
        <v>2905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89">
        <v>5</v>
      </c>
      <c r="B201" s="89"/>
      <c r="C201" s="6" t="s">
        <v>88</v>
      </c>
      <c r="D201" s="6" t="s">
        <v>331</v>
      </c>
      <c r="E201" s="6">
        <f>(38.27)*(10.764)</f>
        <v>411.93828000000002</v>
      </c>
      <c r="F201" s="6">
        <v>0</v>
      </c>
      <c r="G201" s="76">
        <v>0</v>
      </c>
      <c r="H201" s="6">
        <f t="shared" si="45"/>
        <v>411.93828000000002</v>
      </c>
      <c r="I201" s="1"/>
      <c r="J201" s="1"/>
      <c r="K201" s="1"/>
      <c r="L201" s="1"/>
      <c r="M201" s="1"/>
      <c r="N201" s="1"/>
      <c r="O201" s="1"/>
      <c r="P201" s="1"/>
      <c r="Q201" s="1"/>
      <c r="R201" s="1"/>
      <c r="S201" s="1"/>
      <c r="T201" s="23" t="str">
        <f t="shared" ca="1" si="44"/>
        <v>206,..,2906</v>
      </c>
      <c r="U201" s="23">
        <f t="shared" ref="U201:V201" ca="1" si="49">U200+1</f>
        <v>206</v>
      </c>
      <c r="V201" s="23">
        <f t="shared" ca="1" si="49"/>
        <v>2906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89">
        <v>6</v>
      </c>
      <c r="B202" s="89"/>
      <c r="C202" s="6" t="s">
        <v>88</v>
      </c>
      <c r="D202" s="6" t="s">
        <v>331</v>
      </c>
      <c r="E202" s="6">
        <f>(38.27)*(10.764)</f>
        <v>411.93828000000002</v>
      </c>
      <c r="F202" s="6">
        <v>0</v>
      </c>
      <c r="G202" s="76">
        <v>0</v>
      </c>
      <c r="H202" s="6">
        <f t="shared" si="45"/>
        <v>411.93828000000002</v>
      </c>
      <c r="I202" s="1"/>
      <c r="J202" s="1"/>
      <c r="K202" s="1"/>
      <c r="L202" s="1"/>
      <c r="M202" s="1"/>
      <c r="N202" s="1"/>
      <c r="O202" s="1"/>
      <c r="P202" s="1"/>
      <c r="Q202" s="1"/>
      <c r="R202" s="1"/>
      <c r="S202" s="1"/>
      <c r="T202" s="23" t="str">
        <f t="shared" ca="1" si="44"/>
        <v>207,..,2907</v>
      </c>
      <c r="U202" s="23">
        <f t="shared" ref="U202:V202" ca="1" si="50">U201+1</f>
        <v>207</v>
      </c>
      <c r="V202" s="23">
        <f t="shared" ca="1" si="50"/>
        <v>2907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89">
        <v>7</v>
      </c>
      <c r="B203" s="89"/>
      <c r="C203" s="6" t="s">
        <v>88</v>
      </c>
      <c r="D203" s="6" t="s">
        <v>331</v>
      </c>
      <c r="E203" s="6">
        <f>35.56*(10.764)</f>
        <v>382.76783999999998</v>
      </c>
      <c r="F203" s="6">
        <v>0</v>
      </c>
      <c r="G203" s="76">
        <v>0</v>
      </c>
      <c r="H203" s="6">
        <f t="shared" si="45"/>
        <v>382.76783999999998</v>
      </c>
      <c r="I203" s="1"/>
      <c r="J203" s="1"/>
      <c r="K203" s="1"/>
      <c r="L203" s="1"/>
      <c r="M203" s="1"/>
      <c r="N203" s="1"/>
      <c r="O203" s="1"/>
      <c r="P203" s="1"/>
      <c r="Q203" s="1"/>
      <c r="R203" s="1"/>
      <c r="S203" s="1"/>
      <c r="T203" s="23" t="str">
        <f t="shared" ca="1" si="44"/>
        <v>208,..,2908</v>
      </c>
      <c r="U203" s="23">
        <f t="shared" ref="U203:V203" ca="1" si="51">U202+1</f>
        <v>208</v>
      </c>
      <c r="V203" s="23">
        <f t="shared" ca="1" si="51"/>
        <v>2908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ht="20.25" x14ac:dyDescent="0.25">
      <c r="A204" s="88">
        <v>8</v>
      </c>
      <c r="B204" s="88"/>
      <c r="C204" s="83" t="s">
        <v>88</v>
      </c>
      <c r="D204" s="83" t="s">
        <v>331</v>
      </c>
      <c r="E204" s="83">
        <f>35.56*(10.764)</f>
        <v>382.76783999999998</v>
      </c>
      <c r="F204" s="83">
        <v>0</v>
      </c>
      <c r="G204" s="83">
        <v>0</v>
      </c>
      <c r="H204" s="83">
        <f t="shared" si="45"/>
        <v>382.76783999999998</v>
      </c>
    </row>
    <row r="205" spans="1:150 16226:16383" ht="20.25" x14ac:dyDescent="0.25">
      <c r="A205" s="85" t="s">
        <v>335</v>
      </c>
      <c r="B205" s="86"/>
      <c r="C205" s="86"/>
      <c r="D205" s="86"/>
      <c r="E205" s="86"/>
      <c r="F205" s="86"/>
      <c r="G205" s="86"/>
      <c r="H205" s="87"/>
    </row>
    <row r="206" spans="1:150 16226:16383" ht="20.25" x14ac:dyDescent="0.25">
      <c r="A206" s="88">
        <v>1</v>
      </c>
      <c r="B206" s="88"/>
      <c r="C206" s="83" t="s">
        <v>88</v>
      </c>
      <c r="D206" s="83" t="s">
        <v>331</v>
      </c>
      <c r="E206" s="83">
        <f>(35.56)*(10.764)</f>
        <v>382.76783999999998</v>
      </c>
      <c r="F206" s="83">
        <v>0</v>
      </c>
      <c r="G206" s="83">
        <v>0</v>
      </c>
      <c r="H206" s="83">
        <f>E206+F206+(IF(G206&lt;101,G206,IF(G206&lt;201,G206/2,IF(G206&lt;=301,G206/3,G206/4))))</f>
        <v>382.76783999999998</v>
      </c>
    </row>
    <row r="207" spans="1:150 16226:16383" ht="20.25" x14ac:dyDescent="0.25">
      <c r="A207" s="88">
        <v>2</v>
      </c>
      <c r="B207" s="88"/>
      <c r="C207" s="83" t="s">
        <v>88</v>
      </c>
      <c r="D207" s="83" t="s">
        <v>360</v>
      </c>
      <c r="E207" s="83">
        <f>(38.3+2.05*2.39)*(10.764)</f>
        <v>464.99941799999999</v>
      </c>
      <c r="F207" s="83">
        <v>0</v>
      </c>
      <c r="G207" s="83">
        <v>0</v>
      </c>
      <c r="H207" s="83">
        <f t="shared" ref="H207:H213" si="52">E207+F207+(IF(G207&lt;101,G207,IF(G207&lt;201,G207/2,IF(G207&lt;=301,G207/3,G207/4))))</f>
        <v>464.99941799999999</v>
      </c>
    </row>
    <row r="208" spans="1:150 16226:16383" ht="20.25" x14ac:dyDescent="0.25">
      <c r="A208" s="88">
        <v>3</v>
      </c>
      <c r="B208" s="88"/>
      <c r="C208" s="191" t="s">
        <v>334</v>
      </c>
      <c r="D208" s="192"/>
      <c r="E208" s="192"/>
      <c r="F208" s="192"/>
      <c r="G208" s="192"/>
      <c r="H208" s="193"/>
    </row>
    <row r="209" spans="1:8" ht="20.25" x14ac:dyDescent="0.25">
      <c r="A209" s="88">
        <v>4</v>
      </c>
      <c r="B209" s="88"/>
      <c r="C209" s="83" t="s">
        <v>88</v>
      </c>
      <c r="D209" s="83" t="s">
        <v>331</v>
      </c>
      <c r="E209" s="83">
        <f t="shared" ref="E209" si="53">(38.3)*(10.764)</f>
        <v>412.26119999999992</v>
      </c>
      <c r="F209" s="83">
        <v>0</v>
      </c>
      <c r="G209" s="83">
        <v>0</v>
      </c>
      <c r="H209" s="83">
        <f t="shared" si="52"/>
        <v>412.26119999999992</v>
      </c>
    </row>
    <row r="210" spans="1:8" ht="24.75" hidden="1" customHeight="1" x14ac:dyDescent="0.25">
      <c r="A210" s="88">
        <v>5</v>
      </c>
      <c r="B210" s="88"/>
      <c r="C210" s="83" t="s">
        <v>88</v>
      </c>
      <c r="D210" s="83" t="s">
        <v>331</v>
      </c>
      <c r="E210" s="83">
        <f>(38.27)*(10.764)</f>
        <v>411.93828000000002</v>
      </c>
      <c r="F210" s="83">
        <v>0</v>
      </c>
      <c r="G210" s="83">
        <v>0</v>
      </c>
      <c r="H210" s="83">
        <f t="shared" si="52"/>
        <v>411.93828000000002</v>
      </c>
    </row>
    <row r="211" spans="1:8" ht="20.25" x14ac:dyDescent="0.25">
      <c r="A211" s="88">
        <v>6</v>
      </c>
      <c r="B211" s="88"/>
      <c r="C211" s="83" t="s">
        <v>88</v>
      </c>
      <c r="D211" s="83" t="s">
        <v>331</v>
      </c>
      <c r="E211" s="83">
        <f>(38.27)*(10.764)</f>
        <v>411.93828000000002</v>
      </c>
      <c r="F211" s="83">
        <v>0</v>
      </c>
      <c r="G211" s="83">
        <v>0</v>
      </c>
      <c r="H211" s="83">
        <f t="shared" si="52"/>
        <v>411.93828000000002</v>
      </c>
    </row>
    <row r="212" spans="1:8" ht="20.25" x14ac:dyDescent="0.25">
      <c r="A212" s="88">
        <v>7</v>
      </c>
      <c r="B212" s="88"/>
      <c r="C212" s="83" t="s">
        <v>88</v>
      </c>
      <c r="D212" s="83" t="s">
        <v>331</v>
      </c>
      <c r="E212" s="83">
        <f>35.56*(10.764)</f>
        <v>382.76783999999998</v>
      </c>
      <c r="F212" s="83">
        <v>0</v>
      </c>
      <c r="G212" s="83">
        <v>0</v>
      </c>
      <c r="H212" s="83">
        <f t="shared" si="52"/>
        <v>382.76783999999998</v>
      </c>
    </row>
    <row r="213" spans="1:8" ht="20.25" x14ac:dyDescent="0.25">
      <c r="A213" s="89">
        <v>8</v>
      </c>
      <c r="B213" s="89"/>
      <c r="C213" s="6" t="s">
        <v>88</v>
      </c>
      <c r="D213" s="6" t="s">
        <v>331</v>
      </c>
      <c r="E213" s="6">
        <f>35.56*(10.764)</f>
        <v>382.76783999999998</v>
      </c>
      <c r="F213" s="6">
        <v>0</v>
      </c>
      <c r="G213" s="76">
        <v>0</v>
      </c>
      <c r="H213" s="6">
        <f t="shared" si="52"/>
        <v>382.76783999999998</v>
      </c>
    </row>
    <row r="214" spans="1:8" ht="20.25" customHeight="1" x14ac:dyDescent="0.25">
      <c r="A214" s="130" t="s">
        <v>69</v>
      </c>
      <c r="B214" s="130"/>
      <c r="C214" s="130"/>
      <c r="D214" s="130"/>
      <c r="E214" s="130"/>
      <c r="F214" s="130"/>
      <c r="G214" s="130"/>
      <c r="H214" s="130"/>
    </row>
    <row r="215" spans="1:8" ht="20.25" x14ac:dyDescent="0.25">
      <c r="A215" s="2" t="s">
        <v>233</v>
      </c>
      <c r="B215" s="103" t="s">
        <v>369</v>
      </c>
      <c r="C215" s="104"/>
      <c r="D215" s="104"/>
      <c r="E215" s="104"/>
      <c r="F215" s="104"/>
      <c r="G215" s="104"/>
      <c r="H215" s="105"/>
    </row>
    <row r="216" spans="1:8" ht="20.25" x14ac:dyDescent="0.25">
      <c r="A216" s="2" t="s">
        <v>233</v>
      </c>
      <c r="B216" s="103" t="s">
        <v>234</v>
      </c>
      <c r="C216" s="104"/>
      <c r="D216" s="104"/>
      <c r="E216" s="104"/>
      <c r="F216" s="104"/>
      <c r="G216" s="104"/>
      <c r="H216" s="105"/>
    </row>
    <row r="217" spans="1:8" ht="20.25" x14ac:dyDescent="0.25">
      <c r="A217" s="2" t="s">
        <v>233</v>
      </c>
      <c r="B217" s="103" t="s">
        <v>361</v>
      </c>
      <c r="C217" s="104"/>
      <c r="D217" s="104"/>
      <c r="E217" s="104"/>
      <c r="F217" s="104"/>
      <c r="G217" s="104"/>
      <c r="H217" s="105"/>
    </row>
    <row r="218" spans="1:8" ht="20.25" x14ac:dyDescent="0.25">
      <c r="A218" s="2" t="s">
        <v>233</v>
      </c>
      <c r="B218" s="103" t="s">
        <v>235</v>
      </c>
      <c r="C218" s="104"/>
      <c r="D218" s="104"/>
      <c r="E218" s="104"/>
      <c r="F218" s="104"/>
      <c r="G218" s="104"/>
      <c r="H218" s="105"/>
    </row>
    <row r="219" spans="1:8" ht="20.25" x14ac:dyDescent="0.25">
      <c r="A219" s="2" t="s">
        <v>233</v>
      </c>
      <c r="B219" s="103" t="s">
        <v>236</v>
      </c>
      <c r="C219" s="104"/>
      <c r="D219" s="104"/>
      <c r="E219" s="104"/>
      <c r="F219" s="104"/>
      <c r="G219" s="104"/>
      <c r="H219" s="105"/>
    </row>
    <row r="220" spans="1:8" ht="20.25" x14ac:dyDescent="0.25">
      <c r="A220" s="149" t="s">
        <v>75</v>
      </c>
      <c r="B220" s="149"/>
      <c r="C220" s="149"/>
      <c r="D220" s="149"/>
      <c r="E220" s="149"/>
      <c r="F220" s="149"/>
      <c r="G220" s="149"/>
      <c r="H220" s="149"/>
    </row>
    <row r="221" spans="1:8" ht="20.25" x14ac:dyDescent="0.25">
      <c r="A221" s="102" t="s">
        <v>70</v>
      </c>
      <c r="B221" s="102"/>
      <c r="C221" s="102"/>
      <c r="D221" s="103" t="str">
        <f>C3</f>
        <v>78 Lake Town</v>
      </c>
      <c r="E221" s="104"/>
      <c r="F221" s="104"/>
      <c r="G221" s="104"/>
      <c r="H221" s="105"/>
    </row>
    <row r="222" spans="1:8" ht="20.25" x14ac:dyDescent="0.25">
      <c r="A222" s="102" t="s">
        <v>105</v>
      </c>
      <c r="B222" s="102"/>
      <c r="C222" s="102"/>
      <c r="D222" s="103" t="str">
        <f>C9</f>
        <v>Ajmera 78 Lake Town Sahyadri Nagar, Samarth Nagar, Bhandup West, Mumbai, Maharashtra 400078.</v>
      </c>
      <c r="E222" s="104"/>
      <c r="F222" s="104"/>
      <c r="G222" s="104"/>
      <c r="H222" s="105"/>
    </row>
    <row r="223" spans="1:8" ht="20.25" x14ac:dyDescent="0.25">
      <c r="A223" s="162" t="s">
        <v>111</v>
      </c>
      <c r="B223" s="162"/>
      <c r="C223" s="162"/>
      <c r="D223" s="103" t="str">
        <f>G3</f>
        <v>05/07/2025 @ 01:46 PM</v>
      </c>
      <c r="E223" s="104"/>
      <c r="F223" s="104"/>
      <c r="G223" s="104"/>
      <c r="H223" s="105"/>
    </row>
    <row r="224" spans="1:8" ht="20.25" x14ac:dyDescent="0.25">
      <c r="A224" s="10"/>
      <c r="B224" s="11"/>
      <c r="C224" s="11"/>
      <c r="D224" s="11"/>
      <c r="E224" s="11"/>
      <c r="F224" s="11"/>
      <c r="G224" s="11"/>
      <c r="H224" s="7"/>
    </row>
    <row r="225" spans="1:8" ht="20.25" x14ac:dyDescent="0.25">
      <c r="A225" s="12"/>
      <c r="B225" s="84"/>
      <c r="C225" s="84"/>
      <c r="D225" s="84"/>
      <c r="E225" s="84"/>
      <c r="F225" s="84"/>
      <c r="G225" s="84"/>
      <c r="H225" s="8"/>
    </row>
    <row r="226" spans="1:8" ht="20.25" x14ac:dyDescent="0.25">
      <c r="A226" s="12"/>
      <c r="B226" s="84"/>
      <c r="C226" s="84"/>
      <c r="D226" s="84"/>
      <c r="E226" s="84"/>
      <c r="F226" s="84"/>
      <c r="G226" s="84"/>
      <c r="H226" s="8"/>
    </row>
    <row r="227" spans="1:8" ht="20.25" x14ac:dyDescent="0.25">
      <c r="A227" s="12"/>
      <c r="B227" s="84"/>
      <c r="C227" s="84"/>
      <c r="D227" s="84"/>
      <c r="E227" s="84"/>
      <c r="F227" s="84"/>
      <c r="G227" s="84"/>
      <c r="H227" s="8"/>
    </row>
    <row r="228" spans="1:8" ht="20.25" x14ac:dyDescent="0.25">
      <c r="A228" s="12"/>
      <c r="B228" s="84"/>
      <c r="C228" s="84"/>
      <c r="D228" s="84"/>
      <c r="E228" s="84"/>
      <c r="F228" s="84"/>
      <c r="G228" s="84"/>
      <c r="H228" s="8"/>
    </row>
    <row r="229" spans="1:8" ht="20.25" x14ac:dyDescent="0.25">
      <c r="A229" s="12"/>
      <c r="B229" s="84"/>
      <c r="C229" s="84"/>
      <c r="D229" s="84"/>
      <c r="E229" s="84"/>
      <c r="F229" s="84"/>
      <c r="G229" s="84"/>
      <c r="H229" s="8"/>
    </row>
    <row r="230" spans="1:8" ht="20.25" x14ac:dyDescent="0.25">
      <c r="A230" s="12"/>
      <c r="B230" s="84"/>
      <c r="C230" s="84"/>
      <c r="D230" s="84"/>
      <c r="E230" s="84"/>
      <c r="F230" s="84"/>
      <c r="G230" s="84"/>
      <c r="H230" s="8"/>
    </row>
    <row r="231" spans="1:8" ht="20.25" x14ac:dyDescent="0.25">
      <c r="A231" s="12"/>
      <c r="B231" s="84"/>
      <c r="C231" s="84"/>
      <c r="D231" s="84"/>
      <c r="E231" s="84"/>
      <c r="F231" s="84"/>
      <c r="G231" s="84"/>
      <c r="H231" s="8"/>
    </row>
    <row r="232" spans="1:8" ht="20.25" x14ac:dyDescent="0.25">
      <c r="A232" s="12"/>
      <c r="B232" s="84"/>
      <c r="C232" s="84"/>
      <c r="D232" s="84"/>
      <c r="E232" s="84"/>
      <c r="F232" s="84"/>
      <c r="G232" s="84"/>
      <c r="H232" s="8"/>
    </row>
    <row r="233" spans="1:8" ht="20.25" x14ac:dyDescent="0.25">
      <c r="A233" s="12"/>
      <c r="B233" s="84"/>
      <c r="C233" s="84"/>
      <c r="D233" s="84"/>
      <c r="E233" s="84"/>
      <c r="F233" s="84"/>
      <c r="G233" s="84"/>
      <c r="H233" s="8"/>
    </row>
    <row r="234" spans="1:8" ht="20.25" x14ac:dyDescent="0.25">
      <c r="A234" s="12"/>
      <c r="B234" s="84"/>
      <c r="C234" s="84"/>
      <c r="D234" s="84"/>
      <c r="E234" s="84"/>
      <c r="F234" s="84"/>
      <c r="G234" s="84"/>
      <c r="H234" s="8"/>
    </row>
    <row r="235" spans="1:8" ht="20.25" x14ac:dyDescent="0.25">
      <c r="A235" s="12"/>
      <c r="B235" s="84"/>
      <c r="C235" s="84"/>
      <c r="D235" s="84"/>
      <c r="E235" s="84"/>
      <c r="F235" s="84"/>
      <c r="G235" s="84"/>
      <c r="H235" s="8"/>
    </row>
    <row r="236" spans="1:8" ht="20.25" x14ac:dyDescent="0.25">
      <c r="A236" s="12"/>
      <c r="B236" s="84"/>
      <c r="C236" s="84"/>
      <c r="D236" s="84"/>
      <c r="E236" s="84"/>
      <c r="F236" s="84"/>
      <c r="G236" s="84"/>
      <c r="H236" s="8"/>
    </row>
    <row r="237" spans="1:8" ht="20.25" x14ac:dyDescent="0.25">
      <c r="A237" s="12"/>
      <c r="B237" s="84"/>
      <c r="C237" s="84"/>
      <c r="D237" s="84"/>
      <c r="E237" s="84"/>
      <c r="F237" s="84"/>
      <c r="G237" s="84"/>
      <c r="H237" s="8"/>
    </row>
    <row r="238" spans="1:8" ht="20.25" x14ac:dyDescent="0.25">
      <c r="A238" s="12"/>
      <c r="B238" s="84"/>
      <c r="C238" s="84"/>
      <c r="D238" s="84"/>
      <c r="E238" s="84"/>
      <c r="F238" s="84"/>
      <c r="G238" s="84"/>
      <c r="H238" s="8"/>
    </row>
    <row r="239" spans="1:8" ht="20.25" x14ac:dyDescent="0.25">
      <c r="A239" s="12"/>
      <c r="B239" s="84"/>
      <c r="C239" s="84"/>
      <c r="D239" s="84"/>
      <c r="E239" s="84"/>
      <c r="F239" s="84"/>
      <c r="G239" s="84"/>
      <c r="H239" s="8"/>
    </row>
    <row r="240" spans="1:8" ht="20.25" x14ac:dyDescent="0.25">
      <c r="A240" s="12"/>
      <c r="B240" s="84"/>
      <c r="C240" s="84"/>
      <c r="D240" s="84"/>
      <c r="E240" s="84"/>
      <c r="F240" s="84"/>
      <c r="G240" s="84"/>
      <c r="H240" s="8"/>
    </row>
    <row r="241" spans="1:8" ht="20.25" x14ac:dyDescent="0.25">
      <c r="A241" s="12"/>
      <c r="B241" s="84"/>
      <c r="C241" s="84"/>
      <c r="D241" s="84"/>
      <c r="E241" s="84"/>
      <c r="F241" s="84"/>
      <c r="G241" s="84"/>
      <c r="H241" s="8"/>
    </row>
    <row r="242" spans="1:8" ht="20.25" x14ac:dyDescent="0.25">
      <c r="A242" s="12"/>
      <c r="B242" s="84"/>
      <c r="C242" s="84"/>
      <c r="D242" s="84"/>
      <c r="E242" s="84"/>
      <c r="F242" s="84"/>
      <c r="G242" s="84"/>
      <c r="H242" s="8"/>
    </row>
    <row r="243" spans="1:8" ht="20.25" x14ac:dyDescent="0.25">
      <c r="A243" s="12"/>
      <c r="B243" s="84"/>
      <c r="C243" s="84"/>
      <c r="D243" s="84"/>
      <c r="E243" s="84"/>
      <c r="F243" s="84"/>
      <c r="G243" s="84"/>
      <c r="H243" s="8"/>
    </row>
    <row r="244" spans="1:8" ht="20.25" x14ac:dyDescent="0.25">
      <c r="A244" s="12"/>
      <c r="B244" s="84"/>
      <c r="C244" s="84"/>
      <c r="D244" s="84"/>
      <c r="E244" s="84"/>
      <c r="F244" s="84"/>
      <c r="G244" s="84"/>
      <c r="H244" s="8"/>
    </row>
    <row r="245" spans="1:8" ht="20.25" x14ac:dyDescent="0.25">
      <c r="A245" s="12"/>
      <c r="B245" s="84"/>
      <c r="C245" s="84"/>
      <c r="D245" s="84"/>
      <c r="E245" s="84"/>
      <c r="F245" s="84"/>
      <c r="G245" s="84"/>
      <c r="H245" s="8"/>
    </row>
    <row r="246" spans="1:8" ht="20.25" x14ac:dyDescent="0.25">
      <c r="A246" s="12"/>
      <c r="B246" s="84"/>
      <c r="C246" s="84"/>
      <c r="D246" s="84"/>
      <c r="E246" s="84"/>
      <c r="F246" s="84"/>
      <c r="G246" s="84"/>
      <c r="H246" s="8"/>
    </row>
    <row r="247" spans="1:8" ht="20.25" x14ac:dyDescent="0.25">
      <c r="A247" s="12"/>
      <c r="B247" s="84"/>
      <c r="C247" s="84"/>
      <c r="D247" s="84"/>
      <c r="E247" s="84"/>
      <c r="F247" s="84"/>
      <c r="G247" s="84"/>
      <c r="H247" s="8"/>
    </row>
    <row r="248" spans="1:8" ht="20.25" x14ac:dyDescent="0.25">
      <c r="A248" s="12"/>
      <c r="B248" s="84"/>
      <c r="C248" s="84"/>
      <c r="D248" s="84"/>
      <c r="E248" s="84"/>
      <c r="F248" s="84"/>
      <c r="G248" s="84"/>
      <c r="H248" s="8"/>
    </row>
    <row r="249" spans="1:8" ht="20.25" x14ac:dyDescent="0.25">
      <c r="A249" s="12"/>
      <c r="B249" s="84"/>
      <c r="C249" s="84"/>
      <c r="D249" s="84"/>
      <c r="E249" s="84"/>
      <c r="F249" s="84"/>
      <c r="G249" s="84"/>
      <c r="H249" s="8"/>
    </row>
    <row r="250" spans="1:8" ht="20.25" x14ac:dyDescent="0.25">
      <c r="A250" s="12"/>
      <c r="B250" s="84"/>
      <c r="C250" s="84"/>
      <c r="D250" s="84"/>
      <c r="E250" s="84"/>
      <c r="F250" s="84"/>
      <c r="G250" s="84"/>
      <c r="H250" s="8"/>
    </row>
    <row r="251" spans="1:8" ht="20.25" x14ac:dyDescent="0.25">
      <c r="A251" s="12"/>
      <c r="B251" s="84"/>
      <c r="C251" s="84"/>
      <c r="D251" s="84"/>
      <c r="E251" s="84"/>
      <c r="F251" s="84"/>
      <c r="G251" s="84"/>
      <c r="H251" s="8"/>
    </row>
    <row r="252" spans="1:8" ht="20.25" x14ac:dyDescent="0.25">
      <c r="A252" s="12"/>
      <c r="B252" s="84"/>
      <c r="C252" s="84"/>
      <c r="D252" s="84"/>
      <c r="E252" s="84"/>
      <c r="F252" s="84"/>
      <c r="G252" s="84"/>
      <c r="H252" s="8"/>
    </row>
    <row r="253" spans="1:8" ht="20.25" x14ac:dyDescent="0.25">
      <c r="A253" s="12"/>
      <c r="B253" s="84"/>
      <c r="C253" s="84"/>
      <c r="D253" s="84"/>
      <c r="E253" s="84"/>
      <c r="F253" s="84"/>
      <c r="G253" s="84"/>
      <c r="H253" s="8"/>
    </row>
    <row r="254" spans="1:8" ht="20.25" x14ac:dyDescent="0.25">
      <c r="A254" s="12"/>
      <c r="B254" s="84"/>
      <c r="C254" s="84"/>
      <c r="D254" s="84"/>
      <c r="E254" s="84"/>
      <c r="F254" s="84"/>
      <c r="G254" s="84"/>
      <c r="H254" s="8"/>
    </row>
    <row r="255" spans="1:8" ht="20.25" x14ac:dyDescent="0.25">
      <c r="A255" s="12"/>
      <c r="B255" s="84"/>
      <c r="C255" s="84"/>
      <c r="D255" s="84"/>
      <c r="E255" s="84"/>
      <c r="F255" s="84"/>
      <c r="G255" s="84"/>
      <c r="H255" s="8"/>
    </row>
    <row r="256" spans="1:8" ht="20.25" x14ac:dyDescent="0.25">
      <c r="A256" s="12"/>
      <c r="B256" s="84"/>
      <c r="C256" s="84"/>
      <c r="D256" s="84"/>
      <c r="E256" s="84"/>
      <c r="F256" s="84"/>
      <c r="G256" s="84"/>
      <c r="H256" s="8"/>
    </row>
    <row r="257" spans="1:8" ht="20.25" x14ac:dyDescent="0.25">
      <c r="A257" s="12"/>
      <c r="B257" s="84"/>
      <c r="C257" s="84"/>
      <c r="D257" s="84"/>
      <c r="E257" s="84"/>
      <c r="F257" s="84"/>
      <c r="G257" s="84"/>
      <c r="H257" s="8"/>
    </row>
    <row r="258" spans="1:8" ht="20.25" x14ac:dyDescent="0.25">
      <c r="A258" s="12"/>
      <c r="B258" s="84"/>
      <c r="C258" s="84"/>
      <c r="D258" s="84"/>
      <c r="E258" s="84"/>
      <c r="F258" s="84"/>
      <c r="G258" s="84"/>
      <c r="H258" s="8"/>
    </row>
    <row r="259" spans="1:8" ht="20.25" x14ac:dyDescent="0.25">
      <c r="A259" s="12"/>
      <c r="B259" s="84"/>
      <c r="C259" s="84"/>
      <c r="D259" s="84"/>
      <c r="E259" s="84"/>
      <c r="F259" s="84"/>
      <c r="G259" s="84"/>
      <c r="H259" s="8"/>
    </row>
    <row r="260" spans="1:8" ht="20.25" x14ac:dyDescent="0.25">
      <c r="A260" s="12"/>
      <c r="B260" s="84"/>
      <c r="C260" s="84"/>
      <c r="D260" s="84"/>
      <c r="E260" s="84"/>
      <c r="F260" s="84"/>
      <c r="G260" s="84"/>
      <c r="H260" s="8"/>
    </row>
    <row r="261" spans="1:8" ht="20.25" x14ac:dyDescent="0.25">
      <c r="A261" s="12"/>
      <c r="B261" s="84"/>
      <c r="C261" s="84"/>
      <c r="D261" s="84"/>
      <c r="E261" s="84"/>
      <c r="F261" s="84"/>
      <c r="G261" s="84"/>
      <c r="H261" s="8"/>
    </row>
    <row r="262" spans="1:8" ht="20.25" x14ac:dyDescent="0.25">
      <c r="A262" s="14"/>
      <c r="B262" s="15"/>
      <c r="C262" s="15"/>
      <c r="D262" s="15"/>
      <c r="E262" s="15"/>
      <c r="F262" s="15"/>
      <c r="G262" s="15"/>
      <c r="H262" s="9"/>
    </row>
    <row r="263" spans="1:8" ht="20.25" x14ac:dyDescent="0.25">
      <c r="A263" s="130" t="s">
        <v>159</v>
      </c>
      <c r="B263" s="130"/>
      <c r="C263" s="130"/>
      <c r="D263" s="130"/>
      <c r="E263" s="130"/>
      <c r="F263" s="130"/>
      <c r="G263" s="130"/>
      <c r="H263" s="130"/>
    </row>
    <row r="264" spans="1:8" ht="20.25" x14ac:dyDescent="0.25">
      <c r="A264" s="10"/>
      <c r="B264" s="11"/>
      <c r="C264" s="11"/>
      <c r="D264" s="11"/>
      <c r="E264" s="11"/>
      <c r="F264" s="11"/>
      <c r="G264" s="11"/>
      <c r="H264" s="7"/>
    </row>
    <row r="265" spans="1:8" ht="20.25" x14ac:dyDescent="0.25">
      <c r="A265" s="12"/>
      <c r="B265" s="84"/>
      <c r="C265" s="84"/>
      <c r="D265" s="84"/>
      <c r="E265" s="84"/>
      <c r="F265" s="84"/>
      <c r="G265" s="84"/>
      <c r="H265" s="8"/>
    </row>
    <row r="266" spans="1:8" ht="20.25" x14ac:dyDescent="0.25">
      <c r="A266" s="12"/>
      <c r="B266" s="84"/>
      <c r="C266" s="84"/>
      <c r="D266" s="84"/>
      <c r="E266" s="84"/>
      <c r="F266" s="84"/>
      <c r="G266" s="84"/>
      <c r="H266" s="8"/>
    </row>
    <row r="267" spans="1:8" ht="20.25" x14ac:dyDescent="0.25">
      <c r="A267" s="12"/>
      <c r="B267" s="84"/>
      <c r="C267" s="84"/>
      <c r="D267" s="84"/>
      <c r="E267" s="84"/>
      <c r="F267" s="84"/>
      <c r="G267" s="84"/>
      <c r="H267" s="8"/>
    </row>
    <row r="268" spans="1:8" ht="20.25" x14ac:dyDescent="0.25">
      <c r="A268" s="12"/>
      <c r="B268" s="84"/>
      <c r="C268" s="84"/>
      <c r="D268" s="84"/>
      <c r="E268" s="84"/>
      <c r="F268" s="84"/>
      <c r="G268" s="84"/>
      <c r="H268" s="8"/>
    </row>
    <row r="269" spans="1:8" ht="20.25" x14ac:dyDescent="0.25">
      <c r="A269" s="12"/>
      <c r="B269" s="84"/>
      <c r="C269" s="84"/>
      <c r="D269" s="84"/>
      <c r="E269" s="84"/>
      <c r="F269" s="84"/>
      <c r="G269" s="84"/>
      <c r="H269" s="8"/>
    </row>
    <row r="270" spans="1:8" ht="20.25" x14ac:dyDescent="0.25">
      <c r="A270" s="12"/>
      <c r="B270" s="84"/>
      <c r="C270" s="84"/>
      <c r="D270" s="84"/>
      <c r="E270" s="84"/>
      <c r="F270" s="84"/>
      <c r="G270" s="84"/>
      <c r="H270" s="8"/>
    </row>
    <row r="271" spans="1:8" ht="20.25" x14ac:dyDescent="0.25">
      <c r="A271" s="12"/>
      <c r="B271" s="84"/>
      <c r="C271" s="84"/>
      <c r="D271" s="84"/>
      <c r="E271" s="84"/>
      <c r="F271" s="84"/>
      <c r="G271" s="84"/>
      <c r="H271" s="8"/>
    </row>
    <row r="272" spans="1:8" ht="20.25" x14ac:dyDescent="0.25">
      <c r="A272" s="12"/>
      <c r="B272" s="84"/>
      <c r="C272" s="84"/>
      <c r="D272" s="84"/>
      <c r="E272" s="84"/>
      <c r="F272" s="84"/>
      <c r="G272" s="84"/>
      <c r="H272" s="8"/>
    </row>
    <row r="273" spans="1:8" ht="20.25" x14ac:dyDescent="0.25">
      <c r="A273" s="12"/>
      <c r="B273" s="84"/>
      <c r="C273" s="84"/>
      <c r="D273" s="84"/>
      <c r="E273" s="84"/>
      <c r="F273" s="84"/>
      <c r="G273" s="84"/>
      <c r="H273" s="8"/>
    </row>
    <row r="274" spans="1:8" ht="20.25" x14ac:dyDescent="0.25">
      <c r="A274" s="12"/>
      <c r="B274" s="84"/>
      <c r="C274" s="84"/>
      <c r="D274" s="84"/>
      <c r="E274" s="84"/>
      <c r="F274" s="84"/>
      <c r="G274" s="84"/>
      <c r="H274" s="8"/>
    </row>
    <row r="275" spans="1:8" ht="20.25" x14ac:dyDescent="0.25">
      <c r="A275" s="12"/>
      <c r="B275" s="84"/>
      <c r="C275" s="84"/>
      <c r="D275" s="84"/>
      <c r="E275" s="84"/>
      <c r="F275" s="84"/>
      <c r="G275" s="84"/>
      <c r="H275" s="8"/>
    </row>
    <row r="276" spans="1:8" ht="20.25" x14ac:dyDescent="0.25">
      <c r="A276" s="12"/>
      <c r="B276" s="84"/>
      <c r="C276" s="84"/>
      <c r="D276" s="84"/>
      <c r="E276" s="84"/>
      <c r="F276" s="84"/>
      <c r="G276" s="84"/>
      <c r="H276" s="8"/>
    </row>
    <row r="277" spans="1:8" ht="20.25" x14ac:dyDescent="0.25">
      <c r="A277" s="12"/>
      <c r="B277" s="84"/>
      <c r="C277" s="84"/>
      <c r="D277" s="84"/>
      <c r="E277" s="84"/>
      <c r="F277" s="84"/>
      <c r="G277" s="84"/>
      <c r="H277" s="8"/>
    </row>
    <row r="278" spans="1:8" ht="20.25" x14ac:dyDescent="0.25">
      <c r="A278" s="12"/>
      <c r="B278" s="84"/>
      <c r="C278" s="84"/>
      <c r="D278" s="84"/>
      <c r="E278" s="84"/>
      <c r="F278" s="84"/>
      <c r="G278" s="84"/>
      <c r="H278" s="8"/>
    </row>
    <row r="279" spans="1:8" ht="20.25" x14ac:dyDescent="0.25">
      <c r="A279" s="12"/>
      <c r="B279" s="84"/>
      <c r="C279" s="84"/>
      <c r="D279" s="84"/>
      <c r="E279" s="84"/>
      <c r="F279" s="84"/>
      <c r="G279" s="84"/>
      <c r="H279" s="8"/>
    </row>
    <row r="280" spans="1:8" ht="20.25" x14ac:dyDescent="0.25">
      <c r="A280" s="12"/>
      <c r="B280" s="84"/>
      <c r="C280" s="84"/>
      <c r="D280" s="84"/>
      <c r="E280" s="84"/>
      <c r="F280" s="84"/>
      <c r="G280" s="84"/>
      <c r="H280" s="8"/>
    </row>
    <row r="281" spans="1:8" ht="20.25" x14ac:dyDescent="0.25">
      <c r="A281" s="12"/>
      <c r="B281" s="84"/>
      <c r="C281" s="84"/>
      <c r="D281" s="84"/>
      <c r="E281" s="84"/>
      <c r="F281" s="84"/>
      <c r="G281" s="84"/>
      <c r="H281" s="8"/>
    </row>
    <row r="282" spans="1:8" ht="20.25" x14ac:dyDescent="0.25">
      <c r="A282" s="12"/>
      <c r="B282" s="84"/>
      <c r="C282" s="84"/>
      <c r="D282" s="84"/>
      <c r="E282" s="84"/>
      <c r="F282" s="84"/>
      <c r="G282" s="84"/>
      <c r="H282" s="8"/>
    </row>
    <row r="283" spans="1:8" ht="20.25" x14ac:dyDescent="0.25">
      <c r="A283" s="12"/>
      <c r="B283" s="84"/>
      <c r="C283" s="84"/>
      <c r="D283" s="84"/>
      <c r="E283" s="84"/>
      <c r="F283" s="84"/>
      <c r="G283" s="84"/>
      <c r="H283" s="8"/>
    </row>
    <row r="284" spans="1:8" ht="20.25" x14ac:dyDescent="0.25">
      <c r="A284" s="12"/>
      <c r="B284" s="84"/>
      <c r="C284" s="84"/>
      <c r="D284" s="84"/>
      <c r="E284" s="84"/>
      <c r="F284" s="84"/>
      <c r="G284" s="84"/>
      <c r="H284" s="8"/>
    </row>
    <row r="285" spans="1:8" ht="20.25" x14ac:dyDescent="0.25">
      <c r="A285" s="12"/>
      <c r="B285" s="84"/>
      <c r="C285" s="84"/>
      <c r="D285" s="84"/>
      <c r="E285" s="84"/>
      <c r="F285" s="84"/>
      <c r="G285" s="84"/>
      <c r="H285" s="8"/>
    </row>
    <row r="286" spans="1:8" ht="20.25" x14ac:dyDescent="0.25">
      <c r="A286" s="12"/>
      <c r="B286" s="84"/>
      <c r="C286" s="84"/>
      <c r="D286" s="84"/>
      <c r="E286" s="84"/>
      <c r="F286" s="84"/>
      <c r="G286" s="84"/>
      <c r="H286" s="8"/>
    </row>
    <row r="287" spans="1:8" ht="20.25" x14ac:dyDescent="0.25">
      <c r="A287" s="12"/>
      <c r="B287" s="84"/>
      <c r="C287" s="84"/>
      <c r="D287" s="84"/>
      <c r="E287" s="84"/>
      <c r="F287" s="84"/>
      <c r="G287" s="84"/>
      <c r="H287" s="8"/>
    </row>
    <row r="288" spans="1:8" ht="20.25" x14ac:dyDescent="0.25">
      <c r="A288" s="12"/>
      <c r="B288" s="84"/>
      <c r="C288" s="84"/>
      <c r="D288" s="84"/>
      <c r="E288" s="84"/>
      <c r="F288" s="84"/>
      <c r="G288" s="84"/>
      <c r="H288" s="8"/>
    </row>
    <row r="289" spans="1:8" ht="20.25" x14ac:dyDescent="0.25">
      <c r="A289" s="12"/>
      <c r="B289" s="84"/>
      <c r="C289" s="84"/>
      <c r="D289" s="84"/>
      <c r="E289" s="84"/>
      <c r="F289" s="84"/>
      <c r="G289" s="84"/>
      <c r="H289" s="8"/>
    </row>
    <row r="290" spans="1:8" ht="20.25" x14ac:dyDescent="0.25">
      <c r="A290" s="12"/>
      <c r="B290" s="84"/>
      <c r="C290" s="84"/>
      <c r="D290" s="84"/>
      <c r="E290" s="84"/>
      <c r="F290" s="84"/>
      <c r="G290" s="84"/>
      <c r="H290" s="8"/>
    </row>
    <row r="291" spans="1:8" ht="20.25" x14ac:dyDescent="0.25">
      <c r="A291" s="12"/>
      <c r="B291" s="84"/>
      <c r="C291" s="84"/>
      <c r="D291" s="84"/>
      <c r="E291" s="84"/>
      <c r="F291" s="84"/>
      <c r="G291" s="84"/>
      <c r="H291" s="8"/>
    </row>
    <row r="292" spans="1:8" ht="20.25" x14ac:dyDescent="0.25">
      <c r="A292" s="12"/>
      <c r="B292" s="84"/>
      <c r="C292" s="84"/>
      <c r="D292" s="84"/>
      <c r="E292" s="84"/>
      <c r="F292" s="84"/>
      <c r="G292" s="84"/>
      <c r="H292" s="8"/>
    </row>
    <row r="293" spans="1:8" ht="20.25" x14ac:dyDescent="0.25">
      <c r="A293" s="12"/>
      <c r="B293" s="84"/>
      <c r="C293" s="84"/>
      <c r="D293" s="84"/>
      <c r="E293" s="84"/>
      <c r="F293" s="84"/>
      <c r="G293" s="84"/>
      <c r="H293" s="8"/>
    </row>
    <row r="294" spans="1:8" ht="20.25" x14ac:dyDescent="0.25">
      <c r="A294" s="12"/>
      <c r="B294" s="84"/>
      <c r="C294" s="84"/>
      <c r="D294" s="84"/>
      <c r="E294" s="84"/>
      <c r="F294" s="84"/>
      <c r="G294" s="84"/>
      <c r="H294" s="8"/>
    </row>
    <row r="295" spans="1:8" ht="20.25" x14ac:dyDescent="0.25">
      <c r="A295" s="12"/>
      <c r="B295" s="84"/>
      <c r="C295" s="84"/>
      <c r="D295" s="84"/>
      <c r="E295" s="84"/>
      <c r="F295" s="84"/>
      <c r="G295" s="84"/>
      <c r="H295" s="8"/>
    </row>
    <row r="296" spans="1:8" ht="20.25" x14ac:dyDescent="0.25">
      <c r="A296" s="12"/>
      <c r="B296" s="84"/>
      <c r="C296" s="84"/>
      <c r="D296" s="84"/>
      <c r="E296" s="84"/>
      <c r="F296" s="84"/>
      <c r="G296" s="84"/>
      <c r="H296" s="8"/>
    </row>
    <row r="297" spans="1:8" ht="20.25" x14ac:dyDescent="0.25">
      <c r="A297" s="12"/>
      <c r="B297" s="84"/>
      <c r="C297" s="84"/>
      <c r="D297" s="84"/>
      <c r="E297" s="84"/>
      <c r="F297" s="84"/>
      <c r="G297" s="84"/>
      <c r="H297" s="8"/>
    </row>
    <row r="298" spans="1:8" ht="20.25" x14ac:dyDescent="0.25">
      <c r="A298" s="12"/>
      <c r="B298" s="84"/>
      <c r="C298" s="84"/>
      <c r="D298" s="84"/>
      <c r="E298" s="84"/>
      <c r="F298" s="84"/>
      <c r="G298" s="84"/>
      <c r="H298" s="8"/>
    </row>
    <row r="299" spans="1:8" ht="20.25" x14ac:dyDescent="0.25">
      <c r="A299" s="12"/>
      <c r="B299" s="84"/>
      <c r="C299" s="84"/>
      <c r="D299" s="84"/>
      <c r="E299" s="84"/>
      <c r="F299" s="84"/>
      <c r="G299" s="84"/>
      <c r="H299" s="8"/>
    </row>
    <row r="300" spans="1:8" ht="20.25" x14ac:dyDescent="0.25">
      <c r="A300" s="12"/>
      <c r="B300" s="84"/>
      <c r="C300" s="84"/>
      <c r="D300" s="84"/>
      <c r="E300" s="84"/>
      <c r="F300" s="84"/>
      <c r="G300" s="84"/>
      <c r="H300" s="8"/>
    </row>
    <row r="301" spans="1:8" ht="20.25" x14ac:dyDescent="0.25">
      <c r="A301" s="12"/>
      <c r="B301" s="84"/>
      <c r="C301" s="84"/>
      <c r="D301" s="84"/>
      <c r="E301" s="84"/>
      <c r="F301" s="84"/>
      <c r="G301" s="84"/>
      <c r="H301" s="8"/>
    </row>
    <row r="302" spans="1:8" ht="20.25" x14ac:dyDescent="0.25">
      <c r="A302" s="12"/>
      <c r="B302" s="84"/>
      <c r="C302" s="84"/>
      <c r="D302" s="84"/>
      <c r="E302" s="84"/>
      <c r="F302" s="84"/>
      <c r="G302" s="84"/>
      <c r="H302" s="8"/>
    </row>
    <row r="303" spans="1:8" ht="20.25" x14ac:dyDescent="0.25">
      <c r="A303" s="12"/>
      <c r="B303" s="84"/>
      <c r="C303" s="84"/>
      <c r="D303" s="84"/>
      <c r="E303" s="84"/>
      <c r="F303" s="84"/>
      <c r="G303" s="84"/>
      <c r="H303" s="8"/>
    </row>
    <row r="304" spans="1:8" ht="20.25" x14ac:dyDescent="0.25">
      <c r="A304" s="12"/>
      <c r="B304" s="84"/>
      <c r="C304" s="84"/>
      <c r="D304" s="84"/>
      <c r="E304" s="84"/>
      <c r="F304" s="84"/>
      <c r="G304" s="84"/>
      <c r="H304" s="8"/>
    </row>
    <row r="305" spans="1:8" ht="20.25" x14ac:dyDescent="0.25">
      <c r="A305" s="12"/>
      <c r="B305" s="84"/>
      <c r="C305" s="84"/>
      <c r="D305" s="84"/>
      <c r="E305" s="84"/>
      <c r="F305" s="84"/>
      <c r="G305" s="84"/>
      <c r="H305" s="8"/>
    </row>
    <row r="306" spans="1:8" ht="20.25" x14ac:dyDescent="0.25">
      <c r="A306" s="12"/>
      <c r="B306" s="84"/>
      <c r="C306" s="84"/>
      <c r="D306" s="84"/>
      <c r="E306" s="84"/>
      <c r="F306" s="84"/>
      <c r="G306" s="84"/>
      <c r="H306" s="8"/>
    </row>
    <row r="307" spans="1:8" ht="20.25" x14ac:dyDescent="0.25">
      <c r="A307" s="14"/>
      <c r="B307" s="15"/>
      <c r="C307" s="15"/>
      <c r="D307" s="15"/>
      <c r="E307" s="15"/>
      <c r="F307" s="15"/>
      <c r="G307" s="15"/>
      <c r="H307" s="9"/>
    </row>
    <row r="308" spans="1:8" ht="20.25" x14ac:dyDescent="0.25">
      <c r="A308" s="159" t="s">
        <v>76</v>
      </c>
      <c r="B308" s="160"/>
      <c r="C308" s="160"/>
      <c r="D308" s="160"/>
      <c r="E308" s="160"/>
      <c r="F308" s="160"/>
      <c r="G308" s="160"/>
      <c r="H308" s="161"/>
    </row>
    <row r="309" spans="1:8" ht="20.25" x14ac:dyDescent="0.25">
      <c r="A309" s="10"/>
      <c r="B309" s="11"/>
      <c r="C309" s="11"/>
      <c r="D309" s="11"/>
      <c r="E309" s="11"/>
      <c r="F309" s="11"/>
      <c r="G309" s="11"/>
      <c r="H309" s="7"/>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30" t="s">
        <v>24</v>
      </c>
      <c r="B333" s="130"/>
      <c r="C333" s="130"/>
      <c r="D333" s="130"/>
      <c r="E333" s="130"/>
      <c r="F333" s="130"/>
      <c r="G333" s="130"/>
      <c r="H333" s="130"/>
    </row>
    <row r="334" spans="1:8" ht="20.25" x14ac:dyDescent="0.25">
      <c r="A334" s="150" t="s">
        <v>77</v>
      </c>
      <c r="B334" s="151"/>
      <c r="C334" s="151"/>
      <c r="D334" s="151"/>
      <c r="E334" s="151"/>
      <c r="F334" s="151"/>
      <c r="G334" s="151"/>
      <c r="H334" s="152"/>
    </row>
    <row r="335" spans="1:8" ht="20.25" x14ac:dyDescent="0.25">
      <c r="A335" s="153" t="s">
        <v>78</v>
      </c>
      <c r="B335" s="154"/>
      <c r="C335" s="154"/>
      <c r="D335" s="154"/>
      <c r="E335" s="154"/>
      <c r="F335" s="154"/>
      <c r="G335" s="154"/>
      <c r="H335" s="155"/>
    </row>
    <row r="336" spans="1:8" ht="43.5" customHeight="1" x14ac:dyDescent="0.25">
      <c r="A336" s="153" t="s">
        <v>79</v>
      </c>
      <c r="B336" s="154"/>
      <c r="C336" s="154"/>
      <c r="D336" s="154"/>
      <c r="E336" s="154"/>
      <c r="F336" s="154"/>
      <c r="G336" s="154"/>
      <c r="H336" s="155"/>
    </row>
    <row r="337" spans="1:8" ht="42.75" customHeight="1" x14ac:dyDescent="0.25">
      <c r="A337" s="153" t="s">
        <v>80</v>
      </c>
      <c r="B337" s="154"/>
      <c r="C337" s="154"/>
      <c r="D337" s="154"/>
      <c r="E337" s="154"/>
      <c r="F337" s="154"/>
      <c r="G337" s="154"/>
      <c r="H337" s="155"/>
    </row>
    <row r="338" spans="1:8" ht="20.25" x14ac:dyDescent="0.25">
      <c r="A338" s="153" t="s">
        <v>81</v>
      </c>
      <c r="B338" s="154"/>
      <c r="C338" s="154"/>
      <c r="D338" s="154"/>
      <c r="E338" s="154"/>
      <c r="F338" s="154"/>
      <c r="G338" s="154"/>
      <c r="H338" s="155"/>
    </row>
    <row r="339" spans="1:8" ht="20.25" x14ac:dyDescent="0.25">
      <c r="A339" s="153" t="s">
        <v>82</v>
      </c>
      <c r="B339" s="154"/>
      <c r="C339" s="154"/>
      <c r="D339" s="154"/>
      <c r="E339" s="154"/>
      <c r="F339" s="154"/>
      <c r="G339" s="154"/>
      <c r="H339" s="155"/>
    </row>
    <row r="340" spans="1:8" ht="65.25" customHeight="1" x14ac:dyDescent="0.25">
      <c r="A340" s="153" t="s">
        <v>83</v>
      </c>
      <c r="B340" s="154"/>
      <c r="C340" s="154"/>
      <c r="D340" s="154"/>
      <c r="E340" s="154"/>
      <c r="F340" s="154"/>
      <c r="G340" s="154"/>
      <c r="H340" s="155"/>
    </row>
    <row r="341" spans="1:8" ht="46.5" customHeight="1" x14ac:dyDescent="0.25">
      <c r="A341" s="153" t="s">
        <v>84</v>
      </c>
      <c r="B341" s="154"/>
      <c r="C341" s="154"/>
      <c r="D341" s="154"/>
      <c r="E341" s="154"/>
      <c r="F341" s="154"/>
      <c r="G341" s="154"/>
      <c r="H341" s="155"/>
    </row>
    <row r="342" spans="1:8" ht="20.25" x14ac:dyDescent="0.25">
      <c r="A342" s="156" t="s">
        <v>85</v>
      </c>
      <c r="B342" s="157"/>
      <c r="C342" s="157"/>
      <c r="D342" s="157"/>
      <c r="E342" s="157"/>
      <c r="F342" s="157"/>
      <c r="G342" s="157"/>
      <c r="H342" s="158"/>
    </row>
    <row r="343" spans="1:8" ht="76.5" customHeight="1" x14ac:dyDescent="0.25">
      <c r="A343" s="140" t="s">
        <v>30</v>
      </c>
      <c r="B343" s="141"/>
      <c r="C343" s="142" t="s">
        <v>346</v>
      </c>
      <c r="D343" s="143"/>
      <c r="E343" s="140" t="s">
        <v>9</v>
      </c>
      <c r="F343" s="141"/>
      <c r="G343" s="148"/>
      <c r="H343" s="148"/>
    </row>
  </sheetData>
  <mergeCells count="397">
    <mergeCell ref="A117:B117"/>
    <mergeCell ref="C108:D108"/>
    <mergeCell ref="A118:B118"/>
    <mergeCell ref="G108:H108"/>
    <mergeCell ref="A101:B102"/>
    <mergeCell ref="C109:D109"/>
    <mergeCell ref="A112:H112"/>
    <mergeCell ref="C154:H155"/>
    <mergeCell ref="C162:H162"/>
    <mergeCell ref="C199:H200"/>
    <mergeCell ref="C208:H208"/>
    <mergeCell ref="I106:J106"/>
    <mergeCell ref="I107:J107"/>
    <mergeCell ref="A187:H187"/>
    <mergeCell ref="A188:B188"/>
    <mergeCell ref="A189:B189"/>
    <mergeCell ref="A190:B190"/>
    <mergeCell ref="A191:B191"/>
    <mergeCell ref="A192:B192"/>
    <mergeCell ref="A193:B193"/>
    <mergeCell ref="A194:B194"/>
    <mergeCell ref="A195:B195"/>
    <mergeCell ref="A138:B138"/>
    <mergeCell ref="A139:B139"/>
    <mergeCell ref="A140:B140"/>
    <mergeCell ref="A141:B141"/>
    <mergeCell ref="A116:H116"/>
    <mergeCell ref="A50:B50"/>
    <mergeCell ref="C49:H49"/>
    <mergeCell ref="A74:H74"/>
    <mergeCell ref="A90:F90"/>
    <mergeCell ref="A110:H110"/>
    <mergeCell ref="E100:F100"/>
    <mergeCell ref="E101:F101"/>
    <mergeCell ref="E102:F102"/>
    <mergeCell ref="E103:F103"/>
    <mergeCell ref="A100:B100"/>
    <mergeCell ref="C100:D100"/>
    <mergeCell ref="A103:B103"/>
    <mergeCell ref="C101:D101"/>
    <mergeCell ref="G100:H100"/>
    <mergeCell ref="G101:H101"/>
    <mergeCell ref="G102:H102"/>
    <mergeCell ref="G103:H103"/>
    <mergeCell ref="C103:D103"/>
    <mergeCell ref="G105:H105"/>
    <mergeCell ref="A106:B106"/>
    <mergeCell ref="G106:H106"/>
    <mergeCell ref="A107:B107"/>
    <mergeCell ref="G107:H107"/>
    <mergeCell ref="A108:B108"/>
    <mergeCell ref="C56:F56"/>
    <mergeCell ref="C57:F57"/>
    <mergeCell ref="C54:F54"/>
    <mergeCell ref="A58:H58"/>
    <mergeCell ref="A61:B61"/>
    <mergeCell ref="E61:F61"/>
    <mergeCell ref="E59:F59"/>
    <mergeCell ref="E60:F60"/>
    <mergeCell ref="A59:C60"/>
    <mergeCell ref="A75:C76"/>
    <mergeCell ref="E75:F75"/>
    <mergeCell ref="G90:H90"/>
    <mergeCell ref="G62:H73"/>
    <mergeCell ref="A62:B62"/>
    <mergeCell ref="A68:B68"/>
    <mergeCell ref="A66:B66"/>
    <mergeCell ref="A69:B69"/>
    <mergeCell ref="C106:D106"/>
    <mergeCell ref="A91:H91"/>
    <mergeCell ref="A77:B77"/>
    <mergeCell ref="E77:F77"/>
    <mergeCell ref="A78:B78"/>
    <mergeCell ref="A119:B119"/>
    <mergeCell ref="A120:B120"/>
    <mergeCell ref="A121:B121"/>
    <mergeCell ref="A122:B122"/>
    <mergeCell ref="A149:B149"/>
    <mergeCell ref="A151:B151"/>
    <mergeCell ref="A147:B147"/>
    <mergeCell ref="A160:H160"/>
    <mergeCell ref="A161:B161"/>
    <mergeCell ref="A146:B146"/>
    <mergeCell ref="A144:H144"/>
    <mergeCell ref="A145:B145"/>
    <mergeCell ref="A123:B123"/>
    <mergeCell ref="A124:B124"/>
    <mergeCell ref="A125:B125"/>
    <mergeCell ref="A126:B126"/>
    <mergeCell ref="A127:B127"/>
    <mergeCell ref="A128:B128"/>
    <mergeCell ref="A129:B129"/>
    <mergeCell ref="A130:B130"/>
    <mergeCell ref="A131:B131"/>
    <mergeCell ref="A132:H132"/>
    <mergeCell ref="A133:H133"/>
    <mergeCell ref="A134:H134"/>
    <mergeCell ref="A1:H1"/>
    <mergeCell ref="A221:C221"/>
    <mergeCell ref="G27:H27"/>
    <mergeCell ref="G28:H28"/>
    <mergeCell ref="A37:H37"/>
    <mergeCell ref="A44:H44"/>
    <mergeCell ref="A48:H48"/>
    <mergeCell ref="A99:H99"/>
    <mergeCell ref="G97:H97"/>
    <mergeCell ref="G7:H7"/>
    <mergeCell ref="G47:H47"/>
    <mergeCell ref="G45:H45"/>
    <mergeCell ref="A25:H25"/>
    <mergeCell ref="G26:H26"/>
    <mergeCell ref="G20:H20"/>
    <mergeCell ref="G21:H21"/>
    <mergeCell ref="A9:A11"/>
    <mergeCell ref="A162:B162"/>
    <mergeCell ref="A163:B163"/>
    <mergeCell ref="G96:H96"/>
    <mergeCell ref="A136:H136"/>
    <mergeCell ref="A109:B109"/>
    <mergeCell ref="G109:H109"/>
    <mergeCell ref="A104:H104"/>
    <mergeCell ref="G94:H94"/>
    <mergeCell ref="G98:H98"/>
    <mergeCell ref="D223:H223"/>
    <mergeCell ref="A263:H263"/>
    <mergeCell ref="A33:H33"/>
    <mergeCell ref="G30:H30"/>
    <mergeCell ref="A95:H95"/>
    <mergeCell ref="E92:F92"/>
    <mergeCell ref="A94:B94"/>
    <mergeCell ref="E93:F93"/>
    <mergeCell ref="G93:H93"/>
    <mergeCell ref="A105:B105"/>
    <mergeCell ref="E105:F105"/>
    <mergeCell ref="A31:B31"/>
    <mergeCell ref="A32:B32"/>
    <mergeCell ref="C32:H32"/>
    <mergeCell ref="F42:H42"/>
    <mergeCell ref="A49:B49"/>
    <mergeCell ref="A51:B51"/>
    <mergeCell ref="A55:B55"/>
    <mergeCell ref="A56:B56"/>
    <mergeCell ref="E30:F30"/>
    <mergeCell ref="E31:F31"/>
    <mergeCell ref="A43:B43"/>
    <mergeCell ref="G343:H343"/>
    <mergeCell ref="A220:H220"/>
    <mergeCell ref="D222:H222"/>
    <mergeCell ref="A334:H334"/>
    <mergeCell ref="A340:H340"/>
    <mergeCell ref="A341:H341"/>
    <mergeCell ref="A342:H342"/>
    <mergeCell ref="A335:H335"/>
    <mergeCell ref="A336:H336"/>
    <mergeCell ref="A337:H337"/>
    <mergeCell ref="A338:H338"/>
    <mergeCell ref="A222:C222"/>
    <mergeCell ref="A333:H333"/>
    <mergeCell ref="A339:H339"/>
    <mergeCell ref="A308:H308"/>
    <mergeCell ref="D221:H221"/>
    <mergeCell ref="A223:C223"/>
    <mergeCell ref="E343:F343"/>
    <mergeCell ref="A343:B343"/>
    <mergeCell ref="C343:D343"/>
    <mergeCell ref="G14:H14"/>
    <mergeCell ref="G16:H16"/>
    <mergeCell ref="G17:H17"/>
    <mergeCell ref="G15:H15"/>
    <mergeCell ref="G18:H18"/>
    <mergeCell ref="G19:H19"/>
    <mergeCell ref="G46:H46"/>
    <mergeCell ref="G31:H31"/>
    <mergeCell ref="G22:H22"/>
    <mergeCell ref="G36:H36"/>
    <mergeCell ref="G35:H35"/>
    <mergeCell ref="E62:F73"/>
    <mergeCell ref="A164:B164"/>
    <mergeCell ref="A150:B150"/>
    <mergeCell ref="A148:B148"/>
    <mergeCell ref="E108:F108"/>
    <mergeCell ref="E106:F106"/>
    <mergeCell ref="C105:D105"/>
    <mergeCell ref="E107:F107"/>
    <mergeCell ref="G92:H92"/>
    <mergeCell ref="B216:H216"/>
    <mergeCell ref="B215:H215"/>
    <mergeCell ref="B219:H219"/>
    <mergeCell ref="B218:H218"/>
    <mergeCell ref="B217:H217"/>
    <mergeCell ref="A165:B165"/>
    <mergeCell ref="A166:B166"/>
    <mergeCell ref="A167:B167"/>
    <mergeCell ref="A176:B176"/>
    <mergeCell ref="A177:B177"/>
    <mergeCell ref="A173:B173"/>
    <mergeCell ref="A174:B174"/>
    <mergeCell ref="A175:B175"/>
    <mergeCell ref="A169:H169"/>
    <mergeCell ref="A170:B170"/>
    <mergeCell ref="A171:B171"/>
    <mergeCell ref="A182:B182"/>
    <mergeCell ref="A183:B183"/>
    <mergeCell ref="A184:B184"/>
    <mergeCell ref="A211:B211"/>
    <mergeCell ref="A212:B212"/>
    <mergeCell ref="A213:B213"/>
    <mergeCell ref="A203:B203"/>
    <mergeCell ref="A204:B204"/>
    <mergeCell ref="A214:H214"/>
    <mergeCell ref="A63:B63"/>
    <mergeCell ref="C27:D27"/>
    <mergeCell ref="A70:B70"/>
    <mergeCell ref="A71:B71"/>
    <mergeCell ref="A72:B72"/>
    <mergeCell ref="A73:B73"/>
    <mergeCell ref="C4:D4"/>
    <mergeCell ref="A19:B19"/>
    <mergeCell ref="A20:B20"/>
    <mergeCell ref="A13:H13"/>
    <mergeCell ref="C26:D26"/>
    <mergeCell ref="A38:B38"/>
    <mergeCell ref="A42:B42"/>
    <mergeCell ref="C42:E42"/>
    <mergeCell ref="C43:H43"/>
    <mergeCell ref="A45:B45"/>
    <mergeCell ref="A46:B46"/>
    <mergeCell ref="A47:B47"/>
    <mergeCell ref="D46:F46"/>
    <mergeCell ref="D45:F45"/>
    <mergeCell ref="D47:F47"/>
    <mergeCell ref="A57:B57"/>
    <mergeCell ref="A54:B54"/>
    <mergeCell ref="C55:F55"/>
    <mergeCell ref="E78:F89"/>
    <mergeCell ref="G78:H89"/>
    <mergeCell ref="A79:B79"/>
    <mergeCell ref="A80:B80"/>
    <mergeCell ref="A81:B81"/>
    <mergeCell ref="A82:B82"/>
    <mergeCell ref="A83:B83"/>
    <mergeCell ref="A84:B84"/>
    <mergeCell ref="A85:B85"/>
    <mergeCell ref="A86:B86"/>
    <mergeCell ref="A87:B87"/>
    <mergeCell ref="A88:B88"/>
    <mergeCell ref="A89:B8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G6:H6"/>
    <mergeCell ref="A5:H5"/>
    <mergeCell ref="C3:D3"/>
    <mergeCell ref="E2:F2"/>
    <mergeCell ref="E14:F14"/>
    <mergeCell ref="E15:F15"/>
    <mergeCell ref="E16:F16"/>
    <mergeCell ref="E17:F17"/>
    <mergeCell ref="E18:F18"/>
    <mergeCell ref="E19:F19"/>
    <mergeCell ref="C18:D18"/>
    <mergeCell ref="C19:D19"/>
    <mergeCell ref="E3:F3"/>
    <mergeCell ref="E4:F4"/>
    <mergeCell ref="C14:D14"/>
    <mergeCell ref="C15:D15"/>
    <mergeCell ref="C16:D16"/>
    <mergeCell ref="C17:D17"/>
    <mergeCell ref="A14:B14"/>
    <mergeCell ref="A15:B15"/>
    <mergeCell ref="A16:B16"/>
    <mergeCell ref="A17:B17"/>
    <mergeCell ref="A18:B18"/>
    <mergeCell ref="A23:B23"/>
    <mergeCell ref="A24:B24"/>
    <mergeCell ref="E20:F20"/>
    <mergeCell ref="E21:F21"/>
    <mergeCell ref="E22:F22"/>
    <mergeCell ref="A28:B28"/>
    <mergeCell ref="A29:B29"/>
    <mergeCell ref="A30:B30"/>
    <mergeCell ref="A26:B26"/>
    <mergeCell ref="A27:B27"/>
    <mergeCell ref="A21:B21"/>
    <mergeCell ref="A22:B22"/>
    <mergeCell ref="C20:D20"/>
    <mergeCell ref="C21:D21"/>
    <mergeCell ref="C22:D22"/>
    <mergeCell ref="C24:H24"/>
    <mergeCell ref="C23:H23"/>
    <mergeCell ref="G29:H29"/>
    <mergeCell ref="A34:B34"/>
    <mergeCell ref="A35:B35"/>
    <mergeCell ref="A36:B36"/>
    <mergeCell ref="C34:D34"/>
    <mergeCell ref="C35:D35"/>
    <mergeCell ref="C36:D36"/>
    <mergeCell ref="C28:D28"/>
    <mergeCell ref="C29:D29"/>
    <mergeCell ref="C30:D30"/>
    <mergeCell ref="C31:D31"/>
    <mergeCell ref="G34:H34"/>
    <mergeCell ref="E26:F26"/>
    <mergeCell ref="E27:F27"/>
    <mergeCell ref="E28:F28"/>
    <mergeCell ref="E29:F29"/>
    <mergeCell ref="J38:K38"/>
    <mergeCell ref="M38:N38"/>
    <mergeCell ref="C38:E38"/>
    <mergeCell ref="F38:H38"/>
    <mergeCell ref="E34:F34"/>
    <mergeCell ref="E35:F35"/>
    <mergeCell ref="E36:F36"/>
    <mergeCell ref="C39:E39"/>
    <mergeCell ref="F39:H39"/>
    <mergeCell ref="F40:H40"/>
    <mergeCell ref="C40:E40"/>
    <mergeCell ref="A41:B41"/>
    <mergeCell ref="C41:E41"/>
    <mergeCell ref="F41:H41"/>
    <mergeCell ref="A39:B39"/>
    <mergeCell ref="A40:B40"/>
    <mergeCell ref="C50:F50"/>
    <mergeCell ref="C51:F51"/>
    <mergeCell ref="C52:F52"/>
    <mergeCell ref="A52:B53"/>
    <mergeCell ref="C53:H53"/>
    <mergeCell ref="A113:H113"/>
    <mergeCell ref="A114:H114"/>
    <mergeCell ref="A115:H115"/>
    <mergeCell ref="A92:B92"/>
    <mergeCell ref="C92:D92"/>
    <mergeCell ref="C93:D93"/>
    <mergeCell ref="C94:D94"/>
    <mergeCell ref="E94:F94"/>
    <mergeCell ref="A96:F96"/>
    <mergeCell ref="A97:F97"/>
    <mergeCell ref="A98:F98"/>
    <mergeCell ref="C102:D102"/>
    <mergeCell ref="A93:B93"/>
    <mergeCell ref="A64:B64"/>
    <mergeCell ref="A65:B65"/>
    <mergeCell ref="A67:B67"/>
    <mergeCell ref="C107:D107"/>
    <mergeCell ref="E109:F109"/>
    <mergeCell ref="E76:F76"/>
    <mergeCell ref="A168:H168"/>
    <mergeCell ref="A178:H178"/>
    <mergeCell ref="A179:B179"/>
    <mergeCell ref="A180:B180"/>
    <mergeCell ref="A181:B181"/>
    <mergeCell ref="A135:H135"/>
    <mergeCell ref="A152:H152"/>
    <mergeCell ref="A153:B153"/>
    <mergeCell ref="A154:B154"/>
    <mergeCell ref="A155:B155"/>
    <mergeCell ref="A156:B156"/>
    <mergeCell ref="A157:B157"/>
    <mergeCell ref="A158:B158"/>
    <mergeCell ref="A159:B159"/>
    <mergeCell ref="A172:B172"/>
    <mergeCell ref="A142:B142"/>
    <mergeCell ref="A143:B143"/>
    <mergeCell ref="A137:B137"/>
    <mergeCell ref="A205:H205"/>
    <mergeCell ref="A206:B206"/>
    <mergeCell ref="A207:B207"/>
    <mergeCell ref="A208:B208"/>
    <mergeCell ref="A209:B209"/>
    <mergeCell ref="A210:B210"/>
    <mergeCell ref="A185:B185"/>
    <mergeCell ref="A186:B186"/>
    <mergeCell ref="A196:H196"/>
    <mergeCell ref="A197:B197"/>
    <mergeCell ref="A198:B198"/>
    <mergeCell ref="A199:B199"/>
    <mergeCell ref="A200:B200"/>
    <mergeCell ref="A201:B201"/>
    <mergeCell ref="A202:B202"/>
  </mergeCells>
  <dataValidations count="7">
    <dataValidation type="list" allowBlank="1" showInputMessage="1" showErrorMessage="1" sqref="G6:H6">
      <formula1>"Mr. Suraj Khare, 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94">
      <formula1>"300000,350000,400000,500000,600000,700000,800000,900000,1000000,1200000,1400000,1500000,1600000"</formula1>
    </dataValidation>
    <dataValidation type="list" allowBlank="1" showInputMessage="1" showErrorMessage="1" sqref="F111">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9:H49 G35:H35">
      <formula1>"Yes,No"</formula1>
    </dataValidation>
    <dataValidation type="list" allowBlank="1" showInputMessage="1" showErrorMessage="1" sqref="C111">
      <formula1>"Sale /Rehab,Sale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73" max="16383" man="1"/>
    <brk id="219" max="7" man="1"/>
    <brk id="262" max="7" man="1"/>
    <brk id="307"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0" t="s">
        <v>68</v>
      </c>
      <c r="B3" s="130"/>
      <c r="C3" s="130"/>
      <c r="D3" s="130"/>
      <c r="E3" s="130"/>
      <c r="F3" s="130"/>
      <c r="G3" s="130"/>
      <c r="H3" s="130"/>
      <c r="I3" s="130"/>
    </row>
    <row r="4" spans="1:11" s="1" customFormat="1" ht="20.25" customHeight="1" x14ac:dyDescent="0.3">
      <c r="A4" s="194">
        <v>1</v>
      </c>
      <c r="B4" s="194"/>
      <c r="C4" s="194"/>
      <c r="D4" s="195" t="s">
        <v>4</v>
      </c>
      <c r="E4" s="30" t="s">
        <v>116</v>
      </c>
      <c r="F4" s="119" t="s">
        <v>103</v>
      </c>
      <c r="G4" s="119"/>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4"/>
      <c r="B5" s="194"/>
      <c r="C5" s="194"/>
      <c r="D5" s="195"/>
      <c r="E5" s="30">
        <v>3</v>
      </c>
      <c r="F5" s="119">
        <v>1</v>
      </c>
      <c r="G5" s="119"/>
      <c r="H5" s="30">
        <v>0</v>
      </c>
      <c r="I5" s="30">
        <f ca="1">--TRIM(RIGHT(SUBSTITUTE(LEFT(A4,_xlfn.AGGREGATE(16,6,FIND({0,1,2,3,4,5,6,7,8,9},A4,ROW(INDIRECT("1:"&amp;LEN(A4)))),1))," ",REPT(" ",LEN(A4))),LEN(A4)))</f>
        <v>1</v>
      </c>
      <c r="J5" s="17" t="s">
        <v>122</v>
      </c>
      <c r="K5" s="18"/>
    </row>
    <row r="6" spans="1:11" s="1" customFormat="1" ht="20.25" customHeight="1" x14ac:dyDescent="0.3">
      <c r="A6" s="174" t="s">
        <v>120</v>
      </c>
      <c r="B6" s="174"/>
      <c r="C6" s="174" t="s">
        <v>130</v>
      </c>
      <c r="D6" s="174"/>
      <c r="E6" s="28" t="s">
        <v>131</v>
      </c>
      <c r="F6" s="174" t="s">
        <v>121</v>
      </c>
      <c r="G6" s="174"/>
      <c r="H6" s="29" t="s">
        <v>119</v>
      </c>
      <c r="I6" s="29"/>
      <c r="J6" s="20" t="s">
        <v>132</v>
      </c>
      <c r="K6" s="19">
        <f ca="1">I5*25%</f>
        <v>0.25</v>
      </c>
    </row>
    <row r="7" spans="1:11" s="1" customFormat="1" ht="20.25" customHeight="1" x14ac:dyDescent="0.3">
      <c r="A7" s="116" t="s">
        <v>133</v>
      </c>
      <c r="B7" s="116"/>
      <c r="C7" s="119">
        <f ca="1">K8</f>
        <v>1</v>
      </c>
      <c r="D7" s="119"/>
      <c r="E7" s="5">
        <f ca="1">((100/I5)*C7)/100</f>
        <v>1</v>
      </c>
      <c r="F7" s="116">
        <f ca="1">(((C7/I5*5)+(C8/I5*20)+(25/(F5+H5+I5)*C9)+(5/(I5)*C10)+(2.5/(I5)*C11)+(2.5/(I5)*C12)+(5/I5*C13)+(10/I5*C14)+(2.5/I5*C15)+(2.5/I5*C16)+(10/I5*C17)+(10/I5*C18))/100)</f>
        <v>0.25</v>
      </c>
      <c r="G7" s="116"/>
      <c r="H7" s="116" t="str">
        <f ca="1">J4</f>
        <v>Excavation work Completed. Plinth work completed</v>
      </c>
      <c r="I7" s="116"/>
      <c r="J7" s="20" t="s">
        <v>123</v>
      </c>
      <c r="K7" s="24">
        <f ca="1">I5*50%</f>
        <v>0.5</v>
      </c>
    </row>
    <row r="8" spans="1:11" s="1" customFormat="1" ht="20.25" x14ac:dyDescent="0.3">
      <c r="A8" s="116" t="s">
        <v>104</v>
      </c>
      <c r="B8" s="116"/>
      <c r="C8" s="196">
        <f ca="1">K16</f>
        <v>1</v>
      </c>
      <c r="D8" s="119"/>
      <c r="E8" s="5">
        <f ca="1">((100/I5)*C8)/100</f>
        <v>1</v>
      </c>
      <c r="F8" s="116"/>
      <c r="G8" s="116"/>
      <c r="H8" s="116"/>
      <c r="I8" s="116"/>
      <c r="J8" s="20" t="s">
        <v>124</v>
      </c>
      <c r="K8" s="24">
        <f ca="1">I5</f>
        <v>1</v>
      </c>
    </row>
    <row r="9" spans="1:11" s="1" customFormat="1" ht="21" customHeight="1" x14ac:dyDescent="0.35">
      <c r="A9" s="116" t="s">
        <v>134</v>
      </c>
      <c r="B9" s="116"/>
      <c r="C9" s="119">
        <v>0</v>
      </c>
      <c r="D9" s="119"/>
      <c r="E9" s="5">
        <f ca="1">((100/(F5+H5+I5))*C9)/100</f>
        <v>0</v>
      </c>
      <c r="F9" s="116"/>
      <c r="G9" s="116"/>
      <c r="H9" s="116"/>
      <c r="I9" s="116"/>
      <c r="J9" s="20" t="s">
        <v>125</v>
      </c>
      <c r="K9" s="25">
        <f ca="1">(IF(E5&gt;1,(I5/(E5+2)),I5*0.2))</f>
        <v>0.2</v>
      </c>
    </row>
    <row r="10" spans="1:11" s="1" customFormat="1" ht="21" customHeight="1" x14ac:dyDescent="0.35">
      <c r="A10" s="116" t="s">
        <v>135</v>
      </c>
      <c r="B10" s="116"/>
      <c r="C10" s="119">
        <v>0</v>
      </c>
      <c r="D10" s="119"/>
      <c r="E10" s="5">
        <f ca="1">((100/I5)*C10)/100</f>
        <v>0</v>
      </c>
      <c r="F10" s="116"/>
      <c r="G10" s="116"/>
      <c r="H10" s="116"/>
      <c r="I10" s="116"/>
      <c r="J10" s="20" t="s">
        <v>126</v>
      </c>
      <c r="K10" s="25">
        <f ca="1">(IF(E5&gt;1,(I5/(E5+2)+K9),I5*0.2+K9))</f>
        <v>0.4</v>
      </c>
    </row>
    <row r="11" spans="1:11" s="1" customFormat="1" ht="21" customHeight="1" x14ac:dyDescent="0.35">
      <c r="A11" s="138" t="s">
        <v>136</v>
      </c>
      <c r="B11" s="139"/>
      <c r="C11" s="119">
        <v>0</v>
      </c>
      <c r="D11" s="119"/>
      <c r="E11" s="5">
        <f ca="1">((100/I5)*C11)/100</f>
        <v>0</v>
      </c>
      <c r="F11" s="116"/>
      <c r="G11" s="116"/>
      <c r="H11" s="116"/>
      <c r="I11" s="116"/>
      <c r="J11" s="20" t="s">
        <v>137</v>
      </c>
      <c r="K11" s="25">
        <f ca="1">(IF(E5&gt;1,(I5/(E5+2)+K10),0))</f>
        <v>0.60000000000000009</v>
      </c>
    </row>
    <row r="12" spans="1:11" s="1" customFormat="1" ht="21" customHeight="1" x14ac:dyDescent="0.35">
      <c r="A12" s="138" t="s">
        <v>167</v>
      </c>
      <c r="B12" s="139"/>
      <c r="C12" s="119">
        <v>0</v>
      </c>
      <c r="D12" s="119"/>
      <c r="E12" s="5">
        <f ca="1">((100/I5)*C12)/100</f>
        <v>0</v>
      </c>
      <c r="F12" s="116"/>
      <c r="G12" s="116"/>
      <c r="H12" s="116"/>
      <c r="I12" s="116"/>
      <c r="J12" s="20" t="s">
        <v>138</v>
      </c>
      <c r="K12" s="25">
        <f ca="1">(IF(E5&gt;2,(I5/(E5+2)+K11),0))</f>
        <v>0.8</v>
      </c>
    </row>
    <row r="13" spans="1:11" s="1" customFormat="1" ht="57.75" customHeight="1" x14ac:dyDescent="0.35">
      <c r="A13" s="138" t="s">
        <v>164</v>
      </c>
      <c r="B13" s="139"/>
      <c r="C13" s="119">
        <v>0</v>
      </c>
      <c r="D13" s="119"/>
      <c r="E13" s="5">
        <f ca="1">((100/(I5))*C13)/100</f>
        <v>0</v>
      </c>
      <c r="F13" s="116"/>
      <c r="G13" s="116"/>
      <c r="H13" s="116"/>
      <c r="I13" s="116"/>
      <c r="J13" s="20" t="s">
        <v>140</v>
      </c>
      <c r="K13" s="26">
        <f>(IF(E5&gt;3,(I5/(E5+2)+K12),0))</f>
        <v>0</v>
      </c>
    </row>
    <row r="14" spans="1:11" s="1" customFormat="1" ht="21" x14ac:dyDescent="0.35">
      <c r="A14" s="116" t="s">
        <v>139</v>
      </c>
      <c r="B14" s="116"/>
      <c r="C14" s="119">
        <v>0</v>
      </c>
      <c r="D14" s="119"/>
      <c r="E14" s="5">
        <f ca="1">((100/(I5))*C14)/100</f>
        <v>0</v>
      </c>
      <c r="F14" s="116"/>
      <c r="G14" s="116"/>
      <c r="H14" s="116"/>
      <c r="I14" s="116"/>
      <c r="J14" s="20" t="s">
        <v>141</v>
      </c>
      <c r="K14" s="25">
        <f>(IF(E5&gt;4,(I5/(E5+2)+K13),0))</f>
        <v>0</v>
      </c>
    </row>
    <row r="15" spans="1:11" s="1" customFormat="1" ht="21" customHeight="1" x14ac:dyDescent="0.35">
      <c r="A15" s="116" t="s">
        <v>166</v>
      </c>
      <c r="B15" s="116"/>
      <c r="C15" s="119">
        <v>0</v>
      </c>
      <c r="D15" s="119"/>
      <c r="E15" s="5">
        <f ca="1">((100/I5)*C15)/100</f>
        <v>0</v>
      </c>
      <c r="F15" s="116"/>
      <c r="G15" s="116"/>
      <c r="H15" s="116"/>
      <c r="I15" s="116"/>
      <c r="J15" s="20" t="s">
        <v>127</v>
      </c>
      <c r="K15" s="25">
        <f>(IF(E5=1,(I5/(E5+3)+K10),IF(E5=0,(I5*0.3+K10),IF(E5&gt;1,0))))</f>
        <v>0</v>
      </c>
    </row>
    <row r="16" spans="1:11" s="1" customFormat="1" ht="21.75" thickBot="1" x14ac:dyDescent="0.4">
      <c r="A16" s="116" t="s">
        <v>165</v>
      </c>
      <c r="B16" s="116"/>
      <c r="C16" s="119">
        <v>0</v>
      </c>
      <c r="D16" s="119"/>
      <c r="E16" s="5">
        <f ca="1">((100/I5)*C16)/100</f>
        <v>0</v>
      </c>
      <c r="F16" s="116"/>
      <c r="G16" s="116"/>
      <c r="H16" s="116"/>
      <c r="I16" s="116"/>
      <c r="J16" s="22" t="s">
        <v>128</v>
      </c>
      <c r="K16" s="27">
        <f ca="1">(IF(E5&gt;1.5,(I5/(E5+2)+K10+MAX(0,K11-K10)+MAX(0,K12-K11)+MAX(0,K13-K12)+MAX(0,K14-K13)+MAX(0,K15-K14)),IF(E5=1,(I5/(E5+3)+K15),IF(E5=0,I5*0.3+K15))))</f>
        <v>1</v>
      </c>
    </row>
    <row r="17" spans="1:9" s="1" customFormat="1" ht="20.25" x14ac:dyDescent="0.25">
      <c r="A17" s="116" t="s">
        <v>142</v>
      </c>
      <c r="B17" s="116"/>
      <c r="C17" s="119">
        <v>0</v>
      </c>
      <c r="D17" s="119"/>
      <c r="E17" s="5">
        <f ca="1">((100/(I5))*C17)/100</f>
        <v>0</v>
      </c>
      <c r="F17" s="116"/>
      <c r="G17" s="116"/>
      <c r="H17" s="116"/>
      <c r="I17" s="116"/>
    </row>
    <row r="18" spans="1:9" s="1" customFormat="1" ht="20.25" x14ac:dyDescent="0.25">
      <c r="A18" s="116" t="s">
        <v>143</v>
      </c>
      <c r="B18" s="116"/>
      <c r="C18" s="119">
        <v>0</v>
      </c>
      <c r="D18" s="119"/>
      <c r="E18" s="5">
        <f ca="1">((100/(I5))*C18)/100</f>
        <v>0</v>
      </c>
      <c r="F18" s="116"/>
      <c r="G18" s="116"/>
      <c r="H18" s="116"/>
      <c r="I18" s="116"/>
    </row>
    <row r="23" spans="1:9" x14ac:dyDescent="0.25">
      <c r="B23" s="197" t="s">
        <v>168</v>
      </c>
      <c r="C23" s="197"/>
      <c r="D23" s="197"/>
      <c r="E23" s="197"/>
      <c r="F23" s="197"/>
      <c r="G23" s="197"/>
    </row>
    <row r="24" spans="1:9" ht="14.45" customHeight="1" x14ac:dyDescent="0.25">
      <c r="B24" s="200" t="s">
        <v>169</v>
      </c>
      <c r="C24" s="200" t="s">
        <v>170</v>
      </c>
      <c r="D24" s="203" t="s">
        <v>171</v>
      </c>
      <c r="E24" s="204" t="s">
        <v>172</v>
      </c>
      <c r="F24" s="201" t="s">
        <v>173</v>
      </c>
      <c r="G24" s="200" t="s">
        <v>174</v>
      </c>
    </row>
    <row r="25" spans="1:9" x14ac:dyDescent="0.25">
      <c r="B25" s="200"/>
      <c r="C25" s="200"/>
      <c r="D25" s="203"/>
      <c r="E25" s="204"/>
      <c r="F25" s="201"/>
      <c r="G25" s="200"/>
    </row>
    <row r="26" spans="1:9" x14ac:dyDescent="0.25">
      <c r="B26" s="35" t="s">
        <v>175</v>
      </c>
      <c r="C26" s="36">
        <v>10</v>
      </c>
      <c r="D26" s="36">
        <v>1</v>
      </c>
      <c r="E26" s="37"/>
      <c r="F26" s="38">
        <f>((E26/D26)*0.05)*100</f>
        <v>0</v>
      </c>
      <c r="G26" s="38">
        <f t="shared" ref="G26:G37" si="0">((E26/D26)*(C26/100))*100</f>
        <v>0</v>
      </c>
    </row>
    <row r="27" spans="1:9" x14ac:dyDescent="0.25">
      <c r="B27" s="35" t="s">
        <v>176</v>
      </c>
      <c r="C27" s="37">
        <v>10</v>
      </c>
      <c r="D27" s="37">
        <v>1</v>
      </c>
      <c r="E27" s="37"/>
      <c r="F27" s="38">
        <f>((E27/D27)*0.05)*100</f>
        <v>0</v>
      </c>
      <c r="G27" s="38">
        <f t="shared" si="0"/>
        <v>0</v>
      </c>
    </row>
    <row r="28" spans="1:9" x14ac:dyDescent="0.25">
      <c r="B28" s="35" t="s">
        <v>177</v>
      </c>
      <c r="C28" s="37">
        <v>15</v>
      </c>
      <c r="D28" s="37">
        <v>1</v>
      </c>
      <c r="E28" s="37"/>
      <c r="F28" s="38">
        <f>((E28/D28)*0.15)*100</f>
        <v>0</v>
      </c>
      <c r="G28" s="38">
        <f t="shared" si="0"/>
        <v>0</v>
      </c>
    </row>
    <row r="29" spans="1:9" x14ac:dyDescent="0.25">
      <c r="B29" s="39" t="s">
        <v>178</v>
      </c>
      <c r="C29" s="37">
        <v>25</v>
      </c>
      <c r="D29" s="37">
        <v>40</v>
      </c>
      <c r="E29" s="37"/>
      <c r="F29" s="38">
        <f>((E29/D29)*0.25)*100</f>
        <v>0</v>
      </c>
      <c r="G29" s="38">
        <f t="shared" si="0"/>
        <v>0</v>
      </c>
    </row>
    <row r="30" spans="1:9" x14ac:dyDescent="0.25">
      <c r="B30" s="39" t="s">
        <v>179</v>
      </c>
      <c r="C30" s="37">
        <v>5</v>
      </c>
      <c r="D30" s="37">
        <v>39</v>
      </c>
      <c r="E30" s="37"/>
      <c r="F30" s="38">
        <f>((E30/D30)*0.05)*100</f>
        <v>0</v>
      </c>
      <c r="G30" s="38">
        <f t="shared" si="0"/>
        <v>0</v>
      </c>
    </row>
    <row r="31" spans="1:9" ht="30" x14ac:dyDescent="0.25">
      <c r="B31" s="39" t="s">
        <v>180</v>
      </c>
      <c r="C31" s="37">
        <v>2.5</v>
      </c>
      <c r="D31" s="37">
        <v>39</v>
      </c>
      <c r="E31" s="37"/>
      <c r="F31" s="38">
        <f>((E31/D31)*0.025)*100</f>
        <v>0</v>
      </c>
      <c r="G31" s="38">
        <f t="shared" si="0"/>
        <v>0</v>
      </c>
    </row>
    <row r="32" spans="1:9" ht="30" x14ac:dyDescent="0.25">
      <c r="B32" s="39" t="s">
        <v>181</v>
      </c>
      <c r="C32" s="37">
        <v>2.5</v>
      </c>
      <c r="D32" s="37">
        <v>39</v>
      </c>
      <c r="E32" s="37"/>
      <c r="F32" s="38">
        <f>((E32/D32)*0.025)*100</f>
        <v>0</v>
      </c>
      <c r="G32" s="38">
        <f t="shared" si="0"/>
        <v>0</v>
      </c>
    </row>
    <row r="33" spans="1:7" ht="45" x14ac:dyDescent="0.25">
      <c r="B33" s="40" t="s">
        <v>182</v>
      </c>
      <c r="C33" s="37">
        <v>5</v>
      </c>
      <c r="D33" s="37">
        <v>39</v>
      </c>
      <c r="E33" s="37"/>
      <c r="F33" s="38">
        <f>((E33/D33)*0.05)*100</f>
        <v>0</v>
      </c>
      <c r="G33" s="38">
        <f t="shared" si="0"/>
        <v>0</v>
      </c>
    </row>
    <row r="34" spans="1:7" ht="30" x14ac:dyDescent="0.25">
      <c r="B34" s="40" t="s">
        <v>183</v>
      </c>
      <c r="C34" s="37">
        <v>5</v>
      </c>
      <c r="D34" s="37">
        <v>39</v>
      </c>
      <c r="E34" s="37"/>
      <c r="F34" s="38">
        <f>((E34/D34)*0.1)*100</f>
        <v>0</v>
      </c>
      <c r="G34" s="38">
        <f t="shared" si="0"/>
        <v>0</v>
      </c>
    </row>
    <row r="35" spans="1:7" ht="30" x14ac:dyDescent="0.25">
      <c r="B35" s="40" t="s">
        <v>184</v>
      </c>
      <c r="C35" s="37">
        <v>5</v>
      </c>
      <c r="D35" s="37">
        <v>39</v>
      </c>
      <c r="E35" s="37"/>
      <c r="F35" s="38">
        <f>((E35/D35)*0.05)*100</f>
        <v>0</v>
      </c>
      <c r="G35" s="38">
        <f t="shared" si="0"/>
        <v>0</v>
      </c>
    </row>
    <row r="36" spans="1:7" ht="60" x14ac:dyDescent="0.25">
      <c r="B36" s="40" t="s">
        <v>185</v>
      </c>
      <c r="C36" s="37">
        <v>10</v>
      </c>
      <c r="D36" s="37">
        <v>39</v>
      </c>
      <c r="E36" s="37"/>
      <c r="F36" s="38">
        <f>((E36/D36)*0.1)*100</f>
        <v>0</v>
      </c>
      <c r="G36" s="38">
        <f t="shared" si="0"/>
        <v>0</v>
      </c>
    </row>
    <row r="37" spans="1:7" ht="45" x14ac:dyDescent="0.25">
      <c r="B37" s="40" t="s">
        <v>186</v>
      </c>
      <c r="C37" s="37">
        <v>5</v>
      </c>
      <c r="D37" s="37">
        <v>39</v>
      </c>
      <c r="E37" s="37"/>
      <c r="F37" s="38">
        <f>((E37/D37)*0.1)*100</f>
        <v>0</v>
      </c>
      <c r="G37" s="38">
        <f t="shared" si="0"/>
        <v>0</v>
      </c>
    </row>
    <row r="38" spans="1:7" ht="15.75" x14ac:dyDescent="0.25">
      <c r="B38" s="41" t="s">
        <v>187</v>
      </c>
      <c r="C38" s="42">
        <f>SUM(C26:C37)</f>
        <v>100</v>
      </c>
      <c r="D38" s="41"/>
      <c r="E38" s="41"/>
      <c r="F38" s="42">
        <f>SUM(F26:F37)</f>
        <v>0</v>
      </c>
      <c r="G38" s="42">
        <f>SUM(G26:G37)</f>
        <v>0</v>
      </c>
    </row>
    <row r="39" spans="1:7" x14ac:dyDescent="0.25">
      <c r="B39" s="201" t="s">
        <v>188</v>
      </c>
      <c r="C39" s="201"/>
      <c r="D39" s="201"/>
      <c r="E39" s="201"/>
      <c r="F39" s="201"/>
      <c r="G39" s="201"/>
    </row>
    <row r="40" spans="1:7" x14ac:dyDescent="0.25">
      <c r="B40" s="202" t="s">
        <v>189</v>
      </c>
      <c r="C40" s="202"/>
      <c r="D40" s="202"/>
      <c r="E40" s="202" t="s">
        <v>190</v>
      </c>
      <c r="F40" s="202"/>
      <c r="G40" s="202"/>
    </row>
    <row r="41" spans="1:7" x14ac:dyDescent="0.25">
      <c r="B41" s="198" t="s">
        <v>191</v>
      </c>
      <c r="C41" s="198"/>
      <c r="D41" s="198"/>
      <c r="E41" s="198" t="s">
        <v>192</v>
      </c>
      <c r="F41" s="198"/>
      <c r="G41" s="198"/>
    </row>
    <row r="42" spans="1:7" x14ac:dyDescent="0.25">
      <c r="B42" s="198" t="s">
        <v>193</v>
      </c>
      <c r="C42" s="198"/>
      <c r="D42" s="198"/>
      <c r="E42" s="198" t="s">
        <v>194</v>
      </c>
      <c r="F42" s="198"/>
      <c r="G42" s="198"/>
    </row>
    <row r="43" spans="1:7" x14ac:dyDescent="0.25">
      <c r="B43" s="199" t="s">
        <v>195</v>
      </c>
      <c r="C43" s="199"/>
      <c r="D43" s="199"/>
      <c r="E43" s="199" t="s">
        <v>196</v>
      </c>
      <c r="F43" s="199"/>
      <c r="G43" s="199"/>
    </row>
    <row r="45" spans="1:7" ht="15.75" thickBot="1" x14ac:dyDescent="0.3"/>
    <row r="46" spans="1:7" ht="17.25" thickTop="1" thickBot="1" x14ac:dyDescent="0.3">
      <c r="A46" s="43" t="s">
        <v>197</v>
      </c>
      <c r="B46" s="43" t="s">
        <v>169</v>
      </c>
      <c r="C46" s="44" t="s">
        <v>198</v>
      </c>
      <c r="D46" s="44" t="s">
        <v>199</v>
      </c>
      <c r="E46" s="44" t="s">
        <v>200</v>
      </c>
    </row>
    <row r="47" spans="1:7" ht="31.5" thickTop="1" thickBot="1" x14ac:dyDescent="0.3">
      <c r="A47" s="45">
        <v>1</v>
      </c>
      <c r="B47" s="46" t="s">
        <v>201</v>
      </c>
      <c r="C47" s="47">
        <v>0</v>
      </c>
      <c r="D47" s="48">
        <v>0.1</v>
      </c>
      <c r="E47" s="47">
        <v>0.1</v>
      </c>
    </row>
    <row r="48" spans="1:7" ht="31.5" thickTop="1" thickBot="1" x14ac:dyDescent="0.3">
      <c r="A48" s="45">
        <v>2</v>
      </c>
      <c r="B48" s="46" t="s">
        <v>202</v>
      </c>
      <c r="C48" s="47" t="s">
        <v>203</v>
      </c>
      <c r="D48" s="48" t="s">
        <v>204</v>
      </c>
      <c r="E48" s="47">
        <v>0.3</v>
      </c>
    </row>
    <row r="49" spans="1:5" ht="61.5" thickTop="1" thickBot="1" x14ac:dyDescent="0.3">
      <c r="A49" s="45">
        <v>3</v>
      </c>
      <c r="B49" s="46" t="s">
        <v>205</v>
      </c>
      <c r="C49" s="47" t="s">
        <v>206</v>
      </c>
      <c r="D49" s="48" t="s">
        <v>207</v>
      </c>
      <c r="E49" s="47">
        <v>0.45</v>
      </c>
    </row>
    <row r="50" spans="1:5" ht="76.5" thickTop="1" thickBot="1" x14ac:dyDescent="0.3">
      <c r="A50" s="45">
        <v>4</v>
      </c>
      <c r="B50" s="46" t="s">
        <v>208</v>
      </c>
      <c r="C50" s="47" t="s">
        <v>209</v>
      </c>
      <c r="D50" s="48" t="s">
        <v>210</v>
      </c>
      <c r="E50" s="47">
        <v>0.7</v>
      </c>
    </row>
    <row r="51" spans="1:5" ht="76.5" thickTop="1" thickBot="1" x14ac:dyDescent="0.3">
      <c r="A51" s="45">
        <v>5</v>
      </c>
      <c r="B51" s="46" t="s">
        <v>211</v>
      </c>
      <c r="C51" s="47" t="s">
        <v>212</v>
      </c>
      <c r="D51" s="48" t="s">
        <v>213</v>
      </c>
      <c r="E51" s="47">
        <v>0.75</v>
      </c>
    </row>
    <row r="52" spans="1:5" ht="76.5" thickTop="1" thickBot="1" x14ac:dyDescent="0.3">
      <c r="A52" s="45">
        <v>6</v>
      </c>
      <c r="B52" s="46" t="s">
        <v>214</v>
      </c>
      <c r="C52" s="47" t="s">
        <v>215</v>
      </c>
      <c r="D52" s="48" t="s">
        <v>216</v>
      </c>
      <c r="E52" s="47">
        <v>0.8</v>
      </c>
    </row>
    <row r="53" spans="1:5" ht="121.5" thickTop="1" thickBot="1" x14ac:dyDescent="0.3">
      <c r="A53" s="45">
        <v>7</v>
      </c>
      <c r="B53" s="46" t="s">
        <v>217</v>
      </c>
      <c r="C53" s="47" t="s">
        <v>218</v>
      </c>
      <c r="D53" s="48" t="s">
        <v>219</v>
      </c>
      <c r="E53" s="47">
        <v>0.85</v>
      </c>
    </row>
    <row r="54" spans="1:5" ht="211.5" thickTop="1" thickBot="1" x14ac:dyDescent="0.3">
      <c r="A54" s="45">
        <v>8</v>
      </c>
      <c r="B54" s="46" t="s">
        <v>220</v>
      </c>
      <c r="C54" s="47" t="s">
        <v>221</v>
      </c>
      <c r="D54" s="48" t="s">
        <v>222</v>
      </c>
      <c r="E54" s="47">
        <v>0.95</v>
      </c>
    </row>
    <row r="55" spans="1:5" ht="91.5" thickTop="1" thickBot="1" x14ac:dyDescent="0.3">
      <c r="A55" s="45">
        <v>9</v>
      </c>
      <c r="B55" s="46" t="s">
        <v>223</v>
      </c>
      <c r="C55" s="47" t="s">
        <v>224</v>
      </c>
      <c r="D55" s="48" t="s">
        <v>225</v>
      </c>
      <c r="E55" s="47">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7">
        <v>1</v>
      </c>
      <c r="C2" s="53" t="s">
        <v>241</v>
      </c>
    </row>
    <row r="3" spans="2:3" x14ac:dyDescent="0.25">
      <c r="B3" s="37">
        <v>2</v>
      </c>
      <c r="C3" s="54" t="s">
        <v>242</v>
      </c>
    </row>
    <row r="4" spans="2:3" x14ac:dyDescent="0.25">
      <c r="B4" s="37">
        <v>3</v>
      </c>
      <c r="C4" s="37" t="s">
        <v>243</v>
      </c>
    </row>
    <row r="5" spans="2:3" x14ac:dyDescent="0.25">
      <c r="B5" s="37">
        <v>4</v>
      </c>
      <c r="C5" s="54" t="s">
        <v>244</v>
      </c>
    </row>
    <row r="6" spans="2:3" x14ac:dyDescent="0.25">
      <c r="B6" s="37">
        <v>5</v>
      </c>
      <c r="C6" s="37" t="s">
        <v>245</v>
      </c>
    </row>
    <row r="7" spans="2:3" ht="30" x14ac:dyDescent="0.25">
      <c r="B7" s="37">
        <v>6</v>
      </c>
      <c r="C7" s="54" t="s">
        <v>246</v>
      </c>
    </row>
    <row r="8" spans="2:3" ht="75" x14ac:dyDescent="0.25">
      <c r="B8" s="37">
        <v>7</v>
      </c>
      <c r="C8" s="54" t="s">
        <v>247</v>
      </c>
    </row>
    <row r="9" spans="2:3" x14ac:dyDescent="0.25">
      <c r="B9" s="37">
        <v>8</v>
      </c>
      <c r="C9" s="37" t="s">
        <v>248</v>
      </c>
    </row>
    <row r="10" spans="2:3" x14ac:dyDescent="0.25">
      <c r="B10" s="37">
        <v>9</v>
      </c>
      <c r="C10" s="37" t="s">
        <v>249</v>
      </c>
    </row>
    <row r="11" spans="2:3" x14ac:dyDescent="0.25">
      <c r="B11" s="37">
        <v>10</v>
      </c>
      <c r="C11" s="37" t="s">
        <v>250</v>
      </c>
    </row>
    <row r="12" spans="2:3" x14ac:dyDescent="0.25">
      <c r="B12" s="37">
        <v>11</v>
      </c>
      <c r="C12" s="37" t="s">
        <v>251</v>
      </c>
    </row>
    <row r="13" spans="2:3" x14ac:dyDescent="0.25">
      <c r="B13" s="37">
        <v>12</v>
      </c>
      <c r="C13" s="37" t="s">
        <v>252</v>
      </c>
    </row>
    <row r="14" spans="2:3" x14ac:dyDescent="0.25">
      <c r="B14" s="37">
        <v>13</v>
      </c>
      <c r="C14" s="37" t="s">
        <v>253</v>
      </c>
    </row>
    <row r="15" spans="2:3" x14ac:dyDescent="0.25">
      <c r="B15" s="37">
        <v>14</v>
      </c>
      <c r="C15" s="37" t="s">
        <v>243</v>
      </c>
    </row>
    <row r="16" spans="2:3" x14ac:dyDescent="0.25">
      <c r="B16" s="37">
        <v>15</v>
      </c>
      <c r="C16" s="37" t="s">
        <v>237</v>
      </c>
    </row>
    <row r="17" spans="2:3" x14ac:dyDescent="0.25">
      <c r="B17" s="55">
        <v>16</v>
      </c>
      <c r="C17" s="56" t="s">
        <v>254</v>
      </c>
    </row>
    <row r="18" spans="2:3" x14ac:dyDescent="0.25">
      <c r="B18" s="57">
        <v>17</v>
      </c>
      <c r="C18" s="56" t="s">
        <v>255</v>
      </c>
    </row>
    <row r="19" spans="2:3" x14ac:dyDescent="0.25">
      <c r="B19" s="58">
        <v>18</v>
      </c>
      <c r="C19" s="37" t="s">
        <v>256</v>
      </c>
    </row>
    <row r="20" spans="2:3" x14ac:dyDescent="0.25">
      <c r="B20" s="57">
        <v>19</v>
      </c>
      <c r="C20" s="37" t="s">
        <v>257</v>
      </c>
    </row>
    <row r="21" spans="2:3" x14ac:dyDescent="0.25">
      <c r="B21" s="37">
        <v>20</v>
      </c>
      <c r="C21" s="37" t="s">
        <v>258</v>
      </c>
    </row>
    <row r="22" spans="2:3" x14ac:dyDescent="0.25">
      <c r="B22" s="57">
        <v>21</v>
      </c>
      <c r="C22" s="37" t="s">
        <v>256</v>
      </c>
    </row>
    <row r="23" spans="2:3" s="60" customFormat="1" ht="30" x14ac:dyDescent="0.25">
      <c r="B23" s="59">
        <v>22</v>
      </c>
      <c r="C23" s="53" t="s">
        <v>259</v>
      </c>
    </row>
    <row r="24" spans="2:3" s="60" customFormat="1" ht="30" x14ac:dyDescent="0.25">
      <c r="B24" s="61">
        <v>23</v>
      </c>
      <c r="C24" s="53" t="s">
        <v>260</v>
      </c>
    </row>
    <row r="25" spans="2:3" x14ac:dyDescent="0.25">
      <c r="B25" s="37">
        <v>24</v>
      </c>
      <c r="C25" s="37" t="s">
        <v>261</v>
      </c>
    </row>
    <row r="26" spans="2:3" x14ac:dyDescent="0.25">
      <c r="B26" s="57">
        <v>25</v>
      </c>
      <c r="C26" s="37" t="s">
        <v>262</v>
      </c>
    </row>
    <row r="27" spans="2:3" x14ac:dyDescent="0.25">
      <c r="B27" s="61">
        <v>26</v>
      </c>
      <c r="C27" s="37" t="s">
        <v>263</v>
      </c>
    </row>
    <row r="28" spans="2:3" x14ac:dyDescent="0.25">
      <c r="B28" s="57">
        <v>27</v>
      </c>
      <c r="C28" s="37" t="s">
        <v>264</v>
      </c>
    </row>
    <row r="29" spans="2:3" ht="60" x14ac:dyDescent="0.25">
      <c r="B29" s="62">
        <v>28</v>
      </c>
      <c r="C29" s="54" t="s">
        <v>265</v>
      </c>
    </row>
    <row r="30" spans="2:3" x14ac:dyDescent="0.25">
      <c r="B30" s="61">
        <v>29</v>
      </c>
      <c r="C30" s="37" t="s">
        <v>266</v>
      </c>
    </row>
    <row r="31" spans="2:3" ht="30" x14ac:dyDescent="0.25">
      <c r="B31" s="61">
        <v>30</v>
      </c>
      <c r="C31" s="54" t="s">
        <v>294</v>
      </c>
    </row>
    <row r="32" spans="2:3" x14ac:dyDescent="0.25">
      <c r="B32" s="61">
        <v>31</v>
      </c>
      <c r="C32" s="37" t="s">
        <v>295</v>
      </c>
    </row>
    <row r="33" spans="2:3" x14ac:dyDescent="0.25">
      <c r="B33" s="61">
        <v>32</v>
      </c>
      <c r="C33" s="37" t="s">
        <v>296</v>
      </c>
    </row>
    <row r="34" spans="2:3" ht="30" x14ac:dyDescent="0.25">
      <c r="B34" s="61">
        <v>33</v>
      </c>
      <c r="C34" s="56" t="s">
        <v>297</v>
      </c>
    </row>
    <row r="35" spans="2:3" x14ac:dyDescent="0.25">
      <c r="B35" s="61">
        <v>34</v>
      </c>
      <c r="C35" s="37"/>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3"/>
    <col min="2" max="2" width="12.28515625" style="63" customWidth="1"/>
    <col min="3" max="16384" width="9.140625" style="63"/>
  </cols>
  <sheetData>
    <row r="2" spans="1:12" x14ac:dyDescent="0.25">
      <c r="B2" s="64" t="s">
        <v>267</v>
      </c>
      <c r="C2" s="205"/>
      <c r="D2" s="205"/>
    </row>
    <row r="3" spans="1:12" x14ac:dyDescent="0.25">
      <c r="D3" s="65"/>
      <c r="E3" s="65"/>
      <c r="F3" s="65"/>
      <c r="G3" s="65"/>
      <c r="H3" s="65"/>
      <c r="I3" s="65"/>
    </row>
    <row r="4" spans="1:12" x14ac:dyDescent="0.25">
      <c r="A4" s="64" t="s">
        <v>268</v>
      </c>
      <c r="B4" s="52" t="s">
        <v>269</v>
      </c>
      <c r="C4" s="206" t="s">
        <v>270</v>
      </c>
      <c r="D4" s="206"/>
      <c r="E4" s="206"/>
      <c r="F4" s="52"/>
      <c r="G4" s="207" t="s">
        <v>271</v>
      </c>
      <c r="H4" s="207"/>
      <c r="I4" s="207"/>
      <c r="J4" s="208" t="s">
        <v>272</v>
      </c>
      <c r="K4" s="208"/>
      <c r="L4" s="208"/>
    </row>
    <row r="5" spans="1:12" x14ac:dyDescent="0.25">
      <c r="A5" s="64"/>
      <c r="B5" s="52"/>
      <c r="C5" s="52" t="s">
        <v>273</v>
      </c>
      <c r="D5" s="52" t="s">
        <v>274</v>
      </c>
      <c r="E5" s="52" t="s">
        <v>275</v>
      </c>
      <c r="F5" s="52"/>
      <c r="G5" s="52" t="s">
        <v>273</v>
      </c>
      <c r="H5" s="52" t="s">
        <v>274</v>
      </c>
      <c r="I5" s="52" t="s">
        <v>275</v>
      </c>
      <c r="J5" s="52" t="s">
        <v>273</v>
      </c>
      <c r="K5" s="52" t="s">
        <v>274</v>
      </c>
      <c r="L5" s="52" t="s">
        <v>275</v>
      </c>
    </row>
    <row r="6" spans="1:12" x14ac:dyDescent="0.25">
      <c r="B6" s="51" t="s">
        <v>276</v>
      </c>
      <c r="C6" s="51"/>
      <c r="D6" s="51"/>
      <c r="E6" s="51">
        <f>C6*D6</f>
        <v>0</v>
      </c>
      <c r="F6" s="51" t="s">
        <v>277</v>
      </c>
      <c r="G6" s="51"/>
      <c r="H6" s="51"/>
      <c r="I6" s="51">
        <f>G6*H6</f>
        <v>0</v>
      </c>
      <c r="J6" s="51"/>
      <c r="K6" s="51"/>
      <c r="L6" s="51">
        <f>J6*K6</f>
        <v>0</v>
      </c>
    </row>
    <row r="7" spans="1:12" x14ac:dyDescent="0.25">
      <c r="B7" s="51"/>
      <c r="C7" s="51"/>
      <c r="D7" s="51"/>
      <c r="E7" s="51">
        <f t="shared" ref="E7:E41" si="0">C7*D7</f>
        <v>0</v>
      </c>
      <c r="F7" s="51" t="s">
        <v>277</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278</v>
      </c>
      <c r="G9" s="51"/>
      <c r="H9" s="51"/>
      <c r="I9" s="51">
        <f t="shared" si="1"/>
        <v>0</v>
      </c>
      <c r="J9" s="51"/>
      <c r="K9" s="51"/>
      <c r="L9" s="51">
        <f t="shared" si="2"/>
        <v>0</v>
      </c>
    </row>
    <row r="10" spans="1:12" x14ac:dyDescent="0.25">
      <c r="B10" s="51" t="s">
        <v>279</v>
      </c>
      <c r="C10" s="51"/>
      <c r="D10" s="51"/>
      <c r="E10" s="51">
        <f t="shared" si="0"/>
        <v>0</v>
      </c>
      <c r="F10" s="51" t="s">
        <v>278</v>
      </c>
      <c r="G10" s="51"/>
      <c r="H10" s="51"/>
      <c r="I10" s="51">
        <f t="shared" si="1"/>
        <v>0</v>
      </c>
      <c r="J10" s="51"/>
      <c r="K10" s="51"/>
      <c r="L10" s="51">
        <f t="shared" si="2"/>
        <v>0</v>
      </c>
    </row>
    <row r="11" spans="1:12" x14ac:dyDescent="0.25">
      <c r="B11" s="51"/>
      <c r="C11" s="51"/>
      <c r="D11" s="51"/>
      <c r="E11" s="51">
        <f t="shared" si="0"/>
        <v>0</v>
      </c>
      <c r="F11" s="51" t="s">
        <v>280</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281</v>
      </c>
      <c r="C14" s="51"/>
      <c r="D14" s="51"/>
      <c r="E14" s="51">
        <f t="shared" si="0"/>
        <v>0</v>
      </c>
      <c r="F14" s="51" t="s">
        <v>278</v>
      </c>
      <c r="G14" s="51"/>
      <c r="H14" s="51"/>
      <c r="I14" s="51">
        <f t="shared" si="1"/>
        <v>0</v>
      </c>
      <c r="J14" s="51"/>
      <c r="K14" s="51"/>
      <c r="L14" s="51">
        <f t="shared" si="2"/>
        <v>0</v>
      </c>
    </row>
    <row r="15" spans="1:12" x14ac:dyDescent="0.25">
      <c r="B15" s="51"/>
      <c r="C15" s="51"/>
      <c r="D15" s="51"/>
      <c r="E15" s="51">
        <f t="shared" si="0"/>
        <v>0</v>
      </c>
      <c r="F15" s="51" t="s">
        <v>280</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282</v>
      </c>
      <c r="C18" s="51"/>
      <c r="D18" s="51"/>
      <c r="E18" s="51">
        <f t="shared" si="0"/>
        <v>0</v>
      </c>
      <c r="F18" s="51" t="s">
        <v>278</v>
      </c>
      <c r="G18" s="51"/>
      <c r="H18" s="51"/>
      <c r="I18" s="51">
        <f t="shared" si="1"/>
        <v>0</v>
      </c>
      <c r="J18" s="51"/>
      <c r="K18" s="51"/>
      <c r="L18" s="51">
        <f t="shared" si="2"/>
        <v>0</v>
      </c>
    </row>
    <row r="19" spans="2:12" x14ac:dyDescent="0.25">
      <c r="B19" s="51"/>
      <c r="C19" s="51"/>
      <c r="D19" s="51"/>
      <c r="E19" s="51">
        <f t="shared" si="0"/>
        <v>0</v>
      </c>
      <c r="F19" s="51" t="s">
        <v>280</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283</v>
      </c>
      <c r="C21" s="51"/>
      <c r="D21" s="51"/>
      <c r="E21" s="51">
        <f t="shared" si="0"/>
        <v>0</v>
      </c>
      <c r="F21" s="51" t="s">
        <v>278</v>
      </c>
      <c r="G21" s="51"/>
      <c r="H21" s="51"/>
      <c r="I21" s="51">
        <f t="shared" si="1"/>
        <v>0</v>
      </c>
      <c r="J21" s="51"/>
      <c r="K21" s="51"/>
      <c r="L21" s="51">
        <f t="shared" si="2"/>
        <v>0</v>
      </c>
    </row>
    <row r="22" spans="2:12" x14ac:dyDescent="0.25">
      <c r="B22" s="51"/>
      <c r="C22" s="51"/>
      <c r="D22" s="51"/>
      <c r="E22" s="51">
        <f t="shared" si="0"/>
        <v>0</v>
      </c>
      <c r="F22" s="51" t="s">
        <v>280</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284</v>
      </c>
      <c r="C24" s="51"/>
      <c r="D24" s="51"/>
      <c r="E24" s="51">
        <f t="shared" si="0"/>
        <v>0</v>
      </c>
      <c r="F24" s="51" t="s">
        <v>285</v>
      </c>
      <c r="G24" s="51"/>
      <c r="H24" s="51"/>
      <c r="I24" s="51">
        <f t="shared" si="1"/>
        <v>0</v>
      </c>
      <c r="J24" s="51"/>
      <c r="K24" s="51"/>
      <c r="L24" s="51">
        <f t="shared" si="2"/>
        <v>0</v>
      </c>
    </row>
    <row r="25" spans="2:12" x14ac:dyDescent="0.25">
      <c r="B25" s="51"/>
      <c r="C25" s="51"/>
      <c r="D25" s="51"/>
      <c r="E25" s="51">
        <f t="shared" si="0"/>
        <v>0</v>
      </c>
      <c r="F25" s="51" t="s">
        <v>285</v>
      </c>
      <c r="G25" s="51"/>
      <c r="H25" s="51"/>
      <c r="I25" s="51">
        <f t="shared" si="1"/>
        <v>0</v>
      </c>
      <c r="J25" s="51"/>
      <c r="K25" s="51"/>
      <c r="L25" s="51">
        <f t="shared" si="2"/>
        <v>0</v>
      </c>
    </row>
    <row r="26" spans="2:12" x14ac:dyDescent="0.25">
      <c r="B26" s="51"/>
      <c r="C26" s="51"/>
      <c r="D26" s="51"/>
      <c r="E26" s="51">
        <f t="shared" si="0"/>
        <v>0</v>
      </c>
      <c r="F26" s="51" t="s">
        <v>285</v>
      </c>
      <c r="G26" s="51"/>
      <c r="H26" s="51"/>
      <c r="I26" s="51">
        <f t="shared" si="1"/>
        <v>0</v>
      </c>
      <c r="J26" s="51"/>
      <c r="K26" s="51"/>
      <c r="L26" s="51">
        <f t="shared" si="2"/>
        <v>0</v>
      </c>
    </row>
    <row r="27" spans="2:12" x14ac:dyDescent="0.25">
      <c r="B27" s="51"/>
      <c r="C27" s="51"/>
      <c r="D27" s="51"/>
      <c r="E27" s="51">
        <f t="shared" si="0"/>
        <v>0</v>
      </c>
      <c r="F27" s="51" t="s">
        <v>285</v>
      </c>
      <c r="G27" s="51"/>
      <c r="H27" s="51"/>
      <c r="I27" s="51">
        <f t="shared" si="1"/>
        <v>0</v>
      </c>
      <c r="J27" s="51"/>
      <c r="K27" s="51"/>
      <c r="L27" s="51">
        <f t="shared" si="2"/>
        <v>0</v>
      </c>
    </row>
    <row r="28" spans="2:12" x14ac:dyDescent="0.25">
      <c r="B28" s="51" t="s">
        <v>286</v>
      </c>
      <c r="C28" s="51"/>
      <c r="D28" s="51"/>
      <c r="E28" s="51">
        <f t="shared" si="0"/>
        <v>0</v>
      </c>
      <c r="F28" s="51" t="s">
        <v>285</v>
      </c>
      <c r="G28" s="51"/>
      <c r="H28" s="51"/>
      <c r="I28" s="51">
        <f t="shared" si="1"/>
        <v>0</v>
      </c>
      <c r="J28" s="51"/>
      <c r="K28" s="51"/>
      <c r="L28" s="51">
        <f t="shared" si="2"/>
        <v>0</v>
      </c>
    </row>
    <row r="29" spans="2:12" x14ac:dyDescent="0.25">
      <c r="B29" s="51" t="s">
        <v>287</v>
      </c>
      <c r="C29" s="51"/>
      <c r="D29" s="51"/>
      <c r="E29" s="51">
        <f t="shared" si="0"/>
        <v>0</v>
      </c>
      <c r="F29" s="51" t="s">
        <v>285</v>
      </c>
      <c r="G29" s="51"/>
      <c r="H29" s="51"/>
      <c r="I29" s="51">
        <f t="shared" si="1"/>
        <v>0</v>
      </c>
      <c r="J29" s="51"/>
      <c r="K29" s="51"/>
      <c r="L29" s="51">
        <f t="shared" si="2"/>
        <v>0</v>
      </c>
    </row>
    <row r="30" spans="2:12" x14ac:dyDescent="0.25">
      <c r="B30" s="51" t="s">
        <v>288</v>
      </c>
      <c r="C30" s="51"/>
      <c r="D30" s="51"/>
      <c r="E30" s="51">
        <f t="shared" si="0"/>
        <v>0</v>
      </c>
      <c r="F30" s="51"/>
      <c r="G30" s="51"/>
      <c r="H30" s="51"/>
      <c r="I30" s="51">
        <f t="shared" si="1"/>
        <v>0</v>
      </c>
      <c r="J30" s="51"/>
      <c r="K30" s="51"/>
      <c r="L30" s="51">
        <f t="shared" si="2"/>
        <v>0</v>
      </c>
    </row>
    <row r="31" spans="2:12" x14ac:dyDescent="0.25">
      <c r="B31" s="51"/>
      <c r="C31" s="51"/>
      <c r="D31" s="51"/>
      <c r="E31" s="51">
        <f t="shared" si="0"/>
        <v>0</v>
      </c>
      <c r="F31" s="51"/>
      <c r="G31" s="51"/>
      <c r="H31" s="51"/>
      <c r="I31" s="51">
        <f t="shared" si="1"/>
        <v>0</v>
      </c>
      <c r="J31" s="51"/>
      <c r="K31" s="51"/>
      <c r="L31" s="51">
        <f t="shared" si="2"/>
        <v>0</v>
      </c>
    </row>
    <row r="32" spans="2:12" x14ac:dyDescent="0.25">
      <c r="B32" s="51"/>
      <c r="C32" s="51"/>
      <c r="D32" s="51"/>
      <c r="E32" s="51">
        <f t="shared" si="0"/>
        <v>0</v>
      </c>
      <c r="F32" s="51"/>
      <c r="G32" s="51"/>
      <c r="H32" s="51"/>
      <c r="I32" s="51">
        <f t="shared" si="1"/>
        <v>0</v>
      </c>
      <c r="J32" s="51"/>
      <c r="K32" s="51"/>
      <c r="L32" s="51">
        <f t="shared" si="2"/>
        <v>0</v>
      </c>
    </row>
    <row r="33" spans="2:12" x14ac:dyDescent="0.25">
      <c r="B33" s="51" t="s">
        <v>289</v>
      </c>
      <c r="C33" s="51"/>
      <c r="D33" s="51"/>
      <c r="E33" s="51">
        <f t="shared" si="0"/>
        <v>0</v>
      </c>
      <c r="F33" s="51"/>
      <c r="G33" s="51"/>
      <c r="H33" s="51"/>
      <c r="I33" s="51">
        <f t="shared" si="1"/>
        <v>0</v>
      </c>
      <c r="J33" s="51"/>
      <c r="K33" s="51"/>
      <c r="L33" s="51">
        <f t="shared" si="2"/>
        <v>0</v>
      </c>
    </row>
    <row r="34" spans="2:12" x14ac:dyDescent="0.25">
      <c r="B34" s="51" t="s">
        <v>290</v>
      </c>
      <c r="C34" s="51"/>
      <c r="D34" s="51"/>
      <c r="E34" s="51">
        <f t="shared" si="0"/>
        <v>0</v>
      </c>
      <c r="F34" s="51"/>
      <c r="G34" s="51"/>
      <c r="H34" s="51"/>
      <c r="I34" s="51">
        <f t="shared" si="1"/>
        <v>0</v>
      </c>
      <c r="J34" s="51"/>
      <c r="K34" s="51"/>
      <c r="L34" s="51">
        <f t="shared" si="2"/>
        <v>0</v>
      </c>
    </row>
    <row r="35" spans="2:12" x14ac:dyDescent="0.25">
      <c r="B35" s="51" t="s">
        <v>291</v>
      </c>
      <c r="C35" s="51"/>
      <c r="D35" s="51"/>
      <c r="E35" s="51">
        <f t="shared" si="0"/>
        <v>0</v>
      </c>
      <c r="F35" s="51"/>
      <c r="G35" s="51"/>
      <c r="H35" s="51"/>
      <c r="I35" s="51">
        <f t="shared" si="1"/>
        <v>0</v>
      </c>
      <c r="J35" s="51"/>
      <c r="K35" s="51"/>
      <c r="L35" s="51">
        <f t="shared" si="2"/>
        <v>0</v>
      </c>
    </row>
    <row r="36" spans="2:12" x14ac:dyDescent="0.25">
      <c r="B36" s="51" t="s">
        <v>292</v>
      </c>
      <c r="C36" s="51"/>
      <c r="D36" s="51"/>
      <c r="E36" s="51">
        <f t="shared" si="0"/>
        <v>0</v>
      </c>
      <c r="F36" s="51"/>
      <c r="G36" s="51"/>
      <c r="H36" s="51"/>
      <c r="I36" s="51">
        <f>G36*H36</f>
        <v>0</v>
      </c>
      <c r="J36" s="51"/>
      <c r="K36" s="51"/>
      <c r="L36" s="51">
        <f>J36*K36</f>
        <v>0</v>
      </c>
    </row>
    <row r="37" spans="2:12" x14ac:dyDescent="0.25">
      <c r="B37" s="51"/>
      <c r="C37" s="51"/>
      <c r="D37" s="51"/>
      <c r="E37" s="51">
        <f t="shared" si="0"/>
        <v>0</v>
      </c>
      <c r="F37" s="51"/>
      <c r="G37" s="51"/>
      <c r="H37" s="51"/>
      <c r="I37" s="51">
        <f t="shared" ref="I37:I38" si="3">G37*H37</f>
        <v>0</v>
      </c>
      <c r="J37" s="51"/>
      <c r="K37" s="51"/>
      <c r="L37" s="51">
        <f t="shared" ref="L37:L38" si="4">J37*K37</f>
        <v>0</v>
      </c>
    </row>
    <row r="38" spans="2:12" x14ac:dyDescent="0.25">
      <c r="B38" s="51" t="s">
        <v>293</v>
      </c>
      <c r="C38" s="51"/>
      <c r="D38" s="51"/>
      <c r="E38" s="51">
        <f t="shared" si="0"/>
        <v>0</v>
      </c>
      <c r="F38" s="51"/>
      <c r="G38" s="51"/>
      <c r="H38" s="51"/>
      <c r="I38" s="51">
        <f t="shared" si="3"/>
        <v>0</v>
      </c>
      <c r="J38" s="51"/>
      <c r="K38" s="51"/>
      <c r="L38" s="51">
        <f t="shared" si="4"/>
        <v>0</v>
      </c>
    </row>
    <row r="39" spans="2:12" x14ac:dyDescent="0.25">
      <c r="B39" s="51"/>
      <c r="C39" s="51"/>
      <c r="D39" s="51"/>
      <c r="E39" s="51">
        <f t="shared" si="0"/>
        <v>0</v>
      </c>
      <c r="F39" s="51"/>
      <c r="G39" s="51"/>
      <c r="H39" s="51"/>
      <c r="I39" s="51">
        <f>G39*H39</f>
        <v>0</v>
      </c>
      <c r="J39" s="51"/>
      <c r="K39" s="51"/>
      <c r="L39" s="51">
        <f>J39*K39</f>
        <v>0</v>
      </c>
    </row>
    <row r="40" spans="2:12" x14ac:dyDescent="0.25">
      <c r="B40" s="51"/>
      <c r="C40" s="51"/>
      <c r="D40" s="51"/>
      <c r="E40" s="51">
        <f t="shared" si="0"/>
        <v>0</v>
      </c>
      <c r="F40" s="51"/>
      <c r="G40" s="51"/>
      <c r="H40" s="51"/>
      <c r="I40" s="51">
        <f>G40*H40</f>
        <v>0</v>
      </c>
      <c r="J40" s="51"/>
      <c r="K40" s="51"/>
      <c r="L40" s="51">
        <f>J40*K40</f>
        <v>0</v>
      </c>
    </row>
    <row r="41" spans="2:12" x14ac:dyDescent="0.25">
      <c r="B41" s="51"/>
      <c r="C41" s="51"/>
      <c r="D41" s="51"/>
      <c r="E41" s="51">
        <f t="shared" si="0"/>
        <v>0</v>
      </c>
      <c r="F41" s="51"/>
      <c r="G41" s="51"/>
      <c r="H41" s="51"/>
      <c r="I41" s="51">
        <f>G41*H41</f>
        <v>0</v>
      </c>
      <c r="J41" s="51"/>
      <c r="K41" s="51"/>
      <c r="L41" s="51">
        <f>J41*K41</f>
        <v>0</v>
      </c>
    </row>
    <row r="42" spans="2:12" x14ac:dyDescent="0.25">
      <c r="B42" s="51" t="s">
        <v>153</v>
      </c>
      <c r="C42" s="51"/>
      <c r="D42" s="51">
        <f>E42*10.764</f>
        <v>0</v>
      </c>
      <c r="E42" s="66">
        <f>SUM(E6:E41)</f>
        <v>0</v>
      </c>
      <c r="F42" s="51"/>
      <c r="G42" s="51"/>
      <c r="H42" s="51">
        <f>I42*10.764</f>
        <v>0</v>
      </c>
      <c r="I42" s="67">
        <f>SUM(I6:I41)</f>
        <v>0</v>
      </c>
      <c r="J42" s="51"/>
      <c r="K42" s="51">
        <f>L42*10.764</f>
        <v>0</v>
      </c>
      <c r="L42" s="68">
        <f>SUM(L6:L41)</f>
        <v>0</v>
      </c>
    </row>
    <row r="44" spans="2:12" x14ac:dyDescent="0.25">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2025-07-06T18:06:49Z</cp:lastPrinted>
  <dcterms:created xsi:type="dcterms:W3CDTF">2010-11-23T11:42:48Z</dcterms:created>
  <dcterms:modified xsi:type="dcterms:W3CDTF">2025-07-08T09:38:11Z</dcterms:modified>
</cp:coreProperties>
</file>