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D:\Gaurav\July 25\OLD\GHF\"/>
    </mc:Choice>
  </mc:AlternateContent>
  <xr:revisionPtr revIDLastSave="0" documentId="13_ncr:1_{39EF2010-92E2-4966-8857-09451BBBE6F9}" xr6:coauthVersionLast="36" xr6:coauthVersionMax="47" xr10:uidLastSave="{00000000-0000-0000-0000-000000000000}"/>
  <bookViews>
    <workbookView xWindow="0" yWindow="0" windowWidth="20490" windowHeight="7125" xr2:uid="{00000000-000D-0000-FFFF-FFFF00000000}"/>
  </bookViews>
  <sheets>
    <sheet name="Report" sheetId="3" r:id="rId1"/>
    <sheet name="Sheet1" sheetId="7" r:id="rId2"/>
    <sheet name="Construction table" sheetId="4" r:id="rId3"/>
    <sheet name="Remarks" sheetId="5" r:id="rId4"/>
    <sheet name="Area Calculation" sheetId="6" r:id="rId5"/>
  </sheets>
  <definedNames>
    <definedName name="_xlnm.Print_Area" localSheetId="0">Report!$A$1:$H$723</definedName>
  </definedNames>
  <calcPr calcId="191029"/>
</workbook>
</file>

<file path=xl/calcChain.xml><?xml version="1.0" encoding="utf-8"?>
<calcChain xmlns="http://schemas.openxmlformats.org/spreadsheetml/2006/main">
  <c r="L3" i="3" l="1"/>
  <c r="I127" i="3" l="1"/>
  <c r="I22" i="3"/>
  <c r="C20" i="3"/>
  <c r="I128" i="3"/>
  <c r="F489" i="3" l="1"/>
  <c r="F488" i="3"/>
  <c r="F487" i="3"/>
  <c r="F486" i="3"/>
  <c r="F484" i="3"/>
  <c r="F483" i="3"/>
  <c r="F477" i="3"/>
  <c r="F476" i="3"/>
  <c r="F475" i="3"/>
  <c r="F474" i="3"/>
  <c r="F473" i="3"/>
  <c r="F441" i="3"/>
  <c r="F440" i="3"/>
  <c r="F439" i="3"/>
  <c r="F438" i="3"/>
  <c r="F446" i="3"/>
  <c r="F437" i="3"/>
  <c r="F435" i="3"/>
  <c r="F434" i="3"/>
  <c r="F433" i="3"/>
  <c r="F432" i="3"/>
  <c r="F431" i="3"/>
  <c r="F430" i="3"/>
  <c r="F429" i="3"/>
  <c r="F428" i="3"/>
  <c r="F425" i="3"/>
  <c r="F424" i="3"/>
  <c r="F423" i="3"/>
  <c r="F421" i="3"/>
  <c r="F420" i="3"/>
  <c r="F414" i="3"/>
  <c r="F415" i="3"/>
  <c r="F416" i="3"/>
  <c r="F412" i="3"/>
  <c r="F411" i="3"/>
  <c r="F410" i="3"/>
  <c r="F405" i="3"/>
  <c r="F403" i="3"/>
  <c r="F402" i="3"/>
  <c r="F401" i="3"/>
  <c r="F399" i="3"/>
  <c r="F395" i="3"/>
  <c r="F397" i="3"/>
  <c r="F398" i="3"/>
  <c r="F394" i="3"/>
  <c r="F393" i="3"/>
  <c r="F396" i="3"/>
  <c r="F392" i="3"/>
  <c r="F388" i="3"/>
  <c r="F387" i="3"/>
  <c r="F386" i="3"/>
  <c r="F385" i="3"/>
  <c r="F384" i="3"/>
  <c r="F374" i="3"/>
  <c r="F373" i="3"/>
  <c r="F372" i="3"/>
  <c r="F371" i="3"/>
  <c r="F366" i="3"/>
  <c r="F367" i="3"/>
  <c r="F369" i="3"/>
  <c r="F368" i="3"/>
  <c r="F364" i="3"/>
  <c r="F363" i="3"/>
  <c r="F362" i="3"/>
  <c r="F361" i="3"/>
  <c r="F359" i="3"/>
  <c r="F358" i="3"/>
  <c r="F355" i="3"/>
  <c r="E355" i="3"/>
  <c r="F353" i="3"/>
  <c r="F352" i="3"/>
  <c r="F351" i="3"/>
  <c r="F350" i="3"/>
  <c r="F345" i="3"/>
  <c r="F347" i="3"/>
  <c r="F348" i="3"/>
  <c r="F346" i="3"/>
  <c r="F343" i="3"/>
  <c r="F342" i="3"/>
  <c r="F341" i="3"/>
  <c r="F340" i="3"/>
  <c r="F339" i="3"/>
  <c r="F338" i="3"/>
  <c r="F336" i="3"/>
  <c r="F335" i="3"/>
  <c r="F334" i="3"/>
  <c r="F333" i="3"/>
  <c r="F332" i="3"/>
  <c r="F331" i="3"/>
  <c r="F329" i="3"/>
  <c r="F328" i="3"/>
  <c r="F327" i="3"/>
  <c r="F326" i="3"/>
  <c r="F322" i="3"/>
  <c r="F287" i="3"/>
  <c r="F284" i="3"/>
  <c r="E326" i="3"/>
  <c r="F325" i="3"/>
  <c r="E325" i="3"/>
  <c r="F324" i="3"/>
  <c r="E324" i="3"/>
  <c r="E322" i="3"/>
  <c r="F321" i="3"/>
  <c r="F320" i="3"/>
  <c r="F317" i="3"/>
  <c r="F315" i="3"/>
  <c r="F314" i="3"/>
  <c r="F313" i="3"/>
  <c r="F312" i="3"/>
  <c r="F311" i="3"/>
  <c r="F310" i="3"/>
  <c r="F308" i="3"/>
  <c r="F305" i="3"/>
  <c r="F307" i="3"/>
  <c r="F304" i="3"/>
  <c r="F306" i="3"/>
  <c r="F303" i="3"/>
  <c r="F301" i="3"/>
  <c r="F300" i="3"/>
  <c r="F299" i="3"/>
  <c r="F298" i="3"/>
  <c r="F297" i="3"/>
  <c r="F296" i="3"/>
  <c r="F294" i="3"/>
  <c r="F293" i="3"/>
  <c r="F292" i="3"/>
  <c r="F289" i="3"/>
  <c r="F286" i="3"/>
  <c r="F285" i="3"/>
  <c r="F283" i="3"/>
  <c r="F282" i="3"/>
  <c r="F277" i="3"/>
  <c r="F276" i="3"/>
  <c r="F275" i="3"/>
  <c r="F190" i="3"/>
  <c r="F194" i="3"/>
  <c r="F185" i="3"/>
  <c r="F181" i="3"/>
  <c r="F176" i="3" l="1"/>
  <c r="F175" i="3"/>
  <c r="F171" i="3"/>
  <c r="F172" i="3"/>
  <c r="F163" i="3"/>
  <c r="F167" i="3"/>
  <c r="I19" i="3" l="1"/>
  <c r="E374" i="3" l="1"/>
  <c r="H374" i="3" s="1"/>
  <c r="E373" i="3"/>
  <c r="H373" i="3" s="1"/>
  <c r="E372" i="3"/>
  <c r="E371" i="3"/>
  <c r="H371" i="3" s="1"/>
  <c r="E369" i="3"/>
  <c r="H369" i="3" s="1"/>
  <c r="E368" i="3"/>
  <c r="H368" i="3" s="1"/>
  <c r="E367" i="3"/>
  <c r="E366" i="3"/>
  <c r="E364" i="3"/>
  <c r="E363" i="3"/>
  <c r="E362" i="3"/>
  <c r="E361" i="3"/>
  <c r="E359" i="3"/>
  <c r="E358" i="3"/>
  <c r="F357" i="3"/>
  <c r="E357" i="3"/>
  <c r="E353" i="3"/>
  <c r="E352" i="3"/>
  <c r="E351" i="3"/>
  <c r="A351" i="3"/>
  <c r="A352" i="3" s="1"/>
  <c r="A353" i="3" s="1"/>
  <c r="E350" i="3"/>
  <c r="E348" i="3"/>
  <c r="H348" i="3" s="1"/>
  <c r="E347" i="3"/>
  <c r="E346" i="3"/>
  <c r="E345" i="3"/>
  <c r="E343" i="3"/>
  <c r="E342" i="3"/>
  <c r="E341" i="3"/>
  <c r="E340" i="3"/>
  <c r="E339" i="3"/>
  <c r="A339" i="3"/>
  <c r="A340" i="3" s="1"/>
  <c r="A341" i="3" s="1"/>
  <c r="A342" i="3" s="1"/>
  <c r="A343" i="3" s="1"/>
  <c r="E338" i="3"/>
  <c r="E336" i="3"/>
  <c r="E335" i="3"/>
  <c r="E334" i="3"/>
  <c r="E333" i="3"/>
  <c r="E332" i="3"/>
  <c r="E331" i="3"/>
  <c r="A367" i="3"/>
  <c r="A368" i="3" s="1"/>
  <c r="A369" i="3" s="1"/>
  <c r="A362" i="3"/>
  <c r="A363" i="3" s="1"/>
  <c r="A364" i="3" s="1"/>
  <c r="A357" i="3"/>
  <c r="A358" i="3" s="1"/>
  <c r="A359" i="3" s="1"/>
  <c r="A346" i="3"/>
  <c r="A347" i="3" s="1"/>
  <c r="A348" i="3" s="1"/>
  <c r="A332" i="3"/>
  <c r="A333" i="3" s="1"/>
  <c r="A334" i="3" s="1"/>
  <c r="A335" i="3" s="1"/>
  <c r="A336" i="3" s="1"/>
  <c r="H496" i="3"/>
  <c r="H495" i="3"/>
  <c r="H494" i="3"/>
  <c r="H493" i="3"/>
  <c r="H492" i="3"/>
  <c r="A492" i="3"/>
  <c r="A493" i="3" s="1"/>
  <c r="A494" i="3" s="1"/>
  <c r="A495" i="3" s="1"/>
  <c r="A496" i="3" s="1"/>
  <c r="H491" i="3"/>
  <c r="A372" i="3"/>
  <c r="A373" i="3" s="1"/>
  <c r="A374" i="3" s="1"/>
  <c r="E329" i="3"/>
  <c r="E328" i="3"/>
  <c r="E327" i="3"/>
  <c r="H517" i="3"/>
  <c r="H516" i="3"/>
  <c r="H515" i="3"/>
  <c r="H514" i="3"/>
  <c r="H513" i="3"/>
  <c r="A513" i="3"/>
  <c r="A514" i="3" s="1"/>
  <c r="A515" i="3" s="1"/>
  <c r="A516" i="3" s="1"/>
  <c r="A517" i="3" s="1"/>
  <c r="H512" i="3"/>
  <c r="H510" i="3"/>
  <c r="H509" i="3"/>
  <c r="H508" i="3"/>
  <c r="H507" i="3"/>
  <c r="H506" i="3"/>
  <c r="A506" i="3"/>
  <c r="A507" i="3" s="1"/>
  <c r="A508" i="3" s="1"/>
  <c r="A509" i="3" s="1"/>
  <c r="A510" i="3" s="1"/>
  <c r="H505" i="3"/>
  <c r="E321" i="3"/>
  <c r="H321" i="3" s="1"/>
  <c r="E320" i="3"/>
  <c r="F319" i="3"/>
  <c r="E319" i="3"/>
  <c r="E317" i="3"/>
  <c r="E315" i="3"/>
  <c r="H315" i="3" s="1"/>
  <c r="E314" i="3"/>
  <c r="H314" i="3" s="1"/>
  <c r="E313" i="3"/>
  <c r="H313" i="3" s="1"/>
  <c r="E312" i="3"/>
  <c r="H312" i="3" s="1"/>
  <c r="E311" i="3"/>
  <c r="H311" i="3" s="1"/>
  <c r="E310" i="3"/>
  <c r="E308" i="3"/>
  <c r="H308" i="3" s="1"/>
  <c r="E307" i="3"/>
  <c r="H307" i="3" s="1"/>
  <c r="E306" i="3"/>
  <c r="H306" i="3" s="1"/>
  <c r="E305" i="3"/>
  <c r="H305" i="3" s="1"/>
  <c r="E304" i="3"/>
  <c r="H304" i="3" s="1"/>
  <c r="E303" i="3"/>
  <c r="A318" i="3"/>
  <c r="A319" i="3" s="1"/>
  <c r="A320" i="3" s="1"/>
  <c r="A321" i="3" s="1"/>
  <c r="A322" i="3" s="1"/>
  <c r="A325" i="3"/>
  <c r="A326" i="3" s="1"/>
  <c r="A327" i="3" s="1"/>
  <c r="A328" i="3" s="1"/>
  <c r="A329" i="3" s="1"/>
  <c r="H503" i="3"/>
  <c r="H502" i="3"/>
  <c r="H501" i="3"/>
  <c r="H500" i="3"/>
  <c r="H499" i="3"/>
  <c r="A499" i="3"/>
  <c r="A500" i="3" s="1"/>
  <c r="A501" i="3" s="1"/>
  <c r="A502" i="3" s="1"/>
  <c r="A503" i="3" s="1"/>
  <c r="H498" i="3"/>
  <c r="A311" i="3"/>
  <c r="A312" i="3" s="1"/>
  <c r="A313" i="3" s="1"/>
  <c r="A314" i="3" s="1"/>
  <c r="A315" i="3" s="1"/>
  <c r="E301" i="3"/>
  <c r="E300" i="3"/>
  <c r="E299" i="3"/>
  <c r="E298" i="3"/>
  <c r="E297" i="3"/>
  <c r="E296" i="3"/>
  <c r="A297" i="3"/>
  <c r="A298" i="3" s="1"/>
  <c r="A299" i="3" s="1"/>
  <c r="A300" i="3" s="1"/>
  <c r="A301" i="3" s="1"/>
  <c r="A304" i="3"/>
  <c r="A305" i="3" s="1"/>
  <c r="A306" i="3" s="1"/>
  <c r="A307" i="3" s="1"/>
  <c r="A308" i="3" s="1"/>
  <c r="E294" i="3"/>
  <c r="E293" i="3"/>
  <c r="E292" i="3"/>
  <c r="F291" i="3"/>
  <c r="E291" i="3"/>
  <c r="E289" i="3"/>
  <c r="A290" i="3"/>
  <c r="A291" i="3" s="1"/>
  <c r="A292" i="3" s="1"/>
  <c r="A293" i="3" s="1"/>
  <c r="A294" i="3" s="1"/>
  <c r="E287" i="3"/>
  <c r="E286" i="3"/>
  <c r="E285" i="3"/>
  <c r="E284" i="3"/>
  <c r="E283" i="3"/>
  <c r="E282" i="3"/>
  <c r="A283" i="3"/>
  <c r="A284" i="3" s="1"/>
  <c r="A285" i="3" s="1"/>
  <c r="A286" i="3" s="1"/>
  <c r="A287" i="3" s="1"/>
  <c r="E277" i="3"/>
  <c r="E276" i="3"/>
  <c r="E275" i="3"/>
  <c r="A276" i="3"/>
  <c r="A277" i="3" s="1"/>
  <c r="A278" i="3" s="1"/>
  <c r="A279" i="3" s="1"/>
  <c r="A280" i="3" s="1"/>
  <c r="E266" i="3"/>
  <c r="F264" i="3"/>
  <c r="E264" i="3"/>
  <c r="F263" i="3"/>
  <c r="E263" i="3"/>
  <c r="E257" i="3"/>
  <c r="E256" i="3"/>
  <c r="E255" i="3"/>
  <c r="E254" i="3"/>
  <c r="E253" i="3"/>
  <c r="E252" i="3"/>
  <c r="E251" i="3"/>
  <c r="E250" i="3"/>
  <c r="E248" i="3"/>
  <c r="E247" i="3"/>
  <c r="E246" i="3"/>
  <c r="E245" i="3"/>
  <c r="E244" i="3"/>
  <c r="E243" i="3"/>
  <c r="E242" i="3"/>
  <c r="E241" i="3"/>
  <c r="E239" i="3"/>
  <c r="E238" i="3"/>
  <c r="E237" i="3"/>
  <c r="E236" i="3"/>
  <c r="E235" i="3"/>
  <c r="E234" i="3"/>
  <c r="E233" i="3"/>
  <c r="E232" i="3"/>
  <c r="E230" i="3"/>
  <c r="E229" i="3"/>
  <c r="E228" i="3"/>
  <c r="E227" i="3"/>
  <c r="E226" i="3"/>
  <c r="E225" i="3"/>
  <c r="E224" i="3"/>
  <c r="E223" i="3"/>
  <c r="E221" i="3"/>
  <c r="E220" i="3"/>
  <c r="E219" i="3"/>
  <c r="E218" i="3"/>
  <c r="E217" i="3"/>
  <c r="E216" i="3"/>
  <c r="E215" i="3"/>
  <c r="E214" i="3"/>
  <c r="E212" i="3"/>
  <c r="E211" i="3"/>
  <c r="E210" i="3"/>
  <c r="E209" i="3"/>
  <c r="E208" i="3"/>
  <c r="E207" i="3"/>
  <c r="E206" i="3"/>
  <c r="E205" i="3"/>
  <c r="E203" i="3"/>
  <c r="E200" i="3"/>
  <c r="E199" i="3"/>
  <c r="E198" i="3"/>
  <c r="E197" i="3"/>
  <c r="E196" i="3"/>
  <c r="E194" i="3"/>
  <c r="E193" i="3"/>
  <c r="E192" i="3"/>
  <c r="E191" i="3"/>
  <c r="E190" i="3"/>
  <c r="E189" i="3"/>
  <c r="E188" i="3"/>
  <c r="E187" i="3"/>
  <c r="E185" i="3"/>
  <c r="E184" i="3"/>
  <c r="E183" i="3"/>
  <c r="E182" i="3"/>
  <c r="E181" i="3"/>
  <c r="E180" i="3"/>
  <c r="E179" i="3"/>
  <c r="E178" i="3"/>
  <c r="E176" i="3"/>
  <c r="E175" i="3"/>
  <c r="E174" i="3"/>
  <c r="E173" i="3"/>
  <c r="E172" i="3"/>
  <c r="E171" i="3"/>
  <c r="E170" i="3"/>
  <c r="E169" i="3"/>
  <c r="E147" i="3"/>
  <c r="E146" i="3"/>
  <c r="E145" i="3"/>
  <c r="E144" i="3"/>
  <c r="E143" i="3"/>
  <c r="E158" i="3"/>
  <c r="E157" i="3"/>
  <c r="E156" i="3"/>
  <c r="E155" i="3"/>
  <c r="E154" i="3"/>
  <c r="E153" i="3"/>
  <c r="E152" i="3"/>
  <c r="E151" i="3"/>
  <c r="E167" i="3"/>
  <c r="E164" i="3"/>
  <c r="E163" i="3"/>
  <c r="E162" i="3"/>
  <c r="E161" i="3"/>
  <c r="E160" i="3"/>
  <c r="A96" i="3"/>
  <c r="C17" i="3"/>
  <c r="F27" i="7"/>
  <c r="F26" i="7"/>
  <c r="F25" i="7"/>
  <c r="D597" i="3"/>
  <c r="H367" i="3" l="1"/>
  <c r="H372" i="3"/>
  <c r="H340" i="3"/>
  <c r="H359" i="3"/>
  <c r="H364" i="3"/>
  <c r="H361" i="3"/>
  <c r="H366" i="3"/>
  <c r="H353" i="3"/>
  <c r="H355" i="3"/>
  <c r="H363" i="3"/>
  <c r="H362" i="3"/>
  <c r="H358" i="3"/>
  <c r="H357" i="3"/>
  <c r="H341" i="3"/>
  <c r="H350" i="3"/>
  <c r="H351" i="3"/>
  <c r="H335" i="3"/>
  <c r="H352" i="3"/>
  <c r="H338" i="3"/>
  <c r="H342" i="3"/>
  <c r="H339" i="3"/>
  <c r="H325" i="3"/>
  <c r="H329" i="3"/>
  <c r="H343" i="3"/>
  <c r="H347" i="3"/>
  <c r="H346" i="3"/>
  <c r="H345" i="3"/>
  <c r="H324" i="3"/>
  <c r="H328" i="3"/>
  <c r="H336" i="3"/>
  <c r="H334" i="3"/>
  <c r="H333" i="3"/>
  <c r="H332" i="3"/>
  <c r="H331" i="3"/>
  <c r="H326" i="3"/>
  <c r="H327" i="3"/>
  <c r="H299" i="3"/>
  <c r="H296" i="3"/>
  <c r="H300" i="3"/>
  <c r="H322" i="3"/>
  <c r="H320" i="3"/>
  <c r="H319" i="3"/>
  <c r="H317" i="3"/>
  <c r="H289" i="3"/>
  <c r="H294" i="3"/>
  <c r="H310" i="3"/>
  <c r="H303" i="3"/>
  <c r="H283" i="3"/>
  <c r="H301" i="3"/>
  <c r="H298" i="3"/>
  <c r="H297" i="3"/>
  <c r="H264" i="3"/>
  <c r="H293" i="3"/>
  <c r="H286" i="3"/>
  <c r="H292" i="3"/>
  <c r="H291" i="3"/>
  <c r="H263" i="3"/>
  <c r="H287" i="3"/>
  <c r="H285" i="3"/>
  <c r="H284" i="3"/>
  <c r="H282" i="3"/>
  <c r="H276" i="3"/>
  <c r="H277" i="3"/>
  <c r="H275" i="3"/>
  <c r="N20" i="7"/>
  <c r="N19" i="7"/>
  <c r="N18" i="7"/>
  <c r="N21" i="7" s="1"/>
  <c r="F19" i="7"/>
  <c r="F20" i="7"/>
  <c r="E18" i="7"/>
  <c r="F18" i="7" s="1"/>
  <c r="E489" i="3"/>
  <c r="E488" i="3"/>
  <c r="E487" i="3"/>
  <c r="E486" i="3"/>
  <c r="F485" i="3"/>
  <c r="E485" i="3"/>
  <c r="E484" i="3"/>
  <c r="E483" i="3"/>
  <c r="F482" i="3"/>
  <c r="E482" i="3"/>
  <c r="F480" i="3"/>
  <c r="E480" i="3"/>
  <c r="E477" i="3"/>
  <c r="E476" i="3"/>
  <c r="E475" i="3"/>
  <c r="E474" i="3"/>
  <c r="E473" i="3"/>
  <c r="F471" i="3"/>
  <c r="E471" i="3"/>
  <c r="F470" i="3"/>
  <c r="E470" i="3"/>
  <c r="F469" i="3"/>
  <c r="E469" i="3"/>
  <c r="F468" i="3"/>
  <c r="E468" i="3"/>
  <c r="F467" i="3"/>
  <c r="E467" i="3"/>
  <c r="F466" i="3"/>
  <c r="E466" i="3"/>
  <c r="F465" i="3"/>
  <c r="E465" i="3"/>
  <c r="F464" i="3"/>
  <c r="E464" i="3"/>
  <c r="F462" i="3"/>
  <c r="E462" i="3"/>
  <c r="F461" i="3"/>
  <c r="E461" i="3"/>
  <c r="F460" i="3"/>
  <c r="E460" i="3"/>
  <c r="F459" i="3"/>
  <c r="E459" i="3"/>
  <c r="F458" i="3"/>
  <c r="E458" i="3"/>
  <c r="F457" i="3"/>
  <c r="E457" i="3"/>
  <c r="F456" i="3"/>
  <c r="E456" i="3"/>
  <c r="F455" i="3"/>
  <c r="E455" i="3"/>
  <c r="F453" i="3"/>
  <c r="E453" i="3"/>
  <c r="F452" i="3"/>
  <c r="E452" i="3"/>
  <c r="F451" i="3"/>
  <c r="E451" i="3"/>
  <c r="F450" i="3"/>
  <c r="E450" i="3"/>
  <c r="F449" i="3"/>
  <c r="E449" i="3"/>
  <c r="F448" i="3"/>
  <c r="E448" i="3"/>
  <c r="F447" i="3"/>
  <c r="E447" i="3"/>
  <c r="E446" i="3"/>
  <c r="F444" i="3"/>
  <c r="E444" i="3"/>
  <c r="E441" i="3"/>
  <c r="E440" i="3"/>
  <c r="E439" i="3"/>
  <c r="E438" i="3"/>
  <c r="E437" i="3"/>
  <c r="E435" i="3"/>
  <c r="E434" i="3"/>
  <c r="E433" i="3"/>
  <c r="E432" i="3"/>
  <c r="E431" i="3"/>
  <c r="E430" i="3"/>
  <c r="E429" i="3"/>
  <c r="E428" i="3"/>
  <c r="F426" i="3"/>
  <c r="E426" i="3"/>
  <c r="E425" i="3"/>
  <c r="E424" i="3"/>
  <c r="E423" i="3"/>
  <c r="F422" i="3"/>
  <c r="E422" i="3"/>
  <c r="E421" i="3"/>
  <c r="E420" i="3"/>
  <c r="F419" i="3"/>
  <c r="E419" i="3"/>
  <c r="F417" i="3"/>
  <c r="E417" i="3"/>
  <c r="E416" i="3"/>
  <c r="E415" i="3"/>
  <c r="E414" i="3"/>
  <c r="F413" i="3"/>
  <c r="E413" i="3"/>
  <c r="E412" i="3"/>
  <c r="E411" i="3"/>
  <c r="E410" i="3"/>
  <c r="F408" i="3"/>
  <c r="E408" i="3"/>
  <c r="E405" i="3"/>
  <c r="F404" i="3"/>
  <c r="E404" i="3"/>
  <c r="E403" i="3"/>
  <c r="E402" i="3"/>
  <c r="E401" i="3"/>
  <c r="E399" i="3"/>
  <c r="E398" i="3"/>
  <c r="E397" i="3"/>
  <c r="E396" i="3"/>
  <c r="E395" i="3"/>
  <c r="E394" i="3"/>
  <c r="E393" i="3"/>
  <c r="E392" i="3"/>
  <c r="E388" i="3"/>
  <c r="E387" i="3"/>
  <c r="E386" i="3"/>
  <c r="E385" i="3"/>
  <c r="E384" i="3"/>
  <c r="F266" i="3"/>
  <c r="F262" i="3"/>
  <c r="E262" i="3"/>
  <c r="F261" i="3"/>
  <c r="E261" i="3"/>
  <c r="F260" i="3"/>
  <c r="E260" i="3"/>
  <c r="F259" i="3"/>
  <c r="E259" i="3"/>
  <c r="F257" i="3"/>
  <c r="F256" i="3"/>
  <c r="F255" i="3"/>
  <c r="F254" i="3"/>
  <c r="F253" i="3"/>
  <c r="F252" i="3"/>
  <c r="F251" i="3"/>
  <c r="F250" i="3"/>
  <c r="F248" i="3"/>
  <c r="F247" i="3"/>
  <c r="F246" i="3"/>
  <c r="F245" i="3"/>
  <c r="F244" i="3"/>
  <c r="F243" i="3"/>
  <c r="F242" i="3"/>
  <c r="F241" i="3"/>
  <c r="F239" i="3"/>
  <c r="F238" i="3"/>
  <c r="F237" i="3"/>
  <c r="F236" i="3"/>
  <c r="F235" i="3"/>
  <c r="F234" i="3"/>
  <c r="F233" i="3"/>
  <c r="F232" i="3"/>
  <c r="F230" i="3"/>
  <c r="F229" i="3"/>
  <c r="F228" i="3"/>
  <c r="F227" i="3"/>
  <c r="F226" i="3"/>
  <c r="F225" i="3"/>
  <c r="F224" i="3"/>
  <c r="F223" i="3"/>
  <c r="F221" i="3"/>
  <c r="F220" i="3"/>
  <c r="F219" i="3"/>
  <c r="F218" i="3"/>
  <c r="F217" i="3"/>
  <c r="F216" i="3"/>
  <c r="F215" i="3"/>
  <c r="F214" i="3"/>
  <c r="F212" i="3"/>
  <c r="F211" i="3"/>
  <c r="F210" i="3"/>
  <c r="F209" i="3"/>
  <c r="F208" i="3"/>
  <c r="F207" i="3"/>
  <c r="F206" i="3"/>
  <c r="F205" i="3"/>
  <c r="F203" i="3"/>
  <c r="F200" i="3"/>
  <c r="F199" i="3"/>
  <c r="F198" i="3"/>
  <c r="F197" i="3"/>
  <c r="F196" i="3"/>
  <c r="F193" i="3"/>
  <c r="F192" i="3"/>
  <c r="F191" i="3"/>
  <c r="F189" i="3"/>
  <c r="F188" i="3"/>
  <c r="F187" i="3"/>
  <c r="F184" i="3"/>
  <c r="F183" i="3"/>
  <c r="F182" i="3"/>
  <c r="F180" i="3"/>
  <c r="F179" i="3"/>
  <c r="F178" i="3"/>
  <c r="F174" i="3"/>
  <c r="F173" i="3"/>
  <c r="F170" i="3"/>
  <c r="F169" i="3"/>
  <c r="F164" i="3"/>
  <c r="F162" i="3"/>
  <c r="F161" i="3"/>
  <c r="F160" i="3"/>
  <c r="F158" i="3"/>
  <c r="F157" i="3"/>
  <c r="F156" i="3"/>
  <c r="F155" i="3"/>
  <c r="F154" i="3"/>
  <c r="F153" i="3"/>
  <c r="F152" i="3"/>
  <c r="F151" i="3"/>
  <c r="F147" i="3"/>
  <c r="F146" i="3"/>
  <c r="F145" i="3"/>
  <c r="F144" i="3"/>
  <c r="F143" i="3"/>
  <c r="J22" i="3"/>
  <c r="I481" i="3"/>
  <c r="I463" i="3"/>
  <c r="I427" i="3"/>
  <c r="I222" i="3"/>
  <c r="F21" i="7" l="1"/>
  <c r="E128" i="3"/>
  <c r="G128" i="3"/>
  <c r="E129" i="3"/>
  <c r="H480" i="3"/>
  <c r="H477" i="3"/>
  <c r="H476" i="3"/>
  <c r="H475" i="3"/>
  <c r="H474" i="3"/>
  <c r="A474" i="3"/>
  <c r="A475" i="3" s="1"/>
  <c r="A476" i="3" s="1"/>
  <c r="A477" i="3" s="1"/>
  <c r="A478" i="3" s="1"/>
  <c r="A479" i="3" s="1"/>
  <c r="A480" i="3" s="1"/>
  <c r="H473" i="3"/>
  <c r="H411" i="3"/>
  <c r="H415" i="3"/>
  <c r="H416" i="3"/>
  <c r="H417" i="3"/>
  <c r="H410" i="3"/>
  <c r="A411" i="3"/>
  <c r="A412" i="3" s="1"/>
  <c r="A413" i="3" s="1"/>
  <c r="A414" i="3" s="1"/>
  <c r="A415" i="3" s="1"/>
  <c r="A416" i="3" s="1"/>
  <c r="A417" i="3" s="1"/>
  <c r="H413" i="3"/>
  <c r="H414" i="3"/>
  <c r="H412" i="3" l="1"/>
  <c r="H543" i="3"/>
  <c r="H542" i="3"/>
  <c r="H541" i="3"/>
  <c r="H544" i="3"/>
  <c r="H540" i="3"/>
  <c r="H539" i="3"/>
  <c r="H538" i="3"/>
  <c r="A538" i="3"/>
  <c r="A539" i="3" s="1"/>
  <c r="A540" i="3" s="1"/>
  <c r="A541" i="3" s="1"/>
  <c r="A542" i="3" s="1"/>
  <c r="A543" i="3" s="1"/>
  <c r="A544" i="3" s="1"/>
  <c r="H537" i="3"/>
  <c r="H535" i="3"/>
  <c r="H534" i="3"/>
  <c r="H533" i="3"/>
  <c r="H532" i="3"/>
  <c r="H531" i="3"/>
  <c r="H530" i="3"/>
  <c r="H529" i="3"/>
  <c r="A529" i="3"/>
  <c r="A530" i="3" s="1"/>
  <c r="A531" i="3" s="1"/>
  <c r="A532" i="3" s="1"/>
  <c r="A533" i="3" s="1"/>
  <c r="A534" i="3" s="1"/>
  <c r="A535" i="3" s="1"/>
  <c r="H528" i="3"/>
  <c r="H526" i="3"/>
  <c r="H525" i="3"/>
  <c r="H524" i="3"/>
  <c r="H523" i="3"/>
  <c r="H522" i="3"/>
  <c r="H521" i="3"/>
  <c r="H520" i="3"/>
  <c r="A520" i="3"/>
  <c r="A521" i="3" s="1"/>
  <c r="A522" i="3" s="1"/>
  <c r="A523" i="3" s="1"/>
  <c r="A524" i="3" s="1"/>
  <c r="A525" i="3" s="1"/>
  <c r="A526" i="3" s="1"/>
  <c r="H519" i="3"/>
  <c r="H489" i="3"/>
  <c r="H488" i="3"/>
  <c r="H487" i="3"/>
  <c r="H486" i="3"/>
  <c r="H485" i="3"/>
  <c r="H484" i="3"/>
  <c r="H483" i="3"/>
  <c r="A483" i="3"/>
  <c r="A484" i="3" s="1"/>
  <c r="A485" i="3" s="1"/>
  <c r="A486" i="3" s="1"/>
  <c r="A487" i="3" s="1"/>
  <c r="A488" i="3" s="1"/>
  <c r="A489" i="3" s="1"/>
  <c r="H482" i="3"/>
  <c r="H471" i="3"/>
  <c r="H470" i="3"/>
  <c r="H469" i="3"/>
  <c r="H468" i="3"/>
  <c r="H467" i="3"/>
  <c r="H466" i="3"/>
  <c r="H465" i="3"/>
  <c r="A465" i="3"/>
  <c r="A466" i="3" s="1"/>
  <c r="A467" i="3" s="1"/>
  <c r="A468" i="3" s="1"/>
  <c r="A469" i="3" s="1"/>
  <c r="A470" i="3" s="1"/>
  <c r="A471" i="3" s="1"/>
  <c r="H464" i="3"/>
  <c r="H462" i="3"/>
  <c r="H461" i="3"/>
  <c r="H460" i="3"/>
  <c r="H459" i="3"/>
  <c r="H458" i="3"/>
  <c r="H457" i="3"/>
  <c r="H456" i="3"/>
  <c r="A456" i="3"/>
  <c r="A457" i="3" s="1"/>
  <c r="A458" i="3" s="1"/>
  <c r="A459" i="3" s="1"/>
  <c r="A460" i="3" s="1"/>
  <c r="A461" i="3" s="1"/>
  <c r="A462" i="3" s="1"/>
  <c r="H455" i="3"/>
  <c r="H453" i="3"/>
  <c r="H452" i="3"/>
  <c r="H451" i="3"/>
  <c r="H450" i="3"/>
  <c r="H449" i="3"/>
  <c r="H448" i="3"/>
  <c r="H447" i="3"/>
  <c r="A447" i="3"/>
  <c r="A448" i="3" s="1"/>
  <c r="A449" i="3" s="1"/>
  <c r="A450" i="3" s="1"/>
  <c r="A451" i="3" s="1"/>
  <c r="A452" i="3" s="1"/>
  <c r="A453" i="3" s="1"/>
  <c r="H446" i="3"/>
  <c r="H444" i="3"/>
  <c r="H441" i="3"/>
  <c r="H440" i="3"/>
  <c r="H439" i="3"/>
  <c r="H438" i="3"/>
  <c r="A438" i="3"/>
  <c r="A439" i="3" s="1"/>
  <c r="A440" i="3" s="1"/>
  <c r="A441" i="3" s="1"/>
  <c r="A442" i="3" s="1"/>
  <c r="A443" i="3" s="1"/>
  <c r="A444" i="3" s="1"/>
  <c r="H437" i="3"/>
  <c r="H435" i="3"/>
  <c r="H434" i="3"/>
  <c r="H433" i="3"/>
  <c r="H432" i="3"/>
  <c r="H431" i="3"/>
  <c r="H430" i="3"/>
  <c r="H429" i="3"/>
  <c r="A429" i="3"/>
  <c r="A430" i="3" s="1"/>
  <c r="A431" i="3" s="1"/>
  <c r="A432" i="3" s="1"/>
  <c r="A433" i="3" s="1"/>
  <c r="A434" i="3" s="1"/>
  <c r="A435" i="3" s="1"/>
  <c r="H428" i="3"/>
  <c r="H426" i="3"/>
  <c r="H425" i="3"/>
  <c r="H424" i="3"/>
  <c r="H423" i="3"/>
  <c r="H422" i="3"/>
  <c r="H421" i="3"/>
  <c r="H420" i="3"/>
  <c r="A420" i="3"/>
  <c r="A421" i="3" s="1"/>
  <c r="A422" i="3" s="1"/>
  <c r="A423" i="3" s="1"/>
  <c r="A424" i="3" s="1"/>
  <c r="A425" i="3" s="1"/>
  <c r="A426" i="3" s="1"/>
  <c r="H419" i="3"/>
  <c r="H408" i="3"/>
  <c r="H405" i="3"/>
  <c r="H404" i="3"/>
  <c r="H403" i="3"/>
  <c r="H402" i="3"/>
  <c r="A402" i="3"/>
  <c r="A403" i="3" s="1"/>
  <c r="A404" i="3" s="1"/>
  <c r="A405" i="3" s="1"/>
  <c r="A406" i="3" s="1"/>
  <c r="A407" i="3" s="1"/>
  <c r="A408" i="3" s="1"/>
  <c r="H401" i="3"/>
  <c r="H399" i="3"/>
  <c r="H398" i="3"/>
  <c r="H397" i="3"/>
  <c r="H396" i="3"/>
  <c r="H395" i="3"/>
  <c r="H394" i="3"/>
  <c r="H393" i="3"/>
  <c r="A393" i="3"/>
  <c r="A394" i="3" s="1"/>
  <c r="A395" i="3" s="1"/>
  <c r="A396" i="3" s="1"/>
  <c r="A397" i="3" s="1"/>
  <c r="A398" i="3" s="1"/>
  <c r="A399" i="3" s="1"/>
  <c r="H392" i="3"/>
  <c r="H388" i="3"/>
  <c r="H387" i="3"/>
  <c r="H386" i="3"/>
  <c r="H385" i="3"/>
  <c r="H384" i="3"/>
  <c r="A384" i="3"/>
  <c r="A385" i="3" s="1"/>
  <c r="A386" i="3" s="1"/>
  <c r="A387" i="3" s="1"/>
  <c r="A388" i="3" s="1"/>
  <c r="A389" i="3" s="1"/>
  <c r="A390" i="3" s="1"/>
  <c r="H266" i="3"/>
  <c r="H262" i="3"/>
  <c r="H261" i="3"/>
  <c r="H260" i="3"/>
  <c r="A260" i="3"/>
  <c r="A261" i="3" s="1"/>
  <c r="A262" i="3" s="1"/>
  <c r="A263" i="3" s="1"/>
  <c r="A264" i="3" s="1"/>
  <c r="A265" i="3" s="1"/>
  <c r="A266" i="3" s="1"/>
  <c r="H259" i="3"/>
  <c r="H257" i="3"/>
  <c r="H256" i="3"/>
  <c r="H255" i="3"/>
  <c r="H254" i="3"/>
  <c r="H253" i="3"/>
  <c r="H252" i="3"/>
  <c r="H251" i="3"/>
  <c r="A251" i="3"/>
  <c r="A252" i="3" s="1"/>
  <c r="A253" i="3" s="1"/>
  <c r="A254" i="3" s="1"/>
  <c r="A255" i="3" s="1"/>
  <c r="A256" i="3" s="1"/>
  <c r="A257" i="3" s="1"/>
  <c r="H250" i="3"/>
  <c r="H245" i="3"/>
  <c r="H242" i="3"/>
  <c r="H246" i="3"/>
  <c r="H248" i="3"/>
  <c r="H247" i="3"/>
  <c r="H244" i="3"/>
  <c r="H243" i="3"/>
  <c r="A242" i="3"/>
  <c r="A243" i="3" s="1"/>
  <c r="A244" i="3" s="1"/>
  <c r="A245" i="3" s="1"/>
  <c r="A246" i="3" s="1"/>
  <c r="A247" i="3" s="1"/>
  <c r="A248" i="3" s="1"/>
  <c r="H241" i="3"/>
  <c r="H234" i="3"/>
  <c r="H238" i="3"/>
  <c r="H237" i="3"/>
  <c r="H233" i="3"/>
  <c r="H232" i="3"/>
  <c r="H239" i="3"/>
  <c r="H236" i="3"/>
  <c r="H235" i="3"/>
  <c r="A233" i="3"/>
  <c r="A234" i="3" s="1"/>
  <c r="A235" i="3" s="1"/>
  <c r="A236" i="3" s="1"/>
  <c r="A237" i="3" s="1"/>
  <c r="A238" i="3" s="1"/>
  <c r="A239" i="3" s="1"/>
  <c r="H230" i="3"/>
  <c r="H229" i="3"/>
  <c r="H228" i="3"/>
  <c r="H227" i="3"/>
  <c r="H226" i="3"/>
  <c r="H225" i="3"/>
  <c r="H224" i="3"/>
  <c r="A224" i="3"/>
  <c r="A225" i="3" s="1"/>
  <c r="A226" i="3" s="1"/>
  <c r="A227" i="3" s="1"/>
  <c r="A228" i="3" s="1"/>
  <c r="A229" i="3" s="1"/>
  <c r="A230" i="3" s="1"/>
  <c r="H223" i="3"/>
  <c r="H220" i="3"/>
  <c r="H219" i="3"/>
  <c r="H218" i="3"/>
  <c r="H215" i="3"/>
  <c r="H217" i="3"/>
  <c r="H216" i="3"/>
  <c r="A215" i="3"/>
  <c r="A216" i="3" s="1"/>
  <c r="A217" i="3" s="1"/>
  <c r="A218" i="3" s="1"/>
  <c r="A219" i="3" s="1"/>
  <c r="A220" i="3" s="1"/>
  <c r="A221" i="3" s="1"/>
  <c r="H214" i="3"/>
  <c r="H211" i="3"/>
  <c r="H209" i="3"/>
  <c r="H194" i="3"/>
  <c r="H188" i="3"/>
  <c r="H198" i="3"/>
  <c r="H196" i="3"/>
  <c r="H203" i="3"/>
  <c r="H200" i="3"/>
  <c r="H199" i="3"/>
  <c r="A197" i="3"/>
  <c r="A198" i="3" s="1"/>
  <c r="A199" i="3" s="1"/>
  <c r="A200" i="3" s="1"/>
  <c r="A201" i="3" s="1"/>
  <c r="A202" i="3" s="1"/>
  <c r="A203" i="3" s="1"/>
  <c r="H212" i="3"/>
  <c r="H210" i="3"/>
  <c r="H208" i="3"/>
  <c r="H207" i="3"/>
  <c r="H206" i="3"/>
  <c r="A206" i="3"/>
  <c r="A207" i="3" s="1"/>
  <c r="A208" i="3" s="1"/>
  <c r="A209" i="3" s="1"/>
  <c r="A210" i="3" s="1"/>
  <c r="A211" i="3" s="1"/>
  <c r="A212" i="3" s="1"/>
  <c r="H205" i="3"/>
  <c r="H193" i="3"/>
  <c r="H192" i="3"/>
  <c r="H190" i="3"/>
  <c r="H189" i="3"/>
  <c r="A188" i="3"/>
  <c r="A189" i="3" s="1"/>
  <c r="A190" i="3" s="1"/>
  <c r="A191" i="3" s="1"/>
  <c r="A192" i="3" s="1"/>
  <c r="A193" i="3" s="1"/>
  <c r="A194" i="3" s="1"/>
  <c r="H182" i="3"/>
  <c r="H180" i="3"/>
  <c r="H185" i="3"/>
  <c r="H184" i="3"/>
  <c r="H183" i="3"/>
  <c r="H181" i="3"/>
  <c r="A179" i="3"/>
  <c r="A180" i="3" s="1"/>
  <c r="A181" i="3" s="1"/>
  <c r="A182" i="3" s="1"/>
  <c r="A183" i="3" s="1"/>
  <c r="A184" i="3" s="1"/>
  <c r="A185" i="3" s="1"/>
  <c r="H175" i="3"/>
  <c r="H171" i="3"/>
  <c r="H169" i="3"/>
  <c r="H176" i="3"/>
  <c r="H174" i="3"/>
  <c r="H173" i="3"/>
  <c r="H172" i="3"/>
  <c r="H170" i="3"/>
  <c r="A170" i="3"/>
  <c r="A171" i="3" s="1"/>
  <c r="A172" i="3" s="1"/>
  <c r="A173" i="3" s="1"/>
  <c r="A174" i="3" s="1"/>
  <c r="A175" i="3" s="1"/>
  <c r="A176" i="3" s="1"/>
  <c r="H162" i="3"/>
  <c r="H167" i="3"/>
  <c r="H163" i="3"/>
  <c r="H161" i="3"/>
  <c r="A161" i="3"/>
  <c r="A162" i="3" s="1"/>
  <c r="A163" i="3" s="1"/>
  <c r="A164" i="3" s="1"/>
  <c r="A165" i="3" s="1"/>
  <c r="A166" i="3" s="1"/>
  <c r="A167" i="3" s="1"/>
  <c r="H160" i="3"/>
  <c r="A152" i="3"/>
  <c r="A153" i="3" s="1"/>
  <c r="A154" i="3" s="1"/>
  <c r="A155" i="3" s="1"/>
  <c r="A156" i="3" s="1"/>
  <c r="A157" i="3" s="1"/>
  <c r="A158" i="3" s="1"/>
  <c r="H152" i="3"/>
  <c r="H153" i="3"/>
  <c r="H154" i="3"/>
  <c r="H155" i="3"/>
  <c r="H156" i="3"/>
  <c r="H157" i="3"/>
  <c r="H158" i="3"/>
  <c r="H151" i="3"/>
  <c r="H553" i="3"/>
  <c r="H552" i="3"/>
  <c r="H551" i="3"/>
  <c r="H550" i="3"/>
  <c r="H549" i="3"/>
  <c r="H548" i="3"/>
  <c r="H547" i="3"/>
  <c r="A547" i="3"/>
  <c r="A548" i="3" s="1"/>
  <c r="A549" i="3" s="1"/>
  <c r="A550" i="3" s="1"/>
  <c r="A551" i="3" s="1"/>
  <c r="A552" i="3" s="1"/>
  <c r="A553" i="3" s="1"/>
  <c r="H546" i="3"/>
  <c r="G118" i="3"/>
  <c r="G117" i="3"/>
  <c r="C11" i="3"/>
  <c r="H52" i="3"/>
  <c r="C52" i="3"/>
  <c r="C19" i="3"/>
  <c r="I20" i="3"/>
  <c r="G129" i="3" l="1"/>
  <c r="H221" i="3"/>
  <c r="H179" i="3"/>
  <c r="H178" i="3"/>
  <c r="H191" i="3"/>
  <c r="H187" i="3"/>
  <c r="H197" i="3"/>
  <c r="H164" i="3"/>
  <c r="D598" i="3"/>
  <c r="D596" i="3"/>
  <c r="A80" i="3" l="1"/>
  <c r="A64" i="3"/>
  <c r="I56" i="3"/>
  <c r="J73" i="3" l="1"/>
  <c r="J71" i="3"/>
  <c r="J72" i="3"/>
  <c r="J74" i="3"/>
  <c r="H65" i="3"/>
  <c r="H81" i="3"/>
  <c r="J85" i="3" l="1"/>
  <c r="J86" i="3" s="1"/>
  <c r="J69" i="3"/>
  <c r="J70" i="3" s="1"/>
  <c r="D77" i="3"/>
  <c r="D69" i="3"/>
  <c r="J67" i="3"/>
  <c r="D78" i="3"/>
  <c r="D73" i="3"/>
  <c r="J66" i="3"/>
  <c r="D70" i="3"/>
  <c r="D72" i="3"/>
  <c r="D75" i="3"/>
  <c r="J68" i="3"/>
  <c r="D74" i="3"/>
  <c r="D71" i="3"/>
  <c r="D76" i="3"/>
  <c r="D67" i="3"/>
  <c r="D87" i="3"/>
  <c r="J83" i="3"/>
  <c r="D90" i="3"/>
  <c r="D86" i="3"/>
  <c r="J84" i="3"/>
  <c r="J82" i="3"/>
  <c r="D89" i="3"/>
  <c r="D88" i="3"/>
  <c r="D94" i="3"/>
  <c r="D93" i="3"/>
  <c r="D91" i="3"/>
  <c r="D92" i="3"/>
  <c r="D85" i="3"/>
  <c r="J91" i="3" l="1"/>
  <c r="C84" i="3" s="1"/>
  <c r="D83" i="3"/>
  <c r="J89" i="3"/>
  <c r="J90" i="3"/>
  <c r="J87" i="3"/>
  <c r="J88" i="3"/>
  <c r="H97" i="3"/>
  <c r="J92" i="3" l="1"/>
  <c r="J101" i="3"/>
  <c r="J102" i="3" s="1"/>
  <c r="J75" i="3"/>
  <c r="C68" i="3" s="1"/>
  <c r="D84" i="3"/>
  <c r="J100" i="3"/>
  <c r="C99" i="3" s="1"/>
  <c r="D99" i="3" s="1"/>
  <c r="J98" i="3"/>
  <c r="J99" i="3"/>
  <c r="D110" i="3"/>
  <c r="D107" i="3"/>
  <c r="D108" i="3"/>
  <c r="D109" i="3"/>
  <c r="D106" i="3"/>
  <c r="D105" i="3"/>
  <c r="D104" i="3"/>
  <c r="D103" i="3"/>
  <c r="D101" i="3"/>
  <c r="D102" i="3"/>
  <c r="E83" i="3"/>
  <c r="J76" i="3" l="1"/>
  <c r="J105" i="3"/>
  <c r="J104" i="3"/>
  <c r="J103" i="3"/>
  <c r="J106" i="3"/>
  <c r="I80" i="3"/>
  <c r="G83" i="3" s="1"/>
  <c r="E67" i="3" l="1"/>
  <c r="D68" i="3"/>
  <c r="I64" i="3" l="1"/>
  <c r="G67" i="3" s="1"/>
  <c r="J107" i="3"/>
  <c r="J108" i="3" l="1"/>
  <c r="C100" i="3"/>
  <c r="E99" i="3" s="1"/>
  <c r="G111" i="3" s="1"/>
  <c r="L41" i="6"/>
  <c r="I41" i="6"/>
  <c r="E41" i="6"/>
  <c r="L40" i="6"/>
  <c r="I40" i="6"/>
  <c r="E40" i="6"/>
  <c r="L39" i="6"/>
  <c r="I39" i="6"/>
  <c r="E39" i="6"/>
  <c r="L38" i="6"/>
  <c r="I38" i="6"/>
  <c r="E38" i="6"/>
  <c r="L37" i="6"/>
  <c r="I37" i="6"/>
  <c r="E37" i="6"/>
  <c r="L36" i="6"/>
  <c r="I36" i="6"/>
  <c r="E36" i="6"/>
  <c r="L35" i="6"/>
  <c r="I35" i="6"/>
  <c r="E35" i="6"/>
  <c r="L34" i="6"/>
  <c r="I34" i="6"/>
  <c r="E34" i="6"/>
  <c r="L33" i="6"/>
  <c r="I33" i="6"/>
  <c r="E33" i="6"/>
  <c r="L32" i="6"/>
  <c r="I32" i="6"/>
  <c r="E32" i="6"/>
  <c r="L31" i="6"/>
  <c r="I31" i="6"/>
  <c r="E31" i="6"/>
  <c r="L30" i="6"/>
  <c r="I30" i="6"/>
  <c r="E30" i="6"/>
  <c r="L29" i="6"/>
  <c r="I29" i="6"/>
  <c r="E29" i="6"/>
  <c r="L28" i="6"/>
  <c r="I28" i="6"/>
  <c r="E28" i="6"/>
  <c r="L27" i="6"/>
  <c r="I27" i="6"/>
  <c r="E27" i="6"/>
  <c r="L26" i="6"/>
  <c r="I26" i="6"/>
  <c r="E26" i="6"/>
  <c r="L25" i="6"/>
  <c r="I25" i="6"/>
  <c r="E25" i="6"/>
  <c r="L24" i="6"/>
  <c r="I24" i="6"/>
  <c r="E24" i="6"/>
  <c r="L23" i="6"/>
  <c r="I23" i="6"/>
  <c r="E23" i="6"/>
  <c r="L22" i="6"/>
  <c r="I22" i="6"/>
  <c r="E22" i="6"/>
  <c r="L21" i="6"/>
  <c r="I21" i="6"/>
  <c r="E21" i="6"/>
  <c r="L20" i="6"/>
  <c r="I20" i="6"/>
  <c r="E20" i="6"/>
  <c r="L19" i="6"/>
  <c r="I19" i="6"/>
  <c r="E19" i="6"/>
  <c r="L18" i="6"/>
  <c r="I18" i="6"/>
  <c r="E18" i="6"/>
  <c r="L17" i="6"/>
  <c r="I17" i="6"/>
  <c r="E17" i="6"/>
  <c r="L16" i="6"/>
  <c r="I16" i="6"/>
  <c r="E16" i="6"/>
  <c r="L15" i="6"/>
  <c r="I15" i="6"/>
  <c r="E15" i="6"/>
  <c r="L14" i="6"/>
  <c r="I14" i="6"/>
  <c r="E14" i="6"/>
  <c r="L13" i="6"/>
  <c r="I13" i="6"/>
  <c r="E13" i="6"/>
  <c r="L12" i="6"/>
  <c r="I12" i="6"/>
  <c r="E12" i="6"/>
  <c r="L11" i="6"/>
  <c r="I11" i="6"/>
  <c r="E11" i="6"/>
  <c r="L10" i="6"/>
  <c r="I10" i="6"/>
  <c r="E10" i="6"/>
  <c r="L9" i="6"/>
  <c r="I9" i="6"/>
  <c r="E9" i="6"/>
  <c r="L8" i="6"/>
  <c r="I8" i="6"/>
  <c r="E8" i="6"/>
  <c r="L7" i="6"/>
  <c r="I7" i="6"/>
  <c r="E7" i="6"/>
  <c r="L6" i="6"/>
  <c r="I6" i="6"/>
  <c r="E6" i="6"/>
  <c r="D100" i="3" l="1"/>
  <c r="I96" i="3"/>
  <c r="G99" i="3" s="1"/>
  <c r="E42" i="6"/>
  <c r="E44" i="6" s="1"/>
  <c r="I42" i="6"/>
  <c r="H42" i="6" s="1"/>
  <c r="L42" i="6"/>
  <c r="K42" i="6" s="1"/>
  <c r="D42" i="6"/>
  <c r="D44" i="6" s="1"/>
  <c r="C26" i="3" l="1"/>
  <c r="C18" i="3"/>
  <c r="H580" i="3"/>
  <c r="H579" i="3"/>
  <c r="H578" i="3"/>
  <c r="H577" i="3"/>
  <c r="H576" i="3"/>
  <c r="H575" i="3"/>
  <c r="H574" i="3"/>
  <c r="H573" i="3"/>
  <c r="H571" i="3"/>
  <c r="H570" i="3"/>
  <c r="H569" i="3"/>
  <c r="H568" i="3"/>
  <c r="H567" i="3"/>
  <c r="H566" i="3"/>
  <c r="H565" i="3"/>
  <c r="H564" i="3"/>
  <c r="H562" i="3"/>
  <c r="H561" i="3"/>
  <c r="H560" i="3"/>
  <c r="H559" i="3"/>
  <c r="H558" i="3"/>
  <c r="H557" i="3"/>
  <c r="H556" i="3"/>
  <c r="H555" i="3"/>
  <c r="E131" i="3"/>
  <c r="H130" i="3"/>
  <c r="H143" i="3"/>
  <c r="H144" i="3"/>
  <c r="H145" i="3"/>
  <c r="J113" i="3" s="1"/>
  <c r="K113" i="3" s="1"/>
  <c r="H146" i="3"/>
  <c r="H147" i="3"/>
  <c r="E127" i="3" l="1"/>
  <c r="E130" i="3" s="1"/>
  <c r="G127" i="3"/>
  <c r="G130" i="3" s="1"/>
  <c r="G124" i="3"/>
  <c r="E124" i="3"/>
  <c r="C38" i="4" l="1"/>
  <c r="G37" i="4"/>
  <c r="F37" i="4"/>
  <c r="G36" i="4"/>
  <c r="F36" i="4"/>
  <c r="G35" i="4"/>
  <c r="F35" i="4"/>
  <c r="G34" i="4"/>
  <c r="F34" i="4"/>
  <c r="G33" i="4"/>
  <c r="F33" i="4"/>
  <c r="G32" i="4"/>
  <c r="F32" i="4"/>
  <c r="G31" i="4"/>
  <c r="F31" i="4"/>
  <c r="G30" i="4"/>
  <c r="F30" i="4"/>
  <c r="G29" i="4"/>
  <c r="F29" i="4"/>
  <c r="G28" i="4"/>
  <c r="F28" i="4"/>
  <c r="G27" i="4"/>
  <c r="F27" i="4"/>
  <c r="G26" i="4"/>
  <c r="F26" i="4"/>
  <c r="K15" i="4"/>
  <c r="K14" i="4"/>
  <c r="K13" i="4"/>
  <c r="I5" i="4"/>
  <c r="G38" i="4" l="1"/>
  <c r="F38" i="4"/>
  <c r="E18" i="4"/>
  <c r="E15" i="4"/>
  <c r="E17" i="4"/>
  <c r="E11" i="4"/>
  <c r="K6" i="4"/>
  <c r="E9" i="4"/>
  <c r="K8" i="4"/>
  <c r="C7" i="4" s="1"/>
  <c r="E14" i="4"/>
  <c r="E12" i="4"/>
  <c r="E16" i="4"/>
  <c r="E10" i="4"/>
  <c r="K9" i="4"/>
  <c r="K10" i="4" s="1"/>
  <c r="K11" i="4" s="1"/>
  <c r="E13" i="4"/>
  <c r="K7" i="4"/>
  <c r="K12" i="4" l="1"/>
  <c r="K16" i="4" s="1"/>
  <c r="C8" i="4" s="1"/>
  <c r="E8" i="4" s="1"/>
  <c r="E7" i="4"/>
  <c r="A143" i="3"/>
  <c r="A144" i="3" s="1"/>
  <c r="A145" i="3" s="1"/>
  <c r="A146" i="3" s="1"/>
  <c r="A147" i="3" s="1"/>
  <c r="A148" i="3" s="1"/>
  <c r="A149" i="3" s="1"/>
  <c r="F7" i="4" l="1"/>
  <c r="J4" i="4" s="1"/>
  <c r="H7" i="4" s="1"/>
  <c r="G4" i="3" l="1"/>
  <c r="H124" i="3" l="1"/>
  <c r="G131" i="3" s="1"/>
  <c r="G119" i="3" l="1"/>
  <c r="V555" i="3"/>
  <c r="V573" i="3"/>
  <c r="U564" i="3"/>
  <c r="U555" i="3"/>
  <c r="U573" i="3"/>
  <c r="V564" i="3"/>
  <c r="T573" i="3" l="1"/>
  <c r="U574" i="3"/>
  <c r="V574" i="3"/>
  <c r="V575" i="3" s="1"/>
  <c r="V576" i="3" s="1"/>
  <c r="V577" i="3" s="1"/>
  <c r="V578" i="3" s="1"/>
  <c r="V579" i="3" s="1"/>
  <c r="V580" i="3" s="1"/>
  <c r="T564" i="3"/>
  <c r="U565" i="3"/>
  <c r="V565" i="3"/>
  <c r="V566" i="3" s="1"/>
  <c r="V567" i="3" s="1"/>
  <c r="V568" i="3" s="1"/>
  <c r="V569" i="3" s="1"/>
  <c r="V570" i="3" s="1"/>
  <c r="V571" i="3" s="1"/>
  <c r="V556" i="3"/>
  <c r="V557" i="3" s="1"/>
  <c r="V558" i="3" s="1"/>
  <c r="V559" i="3" s="1"/>
  <c r="V560" i="3" s="1"/>
  <c r="V561" i="3" s="1"/>
  <c r="V562" i="3" s="1"/>
  <c r="U556" i="3"/>
  <c r="T555" i="3"/>
  <c r="A573" i="3" l="1"/>
  <c r="A564" i="3"/>
  <c r="A555" i="3"/>
  <c r="T574" i="3"/>
  <c r="A574" i="3" s="1"/>
  <c r="U575" i="3"/>
  <c r="T575" i="3" s="1"/>
  <c r="T565" i="3"/>
  <c r="A565" i="3" s="1"/>
  <c r="U566" i="3"/>
  <c r="T566" i="3" s="1"/>
  <c r="U557" i="3"/>
  <c r="T556" i="3"/>
  <c r="A556" i="3" s="1"/>
  <c r="A575" i="3" l="1"/>
  <c r="A566" i="3"/>
  <c r="U576" i="3"/>
  <c r="T576" i="3" s="1"/>
  <c r="U567" i="3"/>
  <c r="T567" i="3" s="1"/>
  <c r="U558" i="3"/>
  <c r="T557" i="3"/>
  <c r="A557" i="3" s="1"/>
  <c r="A576" i="3" l="1"/>
  <c r="A567" i="3"/>
  <c r="U577" i="3"/>
  <c r="T577" i="3" s="1"/>
  <c r="U568" i="3"/>
  <c r="T568" i="3" s="1"/>
  <c r="U559" i="3"/>
  <c r="T558" i="3"/>
  <c r="A558" i="3" s="1"/>
  <c r="A577" i="3" l="1"/>
  <c r="A568" i="3"/>
  <c r="U578" i="3"/>
  <c r="T578" i="3" s="1"/>
  <c r="U569" i="3"/>
  <c r="T569" i="3" s="1"/>
  <c r="U560" i="3"/>
  <c r="T559" i="3"/>
  <c r="A559" i="3" s="1"/>
  <c r="A578" i="3" l="1"/>
  <c r="A569" i="3"/>
  <c r="U579" i="3"/>
  <c r="T579" i="3" s="1"/>
  <c r="U570" i="3"/>
  <c r="T570" i="3" s="1"/>
  <c r="U561" i="3"/>
  <c r="T560" i="3"/>
  <c r="A560" i="3" s="1"/>
  <c r="A579" i="3" l="1"/>
  <c r="A570" i="3"/>
  <c r="U580" i="3"/>
  <c r="T580" i="3" s="1"/>
  <c r="U571" i="3"/>
  <c r="T571" i="3" s="1"/>
  <c r="U562" i="3"/>
  <c r="T561" i="3"/>
  <c r="A561" i="3" s="1"/>
  <c r="A580" i="3" l="1"/>
  <c r="A571" i="3"/>
  <c r="T562" i="3"/>
  <c r="A56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000-000001000000}">
      <text>
        <r>
          <rPr>
            <b/>
            <sz val="18"/>
            <color indexed="81"/>
            <rFont val="Tahoma"/>
            <family val="2"/>
          </rPr>
          <t>SACHIN:</t>
        </r>
        <r>
          <rPr>
            <sz val="18"/>
            <color indexed="81"/>
            <rFont val="Tahoma"/>
            <family val="2"/>
          </rPr>
          <t xml:space="preserve">
As per initiation Mail</t>
        </r>
      </text>
    </comment>
    <comment ref="G17" authorId="0" shapeId="0" xr:uid="{00000000-0006-0000-0000-000002000000}">
      <text>
        <r>
          <rPr>
            <b/>
            <sz val="18"/>
            <color indexed="81"/>
            <rFont val="Tahoma"/>
            <family val="2"/>
          </rPr>
          <t>From Rera</t>
        </r>
      </text>
    </comment>
    <comment ref="C20" authorId="0" shapeId="0" xr:uid="{00000000-0006-0000-0000-000003000000}">
      <text>
        <r>
          <rPr>
            <b/>
            <sz val="16"/>
            <color indexed="81"/>
            <rFont val="Tahoma"/>
            <family val="2"/>
          </rPr>
          <t>From RERA</t>
        </r>
      </text>
    </comment>
    <comment ref="G20" authorId="0" shapeId="0" xr:uid="{00000000-0006-0000-0000-000004000000}">
      <text>
        <r>
          <rPr>
            <b/>
            <sz val="16"/>
            <color indexed="81"/>
            <rFont val="Tahoma"/>
            <family val="2"/>
          </rPr>
          <t>From RERA</t>
        </r>
      </text>
    </comment>
    <comment ref="G21" authorId="0" shapeId="0" xr:uid="{00000000-0006-0000-0000-000005000000}">
      <text>
        <r>
          <rPr>
            <b/>
            <sz val="16"/>
            <color indexed="81"/>
            <rFont val="Tahoma"/>
            <family val="2"/>
          </rPr>
          <t>From RERA</t>
        </r>
      </text>
    </comment>
    <comment ref="G27" authorId="0" shapeId="0" xr:uid="{00000000-0006-0000-0000-000006000000}">
      <text>
        <r>
          <rPr>
            <b/>
            <sz val="12"/>
            <color indexed="81"/>
            <rFont val="Tahoma"/>
            <family val="2"/>
          </rPr>
          <t>SACHIN:</t>
        </r>
        <r>
          <rPr>
            <sz val="12"/>
            <color indexed="81"/>
            <rFont val="Tahoma"/>
            <family val="2"/>
          </rPr>
          <t xml:space="preserve">
Road size should be in metre</t>
        </r>
      </text>
    </comment>
    <comment ref="G117" authorId="0" shapeId="0" xr:uid="{00000000-0006-0000-0000-000007000000}">
      <text>
        <r>
          <rPr>
            <b/>
            <sz val="16"/>
            <color indexed="81"/>
            <rFont val="Tahoma"/>
            <family val="2"/>
          </rPr>
          <t>Ready Recknor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<sst xmlns="http://schemas.openxmlformats.org/spreadsheetml/2006/main" count="1299" uniqueCount="426">
  <si>
    <t>Boundaries</t>
  </si>
  <si>
    <t>North</t>
  </si>
  <si>
    <t>East</t>
  </si>
  <si>
    <t>West</t>
  </si>
  <si>
    <t>:</t>
  </si>
  <si>
    <t>As per Actual at site</t>
  </si>
  <si>
    <t>South</t>
  </si>
  <si>
    <t>As per Site / Actual</t>
  </si>
  <si>
    <t>Government Guideline/ Circle rate for Land (Rs per sqft)</t>
  </si>
  <si>
    <t>Authorized Signatory Name &amp; Signature</t>
  </si>
  <si>
    <t>Name of Valuation Agency</t>
  </si>
  <si>
    <t>As per Legal Documents</t>
  </si>
  <si>
    <t>Date of Technical Initiation</t>
  </si>
  <si>
    <t>Class of Locality</t>
  </si>
  <si>
    <t>Type of Road</t>
  </si>
  <si>
    <t>Distance from Railway Station (Km)</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</si>
  <si>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</si>
  <si>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</si>
  <si>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</si>
  <si>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</si>
  <si>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</si>
  <si>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</si>
  <si>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</si>
  <si>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</si>
  <si>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Valuer Certification/Disclaimer</t>
  </si>
  <si>
    <t>Extra Amenities available</t>
  </si>
  <si>
    <t>Infrastructure in the area</t>
  </si>
  <si>
    <t>Status of Holding</t>
  </si>
  <si>
    <t>Government Guideline/ Circle rate for Flat/Unit/ Built up (Rs per sqft)</t>
  </si>
  <si>
    <t>Branch Name/ID</t>
  </si>
  <si>
    <t>Name of Engineer Visited the property</t>
  </si>
  <si>
    <t>Degree of Risk Associated</t>
  </si>
  <si>
    <t>Property Falls in CR Zone</t>
  </si>
  <si>
    <t>Date of Report Release</t>
  </si>
  <si>
    <t>Documents Provided by GHF</t>
  </si>
  <si>
    <t>Request from GHF Employee</t>
  </si>
  <si>
    <t>Name of the person met at site &amp; Contact No.</t>
  </si>
  <si>
    <t>NDMA Guidelines</t>
  </si>
  <si>
    <t>APF Report Format</t>
  </si>
  <si>
    <t>Project Name</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</si>
  <si>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</si>
  <si>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</si>
  <si>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</si>
  <si>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</si>
  <si>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</si>
  <si>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</si>
  <si>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</si>
  <si>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</si>
  <si>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</si>
  <si>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</si>
  <si>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</si>
  <si>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</si>
  <si>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</si>
  <si>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</si>
  <si>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FSI/FAR Permissible</t>
  </si>
  <si>
    <t>Total Number of Units Planned</t>
  </si>
  <si>
    <t>Total Number of Units Approved</t>
  </si>
  <si>
    <t>Project Structure</t>
  </si>
  <si>
    <t>Building/Tower Name/No.</t>
  </si>
  <si>
    <t>Type (Sale/Rehab)</t>
  </si>
  <si>
    <t>No. of Floors Approved</t>
  </si>
  <si>
    <t>Building Permission &amp; Other Approvals</t>
  </si>
  <si>
    <t>Construction as per Approved/ Sanctioned Plans</t>
  </si>
  <si>
    <t>LOI/IOD Details</t>
  </si>
  <si>
    <t>Approved Plan Details</t>
  </si>
  <si>
    <t>Environmental Clearance Details</t>
  </si>
  <si>
    <t>Airport Authority Clearance Details</t>
  </si>
  <si>
    <t>Change of User/Zone Certificate Details</t>
  </si>
  <si>
    <t>Other NOC Details</t>
  </si>
  <si>
    <t>Construction Status</t>
  </si>
  <si>
    <t xml:space="preserve">Project Specific Remarks &amp; Observation </t>
  </si>
  <si>
    <t>Name of the Project</t>
  </si>
  <si>
    <t>Guideline Values</t>
  </si>
  <si>
    <t>PSF Rates &amp; Other Charges</t>
  </si>
  <si>
    <t>Measurement Unit of Area (Sq. Ft./Sq. Mt.)</t>
  </si>
  <si>
    <t>Car Parking Charges</t>
  </si>
  <si>
    <t>Site &amp; Building/Tower Photographs</t>
  </si>
  <si>
    <t>Location Cum Root Map (Satelite View)</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</si>
  <si>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</si>
  <si>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</si>
  <si>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</si>
  <si>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</si>
  <si>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</si>
  <si>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</si>
  <si>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</si>
  <si>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</si>
  <si>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</si>
  <si>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 Jadon &amp; Co.Valuers LLP</t>
  </si>
  <si>
    <t>Freehold</t>
  </si>
  <si>
    <t>Sale</t>
  </si>
  <si>
    <t>Description</t>
  </si>
  <si>
    <t>Gross Carpet area</t>
  </si>
  <si>
    <t>Attached Terrace area</t>
  </si>
  <si>
    <t>Godrej One, Vikhroli East, Mumbai</t>
  </si>
  <si>
    <t>Permissible Built up Area (In Sq.Mt)</t>
  </si>
  <si>
    <t>Proposed Built up Area (In Sq.Mt)</t>
  </si>
  <si>
    <t>Plot Area (In Sq.Mt)</t>
  </si>
  <si>
    <t>-</t>
  </si>
  <si>
    <t>Yes</t>
  </si>
  <si>
    <t xml:space="preserve">Bitumen </t>
  </si>
  <si>
    <t>III</t>
  </si>
  <si>
    <t>No</t>
  </si>
  <si>
    <t>Low</t>
  </si>
  <si>
    <t>None</t>
  </si>
  <si>
    <t>Other Charges</t>
  </si>
  <si>
    <t>Ground</t>
  </si>
  <si>
    <t>Plinth</t>
  </si>
  <si>
    <t>Project Site Address</t>
  </si>
  <si>
    <t>Distance from the nearest School (Km)</t>
  </si>
  <si>
    <t>Distance from Hospital (Km)</t>
  </si>
  <si>
    <t>Sq. Ft</t>
  </si>
  <si>
    <t>As applicable and documented.</t>
  </si>
  <si>
    <t>Distress Value (Rs. Per sqft)</t>
  </si>
  <si>
    <t>Site Visit Date &amp; Time</t>
  </si>
  <si>
    <t xml:space="preserve">Water Supply </t>
  </si>
  <si>
    <t>Being Provisioned</t>
  </si>
  <si>
    <t>Electricity Supply</t>
  </si>
  <si>
    <t>Drainage Connection</t>
  </si>
  <si>
    <t>Basement</t>
  </si>
  <si>
    <t>Podium</t>
  </si>
  <si>
    <t>Floors</t>
  </si>
  <si>
    <t xml:space="preserve">Stage of construction: </t>
  </si>
  <si>
    <t>Type of Work</t>
  </si>
  <si>
    <t>Progress %</t>
  </si>
  <si>
    <t>All work Completed. OC Received.</t>
  </si>
  <si>
    <t>Excavation in process</t>
  </si>
  <si>
    <t>Excavation Completed</t>
  </si>
  <si>
    <t>Footing in Process</t>
  </si>
  <si>
    <t>Footing Completed</t>
  </si>
  <si>
    <t>Plinth in process</t>
  </si>
  <si>
    <t>Plinth completed</t>
  </si>
  <si>
    <t>Project Completion %</t>
  </si>
  <si>
    <t>1st Floor</t>
  </si>
  <si>
    <t>2nd, 3rd, 4th, 6th, 8th, 7th, 9th Floor</t>
  </si>
  <si>
    <t>2nd to 5th Floor</t>
  </si>
  <si>
    <t>2nd &amp; 5th Floor</t>
  </si>
  <si>
    <t>Slab/Floor</t>
  </si>
  <si>
    <t>Complition %</t>
  </si>
  <si>
    <t>Piling Work in process</t>
  </si>
  <si>
    <t>Excavation</t>
  </si>
  <si>
    <t>RCC (Including podiums)</t>
  </si>
  <si>
    <t>Brickwork</t>
  </si>
  <si>
    <t>Internal Plaster</t>
  </si>
  <si>
    <t>Basement 1</t>
  </si>
  <si>
    <t>Basement 2</t>
  </si>
  <si>
    <t>Flooring &amp; Fitting</t>
  </si>
  <si>
    <t>Basement 3</t>
  </si>
  <si>
    <t>Basement 4</t>
  </si>
  <si>
    <t>Building Common Amenities</t>
  </si>
  <si>
    <t>Possession</t>
  </si>
  <si>
    <t>Type of Saleable Area (CA/BUA/SBA)</t>
  </si>
  <si>
    <t>NA</t>
  </si>
  <si>
    <t>No. of Floors Planned/Proposed</t>
  </si>
  <si>
    <t>Project Address</t>
  </si>
  <si>
    <t>Width of the Road</t>
  </si>
  <si>
    <t>Details of Flats in Building</t>
  </si>
  <si>
    <t>No. of Unit</t>
  </si>
  <si>
    <t>Building &amp; Wing</t>
  </si>
  <si>
    <t>Sale / Rehab</t>
  </si>
  <si>
    <t>Total</t>
  </si>
  <si>
    <t>Rate of Flat Per Sq. Ft. 
(on Carpet area)</t>
  </si>
  <si>
    <t>Floor Rise Per Sq. Ft.
(on Carpet area)</t>
  </si>
  <si>
    <t>Date &amp; Time of Site Visit</t>
  </si>
  <si>
    <t>On Carpet area</t>
  </si>
  <si>
    <t>Location Link</t>
  </si>
  <si>
    <t xml:space="preserve">Layout </t>
  </si>
  <si>
    <t>Latitude, Longitude</t>
  </si>
  <si>
    <t>Landmark</t>
  </si>
  <si>
    <t>Middle</t>
  </si>
  <si>
    <t>Total Gross Carpet Area</t>
  </si>
  <si>
    <t>Carpet area</t>
  </si>
  <si>
    <t>External Plumbing, Elevation and Waterproofing</t>
  </si>
  <si>
    <t>Electrical &amp; Sanitary fittings</t>
  </si>
  <si>
    <t>Wooden Work</t>
  </si>
  <si>
    <t>External Plaster</t>
  </si>
  <si>
    <t>Construction Linked Plan</t>
  </si>
  <si>
    <t>Milestones</t>
  </si>
  <si>
    <t>Weightage</t>
  </si>
  <si>
    <t>No. of Floors</t>
  </si>
  <si>
    <t>Floors Completed</t>
  </si>
  <si>
    <t>Completion %</t>
  </si>
  <si>
    <t>Recommendation %</t>
  </si>
  <si>
    <t>Completion of excavation</t>
  </si>
  <si>
    <t>Completion of footing</t>
  </si>
  <si>
    <t>Completion of plinth</t>
  </si>
  <si>
    <t>Completion of RCC</t>
  </si>
  <si>
    <t>Completion of Brickwork</t>
  </si>
  <si>
    <t>Completion of Internal Plaster</t>
  </si>
  <si>
    <t>Completion of External plaster</t>
  </si>
  <si>
    <t>Completion of external plumbing, elevation and waterproofing</t>
  </si>
  <si>
    <t>Completion of Flooring, tiling, doors and windows</t>
  </si>
  <si>
    <t>Completion of Electrical and sanitary fittings</t>
  </si>
  <si>
    <t>Completion of lifts, entrance lobbies, plinth protection and paving of area</t>
  </si>
  <si>
    <t>On possesssion OR receipt of Occupancy/Completion certificate</t>
  </si>
  <si>
    <t>Total %</t>
  </si>
  <si>
    <t>Approval Matrix For Accelerated Disbursement (If Builder Demand is more than GHFL Recommendation)</t>
  </si>
  <si>
    <t xml:space="preserve">Accelerated Disbursement % </t>
  </si>
  <si>
    <t>Approving Authority</t>
  </si>
  <si>
    <t>Up to 10%</t>
  </si>
  <si>
    <t>ATM</t>
  </si>
  <si>
    <t>&gt;10% - 15%</t>
  </si>
  <si>
    <t>Head-Technical</t>
  </si>
  <si>
    <t>&gt;15%</t>
  </si>
  <si>
    <t>CCO</t>
  </si>
  <si>
    <t>Sr. no.</t>
  </si>
  <si>
    <t>GHF Stage %</t>
  </si>
  <si>
    <t>GHF Reco %</t>
  </si>
  <si>
    <t>RERA Threshold</t>
  </si>
  <si>
    <t>On or before execution of the agreement</t>
  </si>
  <si>
    <t>On execution of Agreement</t>
  </si>
  <si>
    <t>1-10%</t>
  </si>
  <si>
    <t>11-20%</t>
  </si>
  <si>
    <t>On completion of the Plinth of the building or wing inwhich the said Apartment is located</t>
  </si>
  <si>
    <t>11-25%</t>
  </si>
  <si>
    <t>21-35%</t>
  </si>
  <si>
    <t>On completion of the slabs including podiums and stilts of the building or wing in which the said Apartment is located</t>
  </si>
  <si>
    <t>26-50%</t>
  </si>
  <si>
    <t>36-60%</t>
  </si>
  <si>
    <t>On completion of the walls, internal plaster, floorings, doors and windows of the said Apartment</t>
  </si>
  <si>
    <t>51-65%</t>
  </si>
  <si>
    <t>61-75%</t>
  </si>
  <si>
    <t>On completion of the Sanitary fittings, staircases, lift wells, lobbies upto the floor level of the said Apartment</t>
  </si>
  <si>
    <t>66-70%</t>
  </si>
  <si>
    <t>76-80%</t>
  </si>
  <si>
    <t>On completion of the external plumbing and external plaster, elevation, terraces with waterproofing, of the building or wing in whichthe said Apartment is located</t>
  </si>
  <si>
    <t>71-80%</t>
  </si>
  <si>
    <t>81-85%</t>
  </si>
  <si>
    <t>On completion of the lifts, water pumps, electrical fittings, electro, mechanical and environment requirements, entrance lobby/s, plinth protection, paving of areas appertain and all other requirements as maybe prescribed in the Agreement of sale of the building or wing in which the said Apartment is located.</t>
  </si>
  <si>
    <t>81-90%</t>
  </si>
  <si>
    <t>85-95%</t>
  </si>
  <si>
    <t>At the time of handing over of the possession of the Apartment to the Allottee on or after receipt of Occupancy Certificate or Completion Certificate</t>
  </si>
  <si>
    <t>91-100%</t>
  </si>
  <si>
    <t>96-100%</t>
  </si>
  <si>
    <t>As per Layout</t>
  </si>
  <si>
    <t>Boundaries Matching
(If No, then reason thereon)</t>
  </si>
  <si>
    <t xml:space="preserve">Date: </t>
  </si>
  <si>
    <t xml:space="preserve">Date: 
</t>
  </si>
  <si>
    <t>Unit Details, Nomenclature and Area Details (Flats)</t>
  </si>
  <si>
    <t>Flat No.
(Approved
Plan)</t>
  </si>
  <si>
    <t>Flat No.
(Sale Plan)</t>
  </si>
  <si>
    <t>Sale /         Rehab /           PAP</t>
  </si>
  <si>
    <t>*</t>
  </si>
  <si>
    <t xml:space="preserve">We considered Carpet area as per Approved Plan.
</t>
  </si>
  <si>
    <t xml:space="preserve">We have considered rate by verifying it from market inquire.
</t>
  </si>
  <si>
    <t xml:space="preserve">Car parking is subjected to authentic documentation.
</t>
  </si>
  <si>
    <t>As the project is redevelopement project but rehab statement or rehab flats is not mentioned approved layout plan &amp; floor plan.</t>
  </si>
  <si>
    <t>Net Plot Area (In Sq.Mt)</t>
  </si>
  <si>
    <t xml:space="preserve">CC Details
Valid Up to: </t>
  </si>
  <si>
    <t>Valid Upto 
Date</t>
  </si>
  <si>
    <t>Unit Details, Nomenclature and Area Details (Commercial)</t>
  </si>
  <si>
    <t>Grand Total</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</si>
  <si>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</si>
  <si>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</si>
  <si>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</si>
  <si>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</si>
  <si>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</si>
  <si>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</si>
  <si>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</si>
  <si>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theme="1"/>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</si>
  <si>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</si>
  <si>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</si>
  <si>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</si>
  <si>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</si>
  <si>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</si>
  <si>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</si>
  <si>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</si>
  <si>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</si>
  <si>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First CC on 08/05/2015 still building is still under construction.</t>
  </si>
  <si>
    <t>Since the project has received first CC on 17/01/2020, But construction work of Wing A is not yet started. Please provide revised approved CC for Wing A.</t>
  </si>
  <si>
    <r>
      <t xml:space="preserve">A sale or rehab statement is not provided along with approved floor plans. But as per a letter provided by the Bank Official on </t>
    </r>
    <r>
      <rPr>
        <b/>
        <sz val="11"/>
        <color rgb="FF000000"/>
        <rFont val="Calibri"/>
        <family val="2"/>
      </rPr>
      <t>whatsapp</t>
    </r>
    <r>
      <rPr>
        <sz val="11"/>
        <color theme="1"/>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</si>
  <si>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theme="1"/>
        <rFont val="Calibri"/>
        <family val="2"/>
      </rPr>
      <t>, 5 shops &amp; 6 Flats are Rehab Flats. The same letter is attached below.</t>
    </r>
  </si>
  <si>
    <t>High tension lines are passing nearby project Project Name. Please provide Power Noc.</t>
  </si>
  <si>
    <t>As Flat No. 201, 202, 203 &amp; 204 consists of large terrace area but dimension of that area is not mentioned. Therefore we have not considered terrace area for that flat.</t>
  </si>
  <si>
    <t>Electric Lines are passing above the project</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</si>
  <si>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</si>
  <si>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</si>
  <si>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</si>
  <si>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 xml:space="preserve">Floor No </t>
  </si>
  <si>
    <t>Flat</t>
  </si>
  <si>
    <t>Discription</t>
  </si>
  <si>
    <t>Carpet</t>
  </si>
  <si>
    <t>Fungible</t>
  </si>
  <si>
    <t>Terrace</t>
  </si>
  <si>
    <t>L</t>
  </si>
  <si>
    <t>W</t>
  </si>
  <si>
    <t>A</t>
  </si>
  <si>
    <t>Hall</t>
  </si>
  <si>
    <t>Balcony</t>
  </si>
  <si>
    <t>CB</t>
  </si>
  <si>
    <t>kitch</t>
  </si>
  <si>
    <t>FB</t>
  </si>
  <si>
    <t>Bed1</t>
  </si>
  <si>
    <t>Bed2</t>
  </si>
  <si>
    <t>Bed3</t>
  </si>
  <si>
    <t>Bed4</t>
  </si>
  <si>
    <t>DB</t>
  </si>
  <si>
    <t>toilet2</t>
  </si>
  <si>
    <t>toilet3</t>
  </si>
  <si>
    <t>toilet4</t>
  </si>
  <si>
    <t>passage1</t>
  </si>
  <si>
    <t>passage2</t>
  </si>
  <si>
    <t>passage3</t>
  </si>
  <si>
    <t>passage4</t>
  </si>
  <si>
    <t>Servant room</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</si>
  <si>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</si>
  <si>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</si>
  <si>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</si>
  <si>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</si>
  <si>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Jai Hind Oil Mills Company</t>
  </si>
  <si>
    <t>153, L.B S MARG, BHANDUP, MUMBAI, Maharashtra, India - 400078</t>
  </si>
  <si>
    <t>Adani Realty</t>
  </si>
  <si>
    <t>Codename Triumph Tower 1 &amp; 4, 153, Lal Bahadur Shastri Road, Opp. Mangtram Petrol Pump, Bhandup West, Mumbai, Maharashtra 400078</t>
  </si>
  <si>
    <t>19.138705,72.931555</t>
  </si>
  <si>
    <t>https://maps.app.goo.gl/89YFwBJxFdzQ4S9C9</t>
  </si>
  <si>
    <t>Runwal Forest</t>
  </si>
  <si>
    <t>30.40M</t>
  </si>
  <si>
    <t>0.10KM from 
Mangatram Petrol Pump Bus Stop</t>
  </si>
  <si>
    <t>About 0.50KM from St Xavier's High School &amp; Junior College</t>
  </si>
  <si>
    <t>About 0.20KM form 
A.P.S. Multi-speciality Hospital and ICCU</t>
  </si>
  <si>
    <t>1. Approx. 0.90KM from 
Metro Wholesale Mall.
2. Approx. 1.00KM from Local Main Market.</t>
  </si>
  <si>
    <t>1.00KM from Kanjurmarg Railway Station
1.70KM from Bhandup Railway Station</t>
  </si>
  <si>
    <t>Open Plot</t>
  </si>
  <si>
    <t>Runwal Forest/Railway Track</t>
  </si>
  <si>
    <t>LBS Marg</t>
  </si>
  <si>
    <t>Open Plot/Runwal Forest</t>
  </si>
  <si>
    <t>13.40 M. Wide Road</t>
  </si>
  <si>
    <t>Other Plot</t>
  </si>
  <si>
    <t>30.40 M. Wide Road</t>
  </si>
  <si>
    <t xml:space="preserve">B + Gr + 1st Pod + Retail Floor + 2nd To 3rd Podium + Service Floor /Podium Top + 1st  To 30th Floor
</t>
  </si>
  <si>
    <t xml:space="preserve">B + Gr + 1st Pod + Retail Floor + 2nd To 3rd Podium + Service Floor /Podium Top + 1st To 29th Floor
</t>
  </si>
  <si>
    <t>B + Gr + 1st Pod + Retail Floor + 2nd To 3rd Podium + Service Floor /Podium Top + 1st  To 34th Floor</t>
  </si>
  <si>
    <t>B + Gr + 1st Pod + Retail Floor + 2nd To 3rd Podium + Service Floor /Podium Top + 1st To 34th Floor</t>
  </si>
  <si>
    <t>Codename Triumph Tower 1 &amp; 4, CTS No. 611, 611/1 TO 611/10, Near Runwal Forest, LBS Marg, Kanjur, Kanjurmarg  West, Kurla, Mumbai 400078.</t>
  </si>
  <si>
    <t>Wing T1 (Tower 1)</t>
  </si>
  <si>
    <t>Basement Floor For Tank Area &amp; Parking</t>
  </si>
  <si>
    <t>Ground Floor For Commercial, Retail Lobby &amp; Entrance Lobby</t>
  </si>
  <si>
    <t>2nd Podium Floor For Commercial &amp; Parking</t>
  </si>
  <si>
    <t>3rd Podium Floor for Meter Room &amp; Parking</t>
  </si>
  <si>
    <t>Fitness Centre</t>
  </si>
  <si>
    <t>1st Floor For Residential (Part Fitness Centre)</t>
  </si>
  <si>
    <t>2BHK</t>
  </si>
  <si>
    <t>1BHK</t>
  </si>
  <si>
    <t>2nd Floor For Residential</t>
  </si>
  <si>
    <t>Refuge Area</t>
  </si>
  <si>
    <t>3rd Floor (Part Refuge Area)</t>
  </si>
  <si>
    <t>3BHK</t>
  </si>
  <si>
    <t>4th Floor</t>
  </si>
  <si>
    <t>5th Floor</t>
  </si>
  <si>
    <t>6th to 9th Floor</t>
  </si>
  <si>
    <t>11th &amp; 18th Floor</t>
  </si>
  <si>
    <t>10th, 17th &amp; 24th Floor (Part Refuge Area)</t>
  </si>
  <si>
    <t>12th Floor</t>
  </si>
  <si>
    <t>13th to 16th &amp; 19th to 23rd Floor</t>
  </si>
  <si>
    <t>25th Floor</t>
  </si>
  <si>
    <t>26th Floor</t>
  </si>
  <si>
    <t>27th to 29th Floor</t>
  </si>
  <si>
    <t>30th Floor (Part Terrace Area)</t>
  </si>
  <si>
    <t>Terrace Area</t>
  </si>
  <si>
    <t>Wing T4 (Tower 4)</t>
  </si>
  <si>
    <t>Service Floor/Podium Top Floor For Service area &amp; Garden</t>
  </si>
  <si>
    <t>10th &amp; 17th Floor (Part Refuge Area)</t>
  </si>
  <si>
    <t>11th, 18th &amp; 25th Floor</t>
  </si>
  <si>
    <t>24th Floor (Part Refuge Area)</t>
  </si>
  <si>
    <t>From RERA</t>
  </si>
  <si>
    <t>26th to 29th Floor</t>
  </si>
  <si>
    <t xml:space="preserve">Tower 1 Site Flats = 226 &amp; Tower 4 Site Flats = 221 </t>
  </si>
  <si>
    <t>https://www.india-sales-office.com/Projects/Adani/Adani-Kanjurmarg-Mumbai/?keyword=adani%20codename%20triumph&amp;matchtype=p&amp;adposition=&amp;device=c&amp;gad_source=1&amp;gclid=Cj0KCQjwi5q3BhCiARIsAJCfuZllwLTg_Xj_RlbCtPa3QZRJv_Z6pGrGufLpE7FDyc-TKXwNvM4g5WIaAn0REALw_wcB</t>
  </si>
  <si>
    <t>Runwal Forest 16700</t>
  </si>
  <si>
    <t xml:space="preserve">99 Acres </t>
  </si>
  <si>
    <t>1bhk</t>
  </si>
  <si>
    <t>2bhk</t>
  </si>
  <si>
    <t>99 Acres = 35000</t>
  </si>
  <si>
    <t>Magic Brick = 28000</t>
  </si>
  <si>
    <t>Rate taken as per our Map</t>
  </si>
  <si>
    <t>Municipal Corporation Of Greater Mumbai (MCGM)</t>
  </si>
  <si>
    <t>Mr. Sushant 9833600118</t>
  </si>
  <si>
    <t>Ground Floor consist of Café/Restaurant &amp; Shops, We have not drafted commercial shop area because shop numbering is not mentioned on approved plans.</t>
  </si>
  <si>
    <t xml:space="preserve">1st Podium Floor For Parking &amp; Double Heighted Commercial Area Below @ Ground Floor </t>
  </si>
  <si>
    <t>Approved Layout &amp; Floor Plans &amp; CC.</t>
  </si>
  <si>
    <t>as per Visitor</t>
  </si>
  <si>
    <t>Tower 1 &amp; 4 = 31/12/2029
Tower 2 = 30/06/2030</t>
  </si>
  <si>
    <t>Tower 1 = 04/03/2024
Tower 4 = 05/03/2024
Tower 2 = 29/10/2024</t>
  </si>
  <si>
    <t>Standard Chartered Bank
IFSC Code - SCBL0036085</t>
  </si>
  <si>
    <t>Wing T2 (Tower 2)</t>
  </si>
  <si>
    <t xml:space="preserve">P-12131/2022/(611 And Other)/S Ward/KANJUR-W/337/3/Amend </t>
  </si>
  <si>
    <t>Carpet Area Table not mentioned in approved plan</t>
  </si>
  <si>
    <t>1st Floor For Residential (Part Fitness Centre &amp; Amenity)</t>
  </si>
  <si>
    <t>3.5BHK</t>
  </si>
  <si>
    <t>Amenity</t>
  </si>
  <si>
    <t>Amenity / Fitness Center</t>
  </si>
  <si>
    <t>13th to 16th Floor</t>
  </si>
  <si>
    <t>19th Floor</t>
  </si>
  <si>
    <t>4BHK</t>
  </si>
  <si>
    <t>20th to 23rd Floor</t>
  </si>
  <si>
    <t>Tower 1 &amp; 4 = Jun-2024
Tower 2 = Oct-2024</t>
  </si>
  <si>
    <t>Tower 2 No flat mentioned on RERA</t>
  </si>
  <si>
    <t>12th &amp; 19th Floor</t>
  </si>
  <si>
    <t>13th to 16th &amp; 20th to 23rd Floor</t>
  </si>
  <si>
    <t>Football Table, Badminton Court, Kids Play Area, Swimiming Pool, Kids Pool, Gym, Yoga Area, Multipurpose Hall, Table Tennis, Squash Court, Pool Table, etc.</t>
  </si>
  <si>
    <t>Flats = 595</t>
  </si>
  <si>
    <t>We have updated approved plans for Tower 1 &amp; Tower 4 on 01/01/2025.</t>
  </si>
  <si>
    <t xml:space="preserve">We have added Tower 2 on 01/01/2025.
</t>
  </si>
  <si>
    <t>Tower 4 = 221, Tower 1 = 226
Tower 2 =34</t>
  </si>
  <si>
    <t>As per RERA 
Site Flats = 481</t>
  </si>
  <si>
    <t>Deck + Utility Area</t>
  </si>
  <si>
    <t>We considered Gross carpet area = Net carpet + Deck + Utility Area</t>
  </si>
  <si>
    <t>Mr. Jay (CRM) 8655962697</t>
  </si>
  <si>
    <t>22000 to 23000</t>
  </si>
  <si>
    <t>Rate revised from 21000-22000 to 22000-23000 Ankita (on 24/02/2025)</t>
  </si>
  <si>
    <t>Construction work is in process at the time of Visit.</t>
  </si>
  <si>
    <t>Basement Floor For Tank Area &amp; Fire Pump Room</t>
  </si>
  <si>
    <t>P-12131/2022/(611 And Other)/S Ward/KANJUR-W/CC/1/Amend</t>
  </si>
  <si>
    <t xml:space="preserve">Airica Tower 1, 2 &amp; 4
</t>
  </si>
  <si>
    <t>Airica Tower 1 = P51800055125
Airica Tower 2 = 
P51800077756
Airica Tower 4 = P51800055166</t>
  </si>
  <si>
    <t xml:space="preserve">We have updated CC for Tower 1, 2 &amp; 4 from MCGM site (on 19/04/2025). </t>
  </si>
  <si>
    <t xml:space="preserve">As per RERA site, we have updated the name of project Form Codename Triumph Tower 1, 4 &amp; Airica Tower 2 to Airica Tower 1, 2 &amp; 4 (On 19/04/2025).
</t>
  </si>
  <si>
    <t>07/07/2025 at 03:53PM</t>
  </si>
  <si>
    <t>Mr. Suraj Khare</t>
  </si>
  <si>
    <t>P-12131/2022/(611 And Other)/S
Ward/KANJUR-W/FCC/1/New</t>
  </si>
  <si>
    <t>C.C. Re-endorse up to top of basement i.e. C.C. up to Plinth level for Wing T2, T3, T4, T5 &amp; Fitness Centre and Further C.C up to top of 28th upper floor for Wing T1, as per approved amended plan dtd.27.03.2025.</t>
  </si>
  <si>
    <t>P-12131/2022/(611 And Other)/S
Ward/KANJUR-W/FCC/1/Amend</t>
  </si>
  <si>
    <t>Re-endorsement of C.C. up to top of basement i.e. C.C. up to Plinth level as per approved amended plan dtd. 17.10.2024. (CC valid upto 19.02.2026). (SWM NOC and Janta Insurance Policy shall be renewed time to time)</t>
  </si>
  <si>
    <t>Further C.C is granted up to top of 32nd upper floor for Wing T4 as per approved amended plan dtd. 27.03.2025, subject to timely renewal of B.G., SWM NOC, Workmen’s compensation policy and taking all sorts of precautions during construction along with precautionary measures for air pollution.</t>
  </si>
  <si>
    <t xml:space="preserve">Please provide revised approved plans.
</t>
  </si>
  <si>
    <t>Mr. Nainesh Tambe</t>
  </si>
  <si>
    <t xml:space="preserve">We have updated revised CC (on 17/07/2025).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</si>
</sst>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font>
    <font>
      <sz val="11"/>
      <color theme="1"/>
      <name val="Calibri"/>
      <family val="2"/>
      <scheme val="minor"/>
    </font>
    <font>
      <b/>
      <sz val="16"/>
      <name val="Times New Roman"/>
      <family val="1"/>
    </font>
    <font>
      <sz val="16"/>
      <color theme="1"/>
      <name val="Times New Roman"/>
      <family val="1"/>
    </font>
    <font>
      <sz val="16"/>
      <name val="Times New Roman"/>
      <family val="1"/>
    </font>
    <font>
      <b/>
      <sz val="16"/>
      <color indexed="8"/>
      <name val="Times New Roman"/>
      <family val="1"/>
    </font>
    <font>
      <sz val="16"/>
      <color indexed="8"/>
      <name val="Times New Roman"/>
      <family val="1"/>
    </font>
    <font>
      <sz val="12"/>
      <color theme="1"/>
      <name val="Times New Roman"/>
      <family val="1"/>
    </font>
    <font>
      <b/>
      <sz val="16"/>
      <color theme="1"/>
      <name val="Times New Roman"/>
      <family val="1"/>
    </font>
    <font>
      <sz val="16"/>
      <color rgb="FFFF0000"/>
      <name val="Times New Roman"/>
      <family val="1"/>
    </font>
    <font>
      <sz val="16"/>
      <color rgb="FF000000"/>
      <name val="Times New Roman"/>
      <family val="1"/>
    </font>
    <font>
      <sz val="16"/>
      <color theme="1"/>
      <name val="Calibri"/>
      <family val="2"/>
      <scheme val="minor"/>
    </font>
    <font>
      <b/>
      <sz val="16"/>
      <color indexed="81"/>
      <name val="Tahoma"/>
      <family val="2"/>
    </font>
    <font>
      <b/>
      <sz val="18"/>
      <color indexed="81"/>
      <name val="Tahoma"/>
      <family val="2"/>
    </font>
    <font>
      <b/>
      <sz val="12"/>
      <color indexed="81"/>
      <name val="Tahoma"/>
      <family val="2"/>
    </font>
    <font>
      <b/>
      <sz val="11"/>
      <color theme="1"/>
      <name val="Calibri"/>
      <family val="2"/>
      <scheme val="minor"/>
    </font>
    <font>
      <b/>
      <sz val="11"/>
      <name val="Calibri"/>
      <family val="2"/>
      <scheme val="minor"/>
    </font>
    <font>
      <sz val="11"/>
      <color rgb="FF203864"/>
      <name val="Calibri"/>
      <family val="2"/>
      <scheme val="minor"/>
    </font>
    <font>
      <b/>
      <sz val="12"/>
      <color theme="1"/>
      <name val="Calibri"/>
      <family val="2"/>
      <scheme val="minor"/>
    </font>
    <font>
      <b/>
      <sz val="12"/>
      <color rgb="FF203864"/>
      <name val="Calibri"/>
      <family val="2"/>
      <scheme val="minor"/>
    </font>
    <font>
      <sz val="12"/>
      <color indexed="81"/>
      <name val="Tahoma"/>
      <family val="2"/>
    </font>
    <font>
      <sz val="18"/>
      <color indexed="81"/>
      <name val="Tahoma"/>
      <family val="2"/>
    </font>
    <font>
      <b/>
      <sz val="11"/>
      <color rgb="FF000000"/>
      <name val="Calibri"/>
      <family val="2"/>
    </font>
    <font>
      <b/>
      <sz val="9"/>
      <color indexed="81"/>
      <name val="Tahoma"/>
      <family val="2"/>
    </font>
    <font>
      <sz val="9"/>
      <color indexed="81"/>
      <name val="Tahoma"/>
      <family val="2"/>
    </font>
    <font>
      <u/>
      <sz val="11"/>
      <color theme="10"/>
      <name val="Calibri"/>
      <family val="2"/>
    </font>
    <font>
      <u/>
      <sz val="14"/>
      <color theme="10"/>
      <name val="Calibri"/>
      <family val="2"/>
    </font>
    <font>
      <sz val="14"/>
      <name val="Calibri"/>
      <family val="2"/>
    </font>
    <font>
      <b/>
      <sz val="16"/>
      <color rgb="FFFF0000"/>
      <name val="Times New Roman"/>
      <family val="1"/>
    </font>
    <font>
      <sz val="16"/>
      <color rgb="FFC00000"/>
      <name val="Times New Roman"/>
      <family val="1"/>
    </font>
  </fonts>
  <fills count="15">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D9E2F3"/>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3">
    <xf numFmtId="0" fontId="0" fillId="0" borderId="0"/>
    <xf numFmtId="0" fontId="1" fillId="0" borderId="0"/>
    <xf numFmtId="0" fontId="25" fillId="0" borderId="0" applyNumberFormat="0" applyFill="0" applyBorder="0" applyAlignment="0" applyProtection="0"/>
  </cellStyleXfs>
  <cellXfs count="203">
    <xf numFmtId="0" fontId="0" fillId="0" borderId="0" xfId="0"/>
    <xf numFmtId="0" fontId="3" fillId="0" borderId="0" xfId="0" applyFont="1" applyAlignment="1">
      <alignment vertical="top"/>
    </xf>
    <xf numFmtId="0" fontId="2" fillId="0" borderId="1" xfId="0" applyFont="1" applyBorder="1" applyAlignment="1">
      <alignment horizontal="center" vertical="top" wrapText="1"/>
    </xf>
    <xf numFmtId="0" fontId="3" fillId="3" borderId="0" xfId="0" applyFont="1" applyFill="1" applyAlignment="1">
      <alignment vertical="top"/>
    </xf>
    <xf numFmtId="0" fontId="3" fillId="0" borderId="0" xfId="0" applyFont="1" applyAlignment="1">
      <alignment horizontal="center" vertical="top"/>
    </xf>
    <xf numFmtId="0" fontId="4" fillId="4" borderId="9"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4" borderId="7" xfId="0" applyFont="1" applyFill="1" applyBorder="1" applyAlignment="1">
      <alignment vertical="top" wrapText="1"/>
    </xf>
    <xf numFmtId="0" fontId="4" fillId="4" borderId="4" xfId="0" applyFont="1" applyFill="1" applyBorder="1" applyAlignment="1">
      <alignment vertical="top" wrapText="1"/>
    </xf>
    <xf numFmtId="0" fontId="4" fillId="4" borderId="10" xfId="0" applyFont="1" applyFill="1" applyBorder="1" applyAlignment="1">
      <alignment vertical="top" wrapText="1"/>
    </xf>
    <xf numFmtId="0" fontId="4" fillId="4" borderId="0" xfId="0" applyFont="1" applyFill="1" applyAlignment="1">
      <alignment vertical="top" wrapText="1"/>
    </xf>
    <xf numFmtId="0" fontId="4" fillId="4" borderId="12" xfId="0" applyFont="1" applyFill="1" applyBorder="1" applyAlignment="1">
      <alignment vertical="top" wrapText="1"/>
    </xf>
    <xf numFmtId="0" fontId="4" fillId="4" borderId="8" xfId="0" applyFont="1" applyFill="1" applyBorder="1" applyAlignment="1">
      <alignment vertical="top" wrapText="1"/>
    </xf>
    <xf numFmtId="0" fontId="3" fillId="0" borderId="14" xfId="1" applyFont="1" applyBorder="1" applyProtection="1">
      <protection hidden="1"/>
    </xf>
    <xf numFmtId="0" fontId="3" fillId="0" borderId="0" xfId="1" applyFont="1" applyProtection="1">
      <protection hidden="1"/>
    </xf>
    <xf numFmtId="0" fontId="3" fillId="0" borderId="15" xfId="1" applyFont="1" applyBorder="1" applyProtection="1">
      <protection hidden="1"/>
    </xf>
    <xf numFmtId="0" fontId="3" fillId="0" borderId="15" xfId="1" applyFont="1" applyBorder="1"/>
    <xf numFmtId="0" fontId="10" fillId="0" borderId="0" xfId="0" applyFont="1" applyProtection="1">
      <protection hidden="1"/>
    </xf>
    <xf numFmtId="9" fontId="10" fillId="0" borderId="0" xfId="0" applyNumberFormat="1" applyFont="1" applyProtection="1">
      <protection hidden="1"/>
    </xf>
    <xf numFmtId="0" fontId="10" fillId="0" borderId="16" xfId="0" applyFont="1" applyBorder="1" applyProtection="1">
      <protection hidden="1"/>
    </xf>
    <xf numFmtId="0" fontId="7" fillId="0" borderId="0" xfId="1" applyFont="1" applyAlignment="1">
      <alignment horizontal="center" vertical="center"/>
    </xf>
    <xf numFmtId="0" fontId="10" fillId="0" borderId="15" xfId="0" applyFont="1" applyBorder="1" applyProtection="1">
      <protection hidden="1"/>
    </xf>
    <xf numFmtId="1" fontId="11" fillId="0" borderId="15" xfId="0" applyNumberFormat="1" applyFont="1" applyBorder="1"/>
    <xf numFmtId="1" fontId="11" fillId="0" borderId="15" xfId="0" applyNumberFormat="1" applyFont="1" applyBorder="1" applyAlignment="1">
      <alignment horizontal="right"/>
    </xf>
    <xf numFmtId="1" fontId="11" fillId="0" borderId="17" xfId="0" applyNumberFormat="1" applyFont="1" applyBorder="1"/>
    <xf numFmtId="0" fontId="4" fillId="2" borderId="1" xfId="0" applyFont="1" applyFill="1" applyBorder="1" applyAlignment="1">
      <alignment vertical="top"/>
    </xf>
    <xf numFmtId="1" fontId="5" fillId="0" borderId="1" xfId="1" applyNumberFormat="1" applyFont="1" applyBorder="1" applyAlignment="1">
      <alignment horizontal="center" vertical="top" wrapText="1"/>
    </xf>
    <xf numFmtId="9" fontId="4" fillId="4" borderId="1" xfId="1" applyNumberFormat="1" applyFont="1" applyFill="1" applyBorder="1" applyAlignment="1" applyProtection="1">
      <alignment horizontal="center" vertical="center" wrapText="1"/>
      <protection hidden="1"/>
    </xf>
    <xf numFmtId="0" fontId="4" fillId="4" borderId="1" xfId="1" applyFont="1" applyFill="1" applyBorder="1" applyAlignment="1" applyProtection="1">
      <alignment horizontal="center" vertical="center" wrapText="1"/>
      <protection hidden="1"/>
    </xf>
    <xf numFmtId="0" fontId="4" fillId="2" borderId="1" xfId="0" applyFont="1" applyFill="1" applyBorder="1" applyAlignment="1">
      <alignment horizontal="center" vertical="top"/>
    </xf>
    <xf numFmtId="1" fontId="6" fillId="4" borderId="1" xfId="1" applyNumberFormat="1" applyFont="1" applyFill="1" applyBorder="1" applyAlignment="1">
      <alignment horizontal="center" vertical="center" wrapText="1"/>
    </xf>
    <xf numFmtId="1" fontId="6" fillId="4" borderId="2" xfId="1" applyNumberFormat="1" applyFont="1" applyFill="1" applyBorder="1" applyAlignment="1">
      <alignment horizontal="center" vertical="center" wrapText="1"/>
    </xf>
    <xf numFmtId="1" fontId="2" fillId="0" borderId="1" xfId="1" applyNumberFormat="1" applyFont="1" applyBorder="1" applyAlignment="1">
      <alignment horizontal="center" vertical="top" wrapText="1"/>
    </xf>
    <xf numFmtId="0" fontId="4" fillId="4" borderId="1" xfId="0" applyFont="1" applyFill="1" applyBorder="1" applyAlignment="1">
      <alignment horizontal="center" vertical="top"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0" fillId="7" borderId="1" xfId="0" applyFill="1" applyBorder="1" applyAlignment="1">
      <alignment horizontal="left" vertical="center" wrapText="1"/>
    </xf>
    <xf numFmtId="0" fontId="17" fillId="0" borderId="1" xfId="0" applyFont="1" applyBorder="1" applyAlignment="1">
      <alignment horizontal="right" vertical="center"/>
    </xf>
    <xf numFmtId="0" fontId="0" fillId="0" borderId="1" xfId="0" applyBorder="1"/>
    <xf numFmtId="1" fontId="0" fillId="0" borderId="1" xfId="0" applyNumberFormat="1" applyBorder="1"/>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18" fillId="0" borderId="1" xfId="0" applyFont="1" applyBorder="1"/>
    <xf numFmtId="1" fontId="18" fillId="0" borderId="1" xfId="0" applyNumberFormat="1" applyFont="1" applyBorder="1"/>
    <xf numFmtId="0" fontId="19" fillId="10" borderId="18" xfId="0" applyFont="1" applyFill="1" applyBorder="1" applyAlignment="1">
      <alignment vertical="center"/>
    </xf>
    <xf numFmtId="0" fontId="19" fillId="10" borderId="18" xfId="0" applyFont="1" applyFill="1" applyBorder="1" applyAlignment="1">
      <alignment horizontal="center" vertical="center"/>
    </xf>
    <xf numFmtId="0" fontId="17" fillId="0" borderId="18" xfId="0" applyFont="1" applyBorder="1" applyAlignment="1">
      <alignment horizontal="right" vertical="center"/>
    </xf>
    <xf numFmtId="0" fontId="17" fillId="0" borderId="18" xfId="0" applyFont="1" applyBorder="1" applyAlignment="1">
      <alignment vertical="center" wrapText="1"/>
    </xf>
    <xf numFmtId="9" fontId="17" fillId="0" borderId="18" xfId="0" applyNumberFormat="1" applyFont="1" applyBorder="1" applyAlignment="1">
      <alignment horizontal="center" vertical="center"/>
    </xf>
    <xf numFmtId="9" fontId="17" fillId="0" borderId="19" xfId="0" applyNumberFormat="1" applyFont="1" applyBorder="1" applyAlignment="1">
      <alignment horizontal="center" vertical="center"/>
    </xf>
    <xf numFmtId="0" fontId="4" fillId="11" borderId="1" xfId="0" applyFont="1" applyFill="1" applyBorder="1" applyAlignment="1">
      <alignment vertical="top" wrapText="1"/>
    </xf>
    <xf numFmtId="1" fontId="5" fillId="0" borderId="1" xfId="1" applyNumberFormat="1" applyFont="1" applyBorder="1" applyAlignment="1">
      <alignment horizontal="center" vertical="center" wrapText="1"/>
    </xf>
    <xf numFmtId="0" fontId="6" fillId="4" borderId="1" xfId="1" applyFont="1" applyFill="1"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wrapText="1"/>
    </xf>
    <xf numFmtId="0" fontId="0" fillId="0" borderId="10" xfId="0" applyBorder="1" applyAlignment="1">
      <alignment horizontal="center" vertical="top"/>
    </xf>
    <xf numFmtId="0" fontId="0" fillId="0" borderId="1" xfId="0" applyBorder="1" applyAlignment="1">
      <alignment vertical="top" wrapText="1"/>
    </xf>
    <xf numFmtId="0" fontId="0" fillId="0" borderId="2" xfId="0" applyBorder="1"/>
    <xf numFmtId="0" fontId="0" fillId="0" borderId="10" xfId="0" applyBorder="1"/>
    <xf numFmtId="0" fontId="0" fillId="0" borderId="1"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vertical="top"/>
    </xf>
    <xf numFmtId="0" fontId="0" fillId="0" borderId="0" xfId="0" applyAlignment="1">
      <alignment horizontal="center" vertical="center"/>
    </xf>
    <xf numFmtId="0" fontId="0" fillId="12" borderId="1" xfId="0" applyFill="1" applyBorder="1" applyAlignment="1">
      <alignment horizontal="center" vertical="center"/>
    </xf>
    <xf numFmtId="0" fontId="0" fillId="0" borderId="8" xfId="0"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0" fillId="3" borderId="1" xfId="0" applyFill="1" applyBorder="1" applyAlignment="1">
      <alignment horizontal="center" vertical="center"/>
    </xf>
    <xf numFmtId="14" fontId="4" fillId="4" borderId="1" xfId="0" applyNumberFormat="1" applyFont="1" applyFill="1" applyBorder="1" applyAlignment="1">
      <alignment horizontal="left" vertical="top" wrapText="1"/>
    </xf>
    <xf numFmtId="0" fontId="3" fillId="4" borderId="1" xfId="1" applyFont="1" applyFill="1" applyBorder="1" applyAlignment="1">
      <alignment horizontal="center" vertical="center" wrapText="1"/>
    </xf>
    <xf numFmtId="1" fontId="3" fillId="0" borderId="0" xfId="0" applyNumberFormat="1" applyFont="1" applyAlignment="1">
      <alignment vertical="top"/>
    </xf>
    <xf numFmtId="0" fontId="3" fillId="0" borderId="0" xfId="0" applyFont="1" applyAlignment="1">
      <alignment horizontal="right" vertical="top" wrapText="1"/>
    </xf>
    <xf numFmtId="0" fontId="3" fillId="0" borderId="0" xfId="0" applyFont="1" applyAlignment="1">
      <alignment vertical="top" wrapText="1"/>
    </xf>
    <xf numFmtId="1" fontId="3" fillId="4" borderId="2" xfId="1" applyNumberFormat="1" applyFont="1" applyFill="1" applyBorder="1" applyAlignment="1">
      <alignment horizontal="center" vertical="center" wrapText="1"/>
    </xf>
    <xf numFmtId="0" fontId="28" fillId="0" borderId="0" xfId="0" applyFont="1" applyAlignment="1">
      <alignment vertical="top"/>
    </xf>
    <xf numFmtId="0" fontId="28" fillId="0" borderId="0" xfId="0" applyFont="1" applyAlignment="1">
      <alignment horizontal="center" vertical="top"/>
    </xf>
    <xf numFmtId="1" fontId="4" fillId="4" borderId="1" xfId="1" applyNumberFormat="1" applyFont="1" applyFill="1" applyBorder="1" applyAlignment="1" applyProtection="1">
      <alignment horizontal="center" vertical="center" wrapText="1"/>
      <protection hidden="1"/>
    </xf>
    <xf numFmtId="0" fontId="29" fillId="0" borderId="0" xfId="0" applyFont="1" applyAlignment="1">
      <alignment vertical="top"/>
    </xf>
    <xf numFmtId="14" fontId="3" fillId="0" borderId="0" xfId="0" applyNumberFormat="1" applyFont="1" applyAlignment="1">
      <alignment vertical="top"/>
    </xf>
    <xf numFmtId="2" fontId="3" fillId="0" borderId="0" xfId="0" applyNumberFormat="1" applyFont="1" applyAlignment="1">
      <alignment vertical="top"/>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5" xfId="0" applyFont="1" applyFill="1" applyBorder="1" applyAlignment="1">
      <alignment horizontal="left" vertical="top" wrapText="1"/>
    </xf>
    <xf numFmtId="1" fontId="5" fillId="4" borderId="12" xfId="1" applyNumberFormat="1" applyFont="1" applyFill="1" applyBorder="1" applyAlignment="1">
      <alignment horizontal="center" vertical="center" wrapText="1"/>
    </xf>
    <xf numFmtId="1" fontId="5" fillId="4" borderId="8" xfId="1" applyNumberFormat="1" applyFont="1" applyFill="1" applyBorder="1" applyAlignment="1">
      <alignment horizontal="center" vertical="center" wrapText="1"/>
    </xf>
    <xf numFmtId="1" fontId="5" fillId="4" borderId="13" xfId="1" applyNumberFormat="1" applyFont="1" applyFill="1" applyBorder="1" applyAlignment="1">
      <alignment horizontal="center" vertical="center" wrapText="1"/>
    </xf>
    <xf numFmtId="1" fontId="6" fillId="4" borderId="1" xfId="1" applyNumberFormat="1" applyFont="1" applyFill="1" applyBorder="1" applyAlignment="1">
      <alignment horizontal="center" vertical="center" wrapText="1"/>
    </xf>
    <xf numFmtId="1" fontId="6" fillId="4" borderId="2" xfId="1" applyNumberFormat="1" applyFont="1" applyFill="1" applyBorder="1" applyAlignment="1">
      <alignment horizontal="center" vertical="center" wrapText="1"/>
    </xf>
    <xf numFmtId="1" fontId="6" fillId="4" borderId="5" xfId="1" applyNumberFormat="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3" xfId="1" applyFont="1" applyFill="1" applyBorder="1" applyAlignment="1">
      <alignment horizontal="center" vertical="center" wrapText="1"/>
    </xf>
    <xf numFmtId="1" fontId="5" fillId="4" borderId="2" xfId="1" applyNumberFormat="1" applyFont="1" applyFill="1" applyBorder="1" applyAlignment="1">
      <alignment horizontal="center" vertical="center" wrapText="1"/>
    </xf>
    <xf numFmtId="1" fontId="5" fillId="4" borderId="3" xfId="1" applyNumberFormat="1" applyFont="1" applyFill="1" applyBorder="1" applyAlignment="1">
      <alignment horizontal="center" vertical="center" wrapText="1"/>
    </xf>
    <xf numFmtId="1" fontId="5" fillId="4" borderId="5" xfId="1" applyNumberFormat="1" applyFont="1" applyFill="1" applyBorder="1" applyAlignment="1">
      <alignment horizontal="center" vertical="center"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4" borderId="2" xfId="0" applyFont="1" applyFill="1" applyBorder="1" applyAlignment="1">
      <alignment horizontal="left" vertical="top"/>
    </xf>
    <xf numFmtId="0" fontId="4" fillId="4" borderId="5" xfId="0" applyFont="1" applyFill="1" applyBorder="1" applyAlignment="1">
      <alignment horizontal="left" vertical="top"/>
    </xf>
    <xf numFmtId="0" fontId="4" fillId="0" borderId="3" xfId="0" applyFont="1" applyBorder="1" applyAlignment="1">
      <alignment horizontal="left" vertical="top" wrapText="1"/>
    </xf>
    <xf numFmtId="1" fontId="6" fillId="4" borderId="2" xfId="1" applyNumberFormat="1" applyFont="1" applyFill="1" applyBorder="1" applyAlignment="1">
      <alignment horizontal="center" vertical="top" wrapText="1"/>
    </xf>
    <xf numFmtId="1" fontId="6" fillId="4" borderId="5" xfId="1" applyNumberFormat="1" applyFont="1" applyFill="1" applyBorder="1" applyAlignment="1">
      <alignment horizontal="center" vertical="top" wrapText="1"/>
    </xf>
    <xf numFmtId="0" fontId="4" fillId="2" borderId="1" xfId="0" applyFont="1" applyFill="1" applyBorder="1" applyAlignment="1">
      <alignment horizontal="center" vertical="top"/>
    </xf>
    <xf numFmtId="9" fontId="4" fillId="4" borderId="1" xfId="1" applyNumberFormat="1" applyFont="1" applyFill="1" applyBorder="1" applyAlignment="1" applyProtection="1">
      <alignment horizontal="center" vertical="center" wrapText="1"/>
      <protection hidden="1"/>
    </xf>
    <xf numFmtId="9" fontId="4" fillId="4" borderId="7" xfId="1" applyNumberFormat="1" applyFont="1" applyFill="1" applyBorder="1" applyAlignment="1" applyProtection="1">
      <alignment horizontal="center" vertical="center" wrapText="1"/>
      <protection hidden="1"/>
    </xf>
    <xf numFmtId="9" fontId="4" fillId="4" borderId="9" xfId="1" applyNumberFormat="1" applyFont="1" applyFill="1" applyBorder="1" applyAlignment="1" applyProtection="1">
      <alignment horizontal="center" vertical="center" wrapText="1"/>
      <protection hidden="1"/>
    </xf>
    <xf numFmtId="9" fontId="4" fillId="4" borderId="10" xfId="1" applyNumberFormat="1" applyFont="1" applyFill="1" applyBorder="1" applyAlignment="1" applyProtection="1">
      <alignment horizontal="center" vertical="center" wrapText="1"/>
      <protection hidden="1"/>
    </xf>
    <xf numFmtId="9" fontId="4" fillId="4" borderId="11" xfId="1" applyNumberFormat="1" applyFont="1" applyFill="1" applyBorder="1" applyAlignment="1" applyProtection="1">
      <alignment horizontal="center" vertical="center" wrapText="1"/>
      <protection hidden="1"/>
    </xf>
    <xf numFmtId="9" fontId="4" fillId="4" borderId="12" xfId="1" applyNumberFormat="1" applyFont="1" applyFill="1" applyBorder="1" applyAlignment="1" applyProtection="1">
      <alignment horizontal="center" vertical="center" wrapText="1"/>
      <protection hidden="1"/>
    </xf>
    <xf numFmtId="9" fontId="4" fillId="4" borderId="13" xfId="1" applyNumberFormat="1" applyFont="1" applyFill="1" applyBorder="1" applyAlignment="1" applyProtection="1">
      <alignment horizontal="center" vertical="center" wrapText="1"/>
      <protection hidden="1"/>
    </xf>
    <xf numFmtId="9" fontId="4" fillId="4" borderId="2" xfId="1" applyNumberFormat="1" applyFont="1" applyFill="1" applyBorder="1" applyAlignment="1" applyProtection="1">
      <alignment horizontal="center" vertical="center" wrapText="1"/>
      <protection hidden="1"/>
    </xf>
    <xf numFmtId="9" fontId="4" fillId="4" borderId="5" xfId="1" applyNumberFormat="1" applyFont="1" applyFill="1" applyBorder="1" applyAlignment="1" applyProtection="1">
      <alignment horizontal="center" vertical="center" wrapText="1"/>
      <protection hidden="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4" fillId="4" borderId="1" xfId="0" applyFont="1" applyFill="1" applyBorder="1" applyAlignment="1">
      <alignment horizontal="center" vertical="top" wrapText="1"/>
    </xf>
    <xf numFmtId="0" fontId="4" fillId="0" borderId="1" xfId="0" applyFont="1" applyBorder="1" applyAlignment="1">
      <alignment horizontal="center" vertical="center" wrapText="1"/>
    </xf>
    <xf numFmtId="14"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14" fontId="4" fillId="4" borderId="0" xfId="0" applyNumberFormat="1" applyFont="1" applyFill="1" applyBorder="1" applyAlignment="1">
      <alignment horizontal="center" vertical="top" wrapText="1"/>
    </xf>
    <xf numFmtId="0" fontId="4" fillId="4" borderId="0" xfId="0" applyFont="1" applyFill="1" applyBorder="1" applyAlignment="1">
      <alignment horizontal="center" vertical="top" wrapText="1"/>
    </xf>
    <xf numFmtId="0" fontId="2" fillId="4" borderId="1" xfId="0" applyFont="1" applyFill="1" applyBorder="1" applyAlignment="1">
      <alignment horizontal="left" vertical="top" wrapText="1"/>
    </xf>
    <xf numFmtId="0" fontId="2" fillId="2" borderId="1" xfId="0" applyFont="1" applyFill="1" applyBorder="1" applyAlignment="1">
      <alignment horizontal="center" vertical="top"/>
    </xf>
    <xf numFmtId="1" fontId="5" fillId="4" borderId="2" xfId="1" applyNumberFormat="1" applyFont="1" applyFill="1" applyBorder="1" applyAlignment="1">
      <alignment horizontal="center" vertical="top" wrapText="1"/>
    </xf>
    <xf numFmtId="1" fontId="5" fillId="4" borderId="5" xfId="1" applyNumberFormat="1" applyFont="1" applyFill="1" applyBorder="1" applyAlignment="1">
      <alignment horizontal="center"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5" xfId="0" applyFont="1" applyFill="1" applyBorder="1" applyAlignment="1">
      <alignment horizontal="center" vertical="top"/>
    </xf>
    <xf numFmtId="0" fontId="4" fillId="4" borderId="1" xfId="0" applyFont="1" applyFill="1" applyBorder="1" applyAlignment="1">
      <alignment horizontal="left" vertical="top"/>
    </xf>
    <xf numFmtId="0" fontId="9"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17" fontId="3" fillId="4" borderId="1" xfId="0" applyNumberFormat="1" applyFont="1" applyFill="1" applyBorder="1" applyAlignment="1">
      <alignment horizontal="left" vertical="top" wrapText="1"/>
    </xf>
    <xf numFmtId="0" fontId="2" fillId="2" borderId="1" xfId="0" applyFont="1" applyFill="1" applyBorder="1" applyAlignment="1">
      <alignment horizontal="center" vertical="top" wrapText="1"/>
    </xf>
    <xf numFmtId="0" fontId="4" fillId="4" borderId="1" xfId="0" applyFont="1" applyFill="1" applyBorder="1" applyAlignment="1">
      <alignment horizontal="center" vertical="center" wrapText="1"/>
    </xf>
    <xf numFmtId="0" fontId="2" fillId="2" borderId="1" xfId="0" applyFont="1" applyFill="1" applyBorder="1" applyAlignment="1">
      <alignment horizontal="left" vertical="top"/>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1" fontId="4" fillId="4" borderId="1" xfId="0" applyNumberFormat="1"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9" xfId="0" applyFont="1" applyFill="1" applyBorder="1" applyAlignment="1">
      <alignment horizontal="center" vertical="top" wrapText="1"/>
    </xf>
    <xf numFmtId="1" fontId="4" fillId="4" borderId="2" xfId="0" applyNumberFormat="1" applyFont="1" applyFill="1" applyBorder="1" applyAlignment="1">
      <alignment horizontal="left" vertical="top" wrapText="1"/>
    </xf>
    <xf numFmtId="1" fontId="4" fillId="4" borderId="5" xfId="0" applyNumberFormat="1" applyFont="1" applyFill="1" applyBorder="1" applyAlignment="1">
      <alignment horizontal="left" vertical="top" wrapText="1"/>
    </xf>
    <xf numFmtId="9" fontId="2" fillId="4" borderId="1" xfId="1" applyNumberFormat="1" applyFont="1" applyFill="1" applyBorder="1" applyAlignment="1" applyProtection="1">
      <alignment horizontal="left" vertical="top" wrapText="1"/>
      <protection hidden="1"/>
    </xf>
    <xf numFmtId="0" fontId="4" fillId="4" borderId="1" xfId="1" applyFont="1" applyFill="1" applyBorder="1" applyAlignment="1" applyProtection="1">
      <alignment horizontal="center" vertical="center" wrapText="1"/>
      <protection hidden="1"/>
    </xf>
    <xf numFmtId="9" fontId="2" fillId="4" borderId="12" xfId="1" applyNumberFormat="1" applyFont="1" applyFill="1" applyBorder="1" applyAlignment="1" applyProtection="1">
      <alignment horizontal="center" vertical="center" wrapText="1"/>
      <protection hidden="1"/>
    </xf>
    <xf numFmtId="9" fontId="2" fillId="4" borderId="13" xfId="1" applyNumberFormat="1" applyFont="1" applyFill="1" applyBorder="1" applyAlignment="1" applyProtection="1">
      <alignment horizontal="center" vertical="center" wrapText="1"/>
      <protection hidden="1"/>
    </xf>
    <xf numFmtId="164" fontId="4" fillId="4" borderId="1" xfId="0" applyNumberFormat="1" applyFont="1" applyFill="1" applyBorder="1" applyAlignment="1">
      <alignment horizontal="left" vertical="top" wrapText="1"/>
    </xf>
    <xf numFmtId="0" fontId="26" fillId="4" borderId="1" xfId="2" applyFont="1" applyFill="1" applyBorder="1" applyAlignment="1">
      <alignment horizontal="left" vertical="top" wrapText="1"/>
    </xf>
    <xf numFmtId="0" fontId="27" fillId="4" borderId="1" xfId="0" applyFont="1" applyFill="1" applyBorder="1" applyAlignment="1">
      <alignment horizontal="left" vertical="top" wrapText="1"/>
    </xf>
    <xf numFmtId="0" fontId="4" fillId="0" borderId="1" xfId="0" applyFont="1" applyBorder="1" applyAlignment="1">
      <alignment horizontal="center" vertical="top"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1" fontId="2" fillId="4" borderId="12" xfId="1" applyNumberFormat="1" applyFont="1" applyFill="1" applyBorder="1" applyAlignment="1">
      <alignment horizontal="center" vertical="center" wrapText="1"/>
    </xf>
    <xf numFmtId="1" fontId="2" fillId="4" borderId="8" xfId="1" applyNumberFormat="1" applyFont="1" applyFill="1" applyBorder="1" applyAlignment="1">
      <alignment horizontal="center" vertical="center" wrapText="1"/>
    </xf>
    <xf numFmtId="1" fontId="2" fillId="4" borderId="13" xfId="1" applyNumberFormat="1" applyFont="1" applyFill="1" applyBorder="1" applyAlignment="1">
      <alignment horizontal="center" vertical="center" wrapText="1"/>
    </xf>
    <xf numFmtId="1" fontId="8" fillId="4" borderId="12" xfId="1" applyNumberFormat="1" applyFont="1" applyFill="1" applyBorder="1" applyAlignment="1">
      <alignment horizontal="center" vertical="center" wrapText="1"/>
    </xf>
    <xf numFmtId="1" fontId="8" fillId="4" borderId="8" xfId="1" applyNumberFormat="1" applyFont="1" applyFill="1" applyBorder="1" applyAlignment="1">
      <alignment horizontal="center" vertical="center" wrapText="1"/>
    </xf>
    <xf numFmtId="1" fontId="8" fillId="4" borderId="13" xfId="1" applyNumberFormat="1" applyFont="1" applyFill="1" applyBorder="1" applyAlignment="1">
      <alignment horizontal="center" vertical="center" wrapText="1"/>
    </xf>
    <xf numFmtId="0" fontId="3" fillId="0" borderId="0" xfId="0" applyFont="1" applyAlignment="1">
      <alignment horizontal="center" vertical="top" wrapText="1"/>
    </xf>
    <xf numFmtId="0" fontId="2" fillId="4" borderId="1" xfId="1" applyFont="1" applyFill="1" applyBorder="1" applyAlignment="1" applyProtection="1">
      <alignment horizontal="left" vertical="top" wrapText="1"/>
      <protection hidden="1"/>
    </xf>
    <xf numFmtId="9" fontId="2" fillId="4" borderId="1" xfId="1" applyNumberFormat="1" applyFont="1" applyFill="1" applyBorder="1" applyAlignment="1" applyProtection="1">
      <alignment horizontal="center" vertical="center" wrapText="1"/>
      <protection hidden="1"/>
    </xf>
    <xf numFmtId="1" fontId="4" fillId="4" borderId="1" xfId="1" applyNumberFormat="1" applyFont="1" applyFill="1" applyBorder="1" applyAlignment="1" applyProtection="1">
      <alignment horizontal="center" vertical="center" wrapText="1"/>
      <protection hidden="1"/>
    </xf>
    <xf numFmtId="0" fontId="15" fillId="5" borderId="1" xfId="0" applyFont="1"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xf>
    <xf numFmtId="0" fontId="16"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0" borderId="1" xfId="0" applyFont="1" applyBorder="1" applyAlignment="1">
      <alignment horizontal="center" vertical="center"/>
    </xf>
    <xf numFmtId="0" fontId="16"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15" fillId="13" borderId="1" xfId="0" applyFont="1" applyFill="1" applyBorder="1" applyAlignment="1">
      <alignment horizontal="center" vertical="center"/>
    </xf>
    <xf numFmtId="0" fontId="15" fillId="14" borderId="1" xfId="0" applyFont="1" applyFill="1" applyBorder="1" applyAlignment="1">
      <alignment horizontal="center" vertical="center"/>
    </xf>
    <xf numFmtId="0" fontId="15" fillId="3" borderId="1" xfId="0" applyFont="1" applyFill="1" applyBorder="1" applyAlignment="1">
      <alignment horizontal="center" vertical="center"/>
    </xf>
  </cellXfs>
  <cellStyles count="3">
    <cellStyle name="Hyperlink" xfId="2" builtinId="8"/>
    <cellStyle name="Normal" xfId="0" builtinId="0"/>
    <cellStyle name="Normal 3" xfId="1" xr:uid="{00000000-0005-0000-0000-000002000000}"/>
  </cellStyles>
  <dxfs count="0"/>
  <tableStyles count="0" defaultTableStyle="TableStyleMedium9" defaultPivotStyle="PivotStyleLight16"/>
  <colors>
    <mruColors>
      <color rgb="FFFFFFFF"/>
      <color rgb="FFFCF56A"/>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12</xdr:col>
      <xdr:colOff>2404</xdr:colOff>
      <xdr:row>125</xdr:row>
      <xdr:rowOff>177695</xdr:rowOff>
    </xdr:from>
    <xdr:to>
      <xdr:col>26</xdr:col>
      <xdr:colOff>285972</xdr:colOff>
      <xdr:row>137</xdr:row>
      <xdr:rowOff>144063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167440" y="47435302"/>
          <a:ext cx="7264032" cy="3395369"/>
        </a:xfrm>
        <a:prstGeom prst="rect">
          <a:avLst/>
        </a:prstGeom>
      </xdr:spPr>
    </xdr:pic>
    <xdr:clientData/>
  </xdr:twoCellAnchor>
  <xdr:twoCellAnchor>
    <xdr:from>
      <xdr:col>1</xdr:col>
      <xdr:colOff>40821</xdr:colOff>
      <xdr:row>641</xdr:row>
      <xdr:rowOff>0</xdr:rowOff>
    </xdr:from>
    <xdr:to>
      <xdr:col>7</xdr:col>
      <xdr:colOff>122464</xdr:colOff>
      <xdr:row>678</xdr:row>
      <xdr:rowOff>231321</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217439" y="160703559"/>
          <a:ext cx="7141349" cy="9767527"/>
          <a:chOff x="704850" y="224287"/>
          <a:chExt cx="5400000" cy="7706385"/>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784850" y="5147010"/>
            <a:ext cx="3240000" cy="2783662"/>
          </a:xfrm>
          <a:prstGeom prst="rect">
            <a:avLst/>
          </a:prstGeom>
          <a:ln>
            <a:solidFill>
              <a:schemeClr val="tx1"/>
            </a:solidFill>
          </a:ln>
        </xdr:spPr>
      </xdr:pic>
      <xdr:grpSp>
        <xdr:nvGrpSpPr>
          <xdr:cNvPr id="6" name="Group 5">
            <a:extLst>
              <a:ext uri="{FF2B5EF4-FFF2-40B4-BE49-F238E27FC236}">
                <a16:creationId xmlns:a16="http://schemas.microsoft.com/office/drawing/2014/main" id="{00000000-0008-0000-0000-000006000000}"/>
              </a:ext>
            </a:extLst>
          </xdr:cNvPr>
          <xdr:cNvGrpSpPr/>
        </xdr:nvGrpSpPr>
        <xdr:grpSpPr>
          <a:xfrm>
            <a:off x="704850" y="224287"/>
            <a:ext cx="5400000" cy="4795804"/>
            <a:chOff x="704850" y="224287"/>
            <a:chExt cx="5400000" cy="4795804"/>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704850" y="224287"/>
              <a:ext cx="5400000" cy="4795804"/>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2743200" y="1121434"/>
              <a:ext cx="845389" cy="7591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a:extLst>
                <a:ext uri="{FF2B5EF4-FFF2-40B4-BE49-F238E27FC236}">
                  <a16:creationId xmlns:a16="http://schemas.microsoft.com/office/drawing/2014/main" id="{00000000-0008-0000-0000-000009000000}"/>
                </a:ext>
              </a:extLst>
            </xdr:cNvPr>
            <xdr:cNvSpPr/>
          </xdr:nvSpPr>
          <xdr:spPr>
            <a:xfrm>
              <a:off x="3610814" y="1863065"/>
              <a:ext cx="845389" cy="7591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5">
              <a:extLst>
                <a:ext uri="{FF2B5EF4-FFF2-40B4-BE49-F238E27FC236}">
                  <a16:creationId xmlns:a16="http://schemas.microsoft.com/office/drawing/2014/main" id="{00000000-0008-0000-0000-00000A000000}"/>
                </a:ext>
              </a:extLst>
            </xdr:cNvPr>
            <xdr:cNvSpPr txBox="1"/>
          </xdr:nvSpPr>
          <xdr:spPr>
            <a:xfrm>
              <a:off x="2746114" y="1840471"/>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11" name="TextBox 6">
              <a:extLst>
                <a:ext uri="{FF2B5EF4-FFF2-40B4-BE49-F238E27FC236}">
                  <a16:creationId xmlns:a16="http://schemas.microsoft.com/office/drawing/2014/main" id="{00000000-0008-0000-0000-00000B000000}"/>
                </a:ext>
              </a:extLst>
            </xdr:cNvPr>
            <xdr:cNvSpPr txBox="1"/>
          </xdr:nvSpPr>
          <xdr:spPr>
            <a:xfrm>
              <a:off x="3601085" y="2596553"/>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grpSp>
    </xdr:grpSp>
    <xdr:clientData/>
  </xdr:twoCellAnchor>
  <xdr:twoCellAnchor>
    <xdr:from>
      <xdr:col>2</xdr:col>
      <xdr:colOff>203467</xdr:colOff>
      <xdr:row>686</xdr:row>
      <xdr:rowOff>149999</xdr:rowOff>
    </xdr:from>
    <xdr:to>
      <xdr:col>5</xdr:col>
      <xdr:colOff>1093694</xdr:colOff>
      <xdr:row>710</xdr:row>
      <xdr:rowOff>26894</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2556702" y="172451646"/>
          <a:ext cx="4420080" cy="6062542"/>
          <a:chOff x="859198" y="101599"/>
          <a:chExt cx="5040000" cy="7338902"/>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219198" y="101599"/>
            <a:ext cx="4320000" cy="3209999"/>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859198" y="3449196"/>
            <a:ext cx="5040000" cy="3991305"/>
            <a:chOff x="859198" y="3449196"/>
            <a:chExt cx="5040000" cy="3991305"/>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859198" y="3449196"/>
              <a:ext cx="5040000" cy="3991305"/>
            </a:xfrm>
            <a:prstGeom prst="rect">
              <a:avLst/>
            </a:prstGeom>
            <a:ln>
              <a:solidFill>
                <a:schemeClr val="tx1"/>
              </a:solidFill>
            </a:ln>
          </xdr:spPr>
        </xdr:pic>
        <xdr:grpSp>
          <xdr:nvGrpSpPr>
            <xdr:cNvPr id="16" name="Group 15">
              <a:extLst>
                <a:ext uri="{FF2B5EF4-FFF2-40B4-BE49-F238E27FC236}">
                  <a16:creationId xmlns:a16="http://schemas.microsoft.com/office/drawing/2014/main" id="{00000000-0008-0000-0000-000010000000}"/>
                </a:ext>
              </a:extLst>
            </xdr:cNvPr>
            <xdr:cNvGrpSpPr/>
          </xdr:nvGrpSpPr>
          <xdr:grpSpPr>
            <a:xfrm>
              <a:off x="2349500" y="3575050"/>
              <a:ext cx="2724150" cy="2546350"/>
              <a:chOff x="2349500" y="3575050"/>
              <a:chExt cx="2724150" cy="2546350"/>
            </a:xfrm>
          </xdr:grpSpPr>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flipH="1">
                <a:off x="2349500" y="3575050"/>
                <a:ext cx="1003300" cy="22987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2349500" y="5873750"/>
                <a:ext cx="717550" cy="2286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flipV="1">
                <a:off x="3060700" y="6102350"/>
                <a:ext cx="539750" cy="190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V="1">
                <a:off x="3613150" y="5492750"/>
                <a:ext cx="996950" cy="6096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flipV="1">
                <a:off x="4616450" y="4781550"/>
                <a:ext cx="457200" cy="7175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flipH="1" flipV="1">
                <a:off x="3352800" y="3575050"/>
                <a:ext cx="1720850" cy="12065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editAs="oneCell">
    <xdr:from>
      <xdr:col>8</xdr:col>
      <xdr:colOff>336178</xdr:colOff>
      <xdr:row>43</xdr:row>
      <xdr:rowOff>201705</xdr:rowOff>
    </xdr:from>
    <xdr:to>
      <xdr:col>11</xdr:col>
      <xdr:colOff>263470</xdr:colOff>
      <xdr:row>47</xdr:row>
      <xdr:rowOff>143981</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749119" y="20932587"/>
          <a:ext cx="4320000" cy="2642892"/>
        </a:xfrm>
        <a:prstGeom prst="rect">
          <a:avLst/>
        </a:prstGeom>
        <a:ln>
          <a:solidFill>
            <a:schemeClr val="tx1"/>
          </a:solidFill>
        </a:ln>
      </xdr:spPr>
    </xdr:pic>
    <xdr:clientData/>
  </xdr:twoCellAnchor>
  <xdr:twoCellAnchor editAs="oneCell">
    <xdr:from>
      <xdr:col>8</xdr:col>
      <xdr:colOff>394607</xdr:colOff>
      <xdr:row>364</xdr:row>
      <xdr:rowOff>68036</xdr:rowOff>
    </xdr:from>
    <xdr:to>
      <xdr:col>10</xdr:col>
      <xdr:colOff>538392</xdr:colOff>
      <xdr:row>381</xdr:row>
      <xdr:rowOff>211524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9756321" y="109836857"/>
          <a:ext cx="3600000" cy="4552204"/>
        </a:xfrm>
        <a:prstGeom prst="rect">
          <a:avLst/>
        </a:prstGeom>
        <a:ln>
          <a:solidFill>
            <a:schemeClr val="tx1"/>
          </a:solidFill>
        </a:ln>
      </xdr:spPr>
    </xdr:pic>
    <xdr:clientData/>
  </xdr:twoCellAnchor>
  <xdr:twoCellAnchor editAs="oneCell">
    <xdr:from>
      <xdr:col>11</xdr:col>
      <xdr:colOff>54429</xdr:colOff>
      <xdr:row>364</xdr:row>
      <xdr:rowOff>54430</xdr:rowOff>
    </xdr:from>
    <xdr:to>
      <xdr:col>15</xdr:col>
      <xdr:colOff>454510</xdr:colOff>
      <xdr:row>380</xdr:row>
      <xdr:rowOff>211127</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stretch>
          <a:fillRect/>
        </a:stretch>
      </xdr:blipFill>
      <xdr:spPr>
        <a:xfrm>
          <a:off x="13484679" y="109823251"/>
          <a:ext cx="3600000" cy="4293271"/>
        </a:xfrm>
        <a:prstGeom prst="rect">
          <a:avLst/>
        </a:prstGeom>
        <a:ln>
          <a:solidFill>
            <a:schemeClr val="tx1"/>
          </a:solidFill>
        </a:ln>
      </xdr:spPr>
    </xdr:pic>
    <xdr:clientData/>
  </xdr:twoCellAnchor>
  <xdr:twoCellAnchor editAs="oneCell">
    <xdr:from>
      <xdr:col>8</xdr:col>
      <xdr:colOff>179294</xdr:colOff>
      <xdr:row>47</xdr:row>
      <xdr:rowOff>549088</xdr:rowOff>
    </xdr:from>
    <xdr:to>
      <xdr:col>11</xdr:col>
      <xdr:colOff>483068</xdr:colOff>
      <xdr:row>48</xdr:row>
      <xdr:rowOff>178270</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a:stretch>
          <a:fillRect/>
        </a:stretch>
      </xdr:blipFill>
      <xdr:spPr>
        <a:xfrm>
          <a:off x="9715500" y="24686559"/>
          <a:ext cx="4696480" cy="704946"/>
        </a:xfrm>
        <a:prstGeom prst="rect">
          <a:avLst/>
        </a:prstGeom>
        <a:ln>
          <a:solidFill>
            <a:schemeClr val="tx1"/>
          </a:solidFill>
        </a:ln>
      </xdr:spPr>
    </xdr:pic>
    <xdr:clientData/>
  </xdr:twoCellAnchor>
  <xdr:twoCellAnchor>
    <xdr:from>
      <xdr:col>2</xdr:col>
      <xdr:colOff>707571</xdr:colOff>
      <xdr:row>652</xdr:row>
      <xdr:rowOff>13607</xdr:rowOff>
    </xdr:from>
    <xdr:to>
      <xdr:col>3</xdr:col>
      <xdr:colOff>649346</xdr:colOff>
      <xdr:row>655</xdr:row>
      <xdr:rowOff>203076</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3048000" y="160237714"/>
          <a:ext cx="1111989" cy="9650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838839</xdr:colOff>
      <xdr:row>650</xdr:row>
      <xdr:rowOff>176893</xdr:rowOff>
    </xdr:from>
    <xdr:to>
      <xdr:col>3</xdr:col>
      <xdr:colOff>902869</xdr:colOff>
      <xdr:row>652</xdr:row>
      <xdr:rowOff>129354</xdr:rowOff>
    </xdr:to>
    <xdr:sp macro="" textlink="">
      <xdr:nvSpPr>
        <xdr:cNvPr id="64" name="TextBox 6">
          <a:extLst>
            <a:ext uri="{FF2B5EF4-FFF2-40B4-BE49-F238E27FC236}">
              <a16:creationId xmlns:a16="http://schemas.microsoft.com/office/drawing/2014/main" id="{00000000-0008-0000-0000-000040000000}"/>
            </a:ext>
          </a:extLst>
        </xdr:cNvPr>
        <xdr:cNvSpPr txBox="1"/>
      </xdr:nvSpPr>
      <xdr:spPr>
        <a:xfrm>
          <a:off x="3192074" y="159401275"/>
          <a:ext cx="1240648" cy="4679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clientData/>
  </xdr:twoCellAnchor>
  <xdr:twoCellAnchor editAs="oneCell">
    <xdr:from>
      <xdr:col>9</xdr:col>
      <xdr:colOff>701933</xdr:colOff>
      <xdr:row>117</xdr:row>
      <xdr:rowOff>21523</xdr:rowOff>
    </xdr:from>
    <xdr:to>
      <xdr:col>16</xdr:col>
      <xdr:colOff>129331</xdr:colOff>
      <xdr:row>131</xdr:row>
      <xdr:rowOff>130815</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a:stretch>
          <a:fillRect/>
        </a:stretch>
      </xdr:blipFill>
      <xdr:spPr>
        <a:xfrm>
          <a:off x="12495615" y="46209114"/>
          <a:ext cx="5364682" cy="2187472"/>
        </a:xfrm>
        <a:prstGeom prst="rect">
          <a:avLst/>
        </a:prstGeom>
      </xdr:spPr>
    </xdr:pic>
    <xdr:clientData/>
  </xdr:twoCellAnchor>
  <xdr:twoCellAnchor>
    <xdr:from>
      <xdr:col>9</xdr:col>
      <xdr:colOff>466485</xdr:colOff>
      <xdr:row>598</xdr:row>
      <xdr:rowOff>231000</xdr:rowOff>
    </xdr:from>
    <xdr:to>
      <xdr:col>17</xdr:col>
      <xdr:colOff>615843</xdr:colOff>
      <xdr:row>635</xdr:row>
      <xdr:rowOff>54107</xdr:rowOff>
    </xdr:to>
    <xdr:grpSp>
      <xdr:nvGrpSpPr>
        <xdr:cNvPr id="83" name="Group 82">
          <a:extLst>
            <a:ext uri="{FF2B5EF4-FFF2-40B4-BE49-F238E27FC236}">
              <a16:creationId xmlns:a16="http://schemas.microsoft.com/office/drawing/2014/main" id="{D5ED243E-7F21-4713-8A46-2A2F2D518035}"/>
            </a:ext>
          </a:extLst>
        </xdr:cNvPr>
        <xdr:cNvGrpSpPr/>
      </xdr:nvGrpSpPr>
      <xdr:grpSpPr>
        <a:xfrm>
          <a:off x="12255073" y="150367412"/>
          <a:ext cx="6672863" cy="9359313"/>
          <a:chOff x="61232" y="-122464"/>
          <a:chExt cx="6735536" cy="9388928"/>
        </a:xfrm>
      </xdr:grpSpPr>
      <xdr:pic>
        <xdr:nvPicPr>
          <xdr:cNvPr id="84" name="Picture 83">
            <a:extLst>
              <a:ext uri="{FF2B5EF4-FFF2-40B4-BE49-F238E27FC236}">
                <a16:creationId xmlns:a16="http://schemas.microsoft.com/office/drawing/2014/main" id="{A035D19E-A3A3-40B6-AAFF-BE6BC47B9EF3}"/>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1232" y="-122464"/>
            <a:ext cx="6735536" cy="4410462"/>
          </a:xfrm>
          <a:prstGeom prst="rect">
            <a:avLst/>
          </a:prstGeom>
          <a:ln>
            <a:solidFill>
              <a:schemeClr val="tx1"/>
            </a:solidFill>
          </a:ln>
        </xdr:spPr>
      </xdr:pic>
      <xdr:sp macro="" textlink="">
        <xdr:nvSpPr>
          <xdr:cNvPr id="85" name="TextBox 5">
            <a:extLst>
              <a:ext uri="{FF2B5EF4-FFF2-40B4-BE49-F238E27FC236}">
                <a16:creationId xmlns:a16="http://schemas.microsoft.com/office/drawing/2014/main" id="{F1C6E53F-5866-4DAE-B895-6FA98CDBAB78}"/>
              </a:ext>
            </a:extLst>
          </xdr:cNvPr>
          <xdr:cNvSpPr txBox="1"/>
        </xdr:nvSpPr>
        <xdr:spPr>
          <a:xfrm>
            <a:off x="5193710" y="1680563"/>
            <a:ext cx="516261"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T1</a:t>
            </a:r>
            <a:endParaRPr lang="en-IN" sz="2400" b="1">
              <a:solidFill>
                <a:srgbClr val="FFFF00"/>
              </a:solidFill>
            </a:endParaRPr>
          </a:p>
        </xdr:txBody>
      </xdr:sp>
      <xdr:sp macro="" textlink="">
        <xdr:nvSpPr>
          <xdr:cNvPr id="86" name="TextBox 7">
            <a:extLst>
              <a:ext uri="{FF2B5EF4-FFF2-40B4-BE49-F238E27FC236}">
                <a16:creationId xmlns:a16="http://schemas.microsoft.com/office/drawing/2014/main" id="{44CA7D73-F403-462E-A427-BD45F6C8BA43}"/>
              </a:ext>
            </a:extLst>
          </xdr:cNvPr>
          <xdr:cNvSpPr txBox="1"/>
        </xdr:nvSpPr>
        <xdr:spPr>
          <a:xfrm>
            <a:off x="2651233" y="1607954"/>
            <a:ext cx="51826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T2</a:t>
            </a:r>
            <a:endParaRPr lang="en-IN" sz="2400" b="1">
              <a:solidFill>
                <a:srgbClr val="FFFF00"/>
              </a:solidFill>
            </a:endParaRPr>
          </a:p>
        </xdr:txBody>
      </xdr:sp>
      <xdr:sp macro="" textlink="">
        <xdr:nvSpPr>
          <xdr:cNvPr id="87" name="TextBox 8">
            <a:extLst>
              <a:ext uri="{FF2B5EF4-FFF2-40B4-BE49-F238E27FC236}">
                <a16:creationId xmlns:a16="http://schemas.microsoft.com/office/drawing/2014/main" id="{2F38C6DD-4BBE-4DAF-92D0-955E1076F807}"/>
              </a:ext>
            </a:extLst>
          </xdr:cNvPr>
          <xdr:cNvSpPr txBox="1"/>
        </xdr:nvSpPr>
        <xdr:spPr>
          <a:xfrm>
            <a:off x="3823286" y="1809056"/>
            <a:ext cx="51826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T4</a:t>
            </a:r>
            <a:endParaRPr lang="en-IN" sz="2400" b="1">
              <a:solidFill>
                <a:srgbClr val="FFFF00"/>
              </a:solidFill>
            </a:endParaRPr>
          </a:p>
        </xdr:txBody>
      </xdr:sp>
      <xdr:sp macro="" textlink="">
        <xdr:nvSpPr>
          <xdr:cNvPr id="88" name="TextBox 9">
            <a:extLst>
              <a:ext uri="{FF2B5EF4-FFF2-40B4-BE49-F238E27FC236}">
                <a16:creationId xmlns:a16="http://schemas.microsoft.com/office/drawing/2014/main" id="{DC39E740-D9B0-4858-BBAC-E0D5DCF4002D}"/>
              </a:ext>
            </a:extLst>
          </xdr:cNvPr>
          <xdr:cNvSpPr txBox="1"/>
        </xdr:nvSpPr>
        <xdr:spPr>
          <a:xfrm>
            <a:off x="2452861" y="2082767"/>
            <a:ext cx="51826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T3</a:t>
            </a:r>
            <a:endParaRPr lang="en-IN" sz="2400" b="1">
              <a:solidFill>
                <a:srgbClr val="FFFF00"/>
              </a:solidFill>
            </a:endParaRPr>
          </a:p>
        </xdr:txBody>
      </xdr:sp>
      <xdr:pic>
        <xdr:nvPicPr>
          <xdr:cNvPr id="89" name="Picture 88">
            <a:extLst>
              <a:ext uri="{FF2B5EF4-FFF2-40B4-BE49-F238E27FC236}">
                <a16:creationId xmlns:a16="http://schemas.microsoft.com/office/drawing/2014/main" id="{21E1CDAD-12E6-4D7D-AA8D-CA3C3B7B0C8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23648" y="7306259"/>
            <a:ext cx="1262913" cy="1960205"/>
          </a:xfrm>
          <a:prstGeom prst="rect">
            <a:avLst/>
          </a:prstGeom>
          <a:ln>
            <a:solidFill>
              <a:schemeClr val="tx1"/>
            </a:solidFill>
          </a:ln>
        </xdr:spPr>
      </xdr:pic>
      <xdr:pic>
        <xdr:nvPicPr>
          <xdr:cNvPr id="90" name="Picture 89">
            <a:extLst>
              <a:ext uri="{FF2B5EF4-FFF2-40B4-BE49-F238E27FC236}">
                <a16:creationId xmlns:a16="http://schemas.microsoft.com/office/drawing/2014/main" id="{5B16ECAC-1153-447A-80DF-E7B023A58A38}"/>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825933" y="4416490"/>
            <a:ext cx="1768078" cy="2744287"/>
          </a:xfrm>
          <a:prstGeom prst="rect">
            <a:avLst/>
          </a:prstGeom>
          <a:ln>
            <a:solidFill>
              <a:schemeClr val="tx1"/>
            </a:solidFill>
          </a:ln>
        </xdr:spPr>
      </xdr:pic>
      <xdr:pic>
        <xdr:nvPicPr>
          <xdr:cNvPr id="91" name="Picture 90">
            <a:extLst>
              <a:ext uri="{FF2B5EF4-FFF2-40B4-BE49-F238E27FC236}">
                <a16:creationId xmlns:a16="http://schemas.microsoft.com/office/drawing/2014/main" id="{B67276AB-0B44-4085-A436-398D079ADFF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75335" y="4416490"/>
            <a:ext cx="4191000" cy="2744287"/>
          </a:xfrm>
          <a:prstGeom prst="rect">
            <a:avLst/>
          </a:prstGeom>
          <a:ln>
            <a:solidFill>
              <a:schemeClr val="tx1"/>
            </a:solidFill>
          </a:ln>
        </xdr:spPr>
      </xdr:pic>
      <xdr:sp macro="" textlink="">
        <xdr:nvSpPr>
          <xdr:cNvPr id="92" name="TextBox 27">
            <a:extLst>
              <a:ext uri="{FF2B5EF4-FFF2-40B4-BE49-F238E27FC236}">
                <a16:creationId xmlns:a16="http://schemas.microsoft.com/office/drawing/2014/main" id="{2169AD86-35EE-440C-81A7-09B21EB7A59C}"/>
              </a:ext>
            </a:extLst>
          </xdr:cNvPr>
          <xdr:cNvSpPr txBox="1"/>
        </xdr:nvSpPr>
        <xdr:spPr>
          <a:xfrm>
            <a:off x="3059676" y="5028419"/>
            <a:ext cx="516261"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T1</a:t>
            </a:r>
            <a:endParaRPr lang="en-IN" sz="2400" b="1">
              <a:solidFill>
                <a:srgbClr val="FFFF00"/>
              </a:solidFill>
            </a:endParaRPr>
          </a:p>
        </xdr:txBody>
      </xdr:sp>
      <xdr:sp macro="" textlink="">
        <xdr:nvSpPr>
          <xdr:cNvPr id="93" name="TextBox 28">
            <a:extLst>
              <a:ext uri="{FF2B5EF4-FFF2-40B4-BE49-F238E27FC236}">
                <a16:creationId xmlns:a16="http://schemas.microsoft.com/office/drawing/2014/main" id="{E021AA29-1800-45FD-BD0E-308F0DC18DCC}"/>
              </a:ext>
            </a:extLst>
          </xdr:cNvPr>
          <xdr:cNvSpPr txBox="1"/>
        </xdr:nvSpPr>
        <xdr:spPr>
          <a:xfrm>
            <a:off x="1936600" y="5596026"/>
            <a:ext cx="51826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T4</a:t>
            </a:r>
            <a:endParaRPr lang="en-IN" sz="2400" b="1">
              <a:solidFill>
                <a:srgbClr val="FFFF00"/>
              </a:solidFill>
            </a:endParaRPr>
          </a:p>
        </xdr:txBody>
      </xdr:sp>
      <xdr:pic>
        <xdr:nvPicPr>
          <xdr:cNvPr id="94" name="Picture 93">
            <a:extLst>
              <a:ext uri="{FF2B5EF4-FFF2-40B4-BE49-F238E27FC236}">
                <a16:creationId xmlns:a16="http://schemas.microsoft.com/office/drawing/2014/main" id="{FBE7E3AF-A8B6-44A7-8807-707237EA23A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303530" y="7289269"/>
            <a:ext cx="3488000" cy="1962000"/>
          </a:xfrm>
          <a:prstGeom prst="rect">
            <a:avLst/>
          </a:prstGeom>
          <a:ln>
            <a:solidFill>
              <a:schemeClr val="tx1"/>
            </a:solidFill>
          </a:ln>
        </xdr:spPr>
      </xdr:pic>
    </xdr:grpSp>
    <xdr:clientData/>
  </xdr:twoCellAnchor>
  <xdr:twoCellAnchor editAs="oneCell">
    <xdr:from>
      <xdr:col>8</xdr:col>
      <xdr:colOff>147277</xdr:colOff>
      <xdr:row>49</xdr:row>
      <xdr:rowOff>68835</xdr:rowOff>
    </xdr:from>
    <xdr:to>
      <xdr:col>14</xdr:col>
      <xdr:colOff>812487</xdr:colOff>
      <xdr:row>59</xdr:row>
      <xdr:rowOff>141915</xdr:rowOff>
    </xdr:to>
    <xdr:pic>
      <xdr:nvPicPr>
        <xdr:cNvPr id="27" name="Picture 26">
          <a:extLst>
            <a:ext uri="{FF2B5EF4-FFF2-40B4-BE49-F238E27FC236}">
              <a16:creationId xmlns:a16="http://schemas.microsoft.com/office/drawing/2014/main" id="{C7E48BE2-50D2-4C1E-8413-6E25F1CF35B9}"/>
            </a:ext>
          </a:extLst>
        </xdr:cNvPr>
        <xdr:cNvPicPr>
          <a:picLocks noChangeAspect="1"/>
        </xdr:cNvPicPr>
      </xdr:nvPicPr>
      <xdr:blipFill>
        <a:blip xmlns:r="http://schemas.openxmlformats.org/officeDocument/2006/relationships" r:embed="rId16"/>
        <a:stretch>
          <a:fillRect/>
        </a:stretch>
      </xdr:blipFill>
      <xdr:spPr>
        <a:xfrm>
          <a:off x="9683483" y="25539806"/>
          <a:ext cx="7310298" cy="2291844"/>
        </a:xfrm>
        <a:prstGeom prst="rect">
          <a:avLst/>
        </a:prstGeom>
        <a:ln>
          <a:solidFill>
            <a:schemeClr val="tx1"/>
          </a:solidFill>
        </a:ln>
      </xdr:spPr>
    </xdr:pic>
    <xdr:clientData/>
  </xdr:twoCellAnchor>
  <xdr:twoCellAnchor>
    <xdr:from>
      <xdr:col>0</xdr:col>
      <xdr:colOff>1030941</xdr:colOff>
      <xdr:row>599</xdr:row>
      <xdr:rowOff>35859</xdr:rowOff>
    </xdr:from>
    <xdr:to>
      <xdr:col>6</xdr:col>
      <xdr:colOff>1066800</xdr:colOff>
      <xdr:row>633</xdr:row>
      <xdr:rowOff>44824</xdr:rowOff>
    </xdr:to>
    <xdr:grpSp>
      <xdr:nvGrpSpPr>
        <xdr:cNvPr id="28" name="Group 27">
          <a:extLst>
            <a:ext uri="{FF2B5EF4-FFF2-40B4-BE49-F238E27FC236}">
              <a16:creationId xmlns:a16="http://schemas.microsoft.com/office/drawing/2014/main" id="{5BFF7444-E38B-CCC4-CF79-B983C4BEA573}"/>
            </a:ext>
          </a:extLst>
        </xdr:cNvPr>
        <xdr:cNvGrpSpPr/>
      </xdr:nvGrpSpPr>
      <xdr:grpSpPr>
        <a:xfrm>
          <a:off x="1030941" y="150430006"/>
          <a:ext cx="7095565" cy="8771965"/>
          <a:chOff x="772013" y="155112"/>
          <a:chExt cx="5388411" cy="7113130"/>
        </a:xfrm>
      </xdr:grpSpPr>
      <xdr:grpSp>
        <xdr:nvGrpSpPr>
          <xdr:cNvPr id="29" name="Group 28">
            <a:extLst>
              <a:ext uri="{FF2B5EF4-FFF2-40B4-BE49-F238E27FC236}">
                <a16:creationId xmlns:a16="http://schemas.microsoft.com/office/drawing/2014/main" id="{D28C1119-4E89-AD89-9E8F-32087854D893}"/>
              </a:ext>
            </a:extLst>
          </xdr:cNvPr>
          <xdr:cNvGrpSpPr/>
        </xdr:nvGrpSpPr>
        <xdr:grpSpPr>
          <a:xfrm>
            <a:off x="772013" y="155112"/>
            <a:ext cx="5388411" cy="2520000"/>
            <a:chOff x="640721" y="155112"/>
            <a:chExt cx="5388411" cy="2520000"/>
          </a:xfrm>
        </xdr:grpSpPr>
        <xdr:pic>
          <xdr:nvPicPr>
            <xdr:cNvPr id="38" name="Picture 37">
              <a:extLst>
                <a:ext uri="{FF2B5EF4-FFF2-40B4-BE49-F238E27FC236}">
                  <a16:creationId xmlns:a16="http://schemas.microsoft.com/office/drawing/2014/main" id="{95E032BB-B504-2D09-CF87-1B2DE4CBFB48}"/>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40721" y="155112"/>
              <a:ext cx="1895272"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CEB133C6-D30D-95C9-FED7-450AEA81B88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2686180" y="155112"/>
              <a:ext cx="3342952" cy="2520000"/>
            </a:xfrm>
            <a:prstGeom prst="rect">
              <a:avLst/>
            </a:prstGeom>
            <a:ln>
              <a:solidFill>
                <a:schemeClr val="tx1"/>
              </a:solidFill>
            </a:ln>
          </xdr:spPr>
        </xdr:pic>
      </xdr:grpSp>
      <xdr:grpSp>
        <xdr:nvGrpSpPr>
          <xdr:cNvPr id="31" name="Group 30">
            <a:extLst>
              <a:ext uri="{FF2B5EF4-FFF2-40B4-BE49-F238E27FC236}">
                <a16:creationId xmlns:a16="http://schemas.microsoft.com/office/drawing/2014/main" id="{497D0772-1EE6-852B-2AED-632B8D6E7AF1}"/>
              </a:ext>
            </a:extLst>
          </xdr:cNvPr>
          <xdr:cNvGrpSpPr/>
        </xdr:nvGrpSpPr>
        <xdr:grpSpPr>
          <a:xfrm>
            <a:off x="1280385" y="5468242"/>
            <a:ext cx="4371666" cy="1800000"/>
            <a:chOff x="1920050" y="5468242"/>
            <a:chExt cx="4371666" cy="1800000"/>
          </a:xfrm>
        </xdr:grpSpPr>
        <xdr:pic>
          <xdr:nvPicPr>
            <xdr:cNvPr id="35" name="Picture 34">
              <a:extLst>
                <a:ext uri="{FF2B5EF4-FFF2-40B4-BE49-F238E27FC236}">
                  <a16:creationId xmlns:a16="http://schemas.microsoft.com/office/drawing/2014/main" id="{9447BCF1-059D-A1D9-AA2E-35C2C829B1C9}"/>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937950" y="5468242"/>
              <a:ext cx="1353766"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36E6025E-755F-2D45-0BC4-91851E08B0E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920050" y="5468242"/>
              <a:ext cx="1353766" cy="1800000"/>
            </a:xfrm>
            <a:prstGeom prst="rect">
              <a:avLst/>
            </a:prstGeom>
            <a:ln>
              <a:solidFill>
                <a:schemeClr val="tx1"/>
              </a:solidFill>
            </a:ln>
          </xdr:spPr>
        </xdr:pic>
        <xdr:pic>
          <xdr:nvPicPr>
            <xdr:cNvPr id="37" name="Picture 36">
              <a:extLst>
                <a:ext uri="{FF2B5EF4-FFF2-40B4-BE49-F238E27FC236}">
                  <a16:creationId xmlns:a16="http://schemas.microsoft.com/office/drawing/2014/main" id="{69B7EEB0-EDBD-66FF-1C96-E0A87886D0D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429000" y="5468242"/>
              <a:ext cx="1353766" cy="180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81C77B89-8392-EBC8-03CD-F5260D2A583D}"/>
              </a:ext>
            </a:extLst>
          </xdr:cNvPr>
          <xdr:cNvGrpSpPr/>
        </xdr:nvGrpSpPr>
        <xdr:grpSpPr>
          <a:xfrm>
            <a:off x="1493354" y="2811677"/>
            <a:ext cx="3945728" cy="2520000"/>
            <a:chOff x="1378544" y="2811677"/>
            <a:chExt cx="3945728" cy="2520000"/>
          </a:xfrm>
        </xdr:grpSpPr>
        <xdr:pic>
          <xdr:nvPicPr>
            <xdr:cNvPr id="33" name="Picture 32">
              <a:extLst>
                <a:ext uri="{FF2B5EF4-FFF2-40B4-BE49-F238E27FC236}">
                  <a16:creationId xmlns:a16="http://schemas.microsoft.com/office/drawing/2014/main" id="{7917A341-13FD-C02A-DCF2-971504F45E97}"/>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378544" y="2811677"/>
              <a:ext cx="1895272"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4A0DA858-E4E8-7858-7C99-EC20FDE2D84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2811677"/>
              <a:ext cx="1895272" cy="2520000"/>
            </a:xfrm>
            <a:prstGeom prst="rect">
              <a:avLst/>
            </a:prstGeom>
            <a:ln>
              <a:solidFill>
                <a:schemeClr val="tx1"/>
              </a:solidFill>
            </a:ln>
          </xdr:spPr>
        </xdr:pic>
      </xdr:grpSp>
    </xdr:grpSp>
    <xdr:clientData/>
  </xdr:twoCellAnchor>
  <xdr:twoCellAnchor editAs="oneCell">
    <xdr:from>
      <xdr:col>8</xdr:col>
      <xdr:colOff>168088</xdr:colOff>
      <xdr:row>59</xdr:row>
      <xdr:rowOff>224118</xdr:rowOff>
    </xdr:from>
    <xdr:to>
      <xdr:col>14</xdr:col>
      <xdr:colOff>572484</xdr:colOff>
      <xdr:row>61</xdr:row>
      <xdr:rowOff>1479024</xdr:rowOff>
    </xdr:to>
    <xdr:pic>
      <xdr:nvPicPr>
        <xdr:cNvPr id="26" name="Picture 25">
          <a:extLst>
            <a:ext uri="{FF2B5EF4-FFF2-40B4-BE49-F238E27FC236}">
              <a16:creationId xmlns:a16="http://schemas.microsoft.com/office/drawing/2014/main" id="{490247E4-4CD5-40E8-BAC5-DCE56F1C1384}"/>
            </a:ext>
          </a:extLst>
        </xdr:cNvPr>
        <xdr:cNvPicPr>
          <a:picLocks noChangeAspect="1"/>
        </xdr:cNvPicPr>
      </xdr:nvPicPr>
      <xdr:blipFill>
        <a:blip xmlns:r="http://schemas.openxmlformats.org/officeDocument/2006/relationships" r:embed="rId24"/>
        <a:stretch>
          <a:fillRect/>
        </a:stretch>
      </xdr:blipFill>
      <xdr:spPr>
        <a:xfrm>
          <a:off x="9704294" y="27913853"/>
          <a:ext cx="7049484" cy="2924583"/>
        </a:xfrm>
        <a:prstGeom prst="rect">
          <a:avLst/>
        </a:prstGeom>
      </xdr:spPr>
    </xdr:pic>
    <xdr:clientData/>
  </xdr:twoCellAnchor>
  <xdr:twoCellAnchor editAs="oneCell">
    <xdr:from>
      <xdr:col>8</xdr:col>
      <xdr:colOff>179294</xdr:colOff>
      <xdr:row>61</xdr:row>
      <xdr:rowOff>1580029</xdr:rowOff>
    </xdr:from>
    <xdr:to>
      <xdr:col>14</xdr:col>
      <xdr:colOff>593216</xdr:colOff>
      <xdr:row>66</xdr:row>
      <xdr:rowOff>192446</xdr:rowOff>
    </xdr:to>
    <xdr:pic>
      <xdr:nvPicPr>
        <xdr:cNvPr id="40" name="Picture 39">
          <a:extLst>
            <a:ext uri="{FF2B5EF4-FFF2-40B4-BE49-F238E27FC236}">
              <a16:creationId xmlns:a16="http://schemas.microsoft.com/office/drawing/2014/main" id="{16A9B387-6661-4833-A2B9-09B8C5B73CCC}"/>
            </a:ext>
          </a:extLst>
        </xdr:cNvPr>
        <xdr:cNvPicPr>
          <a:picLocks noChangeAspect="1"/>
        </xdr:cNvPicPr>
      </xdr:nvPicPr>
      <xdr:blipFill>
        <a:blip xmlns:r="http://schemas.openxmlformats.org/officeDocument/2006/relationships" r:embed="rId25"/>
        <a:stretch>
          <a:fillRect/>
        </a:stretch>
      </xdr:blipFill>
      <xdr:spPr>
        <a:xfrm>
          <a:off x="9715500" y="30939441"/>
          <a:ext cx="7059010" cy="1895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4</xdr:row>
      <xdr:rowOff>9525</xdr:rowOff>
    </xdr:from>
    <xdr:to>
      <xdr:col>9</xdr:col>
      <xdr:colOff>218400</xdr:colOff>
      <xdr:row>15</xdr:row>
      <xdr:rowOff>117515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0" y="771525"/>
          <a:ext cx="5400000" cy="2203490"/>
        </a:xfrm>
        <a:prstGeom prst="rect">
          <a:avLst/>
        </a:prstGeom>
      </xdr:spPr>
    </xdr:pic>
    <xdr:clientData/>
  </xdr:twoCellAnchor>
  <xdr:twoCellAnchor editAs="oneCell">
    <xdr:from>
      <xdr:col>9</xdr:col>
      <xdr:colOff>542925</xdr:colOff>
      <xdr:row>2</xdr:row>
      <xdr:rowOff>66675</xdr:rowOff>
    </xdr:from>
    <xdr:to>
      <xdr:col>18</xdr:col>
      <xdr:colOff>456525</xdr:colOff>
      <xdr:row>14</xdr:row>
      <xdr:rowOff>152564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6029325" y="447675"/>
          <a:ext cx="5400000" cy="23718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89YFwBJxFdzQ4S9C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3"/>
  <sheetViews>
    <sheetView tabSelected="1" view="pageBreakPreview" zoomScale="85" zoomScaleNormal="85" zoomScaleSheetLayoutView="85" zoomScalePageLayoutView="70" workbookViewId="0">
      <selection activeCell="I3" sqref="I3"/>
    </sheetView>
  </sheetViews>
  <sheetFormatPr defaultColWidth="9.140625" defaultRowHeight="17.100000000000001" customHeight="1" x14ac:dyDescent="0.25"/>
  <cols>
    <col min="1" max="7" width="17.5703125" style="1" customWidth="1"/>
    <col min="8" max="8" width="19.42578125" style="4" customWidth="1"/>
    <col min="9" max="9" width="33.85546875" style="1" customWidth="1"/>
    <col min="10" max="10" width="18" style="1" bestFit="1" customWidth="1"/>
    <col min="11" max="11" width="14.140625" style="1" bestFit="1" customWidth="1"/>
    <col min="12" max="12" width="15.5703125" style="1" bestFit="1" customWidth="1"/>
    <col min="13" max="14" width="9.140625" style="1"/>
    <col min="15" max="15" width="14" style="1" bestFit="1" customWidth="1"/>
    <col min="16" max="19" width="9.140625" style="1"/>
    <col min="20" max="22" width="0" style="1" hidden="1" customWidth="1"/>
    <col min="23" max="25" width="9.140625" style="1"/>
    <col min="26" max="26" width="7.85546875" style="1" customWidth="1"/>
    <col min="27" max="16384" width="9.140625" style="1"/>
  </cols>
  <sheetData>
    <row r="1" spans="1:12" ht="20.25" x14ac:dyDescent="0.25">
      <c r="A1" s="137" t="s">
        <v>38</v>
      </c>
      <c r="B1" s="138"/>
      <c r="C1" s="138"/>
      <c r="D1" s="138"/>
      <c r="E1" s="138"/>
      <c r="F1" s="138"/>
      <c r="G1" s="138"/>
      <c r="H1" s="139"/>
    </row>
    <row r="2" spans="1:12" ht="42" customHeight="1" x14ac:dyDescent="0.25">
      <c r="A2" s="84" t="s">
        <v>10</v>
      </c>
      <c r="B2" s="84"/>
      <c r="C2" s="85" t="s">
        <v>87</v>
      </c>
      <c r="D2" s="85"/>
      <c r="E2" s="84" t="s">
        <v>12</v>
      </c>
      <c r="F2" s="84"/>
      <c r="G2" s="129">
        <v>45840</v>
      </c>
      <c r="H2" s="130"/>
      <c r="I2" s="82"/>
      <c r="J2" s="131">
        <v>45766</v>
      </c>
      <c r="K2" s="132"/>
      <c r="L2" s="82">
        <v>45845</v>
      </c>
    </row>
    <row r="3" spans="1:12" ht="39" customHeight="1" x14ac:dyDescent="0.25">
      <c r="A3" s="84" t="s">
        <v>39</v>
      </c>
      <c r="B3" s="84"/>
      <c r="C3" s="133" t="s">
        <v>412</v>
      </c>
      <c r="D3" s="133"/>
      <c r="E3" s="84" t="s">
        <v>162</v>
      </c>
      <c r="F3" s="84"/>
      <c r="G3" s="130" t="s">
        <v>416</v>
      </c>
      <c r="H3" s="130"/>
      <c r="I3" s="82"/>
      <c r="J3" s="82"/>
      <c r="L3" s="1">
        <f>L2-J2</f>
        <v>79</v>
      </c>
    </row>
    <row r="4" spans="1:12" ht="43.5" customHeight="1" x14ac:dyDescent="0.25">
      <c r="A4" s="84" t="s">
        <v>36</v>
      </c>
      <c r="B4" s="84"/>
      <c r="C4" s="85" t="s">
        <v>151</v>
      </c>
      <c r="D4" s="85"/>
      <c r="E4" s="84" t="s">
        <v>33</v>
      </c>
      <c r="F4" s="84"/>
      <c r="G4" s="85" t="str">
        <f ca="1">TEXT(TODAY(),"DD/MM/YYYY")</f>
        <v>17/07/2025</v>
      </c>
      <c r="H4" s="85"/>
      <c r="J4" s="85" t="s">
        <v>375</v>
      </c>
      <c r="K4" s="85"/>
    </row>
    <row r="5" spans="1:12" ht="20.25" x14ac:dyDescent="0.25">
      <c r="A5" s="134" t="s">
        <v>40</v>
      </c>
      <c r="B5" s="134"/>
      <c r="C5" s="134"/>
      <c r="D5" s="134"/>
      <c r="E5" s="134"/>
      <c r="F5" s="134"/>
      <c r="G5" s="134"/>
      <c r="H5" s="134"/>
    </row>
    <row r="6" spans="1:12" ht="43.5" customHeight="1" x14ac:dyDescent="0.25">
      <c r="A6" s="84" t="s">
        <v>29</v>
      </c>
      <c r="B6" s="84"/>
      <c r="C6" s="85" t="s">
        <v>93</v>
      </c>
      <c r="D6" s="85"/>
      <c r="E6" s="84" t="s">
        <v>35</v>
      </c>
      <c r="F6" s="84"/>
      <c r="G6" s="85" t="s">
        <v>417</v>
      </c>
      <c r="H6" s="85"/>
      <c r="J6" s="85" t="s">
        <v>406</v>
      </c>
      <c r="K6" s="85"/>
    </row>
    <row r="7" spans="1:12" ht="23.25" customHeight="1" x14ac:dyDescent="0.25">
      <c r="A7" s="84" t="s">
        <v>42</v>
      </c>
      <c r="B7" s="84"/>
      <c r="C7" s="85" t="s">
        <v>310</v>
      </c>
      <c r="D7" s="85"/>
      <c r="E7" s="84" t="s">
        <v>43</v>
      </c>
      <c r="F7" s="84"/>
      <c r="G7" s="85" t="s">
        <v>308</v>
      </c>
      <c r="H7" s="85"/>
    </row>
    <row r="8" spans="1:12" ht="20.25" x14ac:dyDescent="0.25">
      <c r="A8" s="84" t="s">
        <v>44</v>
      </c>
      <c r="B8" s="84"/>
      <c r="C8" s="85" t="s">
        <v>309</v>
      </c>
      <c r="D8" s="85"/>
      <c r="E8" s="85"/>
      <c r="F8" s="85"/>
      <c r="G8" s="85"/>
      <c r="H8" s="85"/>
      <c r="I8" s="1" t="s">
        <v>363</v>
      </c>
    </row>
    <row r="9" spans="1:12" ht="45" customHeight="1" x14ac:dyDescent="0.25">
      <c r="A9" s="128" t="s">
        <v>153</v>
      </c>
      <c r="B9" s="35" t="s">
        <v>41</v>
      </c>
      <c r="C9" s="85" t="s">
        <v>311</v>
      </c>
      <c r="D9" s="85"/>
      <c r="E9" s="85"/>
      <c r="F9" s="85"/>
      <c r="G9" s="85"/>
      <c r="H9" s="85"/>
    </row>
    <row r="10" spans="1:12" ht="41.25" customHeight="1" x14ac:dyDescent="0.25">
      <c r="A10" s="128"/>
      <c r="B10" s="35" t="s">
        <v>11</v>
      </c>
      <c r="C10" s="85" t="s">
        <v>332</v>
      </c>
      <c r="D10" s="85"/>
      <c r="E10" s="85"/>
      <c r="F10" s="85"/>
      <c r="G10" s="85"/>
      <c r="H10" s="85"/>
    </row>
    <row r="11" spans="1:12" ht="42" customHeight="1" x14ac:dyDescent="0.25">
      <c r="A11" s="128"/>
      <c r="B11" s="35" t="s">
        <v>5</v>
      </c>
      <c r="C11" s="85" t="str">
        <f>C10</f>
        <v>Codename Triumph Tower 1 &amp; 4, CTS No. 611, 611/1 TO 611/10, Near Runwal Forest, LBS Marg, Kanjur, Kanjurmarg  West, Kurla, Mumbai 400078.</v>
      </c>
      <c r="D11" s="85"/>
      <c r="E11" s="85"/>
      <c r="F11" s="85"/>
      <c r="G11" s="85"/>
      <c r="H11" s="85"/>
    </row>
    <row r="12" spans="1:12" ht="40.5" customHeight="1" x14ac:dyDescent="0.25">
      <c r="A12" s="84" t="s">
        <v>34</v>
      </c>
      <c r="B12" s="84"/>
      <c r="C12" s="85" t="s">
        <v>378</v>
      </c>
      <c r="D12" s="85"/>
      <c r="E12" s="85"/>
      <c r="F12" s="85"/>
      <c r="G12" s="85"/>
      <c r="H12" s="85"/>
    </row>
    <row r="13" spans="1:12" ht="20.100000000000001" customHeight="1" x14ac:dyDescent="0.25">
      <c r="A13" s="134" t="s">
        <v>45</v>
      </c>
      <c r="B13" s="134"/>
      <c r="C13" s="134"/>
      <c r="D13" s="134"/>
      <c r="E13" s="134"/>
      <c r="F13" s="134"/>
      <c r="G13" s="134"/>
      <c r="H13" s="134"/>
    </row>
    <row r="14" spans="1:12" ht="41.25" customHeight="1" x14ac:dyDescent="0.25">
      <c r="A14" s="84" t="s">
        <v>27</v>
      </c>
      <c r="B14" s="84" t="s">
        <v>4</v>
      </c>
      <c r="C14" s="85" t="s">
        <v>88</v>
      </c>
      <c r="D14" s="85"/>
      <c r="E14" s="84" t="s">
        <v>46</v>
      </c>
      <c r="F14" s="84" t="s">
        <v>4</v>
      </c>
      <c r="G14" s="85" t="s">
        <v>374</v>
      </c>
      <c r="H14" s="85"/>
    </row>
    <row r="15" spans="1:12" ht="132" customHeight="1" x14ac:dyDescent="0.25">
      <c r="A15" s="84" t="s">
        <v>47</v>
      </c>
      <c r="B15" s="84" t="s">
        <v>4</v>
      </c>
      <c r="C15" s="85" t="s">
        <v>413</v>
      </c>
      <c r="D15" s="85"/>
      <c r="E15" s="84" t="s">
        <v>48</v>
      </c>
      <c r="F15" s="84" t="s">
        <v>4</v>
      </c>
      <c r="G15" s="85" t="s">
        <v>380</v>
      </c>
      <c r="H15" s="85"/>
    </row>
    <row r="16" spans="1:12" ht="64.5" customHeight="1" x14ac:dyDescent="0.25">
      <c r="A16" s="84" t="s">
        <v>49</v>
      </c>
      <c r="B16" s="84" t="s">
        <v>4</v>
      </c>
      <c r="C16" s="85" t="s">
        <v>381</v>
      </c>
      <c r="D16" s="85"/>
      <c r="E16" s="84" t="s">
        <v>50</v>
      </c>
      <c r="F16" s="84" t="s">
        <v>4</v>
      </c>
      <c r="G16" s="149" t="s">
        <v>394</v>
      </c>
      <c r="H16" s="130"/>
      <c r="I16" s="78" t="s">
        <v>379</v>
      </c>
    </row>
    <row r="17" spans="1:12" ht="62.25" customHeight="1" x14ac:dyDescent="0.25">
      <c r="A17" s="84" t="s">
        <v>51</v>
      </c>
      <c r="B17" s="84" t="s">
        <v>4</v>
      </c>
      <c r="C17" s="85" t="str">
        <f>G15</f>
        <v>Tower 1 &amp; 4 = 31/12/2029
Tower 2 = 30/06/2030</v>
      </c>
      <c r="D17" s="85"/>
      <c r="E17" s="84" t="s">
        <v>52</v>
      </c>
      <c r="F17" s="84" t="s">
        <v>4</v>
      </c>
      <c r="G17" s="85" t="s">
        <v>382</v>
      </c>
      <c r="H17" s="85"/>
    </row>
    <row r="18" spans="1:12" ht="41.25" customHeight="1" x14ac:dyDescent="0.25">
      <c r="A18" s="84" t="s">
        <v>53</v>
      </c>
      <c r="B18" s="84" t="s">
        <v>4</v>
      </c>
      <c r="C18" s="85" t="str">
        <f>IF(AND(ISNUMBER(SEARCH("Flat",G21)),ISNUMBER(SEARCH("Shop",G21)),ISNUMBER(SEARCH("Office",G21))),"Residential + Commercial",IF(AND(ISNUMBER(SEARCH("Flat",G21)),ISNUMBER(SEARCH("Shop",G21))),"Residential + Commercial",IF(AND(ISNUMBER(SEARCH("Flat",G21)),ISNUMBER(SEARCH("Office",G21))),"Residential + Commercial",IF(AND(ISNUMBER(SEARCH("Shop",G21)),ISNUMBER(SEARCH("Office",G21))),"Commercial",IF(ISNUMBER(SEARCH("Shop",G21)),"Commercial",IF(ISNUMBER(SEARCH("Office",G21)),"Commercial",IF(ISNUMBER(SEARCH("Flat",G21)),"Residential")))))))</f>
        <v>Residential</v>
      </c>
      <c r="D18" s="85"/>
      <c r="E18" s="84" t="s">
        <v>96</v>
      </c>
      <c r="F18" s="84" t="s">
        <v>4</v>
      </c>
      <c r="G18" s="85">
        <v>36689.300000000003</v>
      </c>
      <c r="H18" s="85"/>
    </row>
    <row r="19" spans="1:12" ht="41.25" customHeight="1" x14ac:dyDescent="0.25">
      <c r="A19" s="84" t="s">
        <v>54</v>
      </c>
      <c r="B19" s="84" t="s">
        <v>4</v>
      </c>
      <c r="C19" s="173">
        <f>29194.05/G19</f>
        <v>1.0717015334328897</v>
      </c>
      <c r="D19" s="173"/>
      <c r="E19" s="84" t="s">
        <v>246</v>
      </c>
      <c r="F19" s="84" t="s">
        <v>4</v>
      </c>
      <c r="G19" s="85">
        <v>27240.84</v>
      </c>
      <c r="H19" s="85"/>
      <c r="I19" s="1">
        <f>54539.26+606+5807.25</f>
        <v>60952.51</v>
      </c>
    </row>
    <row r="20" spans="1:12" ht="41.25" customHeight="1" x14ac:dyDescent="0.25">
      <c r="A20" s="84" t="s">
        <v>94</v>
      </c>
      <c r="B20" s="84" t="s">
        <v>4</v>
      </c>
      <c r="C20" s="85">
        <f>60346.52+2454.27</f>
        <v>62800.789999999994</v>
      </c>
      <c r="D20" s="85"/>
      <c r="E20" s="84" t="s">
        <v>95</v>
      </c>
      <c r="F20" s="84" t="s">
        <v>4</v>
      </c>
      <c r="G20" s="85">
        <v>60346.52</v>
      </c>
      <c r="H20" s="85"/>
      <c r="I20" s="1">
        <f>16687.57+21297.97</f>
        <v>37985.54</v>
      </c>
      <c r="K20" s="1" t="s">
        <v>365</v>
      </c>
    </row>
    <row r="21" spans="1:12" ht="61.5" customHeight="1" x14ac:dyDescent="0.25">
      <c r="A21" s="84" t="s">
        <v>56</v>
      </c>
      <c r="B21" s="84" t="s">
        <v>4</v>
      </c>
      <c r="C21" s="85" t="s">
        <v>399</v>
      </c>
      <c r="D21" s="85"/>
      <c r="E21" s="84" t="s">
        <v>55</v>
      </c>
      <c r="F21" s="84" t="s">
        <v>4</v>
      </c>
      <c r="G21" s="85" t="s">
        <v>403</v>
      </c>
      <c r="H21" s="85"/>
      <c r="I21" s="76" t="s">
        <v>402</v>
      </c>
      <c r="L21" s="79" t="s">
        <v>395</v>
      </c>
    </row>
    <row r="22" spans="1:12" ht="41.25" customHeight="1" x14ac:dyDescent="0.25">
      <c r="A22" s="84" t="s">
        <v>166</v>
      </c>
      <c r="B22" s="84" t="s">
        <v>4</v>
      </c>
      <c r="C22" s="85" t="s">
        <v>312</v>
      </c>
      <c r="D22" s="85"/>
      <c r="E22" s="84" t="s">
        <v>167</v>
      </c>
      <c r="F22" s="84" t="s">
        <v>4</v>
      </c>
      <c r="G22" s="85" t="s">
        <v>314</v>
      </c>
      <c r="H22" s="85"/>
      <c r="I22" s="1">
        <f>447+34</f>
        <v>481</v>
      </c>
      <c r="J22" s="1">
        <f>226+221</f>
        <v>447</v>
      </c>
    </row>
    <row r="23" spans="1:12" ht="38.25" customHeight="1" x14ac:dyDescent="0.25">
      <c r="A23" s="84" t="s">
        <v>164</v>
      </c>
      <c r="B23" s="84" t="s">
        <v>4</v>
      </c>
      <c r="C23" s="174" t="s">
        <v>313</v>
      </c>
      <c r="D23" s="175"/>
      <c r="E23" s="175"/>
      <c r="F23" s="175"/>
      <c r="G23" s="175"/>
      <c r="H23" s="175"/>
    </row>
    <row r="24" spans="1:12" ht="47.25" customHeight="1" x14ac:dyDescent="0.25">
      <c r="A24" s="84" t="s">
        <v>25</v>
      </c>
      <c r="B24" s="84" t="s">
        <v>4</v>
      </c>
      <c r="C24" s="85" t="s">
        <v>398</v>
      </c>
      <c r="D24" s="85"/>
      <c r="E24" s="85"/>
      <c r="F24" s="85"/>
      <c r="G24" s="85"/>
      <c r="H24" s="85"/>
    </row>
    <row r="25" spans="1:12" ht="24" customHeight="1" x14ac:dyDescent="0.25">
      <c r="A25" s="134" t="s">
        <v>20</v>
      </c>
      <c r="B25" s="134"/>
      <c r="C25" s="134"/>
      <c r="D25" s="134"/>
      <c r="E25" s="134"/>
      <c r="F25" s="134"/>
      <c r="G25" s="134"/>
      <c r="H25" s="134"/>
    </row>
    <row r="26" spans="1:12" ht="43.5" customHeight="1" x14ac:dyDescent="0.25">
      <c r="A26" s="84" t="s">
        <v>26</v>
      </c>
      <c r="B26" s="84" t="s">
        <v>4</v>
      </c>
      <c r="C26" s="85" t="str">
        <f>IF(AND(G26="Upper"),"Developed","Developing")</f>
        <v>Developing</v>
      </c>
      <c r="D26" s="85"/>
      <c r="E26" s="84" t="s">
        <v>13</v>
      </c>
      <c r="F26" s="84" t="s">
        <v>4</v>
      </c>
      <c r="G26" s="85" t="s">
        <v>168</v>
      </c>
      <c r="H26" s="85"/>
    </row>
    <row r="27" spans="1:12" ht="43.5" customHeight="1" x14ac:dyDescent="0.25">
      <c r="A27" s="84" t="s">
        <v>14</v>
      </c>
      <c r="B27" s="84" t="s">
        <v>4</v>
      </c>
      <c r="C27" s="85" t="s">
        <v>99</v>
      </c>
      <c r="D27" s="85"/>
      <c r="E27" s="84" t="s">
        <v>154</v>
      </c>
      <c r="F27" s="84" t="s">
        <v>4</v>
      </c>
      <c r="G27" s="85" t="s">
        <v>315</v>
      </c>
      <c r="H27" s="85"/>
    </row>
    <row r="28" spans="1:12" ht="43.5" customHeight="1" x14ac:dyDescent="0.25">
      <c r="A28" s="84" t="s">
        <v>23</v>
      </c>
      <c r="B28" s="84" t="s">
        <v>4</v>
      </c>
      <c r="C28" s="85" t="s">
        <v>98</v>
      </c>
      <c r="D28" s="85"/>
      <c r="E28" s="84" t="s">
        <v>16</v>
      </c>
      <c r="F28" s="84" t="s">
        <v>4</v>
      </c>
      <c r="G28" s="85" t="s">
        <v>316</v>
      </c>
      <c r="H28" s="85"/>
    </row>
    <row r="29" spans="1:12" ht="63.75" customHeight="1" x14ac:dyDescent="0.25">
      <c r="A29" s="84" t="s">
        <v>108</v>
      </c>
      <c r="B29" s="84" t="s">
        <v>4</v>
      </c>
      <c r="C29" s="85" t="s">
        <v>317</v>
      </c>
      <c r="D29" s="85"/>
      <c r="E29" s="84" t="s">
        <v>109</v>
      </c>
      <c r="F29" s="84" t="s">
        <v>4</v>
      </c>
      <c r="G29" s="85" t="s">
        <v>318</v>
      </c>
      <c r="H29" s="85"/>
    </row>
    <row r="30" spans="1:12" ht="84" customHeight="1" x14ac:dyDescent="0.25">
      <c r="A30" s="84" t="s">
        <v>17</v>
      </c>
      <c r="B30" s="84" t="s">
        <v>4</v>
      </c>
      <c r="C30" s="85" t="s">
        <v>319</v>
      </c>
      <c r="D30" s="85"/>
      <c r="E30" s="84" t="s">
        <v>15</v>
      </c>
      <c r="F30" s="84" t="s">
        <v>4</v>
      </c>
      <c r="G30" s="85" t="s">
        <v>320</v>
      </c>
      <c r="H30" s="85"/>
    </row>
    <row r="31" spans="1:12" ht="20.25" x14ac:dyDescent="0.25">
      <c r="A31" s="84" t="s">
        <v>114</v>
      </c>
      <c r="B31" s="84" t="s">
        <v>4</v>
      </c>
      <c r="C31" s="85" t="s">
        <v>115</v>
      </c>
      <c r="D31" s="85"/>
      <c r="E31" s="84" t="s">
        <v>116</v>
      </c>
      <c r="F31" s="84" t="s">
        <v>4</v>
      </c>
      <c r="G31" s="85" t="s">
        <v>115</v>
      </c>
      <c r="H31" s="85"/>
    </row>
    <row r="32" spans="1:12" ht="21.75" customHeight="1" x14ac:dyDescent="0.25">
      <c r="A32" s="84" t="s">
        <v>117</v>
      </c>
      <c r="B32" s="84" t="s">
        <v>4</v>
      </c>
      <c r="C32" s="85" t="s">
        <v>115</v>
      </c>
      <c r="D32" s="85"/>
      <c r="E32" s="85"/>
      <c r="F32" s="85"/>
      <c r="G32" s="85"/>
      <c r="H32" s="85"/>
    </row>
    <row r="33" spans="1:15" ht="20.25" x14ac:dyDescent="0.25">
      <c r="A33" s="150" t="s">
        <v>37</v>
      </c>
      <c r="B33" s="150"/>
      <c r="C33" s="150"/>
      <c r="D33" s="150"/>
      <c r="E33" s="150"/>
      <c r="F33" s="150"/>
      <c r="G33" s="150"/>
      <c r="H33" s="150"/>
    </row>
    <row r="34" spans="1:15" ht="43.5" customHeight="1" x14ac:dyDescent="0.25">
      <c r="A34" s="84" t="s">
        <v>18</v>
      </c>
      <c r="B34" s="84"/>
      <c r="C34" s="85" t="s">
        <v>100</v>
      </c>
      <c r="D34" s="85"/>
      <c r="E34" s="84" t="s">
        <v>19</v>
      </c>
      <c r="F34" s="84" t="s">
        <v>4</v>
      </c>
      <c r="G34" s="85" t="s">
        <v>101</v>
      </c>
      <c r="H34" s="85"/>
    </row>
    <row r="35" spans="1:15" ht="43.5" customHeight="1" x14ac:dyDescent="0.25">
      <c r="A35" s="84" t="s">
        <v>22</v>
      </c>
      <c r="B35" s="84"/>
      <c r="C35" s="85" t="s">
        <v>101</v>
      </c>
      <c r="D35" s="85"/>
      <c r="E35" s="84" t="s">
        <v>32</v>
      </c>
      <c r="F35" s="84" t="s">
        <v>4</v>
      </c>
      <c r="G35" s="85" t="s">
        <v>101</v>
      </c>
      <c r="H35" s="85"/>
    </row>
    <row r="36" spans="1:15" ht="20.25" x14ac:dyDescent="0.25">
      <c r="A36" s="84" t="s">
        <v>31</v>
      </c>
      <c r="B36" s="84"/>
      <c r="C36" s="85" t="s">
        <v>102</v>
      </c>
      <c r="D36" s="85"/>
      <c r="E36" s="84" t="s">
        <v>21</v>
      </c>
      <c r="F36" s="84" t="s">
        <v>4</v>
      </c>
      <c r="G36" s="85" t="s">
        <v>103</v>
      </c>
      <c r="H36" s="85"/>
    </row>
    <row r="37" spans="1:15" ht="20.25" x14ac:dyDescent="0.25">
      <c r="A37" s="134" t="s">
        <v>0</v>
      </c>
      <c r="B37" s="134"/>
      <c r="C37" s="134"/>
      <c r="D37" s="134"/>
      <c r="E37" s="134"/>
      <c r="F37" s="134"/>
      <c r="G37" s="134"/>
      <c r="H37" s="134"/>
    </row>
    <row r="38" spans="1:15" ht="20.25" x14ac:dyDescent="0.25">
      <c r="A38" s="126" t="s">
        <v>0</v>
      </c>
      <c r="B38" s="126"/>
      <c r="C38" s="126" t="s">
        <v>233</v>
      </c>
      <c r="D38" s="126"/>
      <c r="E38" s="126"/>
      <c r="F38" s="126" t="s">
        <v>7</v>
      </c>
      <c r="G38" s="126"/>
      <c r="H38" s="126"/>
      <c r="J38" s="124" t="s">
        <v>1</v>
      </c>
      <c r="K38" s="125"/>
      <c r="L38" s="2" t="s">
        <v>6</v>
      </c>
      <c r="M38" s="124" t="s">
        <v>2</v>
      </c>
      <c r="N38" s="125"/>
      <c r="O38" s="2" t="s">
        <v>3</v>
      </c>
    </row>
    <row r="39" spans="1:15" ht="20.25" x14ac:dyDescent="0.25">
      <c r="A39" s="128" t="s">
        <v>2</v>
      </c>
      <c r="B39" s="128"/>
      <c r="C39" s="127" t="s">
        <v>326</v>
      </c>
      <c r="D39" s="127"/>
      <c r="E39" s="127"/>
      <c r="F39" s="127" t="s">
        <v>322</v>
      </c>
      <c r="G39" s="127"/>
      <c r="H39" s="127"/>
    </row>
    <row r="40" spans="1:15" ht="20.25" x14ac:dyDescent="0.25">
      <c r="A40" s="128" t="s">
        <v>3</v>
      </c>
      <c r="B40" s="128"/>
      <c r="C40" s="127" t="s">
        <v>327</v>
      </c>
      <c r="D40" s="127"/>
      <c r="E40" s="127"/>
      <c r="F40" s="127" t="s">
        <v>323</v>
      </c>
      <c r="G40" s="127"/>
      <c r="H40" s="127"/>
    </row>
    <row r="41" spans="1:15" ht="20.25" x14ac:dyDescent="0.25">
      <c r="A41" s="128" t="s">
        <v>1</v>
      </c>
      <c r="B41" s="128"/>
      <c r="C41" s="127" t="s">
        <v>325</v>
      </c>
      <c r="D41" s="127"/>
      <c r="E41" s="127"/>
      <c r="F41" s="127" t="s">
        <v>321</v>
      </c>
      <c r="G41" s="127"/>
      <c r="H41" s="127"/>
    </row>
    <row r="42" spans="1:15" ht="20.25" x14ac:dyDescent="0.25">
      <c r="A42" s="128" t="s">
        <v>6</v>
      </c>
      <c r="B42" s="128"/>
      <c r="C42" s="127" t="s">
        <v>326</v>
      </c>
      <c r="D42" s="127"/>
      <c r="E42" s="127"/>
      <c r="F42" s="127" t="s">
        <v>324</v>
      </c>
      <c r="G42" s="127"/>
      <c r="H42" s="127"/>
    </row>
    <row r="43" spans="1:15" ht="41.25" customHeight="1" x14ac:dyDescent="0.25">
      <c r="A43" s="84" t="s">
        <v>234</v>
      </c>
      <c r="B43" s="84"/>
      <c r="C43" s="85" t="s">
        <v>98</v>
      </c>
      <c r="D43" s="85"/>
      <c r="E43" s="85"/>
      <c r="F43" s="85"/>
      <c r="G43" s="85"/>
      <c r="H43" s="85"/>
    </row>
    <row r="44" spans="1:15" ht="20.25" x14ac:dyDescent="0.25">
      <c r="A44" s="134" t="s">
        <v>57</v>
      </c>
      <c r="B44" s="134"/>
      <c r="C44" s="134"/>
      <c r="D44" s="134"/>
      <c r="E44" s="134"/>
      <c r="F44" s="134"/>
      <c r="G44" s="134"/>
      <c r="H44" s="134"/>
    </row>
    <row r="45" spans="1:15" ht="21" customHeight="1" x14ac:dyDescent="0.25">
      <c r="A45" s="126" t="s">
        <v>58</v>
      </c>
      <c r="B45" s="126"/>
      <c r="C45" s="2" t="s">
        <v>59</v>
      </c>
      <c r="D45" s="126" t="s">
        <v>152</v>
      </c>
      <c r="E45" s="126"/>
      <c r="F45" s="126"/>
      <c r="G45" s="126" t="s">
        <v>60</v>
      </c>
      <c r="H45" s="126"/>
    </row>
    <row r="46" spans="1:15" ht="86.25" customHeight="1" x14ac:dyDescent="0.25">
      <c r="A46" s="176" t="s">
        <v>333</v>
      </c>
      <c r="B46" s="176"/>
      <c r="C46" s="34" t="s">
        <v>89</v>
      </c>
      <c r="D46" s="85" t="s">
        <v>330</v>
      </c>
      <c r="E46" s="85"/>
      <c r="F46" s="85"/>
      <c r="G46" s="85" t="s">
        <v>328</v>
      </c>
      <c r="H46" s="85"/>
    </row>
    <row r="47" spans="1:15" ht="84.75" customHeight="1" x14ac:dyDescent="0.25">
      <c r="A47" s="176" t="s">
        <v>383</v>
      </c>
      <c r="B47" s="176"/>
      <c r="C47" s="34" t="s">
        <v>89</v>
      </c>
      <c r="D47" s="130" t="s">
        <v>331</v>
      </c>
      <c r="E47" s="130"/>
      <c r="F47" s="130"/>
      <c r="G47" s="130" t="s">
        <v>329</v>
      </c>
      <c r="H47" s="130"/>
    </row>
    <row r="48" spans="1:15" ht="84.75" customHeight="1" x14ac:dyDescent="0.25">
      <c r="A48" s="176" t="s">
        <v>358</v>
      </c>
      <c r="B48" s="176"/>
      <c r="C48" s="34" t="s">
        <v>89</v>
      </c>
      <c r="D48" s="85" t="s">
        <v>331</v>
      </c>
      <c r="E48" s="85"/>
      <c r="F48" s="85"/>
      <c r="G48" s="85" t="s">
        <v>329</v>
      </c>
      <c r="H48" s="85"/>
    </row>
    <row r="49" spans="1:10" ht="20.25" x14ac:dyDescent="0.25">
      <c r="A49" s="134" t="s">
        <v>61</v>
      </c>
      <c r="B49" s="134"/>
      <c r="C49" s="134"/>
      <c r="D49" s="134"/>
      <c r="E49" s="134"/>
      <c r="F49" s="134"/>
      <c r="G49" s="134"/>
      <c r="H49" s="134"/>
    </row>
    <row r="50" spans="1:10" ht="42.75" customHeight="1" x14ac:dyDescent="0.25">
      <c r="A50" s="84" t="s">
        <v>62</v>
      </c>
      <c r="B50" s="84" t="s">
        <v>4</v>
      </c>
      <c r="C50" s="85" t="s">
        <v>98</v>
      </c>
      <c r="D50" s="85"/>
      <c r="E50" s="85"/>
      <c r="F50" s="85"/>
      <c r="G50" s="85"/>
      <c r="H50" s="85"/>
    </row>
    <row r="51" spans="1:10" ht="44.25" customHeight="1" x14ac:dyDescent="0.25">
      <c r="A51" s="84" t="s">
        <v>63</v>
      </c>
      <c r="B51" s="84" t="s">
        <v>4</v>
      </c>
      <c r="C51" s="85" t="s">
        <v>384</v>
      </c>
      <c r="D51" s="85"/>
      <c r="E51" s="85"/>
      <c r="F51" s="85"/>
      <c r="G51" s="51" t="s">
        <v>235</v>
      </c>
      <c r="H51" s="72">
        <v>45582</v>
      </c>
    </row>
    <row r="52" spans="1:10" ht="44.25" customHeight="1" x14ac:dyDescent="0.25">
      <c r="A52" s="84" t="s">
        <v>64</v>
      </c>
      <c r="B52" s="84" t="s">
        <v>4</v>
      </c>
      <c r="C52" s="85" t="str">
        <f>C51</f>
        <v xml:space="preserve">P-12131/2022/(611 And Other)/S Ward/KANJUR-W/337/3/Amend </v>
      </c>
      <c r="D52" s="85"/>
      <c r="E52" s="85"/>
      <c r="F52" s="85"/>
      <c r="G52" s="51" t="s">
        <v>235</v>
      </c>
      <c r="H52" s="72">
        <f>H51</f>
        <v>45582</v>
      </c>
    </row>
    <row r="53" spans="1:10" ht="44.25" hidden="1" customHeight="1" x14ac:dyDescent="0.25">
      <c r="A53" s="84" t="s">
        <v>247</v>
      </c>
      <c r="B53" s="84"/>
      <c r="C53" s="85" t="s">
        <v>411</v>
      </c>
      <c r="D53" s="85"/>
      <c r="E53" s="85"/>
      <c r="F53" s="85"/>
      <c r="G53" s="51" t="s">
        <v>235</v>
      </c>
      <c r="H53" s="72">
        <v>45712</v>
      </c>
    </row>
    <row r="54" spans="1:10" ht="105.75" hidden="1" customHeight="1" x14ac:dyDescent="0.25">
      <c r="A54" s="84"/>
      <c r="B54" s="84"/>
      <c r="C54" s="85" t="s">
        <v>421</v>
      </c>
      <c r="D54" s="85"/>
      <c r="E54" s="85"/>
      <c r="F54" s="85"/>
      <c r="G54" s="51" t="s">
        <v>248</v>
      </c>
      <c r="H54" s="72">
        <v>46076</v>
      </c>
    </row>
    <row r="55" spans="1:10" ht="46.5" hidden="1" customHeight="1" x14ac:dyDescent="0.25">
      <c r="A55" s="84" t="s">
        <v>65</v>
      </c>
      <c r="B55" s="84" t="s">
        <v>4</v>
      </c>
      <c r="C55" s="85"/>
      <c r="D55" s="85"/>
      <c r="E55" s="85"/>
      <c r="F55" s="85"/>
      <c r="G55" s="51" t="s">
        <v>236</v>
      </c>
      <c r="H55" s="36"/>
    </row>
    <row r="56" spans="1:10" ht="45" hidden="1" customHeight="1" x14ac:dyDescent="0.25">
      <c r="A56" s="84" t="s">
        <v>67</v>
      </c>
      <c r="B56" s="84" t="s">
        <v>4</v>
      </c>
      <c r="C56" s="85"/>
      <c r="D56" s="85"/>
      <c r="E56" s="85"/>
      <c r="F56" s="85"/>
      <c r="G56" s="51" t="s">
        <v>236</v>
      </c>
      <c r="H56" s="36"/>
      <c r="I56" s="1" t="str">
        <f>CONCATENATE((IF(OR(A46="",A46="NA"),"",A46)),"= ",(IF(OR(D46="",D46="NA"),"",D46)),".")</f>
        <v>Wing T1 (Tower 1)= B + Gr + 1st Pod + Retail Floor + 2nd To 3rd Podium + Service Floor /Podium Top + 1st  To 34th Floor.</v>
      </c>
    </row>
    <row r="57" spans="1:10" ht="46.5" hidden="1" customHeight="1" x14ac:dyDescent="0.25">
      <c r="A57" s="84" t="s">
        <v>66</v>
      </c>
      <c r="B57" s="84" t="s">
        <v>4</v>
      </c>
      <c r="C57" s="85"/>
      <c r="D57" s="85"/>
      <c r="E57" s="85"/>
      <c r="F57" s="85"/>
      <c r="G57" s="51" t="s">
        <v>236</v>
      </c>
      <c r="H57" s="36"/>
    </row>
    <row r="58" spans="1:10" ht="45" hidden="1" customHeight="1" x14ac:dyDescent="0.25">
      <c r="A58" s="84" t="s">
        <v>68</v>
      </c>
      <c r="B58" s="84" t="s">
        <v>4</v>
      </c>
      <c r="C58" s="85"/>
      <c r="D58" s="85"/>
      <c r="E58" s="85"/>
      <c r="F58" s="85"/>
      <c r="G58" s="51" t="s">
        <v>236</v>
      </c>
      <c r="H58" s="36"/>
    </row>
    <row r="59" spans="1:10" ht="44.25" customHeight="1" x14ac:dyDescent="0.25">
      <c r="A59" s="84" t="s">
        <v>247</v>
      </c>
      <c r="B59" s="84"/>
      <c r="C59" s="85" t="s">
        <v>418</v>
      </c>
      <c r="D59" s="85"/>
      <c r="E59" s="85"/>
      <c r="F59" s="85"/>
      <c r="G59" s="51" t="s">
        <v>235</v>
      </c>
      <c r="H59" s="72">
        <v>45798</v>
      </c>
    </row>
    <row r="60" spans="1:10" ht="88.15" customHeight="1" x14ac:dyDescent="0.25">
      <c r="A60" s="84"/>
      <c r="B60" s="84"/>
      <c r="C60" s="85" t="s">
        <v>419</v>
      </c>
      <c r="D60" s="85"/>
      <c r="E60" s="85"/>
      <c r="F60" s="85"/>
      <c r="G60" s="51" t="s">
        <v>248</v>
      </c>
      <c r="H60" s="72">
        <v>46072</v>
      </c>
    </row>
    <row r="61" spans="1:10" ht="44.25" customHeight="1" x14ac:dyDescent="0.25">
      <c r="A61" s="84" t="s">
        <v>247</v>
      </c>
      <c r="B61" s="84"/>
      <c r="C61" s="85" t="s">
        <v>420</v>
      </c>
      <c r="D61" s="85"/>
      <c r="E61" s="85"/>
      <c r="F61" s="85"/>
      <c r="G61" s="51" t="s">
        <v>235</v>
      </c>
      <c r="H61" s="72">
        <v>45819</v>
      </c>
    </row>
    <row r="62" spans="1:10" ht="131.44999999999999" customHeight="1" x14ac:dyDescent="0.25">
      <c r="A62" s="84"/>
      <c r="B62" s="84"/>
      <c r="C62" s="85" t="s">
        <v>422</v>
      </c>
      <c r="D62" s="85"/>
      <c r="E62" s="85"/>
      <c r="F62" s="85"/>
      <c r="G62" s="51" t="s">
        <v>248</v>
      </c>
      <c r="H62" s="72">
        <v>46072</v>
      </c>
    </row>
    <row r="63" spans="1:10" ht="21" thickBot="1" x14ac:dyDescent="0.3">
      <c r="A63" s="134" t="s">
        <v>69</v>
      </c>
      <c r="B63" s="134"/>
      <c r="C63" s="134"/>
      <c r="D63" s="134"/>
      <c r="E63" s="134"/>
      <c r="F63" s="134"/>
      <c r="G63" s="134"/>
      <c r="H63" s="134"/>
    </row>
    <row r="64" spans="1:10" ht="42" customHeight="1" x14ac:dyDescent="0.3">
      <c r="A64" s="169" t="str">
        <f>CONCATENATE((IF(OR(A46="",A46="NA"),"",A46)),"= ",(IF(OR(D46="",D46="NA"),"",D46)),".")</f>
        <v>Wing T1 (Tower 1)= B + Gr + 1st Pod + Retail Floor + 2nd To 3rd Podium + Service Floor /Podium Top + 1st  To 34th Floor.</v>
      </c>
      <c r="B64" s="169"/>
      <c r="C64" s="169"/>
      <c r="D64" s="29" t="s">
        <v>118</v>
      </c>
      <c r="E64" s="170" t="s">
        <v>105</v>
      </c>
      <c r="F64" s="170"/>
      <c r="G64" s="29" t="s">
        <v>119</v>
      </c>
      <c r="H64" s="29" t="s">
        <v>120</v>
      </c>
      <c r="I64" s="14" t="str">
        <f ca="1">(IF(E67&gt;99%,"All work completed. Please provide OC.",IF(E67&gt;89.8%,"Plinth, RCC, Brick, Plaster, Flooring, Wooden, Plumbing, Electrification, etc.,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completed","0")))))))))))&amp;(IF(C69=(E65+G65+H65),", RCC Slab",IF(C69&gt;0,", RCC upto "&amp;C69&amp;" Slab",""))&amp;(IF(C70=H65,", Brickwork",IF(C70&gt;0,", Brickwork upto "&amp;C70&amp;" Floor",""))&amp;(IF(C71=H65,", Internal Plaster",IF(C71&gt;0,", Internal Plaster upto "&amp;C71&amp;" Floor",""))&amp;(IF(C72=H65,", External Plaster",IF(C72&gt;0,", External Plaster upto "&amp;C72&amp;" Floor",""))&amp;(IF(C73=H65,", External Plumbing, Elevation and Waterproofing",IF(C73&gt;0,", External Plumbing, Elevation and Waterproofing upto "&amp;C73&amp;" Floor",""))&amp;(IF(C74=H65,", Flooring &amp; Fitting",IF(C74&gt;0,", Flooring &amp; Fitting upto "&amp;C74&amp;" Floor",""))&amp;(IF(C75=H65,", Wooden Work",IF(C75&gt;0,", Wooden Work upto "&amp;C75&amp;" Floor",""))&amp;(IF(C76=H65,", Electrical &amp; Sanitary fittings",IF(C76&gt;0,", Electrical &amp; Sanitary fittings upto "&amp;C76&amp;" Floor",""))&amp;(IF(C77&gt;0,", Finishing upto "&amp;C77&amp;" Floor","")&amp;(IF(C69&gt;0.5," Completed",""))))))))))))))))</f>
        <v>Excavation work Completed. Plinth work is process</v>
      </c>
      <c r="J64" s="16"/>
    </row>
    <row r="65" spans="1:11" ht="43.5" customHeight="1" x14ac:dyDescent="0.3">
      <c r="A65" s="169"/>
      <c r="B65" s="169"/>
      <c r="C65" s="169"/>
      <c r="D65" s="29">
        <v>1</v>
      </c>
      <c r="E65" s="170">
        <v>1</v>
      </c>
      <c r="F65" s="170"/>
      <c r="G65" s="29">
        <v>3</v>
      </c>
      <c r="H65" s="29">
        <f ca="1">--TRIM(RIGHT(SUBSTITUTE(LEFT(A64,_xlfn.AGGREGATE(16,6,FIND({0,1,2,3,4,5,6,7,8,9},A64,ROW(INDIRECT("1:"&amp;LEN(A64)))),1))," ",REPT(" ",LEN(A64))),LEN(A64)))</f>
        <v>34</v>
      </c>
      <c r="I65" s="15" t="s">
        <v>124</v>
      </c>
      <c r="J65" s="16"/>
    </row>
    <row r="66" spans="1:11" ht="20.25" customHeight="1" x14ac:dyDescent="0.3">
      <c r="A66" s="114" t="s">
        <v>122</v>
      </c>
      <c r="B66" s="114"/>
      <c r="C66" s="30" t="s">
        <v>136</v>
      </c>
      <c r="D66" s="30" t="s">
        <v>137</v>
      </c>
      <c r="E66" s="114" t="s">
        <v>123</v>
      </c>
      <c r="F66" s="114"/>
      <c r="G66" s="26" t="s">
        <v>121</v>
      </c>
      <c r="H66" s="26"/>
      <c r="I66" s="18" t="s">
        <v>138</v>
      </c>
      <c r="J66" s="17">
        <f ca="1">H65*25%</f>
        <v>8.5</v>
      </c>
    </row>
    <row r="67" spans="1:11" ht="20.25" customHeight="1" x14ac:dyDescent="0.3">
      <c r="A67" s="115" t="s">
        <v>139</v>
      </c>
      <c r="B67" s="115"/>
      <c r="C67" s="29">
        <v>34</v>
      </c>
      <c r="D67" s="28">
        <f ca="1">((100/H65)*C67)/100</f>
        <v>1</v>
      </c>
      <c r="E67" s="116">
        <f ca="1">(((C67/H65*10)+(C68/H65*15)+(25/(E65+G65+H65)*C69)+(5/(H65)*C70)+(2.5/(H65)*C71)+(2.5/(H65)*C72)+(5/H65*C73)+(10/H65*C74)+(2.5/H65*C75)+(2.5/H65*C76)+(10/H65*C77)+(10/H65*C78))/100)</f>
        <v>0.21249999999999999</v>
      </c>
      <c r="F67" s="117"/>
      <c r="G67" s="115" t="str">
        <f ca="1">I64</f>
        <v>Excavation work Completed. Plinth work is process</v>
      </c>
      <c r="H67" s="115"/>
      <c r="I67" s="18" t="s">
        <v>125</v>
      </c>
      <c r="J67" s="22">
        <f ca="1">H65*50%</f>
        <v>17</v>
      </c>
    </row>
    <row r="68" spans="1:11" ht="20.25" x14ac:dyDescent="0.3">
      <c r="A68" s="115" t="s">
        <v>106</v>
      </c>
      <c r="B68" s="115"/>
      <c r="C68" s="80">
        <f ca="1">J75</f>
        <v>25.5</v>
      </c>
      <c r="D68" s="28">
        <f ca="1">((100/H65)*C68)/100</f>
        <v>0.75</v>
      </c>
      <c r="E68" s="118"/>
      <c r="F68" s="119"/>
      <c r="G68" s="115"/>
      <c r="H68" s="115"/>
      <c r="I68" s="18" t="s">
        <v>126</v>
      </c>
      <c r="J68" s="22">
        <f ca="1">H65</f>
        <v>34</v>
      </c>
    </row>
    <row r="69" spans="1:11" ht="21" customHeight="1" x14ac:dyDescent="0.35">
      <c r="A69" s="115" t="s">
        <v>140</v>
      </c>
      <c r="B69" s="115"/>
      <c r="C69" s="29">
        <v>0</v>
      </c>
      <c r="D69" s="28">
        <f ca="1">((100/(E65+G65+H65))*C69)/100</f>
        <v>0</v>
      </c>
      <c r="E69" s="118"/>
      <c r="F69" s="119"/>
      <c r="G69" s="115"/>
      <c r="H69" s="115"/>
      <c r="I69" s="18" t="s">
        <v>127</v>
      </c>
      <c r="J69" s="23">
        <f ca="1">(IF(D65&gt;1,(H65/(D65+2)),H65/4))</f>
        <v>8.5</v>
      </c>
    </row>
    <row r="70" spans="1:11" ht="21" customHeight="1" x14ac:dyDescent="0.35">
      <c r="A70" s="115" t="s">
        <v>141</v>
      </c>
      <c r="B70" s="115"/>
      <c r="C70" s="29">
        <v>0</v>
      </c>
      <c r="D70" s="28">
        <f ca="1">((100/H65)*C70)/100</f>
        <v>0</v>
      </c>
      <c r="E70" s="118"/>
      <c r="F70" s="119"/>
      <c r="G70" s="115"/>
      <c r="H70" s="115"/>
      <c r="I70" s="18" t="s">
        <v>128</v>
      </c>
      <c r="J70" s="23">
        <f ca="1">(IF(D65&gt;1,(H65/(D65+2)+J69),H65/4+J69))</f>
        <v>17</v>
      </c>
    </row>
    <row r="71" spans="1:11" ht="21" customHeight="1" x14ac:dyDescent="0.35">
      <c r="A71" s="122" t="s">
        <v>142</v>
      </c>
      <c r="B71" s="123"/>
      <c r="C71" s="29">
        <v>0</v>
      </c>
      <c r="D71" s="28">
        <f ca="1">((100/H65)*C71)/100</f>
        <v>0</v>
      </c>
      <c r="E71" s="118"/>
      <c r="F71" s="119"/>
      <c r="G71" s="115"/>
      <c r="H71" s="115"/>
      <c r="I71" s="18" t="s">
        <v>143</v>
      </c>
      <c r="J71" s="23">
        <f>(IF(D65&gt;1,(H65/(D65+2)+J70),0))</f>
        <v>0</v>
      </c>
    </row>
    <row r="72" spans="1:11" ht="21" customHeight="1" x14ac:dyDescent="0.35">
      <c r="A72" s="122" t="s">
        <v>174</v>
      </c>
      <c r="B72" s="123"/>
      <c r="C72" s="29">
        <v>0</v>
      </c>
      <c r="D72" s="28">
        <f ca="1">((100/H65)*C72)/100</f>
        <v>0</v>
      </c>
      <c r="E72" s="118"/>
      <c r="F72" s="119"/>
      <c r="G72" s="115"/>
      <c r="H72" s="115"/>
      <c r="I72" s="18" t="s">
        <v>144</v>
      </c>
      <c r="J72" s="23">
        <f>(IF(D65&gt;2,(H65/(D65+2)+J71),0))</f>
        <v>0</v>
      </c>
    </row>
    <row r="73" spans="1:11" ht="63.75" customHeight="1" x14ac:dyDescent="0.35">
      <c r="A73" s="122" t="s">
        <v>171</v>
      </c>
      <c r="B73" s="123"/>
      <c r="C73" s="29">
        <v>0</v>
      </c>
      <c r="D73" s="28">
        <f ca="1">((100/(H65))*C73)/100</f>
        <v>0</v>
      </c>
      <c r="E73" s="118"/>
      <c r="F73" s="119"/>
      <c r="G73" s="115"/>
      <c r="H73" s="115"/>
      <c r="I73" s="18" t="s">
        <v>146</v>
      </c>
      <c r="J73" s="24">
        <f>(IF(D65&gt;3,(H65/(D65+2)+J72),0))</f>
        <v>0</v>
      </c>
    </row>
    <row r="74" spans="1:11" ht="21" customHeight="1" x14ac:dyDescent="0.35">
      <c r="A74" s="115" t="s">
        <v>145</v>
      </c>
      <c r="B74" s="115"/>
      <c r="C74" s="29">
        <v>0</v>
      </c>
      <c r="D74" s="28">
        <f ca="1">((100/(H65))*C74)/100</f>
        <v>0</v>
      </c>
      <c r="E74" s="118"/>
      <c r="F74" s="119"/>
      <c r="G74" s="115"/>
      <c r="H74" s="115"/>
      <c r="I74" s="18" t="s">
        <v>147</v>
      </c>
      <c r="J74" s="23">
        <f>(IF(D65&gt;4,(H65/(D65+2)+J73),0))</f>
        <v>0</v>
      </c>
    </row>
    <row r="75" spans="1:11" ht="21" customHeight="1" x14ac:dyDescent="0.35">
      <c r="A75" s="115" t="s">
        <v>173</v>
      </c>
      <c r="B75" s="115"/>
      <c r="C75" s="29">
        <v>0</v>
      </c>
      <c r="D75" s="28">
        <f ca="1">((100/H65)*C75)/100</f>
        <v>0</v>
      </c>
      <c r="E75" s="118"/>
      <c r="F75" s="119"/>
      <c r="G75" s="115"/>
      <c r="H75" s="115"/>
      <c r="I75" s="18" t="s">
        <v>129</v>
      </c>
      <c r="J75" s="23">
        <f ca="1">(IF(D65=1,(H65/(D65+3)+J70),IF(D65=0,(H65/4+J70),IF(D65&gt;1,0))))</f>
        <v>25.5</v>
      </c>
    </row>
    <row r="76" spans="1:11" ht="21.75" customHeight="1" thickBot="1" x14ac:dyDescent="0.4">
      <c r="A76" s="115" t="s">
        <v>172</v>
      </c>
      <c r="B76" s="115"/>
      <c r="C76" s="29">
        <v>0</v>
      </c>
      <c r="D76" s="28">
        <f ca="1">((100/H65)*C76)/100</f>
        <v>0</v>
      </c>
      <c r="E76" s="118"/>
      <c r="F76" s="119"/>
      <c r="G76" s="115"/>
      <c r="H76" s="115"/>
      <c r="I76" s="20" t="s">
        <v>130</v>
      </c>
      <c r="J76" s="25">
        <f ca="1">(IF(D65&gt;1.5,(H65/(D65+2)+J70+MAX(0,J71-J70)+MAX(0,J72-J71)+MAX(0,J73-J72)+MAX(0,J74-J73)+MAX(0,J75-J74)),IF(D65=1,(H65/(D65+3)+J75),IF(D65=0,H65/4+J75))))</f>
        <v>34</v>
      </c>
      <c r="K76" s="83"/>
    </row>
    <row r="77" spans="1:11" ht="20.25" customHeight="1" x14ac:dyDescent="0.25">
      <c r="A77" s="115" t="s">
        <v>148</v>
      </c>
      <c r="B77" s="115"/>
      <c r="C77" s="29">
        <v>0</v>
      </c>
      <c r="D77" s="28">
        <f ca="1">((100/(H65))*C77)/100</f>
        <v>0</v>
      </c>
      <c r="E77" s="118"/>
      <c r="F77" s="119"/>
      <c r="G77" s="115"/>
      <c r="H77" s="115"/>
    </row>
    <row r="78" spans="1:11" ht="20.25" x14ac:dyDescent="0.25">
      <c r="A78" s="115" t="s">
        <v>149</v>
      </c>
      <c r="B78" s="115"/>
      <c r="C78" s="29">
        <v>0</v>
      </c>
      <c r="D78" s="28">
        <f ca="1">((100/(H65))*C78)/100</f>
        <v>0</v>
      </c>
      <c r="E78" s="120"/>
      <c r="F78" s="121"/>
      <c r="G78" s="115"/>
      <c r="H78" s="115"/>
    </row>
    <row r="79" spans="1:11" ht="21" thickBot="1" x14ac:dyDescent="0.3">
      <c r="A79" s="134" t="s">
        <v>69</v>
      </c>
      <c r="B79" s="134"/>
      <c r="C79" s="134"/>
      <c r="D79" s="134"/>
      <c r="E79" s="134"/>
      <c r="F79" s="134"/>
      <c r="G79" s="134"/>
      <c r="H79" s="134"/>
    </row>
    <row r="80" spans="1:11" ht="40.5" customHeight="1" x14ac:dyDescent="0.3">
      <c r="A80" s="169" t="str">
        <f>CONCATENATE((IF(OR(A47="",A47="NA"),"",A47)),"= ",(IF(OR(D47="",D47="NA"),"",D47)),".")</f>
        <v>Wing T2 (Tower 2)= B + Gr + 1st Pod + Retail Floor + 2nd To 3rd Podium + Service Floor /Podium Top + 1st To 34th Floor.</v>
      </c>
      <c r="B80" s="169"/>
      <c r="C80" s="169"/>
      <c r="D80" s="29" t="s">
        <v>118</v>
      </c>
      <c r="E80" s="170" t="s">
        <v>105</v>
      </c>
      <c r="F80" s="170"/>
      <c r="G80" s="29" t="s">
        <v>119</v>
      </c>
      <c r="H80" s="29" t="s">
        <v>120</v>
      </c>
      <c r="I80" s="14" t="str">
        <f ca="1">(IF(E83&gt;99%,"All work completed. Please provide OC.",IF(E83&gt;89.8%,"Plinth, RCC, Brick, Plaster, Flooring, Wooden, Plumbing, Electrification, etc.,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completed","0")))))))))))&amp;(IF(C85=(E81+G81+H81),", RCC Slab",IF(C85&gt;0,", RCC upto "&amp;C85&amp;" Slab",""))&amp;(IF(C86=H81,", Brickwork",IF(C86&gt;0,", Brickwork upto "&amp;C86&amp;" Floor",""))&amp;(IF(C87=H81,", Internal Plaster",IF(C87&gt;0,", Internal Plaster upto "&amp;C87&amp;" Floor",""))&amp;(IF(C88=H81,", External Plaster",IF(C88&gt;0,", External Plaster upto "&amp;C88&amp;" Floor",""))&amp;(IF(C89=H81,", External Plumbing, Elevation and Waterproofing",IF(C89&gt;0,", External Plumbing, Elevation and Waterproofing upto "&amp;C89&amp;" Floor",""))&amp;(IF(C90=H81,", Flooring &amp; Fitting",IF(C90&gt;0,", Flooring &amp; Fitting upto "&amp;C90&amp;" Floor",""))&amp;(IF(C91=H81,", Wooden Work",IF(C91&gt;0,", Wooden Work upto "&amp;C91&amp;" Floor",""))&amp;(IF(C92=H81,", Electrical &amp; Sanitary fittings",IF(C92&gt;0,", Electrical &amp; Sanitary fittings upto "&amp;C92&amp;" Floor",""))&amp;(IF(C93&gt;0,", Finishing upto "&amp;C93&amp;" Floor","")&amp;(IF(C85&gt;0.5," Completed",""))))))))))))))))</f>
        <v>Excavation work Completed. Plinth work is process</v>
      </c>
      <c r="J80" s="16"/>
    </row>
    <row r="81" spans="1:10" ht="45.75" customHeight="1" x14ac:dyDescent="0.3">
      <c r="A81" s="169"/>
      <c r="B81" s="169"/>
      <c r="C81" s="169"/>
      <c r="D81" s="29">
        <v>1</v>
      </c>
      <c r="E81" s="170">
        <v>1</v>
      </c>
      <c r="F81" s="170"/>
      <c r="G81" s="29">
        <v>3</v>
      </c>
      <c r="H81" s="29">
        <f ca="1">--TRIM(RIGHT(SUBSTITUTE(LEFT(A80,_xlfn.AGGREGATE(16,6,FIND({0,1,2,3,4,5,6,7,8,9},A80,ROW(INDIRECT("1:"&amp;LEN(A80)))),1))," ",REPT(" ",LEN(A80))),LEN(A80)))</f>
        <v>34</v>
      </c>
      <c r="I81" s="15" t="s">
        <v>124</v>
      </c>
      <c r="J81" s="16"/>
    </row>
    <row r="82" spans="1:10" ht="20.25" customHeight="1" x14ac:dyDescent="0.3">
      <c r="A82" s="114" t="s">
        <v>122</v>
      </c>
      <c r="B82" s="114"/>
      <c r="C82" s="30" t="s">
        <v>136</v>
      </c>
      <c r="D82" s="30" t="s">
        <v>137</v>
      </c>
      <c r="E82" s="114" t="s">
        <v>123</v>
      </c>
      <c r="F82" s="114"/>
      <c r="G82" s="26" t="s">
        <v>121</v>
      </c>
      <c r="H82" s="26"/>
      <c r="I82" s="18" t="s">
        <v>138</v>
      </c>
      <c r="J82" s="17">
        <f ca="1">H81*25%</f>
        <v>8.5</v>
      </c>
    </row>
    <row r="83" spans="1:10" ht="20.25" customHeight="1" x14ac:dyDescent="0.3">
      <c r="A83" s="115" t="s">
        <v>139</v>
      </c>
      <c r="B83" s="115"/>
      <c r="C83" s="29">
        <v>34</v>
      </c>
      <c r="D83" s="28">
        <f ca="1">((100/H81)*C83)/100</f>
        <v>1</v>
      </c>
      <c r="E83" s="116">
        <f ca="1">(((C83/H81*10)+(C84/H81*15)+(25/(E81+G81+H81)*C85)+(5/(H81)*C86)+(2.5/(H81)*C87)+(2.5/(H81)*C88)+(5/H81*C89)+(10/H81*C90)+(2.5/H81*C91)+(2.5/H81*C92)+(10/H81*C93)+(10/H81*C94))/100)</f>
        <v>0.21249999999999999</v>
      </c>
      <c r="F83" s="117"/>
      <c r="G83" s="115" t="str">
        <f ca="1">I80</f>
        <v>Excavation work Completed. Plinth work is process</v>
      </c>
      <c r="H83" s="115"/>
      <c r="I83" s="18" t="s">
        <v>125</v>
      </c>
      <c r="J83" s="22">
        <f ca="1">H81*50%</f>
        <v>17</v>
      </c>
    </row>
    <row r="84" spans="1:10" ht="20.25" x14ac:dyDescent="0.3">
      <c r="A84" s="115" t="s">
        <v>106</v>
      </c>
      <c r="B84" s="115"/>
      <c r="C84" s="80">
        <f ca="1">J91</f>
        <v>25.5</v>
      </c>
      <c r="D84" s="28">
        <f ca="1">((100/H81)*C84)/100</f>
        <v>0.75</v>
      </c>
      <c r="E84" s="118"/>
      <c r="F84" s="119"/>
      <c r="G84" s="115"/>
      <c r="H84" s="115"/>
      <c r="I84" s="18" t="s">
        <v>126</v>
      </c>
      <c r="J84" s="22">
        <f ca="1">H81</f>
        <v>34</v>
      </c>
    </row>
    <row r="85" spans="1:10" ht="21" customHeight="1" x14ac:dyDescent="0.35">
      <c r="A85" s="115" t="s">
        <v>140</v>
      </c>
      <c r="B85" s="115"/>
      <c r="C85" s="29">
        <v>0</v>
      </c>
      <c r="D85" s="28">
        <f ca="1">((100/(E81+G81+H81))*C85)/100</f>
        <v>0</v>
      </c>
      <c r="E85" s="118"/>
      <c r="F85" s="119"/>
      <c r="G85" s="115"/>
      <c r="H85" s="115"/>
      <c r="I85" s="18" t="s">
        <v>127</v>
      </c>
      <c r="J85" s="23">
        <f ca="1">(IF(D81&gt;1,(H81/(D81+2)),H81/4))</f>
        <v>8.5</v>
      </c>
    </row>
    <row r="86" spans="1:10" ht="21" customHeight="1" x14ac:dyDescent="0.35">
      <c r="A86" s="115" t="s">
        <v>141</v>
      </c>
      <c r="B86" s="115"/>
      <c r="C86" s="29">
        <v>0</v>
      </c>
      <c r="D86" s="28">
        <f ca="1">((100/H81)*C86)/100</f>
        <v>0</v>
      </c>
      <c r="E86" s="118"/>
      <c r="F86" s="119"/>
      <c r="G86" s="115"/>
      <c r="H86" s="115"/>
      <c r="I86" s="18" t="s">
        <v>128</v>
      </c>
      <c r="J86" s="23">
        <f ca="1">(IF(D81&gt;1,(H81/(D81+2)+J85),H81/4+J85))</f>
        <v>17</v>
      </c>
    </row>
    <row r="87" spans="1:10" ht="21" customHeight="1" x14ac:dyDescent="0.35">
      <c r="A87" s="122" t="s">
        <v>142</v>
      </c>
      <c r="B87" s="123"/>
      <c r="C87" s="29">
        <v>0</v>
      </c>
      <c r="D87" s="28">
        <f ca="1">((100/H81)*C87)/100</f>
        <v>0</v>
      </c>
      <c r="E87" s="118"/>
      <c r="F87" s="119"/>
      <c r="G87" s="115"/>
      <c r="H87" s="115"/>
      <c r="I87" s="18" t="s">
        <v>143</v>
      </c>
      <c r="J87" s="23">
        <f>(IF(D81&gt;1,(H81/(D81+2)+J86),0))</f>
        <v>0</v>
      </c>
    </row>
    <row r="88" spans="1:10" ht="21" customHeight="1" x14ac:dyDescent="0.35">
      <c r="A88" s="122" t="s">
        <v>174</v>
      </c>
      <c r="B88" s="123"/>
      <c r="C88" s="29">
        <v>0</v>
      </c>
      <c r="D88" s="28">
        <f ca="1">((100/H81)*C88)/100</f>
        <v>0</v>
      </c>
      <c r="E88" s="118"/>
      <c r="F88" s="119"/>
      <c r="G88" s="115"/>
      <c r="H88" s="115"/>
      <c r="I88" s="18" t="s">
        <v>144</v>
      </c>
      <c r="J88" s="23">
        <f>(IF(D81&gt;2,(H81/(D81+2)+J87),0))</f>
        <v>0</v>
      </c>
    </row>
    <row r="89" spans="1:10" ht="57.75" customHeight="1" x14ac:dyDescent="0.35">
      <c r="A89" s="122" t="s">
        <v>171</v>
      </c>
      <c r="B89" s="123"/>
      <c r="C89" s="29">
        <v>0</v>
      </c>
      <c r="D89" s="28">
        <f ca="1">((100/(H81))*C89)/100</f>
        <v>0</v>
      </c>
      <c r="E89" s="118"/>
      <c r="F89" s="119"/>
      <c r="G89" s="115"/>
      <c r="H89" s="115"/>
      <c r="I89" s="18" t="s">
        <v>146</v>
      </c>
      <c r="J89" s="24">
        <f>(IF(D81&gt;3,(H81/(D81+2)+J88),0))</f>
        <v>0</v>
      </c>
    </row>
    <row r="90" spans="1:10" ht="21" customHeight="1" x14ac:dyDescent="0.35">
      <c r="A90" s="115" t="s">
        <v>145</v>
      </c>
      <c r="B90" s="115"/>
      <c r="C90" s="29">
        <v>0</v>
      </c>
      <c r="D90" s="28">
        <f ca="1">((100/(H81))*C90)/100</f>
        <v>0</v>
      </c>
      <c r="E90" s="118"/>
      <c r="F90" s="119"/>
      <c r="G90" s="115"/>
      <c r="H90" s="115"/>
      <c r="I90" s="18" t="s">
        <v>147</v>
      </c>
      <c r="J90" s="23">
        <f>(IF(D81&gt;4,(H81/(D81+2)+J89),0))</f>
        <v>0</v>
      </c>
    </row>
    <row r="91" spans="1:10" ht="21" customHeight="1" x14ac:dyDescent="0.35">
      <c r="A91" s="115" t="s">
        <v>173</v>
      </c>
      <c r="B91" s="115"/>
      <c r="C91" s="29">
        <v>0</v>
      </c>
      <c r="D91" s="28">
        <f ca="1">((100/H81)*C91)/100</f>
        <v>0</v>
      </c>
      <c r="E91" s="118"/>
      <c r="F91" s="119"/>
      <c r="G91" s="115"/>
      <c r="H91" s="115"/>
      <c r="I91" s="18" t="s">
        <v>129</v>
      </c>
      <c r="J91" s="23">
        <f ca="1">(IF(D81=1,(H81/(D81+3)+J86),IF(D81=0,(H81/4+J86),IF(D81&gt;1,0))))</f>
        <v>25.5</v>
      </c>
    </row>
    <row r="92" spans="1:10" ht="21.75" customHeight="1" thickBot="1" x14ac:dyDescent="0.4">
      <c r="A92" s="115" t="s">
        <v>172</v>
      </c>
      <c r="B92" s="115"/>
      <c r="C92" s="29">
        <v>0</v>
      </c>
      <c r="D92" s="28">
        <f ca="1">((100/H81)*C92)/100</f>
        <v>0</v>
      </c>
      <c r="E92" s="118"/>
      <c r="F92" s="119"/>
      <c r="G92" s="115"/>
      <c r="H92" s="115"/>
      <c r="I92" s="20" t="s">
        <v>130</v>
      </c>
      <c r="J92" s="25">
        <f ca="1">(IF(D81&gt;1.5,(H81/(D81+2)+J86+MAX(0,J87-J86)+MAX(0,J88-J87)+MAX(0,J89-J88)+MAX(0,J90-J89)+MAX(0,J91-J90)),IF(D81=1,(H81/(D81+3)+J91),IF(D81=0,H81/4+J91))))</f>
        <v>34</v>
      </c>
    </row>
    <row r="93" spans="1:10" ht="20.25" customHeight="1" x14ac:dyDescent="0.25">
      <c r="A93" s="115" t="s">
        <v>148</v>
      </c>
      <c r="B93" s="115"/>
      <c r="C93" s="29">
        <v>0</v>
      </c>
      <c r="D93" s="28">
        <f ca="1">((100/(H81))*C93)/100</f>
        <v>0</v>
      </c>
      <c r="E93" s="118"/>
      <c r="F93" s="119"/>
      <c r="G93" s="115"/>
      <c r="H93" s="115"/>
    </row>
    <row r="94" spans="1:10" ht="20.25" x14ac:dyDescent="0.25">
      <c r="A94" s="115" t="s">
        <v>149</v>
      </c>
      <c r="B94" s="115"/>
      <c r="C94" s="29">
        <v>0</v>
      </c>
      <c r="D94" s="28">
        <f ca="1">((100/(H81))*C94)/100</f>
        <v>0</v>
      </c>
      <c r="E94" s="120"/>
      <c r="F94" s="121"/>
      <c r="G94" s="115"/>
      <c r="H94" s="115"/>
    </row>
    <row r="95" spans="1:10" ht="21" thickBot="1" x14ac:dyDescent="0.3">
      <c r="A95" s="134" t="s">
        <v>69</v>
      </c>
      <c r="B95" s="134"/>
      <c r="C95" s="134"/>
      <c r="D95" s="134"/>
      <c r="E95" s="134"/>
      <c r="F95" s="134"/>
      <c r="G95" s="134"/>
      <c r="H95" s="134"/>
    </row>
    <row r="96" spans="1:10" ht="20.25" customHeight="1" x14ac:dyDescent="0.3">
      <c r="A96" s="169" t="str">
        <f>CONCATENATE((IF(OR(A48="",A48="NA"),"",A48)),"= ",(IF(OR(D48="",D48="NA"),"",D48)),".")</f>
        <v>Wing T4 (Tower 4)= B + Gr + 1st Pod + Retail Floor + 2nd To 3rd Podium + Service Floor /Podium Top + 1st To 34th Floor.</v>
      </c>
      <c r="B96" s="169"/>
      <c r="C96" s="169"/>
      <c r="D96" s="29" t="s">
        <v>118</v>
      </c>
      <c r="E96" s="170" t="s">
        <v>105</v>
      </c>
      <c r="F96" s="170"/>
      <c r="G96" s="29" t="s">
        <v>119</v>
      </c>
      <c r="H96" s="29" t="s">
        <v>120</v>
      </c>
      <c r="I96" s="14" t="str">
        <f ca="1">(IF(E99&gt;99%,"All work completed. Please provide OC.",IF(E99&gt;89.8%,"Plinth, RCC, Brick, Plaster, Flooring, Wooden, Plumbing, Electrification, etc., work Completed. Finishing work is in process.",IF(E99&lt;94%,(IF(C99=0,"Work not yet Started.",IF(D99=25%,"Piling work in process",IF(D99=50%,"Excavation work in process",IF(D99=100%,"Excavation work Completed. ","0")))&amp;(IF(C100=0%,"",IF(C100=J101,"Footing work is process",IF(C100=J102,"Footing work Completed",IF(C100=J103,"1st Basement Completed",IF(C100=J104,"1st &amp; 2nd Basement Completed",IF(C100=J105,"1st to 3rd Basement Completed",IF(C100=J106,"1st to 4th Basement Completed",IF(C100=J107,"Plinth work is process",IF(C100=J108,"Plinth work completed","0")))))))))))&amp;(IF(C101=(E97+G97+H97),", RCC Slab",IF(C101&gt;0,", RCC upto "&amp;C101&amp;" Slab",""))&amp;(IF(C102=H97,", Brickwork",IF(C102&gt;0,", Brickwork upto "&amp;C102&amp;" Floor",""))&amp;(IF(C103=H97,", Internal Plaster",IF(C103&gt;0,", Internal Plaster upto "&amp;C103&amp;" Floor",""))&amp;(IF(C104=H97,", External Plaster",IF(C104&gt;0,", External Plaster upto "&amp;C104&amp;" Floor",""))&amp;(IF(C105=H97,", External Plumbing, Elevation and Waterproofing",IF(C105&gt;0,", External Plumbing, Elevation and Waterproofing upto "&amp;C105&amp;" Floor",""))&amp;(IF(C106=H97,", Flooring &amp; Fitting",IF(C106&gt;0,", Flooring &amp; Fitting upto "&amp;C106&amp;" Floor",""))&amp;(IF(C107=H97,", Wooden Work",IF(C107&gt;0,", Wooden Work upto "&amp;C107&amp;" Floor",""))&amp;(IF(C108=H97,", Electrical &amp; Sanitary fittings",IF(C108&gt;0,", Electrical &amp; Sanitary fittings upto "&amp;C108&amp;" Floor",""))&amp;(IF(C109&gt;0,", Finishing upto "&amp;C109&amp;" Floor","")&amp;(IF(C101&gt;0.5," Completed",""))))))))))))))))</f>
        <v>Excavation work Completed. Plinth work is process</v>
      </c>
      <c r="J96" s="16"/>
    </row>
    <row r="97" spans="1:11" ht="64.5" customHeight="1" x14ac:dyDescent="0.3">
      <c r="A97" s="169"/>
      <c r="B97" s="169"/>
      <c r="C97" s="169"/>
      <c r="D97" s="29">
        <v>1</v>
      </c>
      <c r="E97" s="170">
        <v>1</v>
      </c>
      <c r="F97" s="170"/>
      <c r="G97" s="29">
        <v>3</v>
      </c>
      <c r="H97" s="29">
        <f ca="1">--TRIM(RIGHT(SUBSTITUTE(LEFT(A96,_xlfn.AGGREGATE(16,6,FIND({0,1,2,3,4,5,6,7,8,9},A96,ROW(INDIRECT("1:"&amp;LEN(A96)))),1))," ",REPT(" ",LEN(A96))),LEN(A96)))</f>
        <v>34</v>
      </c>
      <c r="I97" s="15" t="s">
        <v>124</v>
      </c>
      <c r="J97" s="16"/>
    </row>
    <row r="98" spans="1:11" ht="20.25" customHeight="1" x14ac:dyDescent="0.3">
      <c r="A98" s="114" t="s">
        <v>122</v>
      </c>
      <c r="B98" s="114"/>
      <c r="C98" s="30" t="s">
        <v>136</v>
      </c>
      <c r="D98" s="30" t="s">
        <v>137</v>
      </c>
      <c r="E98" s="114" t="s">
        <v>123</v>
      </c>
      <c r="F98" s="114"/>
      <c r="G98" s="26" t="s">
        <v>121</v>
      </c>
      <c r="H98" s="26"/>
      <c r="I98" s="18" t="s">
        <v>138</v>
      </c>
      <c r="J98" s="17">
        <f ca="1">H97*25%</f>
        <v>8.5</v>
      </c>
    </row>
    <row r="99" spans="1:11" ht="20.25" customHeight="1" x14ac:dyDescent="0.3">
      <c r="A99" s="115" t="s">
        <v>139</v>
      </c>
      <c r="B99" s="115"/>
      <c r="C99" s="29">
        <f ca="1">J100</f>
        <v>34</v>
      </c>
      <c r="D99" s="28">
        <f ca="1">((100/H97)*C99)/100</f>
        <v>1</v>
      </c>
      <c r="E99" s="116">
        <f ca="1">(((C99/H97*10)+(C100/H97*15)+(25/(E97+G97+H97)*C101)+(5/(H97)*C102)+(2.5/(H97)*C103)+(2.5/(H97)*C104)+(5/H97*C105)+(10/H97*C106)+(2.5/H97*C107)+(2.5/H97*C108)+(10/H97*C109)+(10/H97*C110))/100)</f>
        <v>0.21249999999999999</v>
      </c>
      <c r="F99" s="117"/>
      <c r="G99" s="115" t="str">
        <f ca="1">I96</f>
        <v>Excavation work Completed. Plinth work is process</v>
      </c>
      <c r="H99" s="115"/>
      <c r="I99" s="18" t="s">
        <v>125</v>
      </c>
      <c r="J99" s="22">
        <f ca="1">H97*50%</f>
        <v>17</v>
      </c>
    </row>
    <row r="100" spans="1:11" ht="20.25" x14ac:dyDescent="0.3">
      <c r="A100" s="115" t="s">
        <v>106</v>
      </c>
      <c r="B100" s="115"/>
      <c r="C100" s="80">
        <f ca="1">J107</f>
        <v>25.5</v>
      </c>
      <c r="D100" s="28">
        <f ca="1">((100/H97)*C100)/100</f>
        <v>0.75</v>
      </c>
      <c r="E100" s="118"/>
      <c r="F100" s="119"/>
      <c r="G100" s="115"/>
      <c r="H100" s="115"/>
      <c r="I100" s="18" t="s">
        <v>126</v>
      </c>
      <c r="J100" s="22">
        <f ca="1">H97</f>
        <v>34</v>
      </c>
    </row>
    <row r="101" spans="1:11" ht="21" customHeight="1" x14ac:dyDescent="0.35">
      <c r="A101" s="115" t="s">
        <v>140</v>
      </c>
      <c r="B101" s="115"/>
      <c r="C101" s="29">
        <v>0</v>
      </c>
      <c r="D101" s="28">
        <f ca="1">((100/(E97+G97+H97))*C101)/100</f>
        <v>0</v>
      </c>
      <c r="E101" s="118"/>
      <c r="F101" s="119"/>
      <c r="G101" s="115"/>
      <c r="H101" s="115"/>
      <c r="I101" s="18" t="s">
        <v>127</v>
      </c>
      <c r="J101" s="23">
        <f ca="1">(IF(D97&gt;1,(H97/(D97+2)),H97/4))</f>
        <v>8.5</v>
      </c>
    </row>
    <row r="102" spans="1:11" ht="21" customHeight="1" x14ac:dyDescent="0.35">
      <c r="A102" s="115" t="s">
        <v>141</v>
      </c>
      <c r="B102" s="115"/>
      <c r="C102" s="29">
        <v>0</v>
      </c>
      <c r="D102" s="28">
        <f ca="1">((100/H97)*C102)/100</f>
        <v>0</v>
      </c>
      <c r="E102" s="118"/>
      <c r="F102" s="119"/>
      <c r="G102" s="115"/>
      <c r="H102" s="115"/>
      <c r="I102" s="18" t="s">
        <v>128</v>
      </c>
      <c r="J102" s="23">
        <f ca="1">(IF(D97&gt;1,(H97/(D97+2)+J101),H97/4+J101))</f>
        <v>17</v>
      </c>
    </row>
    <row r="103" spans="1:11" ht="21" customHeight="1" x14ac:dyDescent="0.35">
      <c r="A103" s="122" t="s">
        <v>142</v>
      </c>
      <c r="B103" s="123"/>
      <c r="C103" s="29">
        <v>0</v>
      </c>
      <c r="D103" s="28">
        <f ca="1">((100/H97)*C103)/100</f>
        <v>0</v>
      </c>
      <c r="E103" s="118"/>
      <c r="F103" s="119"/>
      <c r="G103" s="115"/>
      <c r="H103" s="115"/>
      <c r="I103" s="18" t="s">
        <v>143</v>
      </c>
      <c r="J103" s="23">
        <f>(IF(D97&gt;1,(H97/(D97+2)+J102),0))</f>
        <v>0</v>
      </c>
    </row>
    <row r="104" spans="1:11" ht="21" customHeight="1" x14ac:dyDescent="0.35">
      <c r="A104" s="122" t="s">
        <v>174</v>
      </c>
      <c r="B104" s="123"/>
      <c r="C104" s="29">
        <v>0</v>
      </c>
      <c r="D104" s="28">
        <f ca="1">((100/H97)*C104)/100</f>
        <v>0</v>
      </c>
      <c r="E104" s="118"/>
      <c r="F104" s="119"/>
      <c r="G104" s="115"/>
      <c r="H104" s="115"/>
      <c r="I104" s="18" t="s">
        <v>144</v>
      </c>
      <c r="J104" s="23">
        <f>(IF(D97&gt;2,(H97/(D97+2)+J103),0))</f>
        <v>0</v>
      </c>
    </row>
    <row r="105" spans="1:11" ht="57.75" customHeight="1" x14ac:dyDescent="0.35">
      <c r="A105" s="122" t="s">
        <v>171</v>
      </c>
      <c r="B105" s="123"/>
      <c r="C105" s="29">
        <v>0</v>
      </c>
      <c r="D105" s="28">
        <f ca="1">((100/(H97))*C105)/100</f>
        <v>0</v>
      </c>
      <c r="E105" s="118"/>
      <c r="F105" s="119"/>
      <c r="G105" s="115"/>
      <c r="H105" s="115"/>
      <c r="I105" s="18" t="s">
        <v>146</v>
      </c>
      <c r="J105" s="24">
        <f>(IF(D97&gt;3,(H97/(D97+2)+J104),0))</f>
        <v>0</v>
      </c>
    </row>
    <row r="106" spans="1:11" ht="21" customHeight="1" x14ac:dyDescent="0.35">
      <c r="A106" s="115" t="s">
        <v>145</v>
      </c>
      <c r="B106" s="115"/>
      <c r="C106" s="29">
        <v>0</v>
      </c>
      <c r="D106" s="28">
        <f ca="1">((100/(H97))*C106)/100</f>
        <v>0</v>
      </c>
      <c r="E106" s="118"/>
      <c r="F106" s="119"/>
      <c r="G106" s="115"/>
      <c r="H106" s="115"/>
      <c r="I106" s="18" t="s">
        <v>147</v>
      </c>
      <c r="J106" s="23">
        <f>(IF(D97&gt;4,(H97/(D97+2)+J105),0))</f>
        <v>0</v>
      </c>
    </row>
    <row r="107" spans="1:11" ht="21" customHeight="1" x14ac:dyDescent="0.35">
      <c r="A107" s="115" t="s">
        <v>173</v>
      </c>
      <c r="B107" s="115"/>
      <c r="C107" s="29">
        <v>0</v>
      </c>
      <c r="D107" s="28">
        <f ca="1">((100/H97)*C107)/100</f>
        <v>0</v>
      </c>
      <c r="E107" s="118"/>
      <c r="F107" s="119"/>
      <c r="G107" s="115"/>
      <c r="H107" s="115"/>
      <c r="I107" s="18" t="s">
        <v>129</v>
      </c>
      <c r="J107" s="23">
        <f ca="1">(IF(D97=1,(H97/(D97+3)+J102),IF(D97=0,(H97/4+J102),IF(D97&gt;1,0))))</f>
        <v>25.5</v>
      </c>
    </row>
    <row r="108" spans="1:11" ht="21.75" customHeight="1" thickBot="1" x14ac:dyDescent="0.4">
      <c r="A108" s="115" t="s">
        <v>172</v>
      </c>
      <c r="B108" s="115"/>
      <c r="C108" s="29">
        <v>0</v>
      </c>
      <c r="D108" s="28">
        <f ca="1">((100/H97)*C108)/100</f>
        <v>0</v>
      </c>
      <c r="E108" s="118"/>
      <c r="F108" s="119"/>
      <c r="G108" s="115"/>
      <c r="H108" s="115"/>
      <c r="I108" s="20" t="s">
        <v>130</v>
      </c>
      <c r="J108" s="25">
        <f ca="1">(IF(D97&gt;1.5,(H97/(D97+2)+J102+MAX(0,J103-J102)+MAX(0,J104-J103)+MAX(0,J105-J104)+MAX(0,J106-J105)+MAX(0,J107-J106)),IF(D97=1,(H97/(D97+3)+J107),IF(D97=0,H97/4+J107))))</f>
        <v>34</v>
      </c>
    </row>
    <row r="109" spans="1:11" ht="20.25" customHeight="1" x14ac:dyDescent="0.25">
      <c r="A109" s="115" t="s">
        <v>148</v>
      </c>
      <c r="B109" s="115"/>
      <c r="C109" s="29">
        <v>0</v>
      </c>
      <c r="D109" s="28">
        <f ca="1">((100/(H97))*C109)/100</f>
        <v>0</v>
      </c>
      <c r="E109" s="118"/>
      <c r="F109" s="119"/>
      <c r="G109" s="115"/>
      <c r="H109" s="115"/>
    </row>
    <row r="110" spans="1:11" ht="20.25" x14ac:dyDescent="0.25">
      <c r="A110" s="115" t="s">
        <v>149</v>
      </c>
      <c r="B110" s="115"/>
      <c r="C110" s="29">
        <v>0</v>
      </c>
      <c r="D110" s="28">
        <f ca="1">((100/(H97))*C110)/100</f>
        <v>0</v>
      </c>
      <c r="E110" s="120"/>
      <c r="F110" s="121"/>
      <c r="G110" s="115"/>
      <c r="H110" s="115"/>
    </row>
    <row r="111" spans="1:11" ht="36.75" customHeight="1" x14ac:dyDescent="0.3">
      <c r="A111" s="177" t="s">
        <v>131</v>
      </c>
      <c r="B111" s="178"/>
      <c r="C111" s="178"/>
      <c r="D111" s="178"/>
      <c r="E111" s="178"/>
      <c r="F111" s="178"/>
      <c r="G111" s="171">
        <f ca="1">AVERAGE(E67,E83,E99)</f>
        <v>0.21249999999999999</v>
      </c>
      <c r="H111" s="172"/>
      <c r="I111" s="18"/>
      <c r="J111" s="19"/>
      <c r="K111" s="19"/>
    </row>
    <row r="112" spans="1:11" ht="20.25" x14ac:dyDescent="0.25">
      <c r="A112" s="137" t="s">
        <v>73</v>
      </c>
      <c r="B112" s="138"/>
      <c r="C112" s="138"/>
      <c r="D112" s="138"/>
      <c r="E112" s="138"/>
      <c r="F112" s="138"/>
      <c r="G112" s="138"/>
      <c r="H112" s="139"/>
    </row>
    <row r="113" spans="1:15" ht="54.75" customHeight="1" x14ac:dyDescent="0.25">
      <c r="A113" s="107" t="s">
        <v>74</v>
      </c>
      <c r="B113" s="108"/>
      <c r="C113" s="109" t="s">
        <v>110</v>
      </c>
      <c r="D113" s="110"/>
      <c r="E113" s="107" t="s">
        <v>150</v>
      </c>
      <c r="F113" s="108" t="s">
        <v>4</v>
      </c>
      <c r="G113" s="140" t="s">
        <v>163</v>
      </c>
      <c r="H113" s="140"/>
      <c r="I113" s="74">
        <v>13800000</v>
      </c>
      <c r="J113" s="1">
        <f>I113/H145</f>
        <v>25606.712646079894</v>
      </c>
      <c r="K113" s="1">
        <f>J113/1.6</f>
        <v>16004.195403799933</v>
      </c>
      <c r="L113" s="1" t="s">
        <v>366</v>
      </c>
    </row>
    <row r="114" spans="1:15" ht="44.25" customHeight="1" x14ac:dyDescent="0.25">
      <c r="A114" s="107" t="s">
        <v>160</v>
      </c>
      <c r="B114" s="108"/>
      <c r="C114" s="109" t="s">
        <v>407</v>
      </c>
      <c r="D114" s="110"/>
      <c r="E114" s="107" t="s">
        <v>161</v>
      </c>
      <c r="F114" s="108" t="s">
        <v>4</v>
      </c>
      <c r="G114" s="85" t="s">
        <v>151</v>
      </c>
      <c r="H114" s="85"/>
      <c r="I114" s="1" t="s">
        <v>373</v>
      </c>
      <c r="J114" s="75" t="s">
        <v>367</v>
      </c>
      <c r="K114" s="187" t="s">
        <v>371</v>
      </c>
      <c r="L114" s="187"/>
      <c r="M114" s="187" t="s">
        <v>372</v>
      </c>
      <c r="N114" s="187"/>
      <c r="O114" s="76"/>
    </row>
    <row r="115" spans="1:15" ht="20.25" x14ac:dyDescent="0.25">
      <c r="A115" s="107" t="s">
        <v>75</v>
      </c>
      <c r="B115" s="108"/>
      <c r="C115" s="86">
        <v>700000</v>
      </c>
      <c r="D115" s="88"/>
      <c r="E115" s="107" t="s">
        <v>104</v>
      </c>
      <c r="F115" s="108" t="s">
        <v>4</v>
      </c>
      <c r="G115" s="109" t="s">
        <v>111</v>
      </c>
      <c r="H115" s="110"/>
      <c r="I115" s="1" t="s">
        <v>408</v>
      </c>
    </row>
    <row r="116" spans="1:15" ht="20.25" x14ac:dyDescent="0.25">
      <c r="A116" s="137" t="s">
        <v>72</v>
      </c>
      <c r="B116" s="138"/>
      <c r="C116" s="138"/>
      <c r="D116" s="138"/>
      <c r="E116" s="138"/>
      <c r="F116" s="138"/>
      <c r="G116" s="138"/>
      <c r="H116" s="139"/>
    </row>
    <row r="117" spans="1:15" ht="20.25" customHeight="1" x14ac:dyDescent="0.25">
      <c r="A117" s="107" t="s">
        <v>8</v>
      </c>
      <c r="B117" s="111"/>
      <c r="C117" s="111"/>
      <c r="D117" s="111"/>
      <c r="E117" s="111"/>
      <c r="F117" s="108"/>
      <c r="G117" s="167">
        <f>77410/10.764</f>
        <v>7191.5644741731703</v>
      </c>
      <c r="H117" s="168"/>
    </row>
    <row r="118" spans="1:15" ht="20.25" customHeight="1" x14ac:dyDescent="0.25">
      <c r="A118" s="107" t="s">
        <v>28</v>
      </c>
      <c r="B118" s="111"/>
      <c r="C118" s="111"/>
      <c r="D118" s="111"/>
      <c r="E118" s="111"/>
      <c r="F118" s="108" t="s">
        <v>4</v>
      </c>
      <c r="G118" s="163">
        <f>148970/10.764</f>
        <v>13839.650687476775</v>
      </c>
      <c r="H118" s="163"/>
    </row>
    <row r="119" spans="1:15" ht="20.25" customHeight="1" x14ac:dyDescent="0.25">
      <c r="A119" s="107" t="s">
        <v>112</v>
      </c>
      <c r="B119" s="111"/>
      <c r="C119" s="111"/>
      <c r="D119" s="111"/>
      <c r="E119" s="111"/>
      <c r="F119" s="108" t="s">
        <v>4</v>
      </c>
      <c r="G119" s="163">
        <f>G117*0.8</f>
        <v>5753.2515793385364</v>
      </c>
      <c r="H119" s="163"/>
    </row>
    <row r="120" spans="1:15" ht="20.25" hidden="1" x14ac:dyDescent="0.25">
      <c r="A120" s="164" t="s">
        <v>249</v>
      </c>
      <c r="B120" s="165"/>
      <c r="C120" s="165"/>
      <c r="D120" s="165"/>
      <c r="E120" s="165"/>
      <c r="F120" s="165"/>
      <c r="G120" s="165"/>
      <c r="H120" s="166"/>
    </row>
    <row r="121" spans="1:15" s="3" customFormat="1" ht="20.25" hidden="1" x14ac:dyDescent="0.25">
      <c r="A121" s="135" t="s">
        <v>157</v>
      </c>
      <c r="B121" s="136"/>
      <c r="C121" s="135" t="s">
        <v>158</v>
      </c>
      <c r="D121" s="136"/>
      <c r="E121" s="135" t="s">
        <v>156</v>
      </c>
      <c r="F121" s="136"/>
      <c r="G121" s="135" t="s">
        <v>169</v>
      </c>
      <c r="H121" s="136"/>
      <c r="I121" s="1"/>
      <c r="J121" s="1"/>
      <c r="K121" s="1"/>
      <c r="L121" s="1"/>
      <c r="M121" s="1"/>
      <c r="N121" s="1"/>
      <c r="O121" s="1"/>
    </row>
    <row r="122" spans="1:15" s="3" customFormat="1" ht="20.25" hidden="1" x14ac:dyDescent="0.25">
      <c r="A122" s="112"/>
      <c r="B122" s="113"/>
      <c r="C122" s="112"/>
      <c r="D122" s="113"/>
      <c r="E122" s="112"/>
      <c r="F122" s="113"/>
      <c r="G122" s="112"/>
      <c r="H122" s="113"/>
      <c r="I122" s="1"/>
      <c r="J122" s="1"/>
      <c r="K122" s="1"/>
      <c r="L122" s="1"/>
      <c r="M122" s="1"/>
      <c r="N122" s="1"/>
      <c r="O122" s="1"/>
    </row>
    <row r="123" spans="1:15" s="3" customFormat="1" ht="20.25" hidden="1" x14ac:dyDescent="0.25">
      <c r="A123" s="112"/>
      <c r="B123" s="113"/>
      <c r="C123" s="112"/>
      <c r="D123" s="113"/>
      <c r="E123" s="112"/>
      <c r="F123" s="113"/>
      <c r="G123" s="112"/>
      <c r="H123" s="113"/>
      <c r="I123" s="1"/>
      <c r="J123" s="1"/>
      <c r="K123" s="1"/>
      <c r="L123" s="1"/>
      <c r="M123" s="1"/>
      <c r="N123" s="1"/>
      <c r="O123" s="1"/>
    </row>
    <row r="124" spans="1:15" s="3" customFormat="1" ht="20.25" hidden="1" x14ac:dyDescent="0.25">
      <c r="A124" s="135" t="s">
        <v>159</v>
      </c>
      <c r="B124" s="136"/>
      <c r="C124" s="135" t="s">
        <v>97</v>
      </c>
      <c r="D124" s="136"/>
      <c r="E124" s="135">
        <f>SUM(F122:F123)</f>
        <v>0</v>
      </c>
      <c r="F124" s="136"/>
      <c r="G124" s="135">
        <f>SUM(H122:H123)</f>
        <v>0</v>
      </c>
      <c r="H124" s="136">
        <f>SUM(H122:H123)</f>
        <v>0</v>
      </c>
      <c r="I124" s="1"/>
      <c r="J124" s="1"/>
      <c r="K124" s="1"/>
      <c r="L124" s="1"/>
      <c r="M124" s="1"/>
      <c r="N124" s="1"/>
      <c r="O124" s="1"/>
    </row>
    <row r="125" spans="1:15" ht="20.25" x14ac:dyDescent="0.25">
      <c r="A125" s="164" t="s">
        <v>237</v>
      </c>
      <c r="B125" s="165"/>
      <c r="C125" s="165"/>
      <c r="D125" s="165"/>
      <c r="E125" s="165"/>
      <c r="F125" s="165"/>
      <c r="G125" s="165"/>
      <c r="H125" s="166"/>
    </row>
    <row r="126" spans="1:15" s="3" customFormat="1" ht="20.25" x14ac:dyDescent="0.25">
      <c r="A126" s="135" t="s">
        <v>157</v>
      </c>
      <c r="B126" s="136"/>
      <c r="C126" s="135" t="s">
        <v>158</v>
      </c>
      <c r="D126" s="136"/>
      <c r="E126" s="135" t="s">
        <v>156</v>
      </c>
      <c r="F126" s="136"/>
      <c r="G126" s="135" t="s">
        <v>169</v>
      </c>
      <c r="H126" s="136"/>
      <c r="I126" s="1"/>
      <c r="J126" s="1"/>
      <c r="K126" s="1"/>
      <c r="L126" s="1"/>
      <c r="M126" s="1"/>
      <c r="N126" s="1"/>
      <c r="O126" s="1"/>
    </row>
    <row r="127" spans="1:15" s="3" customFormat="1" ht="20.25" x14ac:dyDescent="0.25">
      <c r="A127" s="112" t="s">
        <v>333</v>
      </c>
      <c r="B127" s="113"/>
      <c r="C127" s="112" t="s">
        <v>89</v>
      </c>
      <c r="D127" s="113"/>
      <c r="E127" s="112">
        <f>COUNT(H143:H147)+COUNT(H151:H158)+COUNT(H160:H164,H167)+COUNT(H169:H176)+COUNT(H178:H185)+COUNT(H187:H194)*4+COUNT(H196:H200,H203)*3+COUNT(H205:H212)*2+COUNT(H214:H221)*2+COUNT(H223:H230)*8+COUNT(H232:H239)+COUNT(H241:H248)+COUNT(H250:H257)*3+COUNT(H259:H264,H266)</f>
        <v>228</v>
      </c>
      <c r="F127" s="113"/>
      <c r="G127" s="112">
        <f>SUM(H143:H147)+SUM(H151:H158)+SUM(H160:H164,H167)+SUM(H169:H176)+SUM(H178:H185)+SUM(H187:H194)*4+SUM(H196:H200,H203)*3+SUM(H205:H212)*2+SUM(H214:H221)*2+SUM(H223:H230)*8+SUM(H232:H239)+SUM(H241:H248)+SUM(H250:H257)*3+SUM(H259:H264,H266)</f>
        <v>166207.75067519996</v>
      </c>
      <c r="H127" s="113"/>
      <c r="I127" s="1">
        <f>5+6+3+2*5+5*6+6+5*4+5*6+6*2+4*4+4+4</f>
        <v>146</v>
      </c>
      <c r="J127" s="1"/>
      <c r="K127" s="1"/>
      <c r="L127" s="1"/>
      <c r="M127" s="1"/>
      <c r="N127" s="1"/>
      <c r="O127" s="1"/>
    </row>
    <row r="128" spans="1:15" s="3" customFormat="1" ht="20.25" x14ac:dyDescent="0.25">
      <c r="A128" s="112" t="s">
        <v>383</v>
      </c>
      <c r="B128" s="113"/>
      <c r="C128" s="112" t="s">
        <v>89</v>
      </c>
      <c r="D128" s="113"/>
      <c r="E128" s="112">
        <f>COUNT(H275:H277)+COUNT(H282:H287)+COUNT(H289,H291:H294)+COUNT(H296:H301)+COUNT(H303:H308)+COUNT(H310:H315)*4+COUNT(H317,H319:H322)*2+COUNT(H324:H329)*2+COUNT(H331:H336)+COUNT(H338:H343)*4+COUNT(H345:H348)+COUNT(H350:H353)*4+COUNT(H355,H357:H359)+COUNT(H361:H364)+COUNT(H366:H369)+COUNT(H371:H374)*3</f>
        <v>146</v>
      </c>
      <c r="F128" s="113"/>
      <c r="G128" s="112">
        <f>SUM(H275:H277)+SUM(H282:H287)+SUM(H289,H291:H294)+SUM(H296:H301)+SUM(H303:H308)+SUM(H310:H315)*4+SUM(H317,H319:H322)*2+SUM(H324:H329)*2+SUM(H331:H336)+SUM(H338:H343)*4+SUM(H345:H348)+SUM(H350:H353)*4+SUM(H355,H357:H359)+SUM(H361:H364)+SUM(H366:H369)+SUM(H371:H374)*3</f>
        <v>157359.85031519999</v>
      </c>
      <c r="H128" s="113"/>
      <c r="I128" s="81">
        <f>5+6+3+2*5+6+4*6+6+4+4*4+6+6*4+2*6+4+4*3+4+4</f>
        <v>146</v>
      </c>
      <c r="J128" s="1"/>
      <c r="K128" s="1"/>
      <c r="L128" s="1"/>
      <c r="M128" s="1"/>
      <c r="N128" s="1"/>
      <c r="O128" s="1"/>
    </row>
    <row r="129" spans="1:15" s="3" customFormat="1" ht="20.25" x14ac:dyDescent="0.25">
      <c r="A129" s="112" t="s">
        <v>358</v>
      </c>
      <c r="B129" s="113"/>
      <c r="C129" s="112" t="s">
        <v>89</v>
      </c>
      <c r="D129" s="113"/>
      <c r="E129" s="112">
        <f>COUNT(E384:E388)+COUNT(E392:E399)+COUNT(E401:E405,E408)+COUNT(E410:E417)+COUNT(E419:E426)+COUNT(E428:E435)*4+COUNT(E437:E441,E444)*2+COUNT(E446:E453)*3+COUNT(E455:E462)+COUNT(E464:E471)*9+COUNT(E473:E477,E480)+COUNT(E482:E489)*4</f>
        <v>221</v>
      </c>
      <c r="F129" s="113"/>
      <c r="G129" s="112">
        <f>SUM(H384:H388)+SUM(H392:H399)+SUM(H401:H405,H408)+SUM(H410:H417)+SUM(H419:H426)+SUM(H428:H435)*4+SUM(H437:H441,H444)*2+SUM(H446:H453)*3+SUM(H455:H462)+SUM(H464:H471)*9+SUM(H473:H477,H480)+SUM(H482:H489)*4</f>
        <v>209476.08349199998</v>
      </c>
      <c r="H129" s="113"/>
      <c r="I129" s="1"/>
      <c r="J129" s="1"/>
      <c r="K129" s="1"/>
      <c r="L129" s="1"/>
      <c r="M129" s="1"/>
      <c r="N129" s="1"/>
      <c r="O129" s="1"/>
    </row>
    <row r="130" spans="1:15" s="3" customFormat="1" ht="20.25" x14ac:dyDescent="0.25">
      <c r="A130" s="135" t="s">
        <v>250</v>
      </c>
      <c r="B130" s="136"/>
      <c r="C130" s="135" t="s">
        <v>97</v>
      </c>
      <c r="D130" s="136"/>
      <c r="E130" s="135">
        <f>SUM(E127:F129)</f>
        <v>595</v>
      </c>
      <c r="F130" s="136"/>
      <c r="G130" s="135">
        <f>SUM(G127:H129)</f>
        <v>533043.68448239996</v>
      </c>
      <c r="H130" s="136">
        <f>SUM(H127:H129)</f>
        <v>0</v>
      </c>
      <c r="I130" s="1"/>
      <c r="J130" s="1"/>
      <c r="K130" s="1"/>
      <c r="L130" s="1"/>
      <c r="M130" s="1"/>
      <c r="N130" s="1"/>
      <c r="O130" s="1"/>
    </row>
    <row r="131" spans="1:15" s="3" customFormat="1" ht="20.25" hidden="1" x14ac:dyDescent="0.25">
      <c r="A131" s="135" t="s">
        <v>250</v>
      </c>
      <c r="B131" s="136"/>
      <c r="C131" s="135" t="s">
        <v>97</v>
      </c>
      <c r="D131" s="136"/>
      <c r="E131" s="135">
        <f>SUM(F124,F130)</f>
        <v>0</v>
      </c>
      <c r="F131" s="136"/>
      <c r="G131" s="135">
        <f>SUM(H124,H130)</f>
        <v>0</v>
      </c>
      <c r="H131" s="136"/>
      <c r="I131" s="1"/>
      <c r="J131" s="1"/>
      <c r="K131" s="1"/>
      <c r="L131" s="1"/>
      <c r="M131" s="1"/>
      <c r="N131" s="1"/>
      <c r="O131" s="1"/>
    </row>
    <row r="132" spans="1:15" ht="20.25" x14ac:dyDescent="0.25">
      <c r="A132" s="179" t="s">
        <v>155</v>
      </c>
      <c r="B132" s="180"/>
      <c r="C132" s="180"/>
      <c r="D132" s="180"/>
      <c r="E132" s="180"/>
      <c r="F132" s="180"/>
      <c r="G132" s="180"/>
      <c r="H132" s="166"/>
    </row>
    <row r="133" spans="1:15" ht="66" customHeight="1" x14ac:dyDescent="0.25">
      <c r="A133" s="52" t="s">
        <v>238</v>
      </c>
      <c r="B133" s="27" t="s">
        <v>239</v>
      </c>
      <c r="C133" s="33" t="s">
        <v>240</v>
      </c>
      <c r="D133" s="27" t="s">
        <v>90</v>
      </c>
      <c r="E133" s="27" t="s">
        <v>170</v>
      </c>
      <c r="F133" s="33" t="s">
        <v>404</v>
      </c>
      <c r="G133" s="27" t="s">
        <v>92</v>
      </c>
      <c r="H133" s="27" t="s">
        <v>91</v>
      </c>
    </row>
    <row r="134" spans="1:15" s="3" customFormat="1" ht="20.25" x14ac:dyDescent="0.25">
      <c r="A134" s="89" t="s">
        <v>333</v>
      </c>
      <c r="B134" s="90"/>
      <c r="C134" s="90"/>
      <c r="D134" s="90"/>
      <c r="E134" s="90"/>
      <c r="F134" s="90"/>
      <c r="G134" s="90"/>
      <c r="H134" s="91"/>
      <c r="I134" s="1"/>
      <c r="J134" s="1"/>
      <c r="K134" s="1"/>
      <c r="L134" s="1"/>
      <c r="M134" s="1"/>
    </row>
    <row r="135" spans="1:15" s="3" customFormat="1" ht="20.25" x14ac:dyDescent="0.25">
      <c r="A135" s="89" t="s">
        <v>410</v>
      </c>
      <c r="B135" s="90"/>
      <c r="C135" s="90"/>
      <c r="D135" s="90"/>
      <c r="E135" s="90"/>
      <c r="F135" s="90"/>
      <c r="G135" s="90"/>
      <c r="H135" s="91"/>
      <c r="I135" s="1"/>
      <c r="J135" s="1"/>
      <c r="K135" s="1"/>
      <c r="L135" s="1"/>
      <c r="M135" s="1"/>
    </row>
    <row r="136" spans="1:15" s="3" customFormat="1" ht="20.25" x14ac:dyDescent="0.25">
      <c r="A136" s="89" t="s">
        <v>335</v>
      </c>
      <c r="B136" s="90"/>
      <c r="C136" s="90"/>
      <c r="D136" s="90"/>
      <c r="E136" s="90"/>
      <c r="F136" s="90"/>
      <c r="G136" s="90"/>
      <c r="H136" s="91"/>
      <c r="I136" s="1"/>
      <c r="J136" s="1"/>
      <c r="K136" s="1"/>
      <c r="L136" s="1"/>
      <c r="M136" s="1"/>
    </row>
    <row r="137" spans="1:15" s="3" customFormat="1" ht="20.25" customHeight="1" x14ac:dyDescent="0.25">
      <c r="A137" s="89" t="s">
        <v>377</v>
      </c>
      <c r="B137" s="90"/>
      <c r="C137" s="90"/>
      <c r="D137" s="90"/>
      <c r="E137" s="90"/>
      <c r="F137" s="90"/>
      <c r="G137" s="90"/>
      <c r="H137" s="91"/>
      <c r="I137" s="1"/>
      <c r="J137" s="1"/>
      <c r="K137" s="1"/>
      <c r="L137" s="1"/>
      <c r="M137" s="1"/>
    </row>
    <row r="138" spans="1:15" s="3" customFormat="1" ht="20.25" x14ac:dyDescent="0.25">
      <c r="A138" s="89" t="s">
        <v>336</v>
      </c>
      <c r="B138" s="90"/>
      <c r="C138" s="90"/>
      <c r="D138" s="90"/>
      <c r="E138" s="90"/>
      <c r="F138" s="90"/>
      <c r="G138" s="90"/>
      <c r="H138" s="91"/>
      <c r="I138" s="1"/>
      <c r="J138" s="1"/>
      <c r="K138" s="1"/>
      <c r="L138" s="1"/>
      <c r="M138" s="1"/>
    </row>
    <row r="139" spans="1:15" s="3" customFormat="1" ht="20.25" x14ac:dyDescent="0.25">
      <c r="A139" s="89" t="s">
        <v>337</v>
      </c>
      <c r="B139" s="90"/>
      <c r="C139" s="90"/>
      <c r="D139" s="90"/>
      <c r="E139" s="90"/>
      <c r="F139" s="90"/>
      <c r="G139" s="90"/>
      <c r="H139" s="91"/>
      <c r="I139" s="1"/>
      <c r="J139" s="1"/>
      <c r="K139" s="1"/>
      <c r="L139" s="1"/>
      <c r="M139" s="32">
        <v>10.763999999999999</v>
      </c>
    </row>
    <row r="140" spans="1:15" s="3" customFormat="1" ht="21" customHeight="1" x14ac:dyDescent="0.25">
      <c r="A140" s="89" t="s">
        <v>359</v>
      </c>
      <c r="B140" s="90"/>
      <c r="C140" s="90"/>
      <c r="D140" s="90"/>
      <c r="E140" s="90"/>
      <c r="F140" s="90"/>
      <c r="G140" s="90"/>
      <c r="H140" s="91"/>
      <c r="I140" s="1"/>
      <c r="J140" s="1"/>
      <c r="K140" s="1"/>
      <c r="L140" s="1"/>
      <c r="M140" s="1"/>
    </row>
    <row r="141" spans="1:15" s="3" customFormat="1" ht="20.25" x14ac:dyDescent="0.25">
      <c r="A141" s="89" t="s">
        <v>339</v>
      </c>
      <c r="B141" s="90"/>
      <c r="C141" s="90"/>
      <c r="D141" s="90"/>
      <c r="E141" s="90"/>
      <c r="F141" s="90"/>
      <c r="G141" s="90"/>
      <c r="H141" s="91"/>
      <c r="I141" s="1">
        <v>1</v>
      </c>
      <c r="J141" s="1"/>
      <c r="K141" s="1"/>
      <c r="L141" s="1"/>
      <c r="M141" s="1"/>
    </row>
    <row r="142" spans="1:15" s="3" customFormat="1" ht="20.25" x14ac:dyDescent="0.25">
      <c r="A142" s="92">
        <v>1</v>
      </c>
      <c r="B142" s="92"/>
      <c r="C142" s="95" t="s">
        <v>338</v>
      </c>
      <c r="D142" s="96"/>
      <c r="E142" s="96"/>
      <c r="F142" s="96"/>
      <c r="G142" s="96"/>
      <c r="H142" s="97"/>
      <c r="I142" s="1"/>
    </row>
    <row r="143" spans="1:15" s="3" customFormat="1" ht="20.25" x14ac:dyDescent="0.25">
      <c r="A143" s="93">
        <f>A142+1</f>
        <v>2</v>
      </c>
      <c r="B143" s="94"/>
      <c r="C143" s="53" t="s">
        <v>89</v>
      </c>
      <c r="D143" s="53" t="s">
        <v>340</v>
      </c>
      <c r="E143" s="32">
        <f>(69.66)*10.764</f>
        <v>749.8202399999999</v>
      </c>
      <c r="F143" s="32">
        <f>(1.2*2.78+1.3*2.12+1.2*5.75)*10.764</f>
        <v>139.845888</v>
      </c>
      <c r="G143" s="31">
        <v>0</v>
      </c>
      <c r="H143" s="31">
        <f t="shared" ref="H143:H147" si="0">E143+F143+(IF(G143&lt;101,G143,IF(G143&lt;201,G143/2,IF(G143&lt;=301,G143/3,G143/4))))</f>
        <v>889.66612799999984</v>
      </c>
      <c r="I143" s="1"/>
    </row>
    <row r="144" spans="1:15" s="3" customFormat="1" ht="20.25" x14ac:dyDescent="0.25">
      <c r="A144" s="93">
        <f t="shared" ref="A144:A149" si="1">A143+1</f>
        <v>3</v>
      </c>
      <c r="B144" s="94"/>
      <c r="C144" s="53" t="s">
        <v>89</v>
      </c>
      <c r="D144" s="53" t="s">
        <v>340</v>
      </c>
      <c r="E144" s="32">
        <f>(64.43)*10.764</f>
        <v>693.52452000000005</v>
      </c>
      <c r="F144" s="32">
        <f>(3.18*1.1+1.38*1.53+1.2*6.2)*10.764</f>
        <v>140.46374159999999</v>
      </c>
      <c r="G144" s="31">
        <v>0</v>
      </c>
      <c r="H144" s="31">
        <f t="shared" si="0"/>
        <v>833.98826159999999</v>
      </c>
      <c r="I144" s="1"/>
    </row>
    <row r="145" spans="1:13" s="3" customFormat="1" ht="20.25" customHeight="1" x14ac:dyDescent="0.25">
      <c r="A145" s="93">
        <f t="shared" si="1"/>
        <v>4</v>
      </c>
      <c r="B145" s="94"/>
      <c r="C145" s="53" t="s">
        <v>89</v>
      </c>
      <c r="D145" s="53" t="s">
        <v>341</v>
      </c>
      <c r="E145" s="32">
        <f>(44.82)*10.764</f>
        <v>482.44247999999999</v>
      </c>
      <c r="F145" s="32">
        <f>(2.7*1.1+2.07*1.1)*10.764</f>
        <v>56.478708000000005</v>
      </c>
      <c r="G145" s="31">
        <v>0</v>
      </c>
      <c r="H145" s="31">
        <f t="shared" si="0"/>
        <v>538.92118800000003</v>
      </c>
      <c r="I145" s="1"/>
      <c r="J145" s="1"/>
      <c r="K145" s="1"/>
      <c r="L145" s="1"/>
      <c r="M145" s="1"/>
    </row>
    <row r="146" spans="1:13" s="3" customFormat="1" ht="20.25" customHeight="1" x14ac:dyDescent="0.25">
      <c r="A146" s="93">
        <f t="shared" si="1"/>
        <v>5</v>
      </c>
      <c r="B146" s="94"/>
      <c r="C146" s="53" t="s">
        <v>89</v>
      </c>
      <c r="D146" s="53" t="s">
        <v>340</v>
      </c>
      <c r="E146" s="32">
        <f>(67.28)*10.764</f>
        <v>724.20191999999997</v>
      </c>
      <c r="F146" s="32">
        <f>(2.78*1.2+1.2*2.07+3.14*1.2)*10.764</f>
        <v>103.20523199999998</v>
      </c>
      <c r="G146" s="31">
        <v>0</v>
      </c>
      <c r="H146" s="31">
        <f t="shared" si="0"/>
        <v>827.407152</v>
      </c>
      <c r="I146" s="1"/>
      <c r="J146" s="1"/>
      <c r="K146" s="1"/>
      <c r="L146" s="1"/>
      <c r="M146" s="1"/>
    </row>
    <row r="147" spans="1:13" s="3" customFormat="1" ht="20.25" customHeight="1" x14ac:dyDescent="0.25">
      <c r="A147" s="93">
        <f t="shared" si="1"/>
        <v>6</v>
      </c>
      <c r="B147" s="94"/>
      <c r="C147" s="53" t="s">
        <v>89</v>
      </c>
      <c r="D147" s="53" t="s">
        <v>340</v>
      </c>
      <c r="E147" s="32">
        <f>(69.66)*10.764</f>
        <v>749.8202399999999</v>
      </c>
      <c r="F147" s="32">
        <f>(2.78*1.2+1.3*2.12+5.75*1.2)*10.764</f>
        <v>139.845888</v>
      </c>
      <c r="G147" s="31">
        <v>0</v>
      </c>
      <c r="H147" s="31">
        <f t="shared" si="0"/>
        <v>889.66612799999984</v>
      </c>
      <c r="I147" s="1"/>
      <c r="J147" s="1"/>
      <c r="K147" s="1"/>
      <c r="L147" s="1"/>
      <c r="M147" s="1"/>
    </row>
    <row r="148" spans="1:13" s="3" customFormat="1" ht="20.25" customHeight="1" x14ac:dyDescent="0.25">
      <c r="A148" s="93">
        <f t="shared" si="1"/>
        <v>7</v>
      </c>
      <c r="B148" s="94"/>
      <c r="C148" s="98" t="s">
        <v>338</v>
      </c>
      <c r="D148" s="99"/>
      <c r="E148" s="99"/>
      <c r="F148" s="99"/>
      <c r="G148" s="99"/>
      <c r="H148" s="100"/>
      <c r="I148" s="1"/>
    </row>
    <row r="149" spans="1:13" s="3" customFormat="1" ht="20.25" customHeight="1" x14ac:dyDescent="0.25">
      <c r="A149" s="93">
        <f t="shared" si="1"/>
        <v>8</v>
      </c>
      <c r="B149" s="94"/>
      <c r="C149" s="101"/>
      <c r="D149" s="102"/>
      <c r="E149" s="102"/>
      <c r="F149" s="102"/>
      <c r="G149" s="102"/>
      <c r="H149" s="103"/>
      <c r="I149" s="1"/>
    </row>
    <row r="150" spans="1:13" s="3" customFormat="1" ht="20.25" x14ac:dyDescent="0.25">
      <c r="A150" s="89" t="s">
        <v>342</v>
      </c>
      <c r="B150" s="90"/>
      <c r="C150" s="90"/>
      <c r="D150" s="90"/>
      <c r="E150" s="90"/>
      <c r="F150" s="90"/>
      <c r="G150" s="90"/>
      <c r="H150" s="91"/>
      <c r="I150" s="1">
        <v>1</v>
      </c>
    </row>
    <row r="151" spans="1:13" s="3" customFormat="1" ht="20.25" x14ac:dyDescent="0.25">
      <c r="A151" s="92">
        <v>1</v>
      </c>
      <c r="B151" s="92"/>
      <c r="C151" s="53" t="s">
        <v>89</v>
      </c>
      <c r="D151" s="53" t="s">
        <v>340</v>
      </c>
      <c r="E151" s="32">
        <f>(67.28)*10.764</f>
        <v>724.20191999999997</v>
      </c>
      <c r="F151" s="32">
        <f>(1.2*2.77+1.2*2.08+1.2*3.13)*10.764</f>
        <v>103.076064</v>
      </c>
      <c r="G151" s="31">
        <v>0</v>
      </c>
      <c r="H151" s="31">
        <f>E151+F151+(IF(G151&lt;101,G151,IF(G151&lt;201,G151/2,IF(G151&lt;=301,G151/3,G151/4))))</f>
        <v>827.27798399999995</v>
      </c>
      <c r="I151" s="1"/>
    </row>
    <row r="152" spans="1:13" s="3" customFormat="1" ht="20.25" x14ac:dyDescent="0.25">
      <c r="A152" s="93">
        <f>A151+1</f>
        <v>2</v>
      </c>
      <c r="B152" s="94"/>
      <c r="C152" s="53" t="s">
        <v>89</v>
      </c>
      <c r="D152" s="53" t="s">
        <v>340</v>
      </c>
      <c r="E152" s="32">
        <f>(69.66)*10.764</f>
        <v>749.8202399999999</v>
      </c>
      <c r="F152" s="32">
        <f>(1.2*2.77+1.3*2.12+1.2*5.75)*10.764</f>
        <v>139.71672000000001</v>
      </c>
      <c r="G152" s="31">
        <v>0</v>
      </c>
      <c r="H152" s="31">
        <f t="shared" ref="H152:H158" si="2">E152+F152+(IF(G152&lt;101,G152,IF(G152&lt;201,G152/2,IF(G152&lt;=301,G152/3,G152/4))))</f>
        <v>889.53695999999991</v>
      </c>
      <c r="I152" s="1"/>
    </row>
    <row r="153" spans="1:13" s="3" customFormat="1" ht="20.25" x14ac:dyDescent="0.25">
      <c r="A153" s="93">
        <f t="shared" ref="A153:A158" si="3">A152+1</f>
        <v>3</v>
      </c>
      <c r="B153" s="94"/>
      <c r="C153" s="53" t="s">
        <v>89</v>
      </c>
      <c r="D153" s="53" t="s">
        <v>340</v>
      </c>
      <c r="E153" s="32">
        <f>(64.43)*10.764</f>
        <v>693.52452000000005</v>
      </c>
      <c r="F153" s="32">
        <f>(3.18*1.1+1.38*1.53+1.2*6.2)*10.764</f>
        <v>140.46374159999999</v>
      </c>
      <c r="G153" s="31">
        <v>0</v>
      </c>
      <c r="H153" s="31">
        <f t="shared" si="2"/>
        <v>833.98826159999999</v>
      </c>
      <c r="I153" s="1"/>
    </row>
    <row r="154" spans="1:13" s="3" customFormat="1" ht="20.25" customHeight="1" x14ac:dyDescent="0.25">
      <c r="A154" s="93">
        <f t="shared" si="3"/>
        <v>4</v>
      </c>
      <c r="B154" s="94"/>
      <c r="C154" s="53" t="s">
        <v>89</v>
      </c>
      <c r="D154" s="53" t="s">
        <v>341</v>
      </c>
      <c r="E154" s="32">
        <f>(44.82)*10.764</f>
        <v>482.44247999999999</v>
      </c>
      <c r="F154" s="32">
        <f>(2.7*1.1+2.07*1.1)*10.764</f>
        <v>56.478708000000005</v>
      </c>
      <c r="G154" s="31">
        <v>0</v>
      </c>
      <c r="H154" s="31">
        <f t="shared" si="2"/>
        <v>538.92118800000003</v>
      </c>
      <c r="I154" s="1"/>
    </row>
    <row r="155" spans="1:13" s="3" customFormat="1" ht="20.25" customHeight="1" x14ac:dyDescent="0.25">
      <c r="A155" s="93">
        <f t="shared" si="3"/>
        <v>5</v>
      </c>
      <c r="B155" s="94"/>
      <c r="C155" s="53" t="s">
        <v>89</v>
      </c>
      <c r="D155" s="53" t="s">
        <v>340</v>
      </c>
      <c r="E155" s="32">
        <f>(67.28)*10.764</f>
        <v>724.20191999999997</v>
      </c>
      <c r="F155" s="32">
        <f>(1.2*2.78+1.2*2.07+1.2*3.14)*10.764</f>
        <v>103.20523199999998</v>
      </c>
      <c r="G155" s="31">
        <v>0</v>
      </c>
      <c r="H155" s="31">
        <f t="shared" si="2"/>
        <v>827.407152</v>
      </c>
      <c r="I155" s="1"/>
    </row>
    <row r="156" spans="1:13" s="3" customFormat="1" ht="20.25" customHeight="1" x14ac:dyDescent="0.25">
      <c r="A156" s="93">
        <f t="shared" si="3"/>
        <v>6</v>
      </c>
      <c r="B156" s="94"/>
      <c r="C156" s="53" t="s">
        <v>89</v>
      </c>
      <c r="D156" s="53" t="s">
        <v>340</v>
      </c>
      <c r="E156" s="32">
        <f>(69.66)*10.764</f>
        <v>749.8202399999999</v>
      </c>
      <c r="F156" s="32">
        <f>(1.2*2.78+1.3*2.12+1.2*5.75)*10.764</f>
        <v>139.845888</v>
      </c>
      <c r="G156" s="31">
        <v>0</v>
      </c>
      <c r="H156" s="31">
        <f t="shared" si="2"/>
        <v>889.66612799999984</v>
      </c>
      <c r="I156" s="1"/>
    </row>
    <row r="157" spans="1:13" s="3" customFormat="1" ht="20.25" customHeight="1" x14ac:dyDescent="0.25">
      <c r="A157" s="93">
        <f t="shared" si="3"/>
        <v>7</v>
      </c>
      <c r="B157" s="94"/>
      <c r="C157" s="53" t="s">
        <v>89</v>
      </c>
      <c r="D157" s="53" t="s">
        <v>340</v>
      </c>
      <c r="E157" s="32">
        <f>(64.43)*10.764</f>
        <v>693.52452000000005</v>
      </c>
      <c r="F157" s="32">
        <f>(3.18*1.1+1.38*1.53+1.2*6.2)*10.764</f>
        <v>140.46374159999999</v>
      </c>
      <c r="G157" s="31">
        <v>0</v>
      </c>
      <c r="H157" s="31">
        <f t="shared" si="2"/>
        <v>833.98826159999999</v>
      </c>
      <c r="I157" s="1"/>
    </row>
    <row r="158" spans="1:13" s="3" customFormat="1" ht="20.25" customHeight="1" x14ac:dyDescent="0.25">
      <c r="A158" s="93">
        <f t="shared" si="3"/>
        <v>8</v>
      </c>
      <c r="B158" s="94"/>
      <c r="C158" s="53" t="s">
        <v>89</v>
      </c>
      <c r="D158" s="53" t="s">
        <v>341</v>
      </c>
      <c r="E158" s="32">
        <f>(44.82)*10.764</f>
        <v>482.44247999999999</v>
      </c>
      <c r="F158" s="32">
        <f>(2.7*1.1+2.07*1.1)*10.764</f>
        <v>56.478708000000005</v>
      </c>
      <c r="G158" s="31">
        <v>0</v>
      </c>
      <c r="H158" s="31">
        <f t="shared" si="2"/>
        <v>538.92118800000003</v>
      </c>
      <c r="I158" s="1"/>
    </row>
    <row r="159" spans="1:13" s="3" customFormat="1" ht="20.25" x14ac:dyDescent="0.25">
      <c r="A159" s="89" t="s">
        <v>344</v>
      </c>
      <c r="B159" s="90"/>
      <c r="C159" s="90"/>
      <c r="D159" s="90"/>
      <c r="E159" s="90"/>
      <c r="F159" s="90"/>
      <c r="G159" s="90"/>
      <c r="H159" s="91"/>
      <c r="I159" s="1">
        <v>1</v>
      </c>
    </row>
    <row r="160" spans="1:13" s="3" customFormat="1" ht="20.25" x14ac:dyDescent="0.25">
      <c r="A160" s="92">
        <v>1</v>
      </c>
      <c r="B160" s="92"/>
      <c r="C160" s="53" t="s">
        <v>89</v>
      </c>
      <c r="D160" s="53" t="s">
        <v>340</v>
      </c>
      <c r="E160" s="32">
        <f>(67.28)*10.764</f>
        <v>724.20191999999997</v>
      </c>
      <c r="F160" s="32">
        <f>(1.2*2.77+1.2*2.08+1.2*3.13)*10.764</f>
        <v>103.076064</v>
      </c>
      <c r="G160" s="31">
        <v>0</v>
      </c>
      <c r="H160" s="31">
        <f>E160+F160+(IF(G160&lt;101,G160,IF(G160&lt;201,G160/2,IF(G160&lt;=301,G160/3,G160/4))))</f>
        <v>827.27798399999995</v>
      </c>
      <c r="I160" s="1"/>
    </row>
    <row r="161" spans="1:9" s="3" customFormat="1" ht="20.25" x14ac:dyDescent="0.25">
      <c r="A161" s="93">
        <f>A160+1</f>
        <v>2</v>
      </c>
      <c r="B161" s="94"/>
      <c r="C161" s="53" t="s">
        <v>89</v>
      </c>
      <c r="D161" s="53" t="s">
        <v>340</v>
      </c>
      <c r="E161" s="32">
        <f>(69.66)*10.764</f>
        <v>749.8202399999999</v>
      </c>
      <c r="F161" s="32">
        <f>(1.2*2.77+1.3*2.12+1.2*5.75)*10.764</f>
        <v>139.71672000000001</v>
      </c>
      <c r="G161" s="31">
        <v>0</v>
      </c>
      <c r="H161" s="31">
        <f t="shared" ref="H161:H167" si="4">E161+F161+(IF(G161&lt;101,G161,IF(G161&lt;201,G161/2,IF(G161&lt;=301,G161/3,G161/4))))</f>
        <v>889.53695999999991</v>
      </c>
      <c r="I161" s="1"/>
    </row>
    <row r="162" spans="1:9" s="3" customFormat="1" ht="20.25" x14ac:dyDescent="0.25">
      <c r="A162" s="93">
        <f t="shared" ref="A162:A167" si="5">A161+1</f>
        <v>3</v>
      </c>
      <c r="B162" s="94"/>
      <c r="C162" s="53" t="s">
        <v>89</v>
      </c>
      <c r="D162" s="53" t="s">
        <v>340</v>
      </c>
      <c r="E162" s="32">
        <f>(63.35)*10.764</f>
        <v>681.89940000000001</v>
      </c>
      <c r="F162" s="32">
        <f>(3.18*1.1+1.38*1.53+1.2*6.2)*10.764</f>
        <v>140.46374159999999</v>
      </c>
      <c r="G162" s="31">
        <v>0</v>
      </c>
      <c r="H162" s="31">
        <f t="shared" si="4"/>
        <v>822.36314160000006</v>
      </c>
      <c r="I162" s="1"/>
    </row>
    <row r="163" spans="1:9" s="3" customFormat="1" ht="20.25" customHeight="1" x14ac:dyDescent="0.25">
      <c r="A163" s="93">
        <f t="shared" si="5"/>
        <v>4</v>
      </c>
      <c r="B163" s="94"/>
      <c r="C163" s="53" t="s">
        <v>89</v>
      </c>
      <c r="D163" s="53" t="s">
        <v>341</v>
      </c>
      <c r="E163" s="32">
        <f>(44.42)*10.764</f>
        <v>478.13687999999996</v>
      </c>
      <c r="F163" s="32">
        <f>(2.08*1.15)*10.764</f>
        <v>25.747487999999997</v>
      </c>
      <c r="G163" s="31">
        <v>0</v>
      </c>
      <c r="H163" s="31">
        <f t="shared" si="4"/>
        <v>503.88436799999994</v>
      </c>
      <c r="I163" s="1"/>
    </row>
    <row r="164" spans="1:9" s="3" customFormat="1" ht="20.25" customHeight="1" x14ac:dyDescent="0.25">
      <c r="A164" s="93">
        <f t="shared" si="5"/>
        <v>5</v>
      </c>
      <c r="B164" s="94"/>
      <c r="C164" s="53" t="s">
        <v>89</v>
      </c>
      <c r="D164" s="73" t="s">
        <v>345</v>
      </c>
      <c r="E164" s="32">
        <f>(78.27)*10.764</f>
        <v>842.49827999999991</v>
      </c>
      <c r="F164" s="32">
        <f>(1.2*2.78+1.2*2.07+1.2*3.14+1.2*2.78)*10.764</f>
        <v>139.113936</v>
      </c>
      <c r="G164" s="31">
        <v>0</v>
      </c>
      <c r="H164" s="31">
        <f t="shared" si="4"/>
        <v>981.61221599999988</v>
      </c>
      <c r="I164" s="1"/>
    </row>
    <row r="165" spans="1:9" s="3" customFormat="1" ht="20.25" customHeight="1" x14ac:dyDescent="0.25">
      <c r="A165" s="93">
        <f t="shared" si="5"/>
        <v>6</v>
      </c>
      <c r="B165" s="94"/>
      <c r="C165" s="98" t="s">
        <v>343</v>
      </c>
      <c r="D165" s="99"/>
      <c r="E165" s="99"/>
      <c r="F165" s="99"/>
      <c r="G165" s="99"/>
      <c r="H165" s="100"/>
      <c r="I165" s="1"/>
    </row>
    <row r="166" spans="1:9" s="3" customFormat="1" ht="20.25" customHeight="1" x14ac:dyDescent="0.25">
      <c r="A166" s="93">
        <f t="shared" si="5"/>
        <v>7</v>
      </c>
      <c r="B166" s="94"/>
      <c r="C166" s="101"/>
      <c r="D166" s="102"/>
      <c r="E166" s="102"/>
      <c r="F166" s="102"/>
      <c r="G166" s="102"/>
      <c r="H166" s="103"/>
      <c r="I166" s="1"/>
    </row>
    <row r="167" spans="1:9" s="3" customFormat="1" ht="20.25" customHeight="1" x14ac:dyDescent="0.25">
      <c r="A167" s="93">
        <f t="shared" si="5"/>
        <v>8</v>
      </c>
      <c r="B167" s="94"/>
      <c r="C167" s="53" t="s">
        <v>89</v>
      </c>
      <c r="D167" s="53" t="s">
        <v>341</v>
      </c>
      <c r="E167" s="32">
        <f>(44.35)*10.764</f>
        <v>477.38339999999999</v>
      </c>
      <c r="F167" s="32">
        <f>(2.08*1.15)*10.764</f>
        <v>25.747487999999997</v>
      </c>
      <c r="G167" s="31">
        <v>0</v>
      </c>
      <c r="H167" s="31">
        <f t="shared" si="4"/>
        <v>503.13088799999997</v>
      </c>
      <c r="I167" s="1"/>
    </row>
    <row r="168" spans="1:9" s="3" customFormat="1" ht="20.25" x14ac:dyDescent="0.25">
      <c r="A168" s="181" t="s">
        <v>346</v>
      </c>
      <c r="B168" s="182"/>
      <c r="C168" s="182"/>
      <c r="D168" s="182"/>
      <c r="E168" s="182"/>
      <c r="F168" s="182"/>
      <c r="G168" s="182"/>
      <c r="H168" s="183"/>
      <c r="I168" s="1">
        <v>1</v>
      </c>
    </row>
    <row r="169" spans="1:9" s="3" customFormat="1" ht="20.25" x14ac:dyDescent="0.25">
      <c r="A169" s="92">
        <v>1</v>
      </c>
      <c r="B169" s="92"/>
      <c r="C169" s="53" t="s">
        <v>89</v>
      </c>
      <c r="D169" s="53" t="s">
        <v>340</v>
      </c>
      <c r="E169" s="32">
        <f>(67.28)*10.764</f>
        <v>724.20191999999997</v>
      </c>
      <c r="F169" s="32">
        <f>(1.2*2.77+1.2*2.08+1.2*3.13)*10.764</f>
        <v>103.076064</v>
      </c>
      <c r="G169" s="31">
        <v>0</v>
      </c>
      <c r="H169" s="31">
        <f>E169+F169+(IF(G169&lt;101,G169,IF(G169&lt;201,G169/2,IF(G169&lt;=301,G169/3,G169/4))))</f>
        <v>827.27798399999995</v>
      </c>
      <c r="I169" s="1"/>
    </row>
    <row r="170" spans="1:9" s="3" customFormat="1" ht="20.25" x14ac:dyDescent="0.25">
      <c r="A170" s="93">
        <f>A169+1</f>
        <v>2</v>
      </c>
      <c r="B170" s="94"/>
      <c r="C170" s="53" t="s">
        <v>89</v>
      </c>
      <c r="D170" s="53" t="s">
        <v>340</v>
      </c>
      <c r="E170" s="32">
        <f>(69.66)*10.764</f>
        <v>749.8202399999999</v>
      </c>
      <c r="F170" s="32">
        <f>(1.2*2.77+1.3*2.12+1.2*5.75)*10.764</f>
        <v>139.71672000000001</v>
      </c>
      <c r="G170" s="31">
        <v>0</v>
      </c>
      <c r="H170" s="31">
        <f t="shared" ref="H170:H176" si="6">E170+F170+(IF(G170&lt;101,G170,IF(G170&lt;201,G170/2,IF(G170&lt;=301,G170/3,G170/4))))</f>
        <v>889.53695999999991</v>
      </c>
      <c r="I170" s="1"/>
    </row>
    <row r="171" spans="1:9" s="3" customFormat="1" ht="20.25" x14ac:dyDescent="0.25">
      <c r="A171" s="93">
        <f t="shared" ref="A171:A176" si="7">A170+1</f>
        <v>3</v>
      </c>
      <c r="B171" s="94"/>
      <c r="C171" s="53" t="s">
        <v>89</v>
      </c>
      <c r="D171" s="53" t="s">
        <v>340</v>
      </c>
      <c r="E171" s="32">
        <f>(63.35)*10.764</f>
        <v>681.89940000000001</v>
      </c>
      <c r="F171" s="32">
        <f>(1.38*1.53+1.2*6.2)*10.764</f>
        <v>102.81126959999999</v>
      </c>
      <c r="G171" s="31">
        <v>0</v>
      </c>
      <c r="H171" s="31">
        <f t="shared" si="6"/>
        <v>784.71066959999996</v>
      </c>
      <c r="I171" s="1"/>
    </row>
    <row r="172" spans="1:9" s="3" customFormat="1" ht="20.25" customHeight="1" x14ac:dyDescent="0.25">
      <c r="A172" s="93">
        <f t="shared" si="7"/>
        <v>4</v>
      </c>
      <c r="B172" s="94"/>
      <c r="C172" s="53" t="s">
        <v>89</v>
      </c>
      <c r="D172" s="53" t="s">
        <v>341</v>
      </c>
      <c r="E172" s="32">
        <f>(44.42)*10.764</f>
        <v>478.13687999999996</v>
      </c>
      <c r="F172" s="32">
        <f>(2.08*1.15)*10.764</f>
        <v>25.747487999999997</v>
      </c>
      <c r="G172" s="31">
        <v>0</v>
      </c>
      <c r="H172" s="31">
        <f t="shared" si="6"/>
        <v>503.88436799999994</v>
      </c>
      <c r="I172" s="1"/>
    </row>
    <row r="173" spans="1:9" s="3" customFormat="1" ht="20.25" customHeight="1" x14ac:dyDescent="0.25">
      <c r="A173" s="93">
        <f t="shared" si="7"/>
        <v>5</v>
      </c>
      <c r="B173" s="94"/>
      <c r="C173" s="53" t="s">
        <v>89</v>
      </c>
      <c r="D173" s="53" t="s">
        <v>340</v>
      </c>
      <c r="E173" s="32">
        <f>(67.28)*10.764</f>
        <v>724.20191999999997</v>
      </c>
      <c r="F173" s="32">
        <f>(1.2*2.78+1.2*2.07+1.2*3.14)*10.764</f>
        <v>103.20523199999998</v>
      </c>
      <c r="G173" s="31">
        <v>0</v>
      </c>
      <c r="H173" s="31">
        <f t="shared" si="6"/>
        <v>827.407152</v>
      </c>
      <c r="I173" s="1"/>
    </row>
    <row r="174" spans="1:9" s="3" customFormat="1" ht="20.25" customHeight="1" x14ac:dyDescent="0.25">
      <c r="A174" s="93">
        <f t="shared" si="7"/>
        <v>6</v>
      </c>
      <c r="B174" s="94"/>
      <c r="C174" s="53" t="s">
        <v>89</v>
      </c>
      <c r="D174" s="53" t="s">
        <v>340</v>
      </c>
      <c r="E174" s="32">
        <f>(69.81)*10.764</f>
        <v>751.43484000000001</v>
      </c>
      <c r="F174" s="32">
        <f>(1.2*2.78+1.3*2.12+1.2*5.75)*10.764</f>
        <v>139.845888</v>
      </c>
      <c r="G174" s="31">
        <v>0</v>
      </c>
      <c r="H174" s="31">
        <f t="shared" si="6"/>
        <v>891.28072799999995</v>
      </c>
      <c r="I174" s="1"/>
    </row>
    <row r="175" spans="1:9" s="3" customFormat="1" ht="20.25" customHeight="1" x14ac:dyDescent="0.25">
      <c r="A175" s="93">
        <f t="shared" si="7"/>
        <v>7</v>
      </c>
      <c r="B175" s="94"/>
      <c r="C175" s="53" t="s">
        <v>89</v>
      </c>
      <c r="D175" s="53" t="s">
        <v>340</v>
      </c>
      <c r="E175" s="32">
        <f>(63.35)*10.764</f>
        <v>681.89940000000001</v>
      </c>
      <c r="F175" s="32">
        <f>(1.38*1.53+1.2*6.2)*10.764</f>
        <v>102.81126959999999</v>
      </c>
      <c r="G175" s="31">
        <v>0</v>
      </c>
      <c r="H175" s="31">
        <f t="shared" si="6"/>
        <v>784.71066959999996</v>
      </c>
      <c r="I175" s="1"/>
    </row>
    <row r="176" spans="1:9" s="3" customFormat="1" ht="20.25" x14ac:dyDescent="0.25">
      <c r="A176" s="93">
        <f t="shared" si="7"/>
        <v>8</v>
      </c>
      <c r="B176" s="94"/>
      <c r="C176" s="53" t="s">
        <v>89</v>
      </c>
      <c r="D176" s="53" t="s">
        <v>341</v>
      </c>
      <c r="E176" s="32">
        <f>(44.35)*10.764</f>
        <v>477.38339999999999</v>
      </c>
      <c r="F176" s="32">
        <f>(2.08*1.15)*10.764</f>
        <v>25.747487999999997</v>
      </c>
      <c r="G176" s="31">
        <v>0</v>
      </c>
      <c r="H176" s="31">
        <f t="shared" si="6"/>
        <v>503.13088799999997</v>
      </c>
      <c r="I176" s="1"/>
    </row>
    <row r="177" spans="1:9" s="3" customFormat="1" ht="20.25" x14ac:dyDescent="0.25">
      <c r="A177" s="181" t="s">
        <v>347</v>
      </c>
      <c r="B177" s="182"/>
      <c r="C177" s="182"/>
      <c r="D177" s="182"/>
      <c r="E177" s="182"/>
      <c r="F177" s="182"/>
      <c r="G177" s="182"/>
      <c r="H177" s="183"/>
      <c r="I177" s="1">
        <v>1</v>
      </c>
    </row>
    <row r="178" spans="1:9" s="3" customFormat="1" ht="20.25" x14ac:dyDescent="0.25">
      <c r="A178" s="92">
        <v>1</v>
      </c>
      <c r="B178" s="92"/>
      <c r="C178" s="53" t="s">
        <v>89</v>
      </c>
      <c r="D178" s="53" t="s">
        <v>340</v>
      </c>
      <c r="E178" s="32">
        <f>(66.43)*10.764</f>
        <v>715.05252000000007</v>
      </c>
      <c r="F178" s="32">
        <f>(1.2*2.08)*10.764</f>
        <v>26.866943999999997</v>
      </c>
      <c r="G178" s="31">
        <v>0</v>
      </c>
      <c r="H178" s="31">
        <f>E178+F178+(IF(G178&lt;101,G178,IF(G178&lt;201,G178/2,IF(G178&lt;=301,G178/3,G178/4))))</f>
        <v>741.91946400000006</v>
      </c>
      <c r="I178" s="1"/>
    </row>
    <row r="179" spans="1:9" s="3" customFormat="1" ht="20.25" x14ac:dyDescent="0.25">
      <c r="A179" s="93">
        <f>A178+1</f>
        <v>2</v>
      </c>
      <c r="B179" s="94"/>
      <c r="C179" s="53" t="s">
        <v>89</v>
      </c>
      <c r="D179" s="53" t="s">
        <v>340</v>
      </c>
      <c r="E179" s="32">
        <f>(68.22)*10.764</f>
        <v>734.32007999999996</v>
      </c>
      <c r="F179" s="32">
        <f>(1.3*2.12)*10.764</f>
        <v>29.665583999999999</v>
      </c>
      <c r="G179" s="31">
        <v>0</v>
      </c>
      <c r="H179" s="31">
        <f t="shared" ref="H179:H185" si="8">E179+F179+(IF(G179&lt;101,G179,IF(G179&lt;201,G179/2,IF(G179&lt;=301,G179/3,G179/4))))</f>
        <v>763.98566399999993</v>
      </c>
      <c r="I179" s="1"/>
    </row>
    <row r="180" spans="1:9" s="3" customFormat="1" ht="20.25" x14ac:dyDescent="0.25">
      <c r="A180" s="93">
        <f t="shared" ref="A180:A185" si="9">A179+1</f>
        <v>3</v>
      </c>
      <c r="B180" s="94"/>
      <c r="C180" s="53" t="s">
        <v>89</v>
      </c>
      <c r="D180" s="53" t="s">
        <v>340</v>
      </c>
      <c r="E180" s="32">
        <f>(62.36)*10.764</f>
        <v>671.24303999999995</v>
      </c>
      <c r="F180" s="32">
        <f>(1.38*1.53)*10.764</f>
        <v>22.727109599999995</v>
      </c>
      <c r="G180" s="31">
        <v>0</v>
      </c>
      <c r="H180" s="31">
        <f t="shared" si="8"/>
        <v>693.9701495999999</v>
      </c>
      <c r="I180" s="1"/>
    </row>
    <row r="181" spans="1:9" s="3" customFormat="1" ht="20.25" customHeight="1" x14ac:dyDescent="0.25">
      <c r="A181" s="93">
        <f t="shared" si="9"/>
        <v>4</v>
      </c>
      <c r="B181" s="94"/>
      <c r="C181" s="53" t="s">
        <v>89</v>
      </c>
      <c r="D181" s="53" t="s">
        <v>341</v>
      </c>
      <c r="E181" s="32">
        <f>(44.42)*10.764</f>
        <v>478.13687999999996</v>
      </c>
      <c r="F181" s="32">
        <f>(2.08*1.1)*10.764</f>
        <v>24.628032000000001</v>
      </c>
      <c r="G181" s="31">
        <v>0</v>
      </c>
      <c r="H181" s="31">
        <f t="shared" si="8"/>
        <v>502.76491199999998</v>
      </c>
      <c r="I181" s="1"/>
    </row>
    <row r="182" spans="1:9" s="3" customFormat="1" ht="20.25" customHeight="1" x14ac:dyDescent="0.25">
      <c r="A182" s="93">
        <f t="shared" si="9"/>
        <v>5</v>
      </c>
      <c r="B182" s="94"/>
      <c r="C182" s="53" t="s">
        <v>89</v>
      </c>
      <c r="D182" s="53" t="s">
        <v>340</v>
      </c>
      <c r="E182" s="32">
        <f>(66.43)*10.764</f>
        <v>715.05252000000007</v>
      </c>
      <c r="F182" s="32">
        <f>(1.2*2.07)*10.764</f>
        <v>26.737775999999993</v>
      </c>
      <c r="G182" s="31">
        <v>0</v>
      </c>
      <c r="H182" s="31">
        <f t="shared" si="8"/>
        <v>741.79029600000001</v>
      </c>
      <c r="I182" s="1"/>
    </row>
    <row r="183" spans="1:9" s="3" customFormat="1" ht="20.25" customHeight="1" x14ac:dyDescent="0.25">
      <c r="A183" s="93">
        <f t="shared" si="9"/>
        <v>6</v>
      </c>
      <c r="B183" s="94"/>
      <c r="C183" s="53" t="s">
        <v>89</v>
      </c>
      <c r="D183" s="53" t="s">
        <v>340</v>
      </c>
      <c r="E183" s="32">
        <f>(68.22)*10.764</f>
        <v>734.32007999999996</v>
      </c>
      <c r="F183" s="32">
        <f>(1.3*2.12)*10.764</f>
        <v>29.665583999999999</v>
      </c>
      <c r="G183" s="31">
        <v>0</v>
      </c>
      <c r="H183" s="31">
        <f t="shared" si="8"/>
        <v>763.98566399999993</v>
      </c>
      <c r="I183" s="1"/>
    </row>
    <row r="184" spans="1:9" s="3" customFormat="1" ht="20.25" customHeight="1" x14ac:dyDescent="0.25">
      <c r="A184" s="93">
        <f t="shared" si="9"/>
        <v>7</v>
      </c>
      <c r="B184" s="94"/>
      <c r="C184" s="53" t="s">
        <v>89</v>
      </c>
      <c r="D184" s="53" t="s">
        <v>340</v>
      </c>
      <c r="E184" s="32">
        <f>(62.36)*10.764</f>
        <v>671.24303999999995</v>
      </c>
      <c r="F184" s="32">
        <f>(1.38*1.53)*10.764</f>
        <v>22.727109599999995</v>
      </c>
      <c r="G184" s="31">
        <v>0</v>
      </c>
      <c r="H184" s="31">
        <f t="shared" si="8"/>
        <v>693.9701495999999</v>
      </c>
      <c r="I184" s="1"/>
    </row>
    <row r="185" spans="1:9" s="3" customFormat="1" ht="20.25" customHeight="1" x14ac:dyDescent="0.25">
      <c r="A185" s="93">
        <f t="shared" si="9"/>
        <v>8</v>
      </c>
      <c r="B185" s="94"/>
      <c r="C185" s="53" t="s">
        <v>89</v>
      </c>
      <c r="D185" s="53" t="s">
        <v>341</v>
      </c>
      <c r="E185" s="32">
        <f>(44.35)*10.764</f>
        <v>477.38339999999999</v>
      </c>
      <c r="F185" s="32">
        <f>(2.08*1.1)*10.764</f>
        <v>24.628032000000001</v>
      </c>
      <c r="G185" s="31">
        <v>0</v>
      </c>
      <c r="H185" s="31">
        <f t="shared" si="8"/>
        <v>502.01143200000001</v>
      </c>
      <c r="I185" s="1"/>
    </row>
    <row r="186" spans="1:9" s="3" customFormat="1" ht="20.25" x14ac:dyDescent="0.25">
      <c r="A186" s="89" t="s">
        <v>348</v>
      </c>
      <c r="B186" s="90"/>
      <c r="C186" s="90"/>
      <c r="D186" s="90"/>
      <c r="E186" s="90"/>
      <c r="F186" s="90"/>
      <c r="G186" s="90"/>
      <c r="H186" s="91"/>
      <c r="I186" s="1">
        <v>4</v>
      </c>
    </row>
    <row r="187" spans="1:9" s="3" customFormat="1" ht="20.25" x14ac:dyDescent="0.25">
      <c r="A187" s="92">
        <v>1</v>
      </c>
      <c r="B187" s="92"/>
      <c r="C187" s="53" t="s">
        <v>89</v>
      </c>
      <c r="D187" s="53" t="s">
        <v>340</v>
      </c>
      <c r="E187" s="32">
        <f>(66.43)*10.764</f>
        <v>715.05252000000007</v>
      </c>
      <c r="F187" s="32">
        <f>(1.2*2.08)*10.764</f>
        <v>26.866943999999997</v>
      </c>
      <c r="G187" s="31">
        <v>0</v>
      </c>
      <c r="H187" s="31">
        <f>E187+F187+(IF(G187&lt;101,G187,IF(G187&lt;201,G187/2,IF(G187&lt;=301,G187/3,G187/4))))</f>
        <v>741.91946400000006</v>
      </c>
      <c r="I187" s="1"/>
    </row>
    <row r="188" spans="1:9" s="3" customFormat="1" ht="20.25" x14ac:dyDescent="0.25">
      <c r="A188" s="93">
        <f>A187+1</f>
        <v>2</v>
      </c>
      <c r="B188" s="94"/>
      <c r="C188" s="53" t="s">
        <v>89</v>
      </c>
      <c r="D188" s="53" t="s">
        <v>340</v>
      </c>
      <c r="E188" s="32">
        <f>(68.22)*10.764</f>
        <v>734.32007999999996</v>
      </c>
      <c r="F188" s="32">
        <f>(1.3*2.12)*10.764</f>
        <v>29.665583999999999</v>
      </c>
      <c r="G188" s="31">
        <v>0</v>
      </c>
      <c r="H188" s="31">
        <f t="shared" ref="H188:H194" si="10">E188+F188+(IF(G188&lt;101,G188,IF(G188&lt;201,G188/2,IF(G188&lt;=301,G188/3,G188/4))))</f>
        <v>763.98566399999993</v>
      </c>
      <c r="I188" s="1"/>
    </row>
    <row r="189" spans="1:9" s="3" customFormat="1" ht="20.25" x14ac:dyDescent="0.25">
      <c r="A189" s="93">
        <f t="shared" ref="A189:A194" si="11">A188+1</f>
        <v>3</v>
      </c>
      <c r="B189" s="94"/>
      <c r="C189" s="53" t="s">
        <v>89</v>
      </c>
      <c r="D189" s="53" t="s">
        <v>340</v>
      </c>
      <c r="E189" s="32">
        <f>(62.36)*10.764</f>
        <v>671.24303999999995</v>
      </c>
      <c r="F189" s="32">
        <f>(1.38*1.53)*10.764</f>
        <v>22.727109599999995</v>
      </c>
      <c r="G189" s="31">
        <v>0</v>
      </c>
      <c r="H189" s="31">
        <f t="shared" si="10"/>
        <v>693.9701495999999</v>
      </c>
      <c r="I189" s="1"/>
    </row>
    <row r="190" spans="1:9" s="3" customFormat="1" ht="20.25" customHeight="1" x14ac:dyDescent="0.25">
      <c r="A190" s="93">
        <f t="shared" si="11"/>
        <v>4</v>
      </c>
      <c r="B190" s="94"/>
      <c r="C190" s="53" t="s">
        <v>89</v>
      </c>
      <c r="D190" s="53" t="s">
        <v>341</v>
      </c>
      <c r="E190" s="32">
        <f>(44.42)*10.764</f>
        <v>478.13687999999996</v>
      </c>
      <c r="F190" s="32">
        <f>(2.08*1.1)*10.764</f>
        <v>24.628032000000001</v>
      </c>
      <c r="G190" s="31">
        <v>0</v>
      </c>
      <c r="H190" s="31">
        <f t="shared" si="10"/>
        <v>502.76491199999998</v>
      </c>
      <c r="I190" s="1"/>
    </row>
    <row r="191" spans="1:9" s="3" customFormat="1" ht="20.25" customHeight="1" x14ac:dyDescent="0.25">
      <c r="A191" s="93">
        <f t="shared" si="11"/>
        <v>5</v>
      </c>
      <c r="B191" s="94"/>
      <c r="C191" s="53" t="s">
        <v>89</v>
      </c>
      <c r="D191" s="53" t="s">
        <v>340</v>
      </c>
      <c r="E191" s="32">
        <f>(66.43)*10.764</f>
        <v>715.05252000000007</v>
      </c>
      <c r="F191" s="32">
        <f>(1.2*2.07)*10.764</f>
        <v>26.737775999999993</v>
      </c>
      <c r="G191" s="31">
        <v>0</v>
      </c>
      <c r="H191" s="31">
        <f t="shared" si="10"/>
        <v>741.79029600000001</v>
      </c>
      <c r="I191" s="1"/>
    </row>
    <row r="192" spans="1:9" s="3" customFormat="1" ht="20.25" customHeight="1" x14ac:dyDescent="0.25">
      <c r="A192" s="93">
        <f t="shared" si="11"/>
        <v>6</v>
      </c>
      <c r="B192" s="94"/>
      <c r="C192" s="53" t="s">
        <v>89</v>
      </c>
      <c r="D192" s="53" t="s">
        <v>340</v>
      </c>
      <c r="E192" s="32">
        <f>(68.22)*10.764</f>
        <v>734.32007999999996</v>
      </c>
      <c r="F192" s="32">
        <f>(1.3*2.12)*10.764</f>
        <v>29.665583999999999</v>
      </c>
      <c r="G192" s="31">
        <v>0</v>
      </c>
      <c r="H192" s="31">
        <f t="shared" si="10"/>
        <v>763.98566399999993</v>
      </c>
      <c r="I192" s="1"/>
    </row>
    <row r="193" spans="1:9" s="3" customFormat="1" ht="20.25" customHeight="1" x14ac:dyDescent="0.25">
      <c r="A193" s="93">
        <f t="shared" si="11"/>
        <v>7</v>
      </c>
      <c r="B193" s="94"/>
      <c r="C193" s="53" t="s">
        <v>89</v>
      </c>
      <c r="D193" s="53" t="s">
        <v>340</v>
      </c>
      <c r="E193" s="32">
        <f>(62.36)*10.764</f>
        <v>671.24303999999995</v>
      </c>
      <c r="F193" s="32">
        <f>(1.38*1.53)*10.764</f>
        <v>22.727109599999995</v>
      </c>
      <c r="G193" s="31">
        <v>0</v>
      </c>
      <c r="H193" s="31">
        <f t="shared" si="10"/>
        <v>693.9701495999999</v>
      </c>
      <c r="I193" s="1"/>
    </row>
    <row r="194" spans="1:9" s="3" customFormat="1" ht="20.25" customHeight="1" x14ac:dyDescent="0.25">
      <c r="A194" s="93">
        <f t="shared" si="11"/>
        <v>8</v>
      </c>
      <c r="B194" s="94"/>
      <c r="C194" s="53" t="s">
        <v>89</v>
      </c>
      <c r="D194" s="53" t="s">
        <v>341</v>
      </c>
      <c r="E194" s="32">
        <f>(44.35)*10.764</f>
        <v>477.38339999999999</v>
      </c>
      <c r="F194" s="32">
        <f>(2.08*1.1)*10.764</f>
        <v>24.628032000000001</v>
      </c>
      <c r="G194" s="31">
        <v>0</v>
      </c>
      <c r="H194" s="31">
        <f t="shared" si="10"/>
        <v>502.01143200000001</v>
      </c>
      <c r="I194" s="1"/>
    </row>
    <row r="195" spans="1:9" s="3" customFormat="1" ht="20.25" x14ac:dyDescent="0.25">
      <c r="A195" s="89" t="s">
        <v>350</v>
      </c>
      <c r="B195" s="90"/>
      <c r="C195" s="90"/>
      <c r="D195" s="90"/>
      <c r="E195" s="90"/>
      <c r="F195" s="90"/>
      <c r="G195" s="90"/>
      <c r="H195" s="91"/>
      <c r="I195" s="1">
        <v>3</v>
      </c>
    </row>
    <row r="196" spans="1:9" s="3" customFormat="1" ht="20.25" x14ac:dyDescent="0.25">
      <c r="A196" s="92">
        <v>1</v>
      </c>
      <c r="B196" s="92"/>
      <c r="C196" s="53" t="s">
        <v>89</v>
      </c>
      <c r="D196" s="53" t="s">
        <v>340</v>
      </c>
      <c r="E196" s="32">
        <f>(67.28)*10.764</f>
        <v>724.20191999999997</v>
      </c>
      <c r="F196" s="32">
        <f>(1.2*2.78+1.2*2.08+1.2*3.13)*10.764</f>
        <v>103.20523199999998</v>
      </c>
      <c r="G196" s="31">
        <v>0</v>
      </c>
      <c r="H196" s="31">
        <f>E196+F196+(IF(G196&lt;101,G196,IF(G196&lt;201,G196/2,IF(G196&lt;=301,G196/3,G196/4))))</f>
        <v>827.407152</v>
      </c>
      <c r="I196" s="1"/>
    </row>
    <row r="197" spans="1:9" s="3" customFormat="1" ht="20.25" x14ac:dyDescent="0.25">
      <c r="A197" s="93">
        <f>A196+1</f>
        <v>2</v>
      </c>
      <c r="B197" s="94"/>
      <c r="C197" s="53" t="s">
        <v>89</v>
      </c>
      <c r="D197" s="53" t="s">
        <v>340</v>
      </c>
      <c r="E197" s="32">
        <f>(69.66)*10.764</f>
        <v>749.8202399999999</v>
      </c>
      <c r="F197" s="32">
        <f>(1.2*2.78+1.3*2.12+1.2*5.75)*10.764</f>
        <v>139.845888</v>
      </c>
      <c r="G197" s="31">
        <v>0</v>
      </c>
      <c r="H197" s="31">
        <f t="shared" ref="H197:H203" si="12">E197+F197+(IF(G197&lt;101,G197,IF(G197&lt;201,G197/2,IF(G197&lt;=301,G197/3,G197/4))))</f>
        <v>889.66612799999984</v>
      </c>
      <c r="I197" s="1"/>
    </row>
    <row r="198" spans="1:9" s="3" customFormat="1" ht="20.25" x14ac:dyDescent="0.25">
      <c r="A198" s="93">
        <f t="shared" ref="A198:A203" si="13">A197+1</f>
        <v>3</v>
      </c>
      <c r="B198" s="94"/>
      <c r="C198" s="53" t="s">
        <v>89</v>
      </c>
      <c r="D198" s="53" t="s">
        <v>340</v>
      </c>
      <c r="E198" s="32">
        <f>(64.43)*10.764</f>
        <v>693.52452000000005</v>
      </c>
      <c r="F198" s="32">
        <f>(3.18*1.1+1.38*1.53+1.2*6.2)*10.764</f>
        <v>140.46374159999999</v>
      </c>
      <c r="G198" s="31">
        <v>0</v>
      </c>
      <c r="H198" s="31">
        <f t="shared" si="12"/>
        <v>833.98826159999999</v>
      </c>
      <c r="I198" s="1"/>
    </row>
    <row r="199" spans="1:9" s="3" customFormat="1" ht="20.25" customHeight="1" x14ac:dyDescent="0.25">
      <c r="A199" s="93">
        <f t="shared" si="13"/>
        <v>4</v>
      </c>
      <c r="B199" s="94"/>
      <c r="C199" s="53" t="s">
        <v>89</v>
      </c>
      <c r="D199" s="53" t="s">
        <v>341</v>
      </c>
      <c r="E199" s="32">
        <f>(44.82)*10.764</f>
        <v>482.44247999999999</v>
      </c>
      <c r="F199" s="32">
        <f>(2.7*1.1+2.07*1.1)*10.764</f>
        <v>56.478708000000005</v>
      </c>
      <c r="G199" s="31">
        <v>0</v>
      </c>
      <c r="H199" s="31">
        <f t="shared" si="12"/>
        <v>538.92118800000003</v>
      </c>
      <c r="I199" s="1"/>
    </row>
    <row r="200" spans="1:9" s="3" customFormat="1" ht="20.25" customHeight="1" x14ac:dyDescent="0.25">
      <c r="A200" s="93">
        <f t="shared" si="13"/>
        <v>5</v>
      </c>
      <c r="B200" s="94"/>
      <c r="C200" s="53" t="s">
        <v>89</v>
      </c>
      <c r="D200" s="53" t="s">
        <v>340</v>
      </c>
      <c r="E200" s="32">
        <f>(67.28)*10.764</f>
        <v>724.20191999999997</v>
      </c>
      <c r="F200" s="32">
        <f>(1.2*2.78+1.2*2.07+1.2*3.14)*10.764</f>
        <v>103.20523199999998</v>
      </c>
      <c r="G200" s="31">
        <v>0</v>
      </c>
      <c r="H200" s="31">
        <f t="shared" si="12"/>
        <v>827.407152</v>
      </c>
      <c r="I200" s="1"/>
    </row>
    <row r="201" spans="1:9" s="3" customFormat="1" ht="20.25" customHeight="1" x14ac:dyDescent="0.25">
      <c r="A201" s="93">
        <f t="shared" si="13"/>
        <v>6</v>
      </c>
      <c r="B201" s="94"/>
      <c r="C201" s="98" t="s">
        <v>343</v>
      </c>
      <c r="D201" s="99"/>
      <c r="E201" s="99"/>
      <c r="F201" s="99"/>
      <c r="G201" s="99"/>
      <c r="H201" s="100"/>
      <c r="I201" s="1"/>
    </row>
    <row r="202" spans="1:9" s="3" customFormat="1" ht="20.25" customHeight="1" x14ac:dyDescent="0.25">
      <c r="A202" s="93">
        <f t="shared" si="13"/>
        <v>7</v>
      </c>
      <c r="B202" s="94"/>
      <c r="C202" s="101"/>
      <c r="D202" s="102"/>
      <c r="E202" s="102"/>
      <c r="F202" s="102"/>
      <c r="G202" s="102"/>
      <c r="H202" s="103"/>
      <c r="I202" s="1"/>
    </row>
    <row r="203" spans="1:9" s="3" customFormat="1" ht="20.25" customHeight="1" x14ac:dyDescent="0.25">
      <c r="A203" s="93">
        <f t="shared" si="13"/>
        <v>8</v>
      </c>
      <c r="B203" s="94"/>
      <c r="C203" s="53" t="s">
        <v>89</v>
      </c>
      <c r="D203" s="53" t="s">
        <v>341</v>
      </c>
      <c r="E203" s="32">
        <f>(44.82)*10.764</f>
        <v>482.44247999999999</v>
      </c>
      <c r="F203" s="32">
        <f>(2.7*1.1+2.07*1.1)*10.764</f>
        <v>56.478708000000005</v>
      </c>
      <c r="G203" s="31">
        <v>0</v>
      </c>
      <c r="H203" s="31">
        <f t="shared" si="12"/>
        <v>538.92118800000003</v>
      </c>
      <c r="I203" s="1"/>
    </row>
    <row r="204" spans="1:9" s="3" customFormat="1" ht="20.25" x14ac:dyDescent="0.25">
      <c r="A204" s="89" t="s">
        <v>349</v>
      </c>
      <c r="B204" s="90"/>
      <c r="C204" s="90"/>
      <c r="D204" s="90"/>
      <c r="E204" s="90"/>
      <c r="F204" s="90"/>
      <c r="G204" s="90"/>
      <c r="H204" s="91"/>
      <c r="I204" s="1">
        <v>2</v>
      </c>
    </row>
    <row r="205" spans="1:9" s="3" customFormat="1" ht="20.25" x14ac:dyDescent="0.25">
      <c r="A205" s="92">
        <v>1</v>
      </c>
      <c r="B205" s="92"/>
      <c r="C205" s="53" t="s">
        <v>89</v>
      </c>
      <c r="D205" s="53" t="s">
        <v>340</v>
      </c>
      <c r="E205" s="32">
        <f>(67.28)*10.764</f>
        <v>724.20191999999997</v>
      </c>
      <c r="F205" s="32">
        <f>(1.2*2.78+1.2*2.08+1.2*3.13)*10.764</f>
        <v>103.20523199999998</v>
      </c>
      <c r="G205" s="31">
        <v>0</v>
      </c>
      <c r="H205" s="31">
        <f>E205+F205+(IF(G205&lt;101,G205,IF(G205&lt;201,G205/2,IF(G205&lt;=301,G205/3,G205/4))))</f>
        <v>827.407152</v>
      </c>
      <c r="I205" s="1"/>
    </row>
    <row r="206" spans="1:9" s="3" customFormat="1" ht="20.25" x14ac:dyDescent="0.25">
      <c r="A206" s="93">
        <f>A205+1</f>
        <v>2</v>
      </c>
      <c r="B206" s="94"/>
      <c r="C206" s="53" t="s">
        <v>89</v>
      </c>
      <c r="D206" s="53" t="s">
        <v>340</v>
      </c>
      <c r="E206" s="32">
        <f>(69.66)*10.764</f>
        <v>749.8202399999999</v>
      </c>
      <c r="F206" s="32">
        <f>(1.2*2.78+1.3*2.12+1.2*5.75)*10.764</f>
        <v>139.845888</v>
      </c>
      <c r="G206" s="31">
        <v>0</v>
      </c>
      <c r="H206" s="31">
        <f t="shared" ref="H206:H212" si="14">E206+F206+(IF(G206&lt;101,G206,IF(G206&lt;201,G206/2,IF(G206&lt;=301,G206/3,G206/4))))</f>
        <v>889.66612799999984</v>
      </c>
      <c r="I206" s="1"/>
    </row>
    <row r="207" spans="1:9" s="3" customFormat="1" ht="20.25" x14ac:dyDescent="0.25">
      <c r="A207" s="93">
        <f t="shared" ref="A207:A212" si="15">A206+1</f>
        <v>3</v>
      </c>
      <c r="B207" s="94"/>
      <c r="C207" s="53" t="s">
        <v>89</v>
      </c>
      <c r="D207" s="53" t="s">
        <v>340</v>
      </c>
      <c r="E207" s="32">
        <f>(64.43)*10.764</f>
        <v>693.52452000000005</v>
      </c>
      <c r="F207" s="32">
        <f>(3.18*1.1+1.38*1.53+1.2*6.2)*10.764</f>
        <v>140.46374159999999</v>
      </c>
      <c r="G207" s="31">
        <v>0</v>
      </c>
      <c r="H207" s="31">
        <f t="shared" si="14"/>
        <v>833.98826159999999</v>
      </c>
      <c r="I207" s="1"/>
    </row>
    <row r="208" spans="1:9" s="3" customFormat="1" ht="20.25" customHeight="1" x14ac:dyDescent="0.25">
      <c r="A208" s="93">
        <f t="shared" si="15"/>
        <v>4</v>
      </c>
      <c r="B208" s="94"/>
      <c r="C208" s="53" t="s">
        <v>89</v>
      </c>
      <c r="D208" s="53" t="s">
        <v>341</v>
      </c>
      <c r="E208" s="32">
        <f>(44.82)*10.764</f>
        <v>482.44247999999999</v>
      </c>
      <c r="F208" s="32">
        <f>(2.7*1.1+2.07*1.1)*10.764</f>
        <v>56.478708000000005</v>
      </c>
      <c r="G208" s="31">
        <v>0</v>
      </c>
      <c r="H208" s="31">
        <f t="shared" si="14"/>
        <v>538.92118800000003</v>
      </c>
      <c r="I208" s="1"/>
    </row>
    <row r="209" spans="1:9" s="3" customFormat="1" ht="20.25" customHeight="1" x14ac:dyDescent="0.25">
      <c r="A209" s="93">
        <f t="shared" si="15"/>
        <v>5</v>
      </c>
      <c r="B209" s="94"/>
      <c r="C209" s="53" t="s">
        <v>89</v>
      </c>
      <c r="D209" s="53" t="s">
        <v>340</v>
      </c>
      <c r="E209" s="32">
        <f>(67.28)*10.764</f>
        <v>724.20191999999997</v>
      </c>
      <c r="F209" s="32">
        <f>(1.2*2.78+1.2*2.07+1.2*3.14)*10.764</f>
        <v>103.20523199999998</v>
      </c>
      <c r="G209" s="31">
        <v>0</v>
      </c>
      <c r="H209" s="31">
        <f t="shared" si="14"/>
        <v>827.407152</v>
      </c>
      <c r="I209" s="1"/>
    </row>
    <row r="210" spans="1:9" s="3" customFormat="1" ht="20.25" customHeight="1" x14ac:dyDescent="0.25">
      <c r="A210" s="93">
        <f t="shared" si="15"/>
        <v>6</v>
      </c>
      <c r="B210" s="94"/>
      <c r="C210" s="53" t="s">
        <v>89</v>
      </c>
      <c r="D210" s="53" t="s">
        <v>340</v>
      </c>
      <c r="E210" s="32">
        <f>(69.66)*10.764</f>
        <v>749.8202399999999</v>
      </c>
      <c r="F210" s="32">
        <f>(1.2*2.78+1.3*2.12+1.2*5.75)*10.764</f>
        <v>139.845888</v>
      </c>
      <c r="G210" s="31">
        <v>0</v>
      </c>
      <c r="H210" s="31">
        <f t="shared" si="14"/>
        <v>889.66612799999984</v>
      </c>
      <c r="I210" s="1"/>
    </row>
    <row r="211" spans="1:9" s="3" customFormat="1" ht="20.25" customHeight="1" x14ac:dyDescent="0.25">
      <c r="A211" s="93">
        <f t="shared" si="15"/>
        <v>7</v>
      </c>
      <c r="B211" s="94"/>
      <c r="C211" s="53" t="s">
        <v>89</v>
      </c>
      <c r="D211" s="53" t="s">
        <v>340</v>
      </c>
      <c r="E211" s="32">
        <f>(63.44)*10.764</f>
        <v>682.86815999999999</v>
      </c>
      <c r="F211" s="32">
        <f>(3.18*1.1+1.38*1.53+1.2*6.2)*10.764</f>
        <v>140.46374159999999</v>
      </c>
      <c r="G211" s="31">
        <v>0</v>
      </c>
      <c r="H211" s="31">
        <f t="shared" si="14"/>
        <v>823.33190160000004</v>
      </c>
      <c r="I211" s="1"/>
    </row>
    <row r="212" spans="1:9" s="3" customFormat="1" ht="20.25" customHeight="1" x14ac:dyDescent="0.25">
      <c r="A212" s="93">
        <f t="shared" si="15"/>
        <v>8</v>
      </c>
      <c r="B212" s="94"/>
      <c r="C212" s="53" t="s">
        <v>89</v>
      </c>
      <c r="D212" s="53" t="s">
        <v>341</v>
      </c>
      <c r="E212" s="32">
        <f>(44.82)*10.764</f>
        <v>482.44247999999999</v>
      </c>
      <c r="F212" s="32">
        <f>(2.7*1.1+2.07*1.1)*10.764</f>
        <v>56.478708000000005</v>
      </c>
      <c r="G212" s="31">
        <v>0</v>
      </c>
      <c r="H212" s="31">
        <f t="shared" si="14"/>
        <v>538.92118800000003</v>
      </c>
      <c r="I212" s="1"/>
    </row>
    <row r="213" spans="1:9" s="3" customFormat="1" ht="20.25" x14ac:dyDescent="0.25">
      <c r="A213" s="89" t="s">
        <v>396</v>
      </c>
      <c r="B213" s="90"/>
      <c r="C213" s="90"/>
      <c r="D213" s="90"/>
      <c r="E213" s="90"/>
      <c r="F213" s="90"/>
      <c r="G213" s="90"/>
      <c r="H213" s="91"/>
      <c r="I213" s="1">
        <v>1</v>
      </c>
    </row>
    <row r="214" spans="1:9" s="3" customFormat="1" ht="20.25" x14ac:dyDescent="0.25">
      <c r="A214" s="92">
        <v>1</v>
      </c>
      <c r="B214" s="92"/>
      <c r="C214" s="53" t="s">
        <v>89</v>
      </c>
      <c r="D214" s="53" t="s">
        <v>340</v>
      </c>
      <c r="E214" s="32">
        <f>(66.79)*10.764</f>
        <v>718.92755999999997</v>
      </c>
      <c r="F214" s="32">
        <f>(1.2*2.78+1.2*2.08)*10.764</f>
        <v>62.775647999999997</v>
      </c>
      <c r="G214" s="31">
        <v>0</v>
      </c>
      <c r="H214" s="31">
        <f>E214+F214+(IF(G214&lt;101,G214,IF(G214&lt;201,G214/2,IF(G214&lt;=301,G214/3,G214/4))))</f>
        <v>781.70320800000002</v>
      </c>
      <c r="I214" s="1"/>
    </row>
    <row r="215" spans="1:9" s="3" customFormat="1" ht="20.25" x14ac:dyDescent="0.25">
      <c r="A215" s="93">
        <f>A214+1</f>
        <v>2</v>
      </c>
      <c r="B215" s="94"/>
      <c r="C215" s="53" t="s">
        <v>89</v>
      </c>
      <c r="D215" s="53" t="s">
        <v>340</v>
      </c>
      <c r="E215" s="32">
        <f>(68.71)*10.764</f>
        <v>739.59443999999985</v>
      </c>
      <c r="F215" s="32">
        <f>(1.2*2.78+1.3*2.12)*10.764</f>
        <v>65.574287999999996</v>
      </c>
      <c r="G215" s="31">
        <v>0</v>
      </c>
      <c r="H215" s="31">
        <f t="shared" ref="H215:H221" si="16">E215+F215+(IF(G215&lt;101,G215,IF(G215&lt;201,G215/2,IF(G215&lt;=301,G215/3,G215/4))))</f>
        <v>805.16872799999987</v>
      </c>
      <c r="I215" s="1"/>
    </row>
    <row r="216" spans="1:9" s="3" customFormat="1" ht="20.25" x14ac:dyDescent="0.25">
      <c r="A216" s="93">
        <f t="shared" ref="A216:A221" si="17">A215+1</f>
        <v>3</v>
      </c>
      <c r="B216" s="94"/>
      <c r="C216" s="53" t="s">
        <v>89</v>
      </c>
      <c r="D216" s="53" t="s">
        <v>340</v>
      </c>
      <c r="E216" s="32">
        <f>(63.44)*10.764</f>
        <v>682.86815999999999</v>
      </c>
      <c r="F216" s="32">
        <f>(3.18*1.1+1.38*1.52)*10.764</f>
        <v>60.23103840000001</v>
      </c>
      <c r="G216" s="31">
        <v>0</v>
      </c>
      <c r="H216" s="31">
        <f t="shared" si="16"/>
        <v>743.09919839999998</v>
      </c>
      <c r="I216" s="1"/>
    </row>
    <row r="217" spans="1:9" s="3" customFormat="1" ht="20.25" customHeight="1" x14ac:dyDescent="0.25">
      <c r="A217" s="93">
        <f t="shared" si="17"/>
        <v>4</v>
      </c>
      <c r="B217" s="94"/>
      <c r="C217" s="53" t="s">
        <v>89</v>
      </c>
      <c r="D217" s="53" t="s">
        <v>341</v>
      </c>
      <c r="E217" s="32">
        <f>(44.82)*10.764</f>
        <v>482.44247999999999</v>
      </c>
      <c r="F217" s="32">
        <f>(2.7*1.1+2.07*1.1)*10.764</f>
        <v>56.478708000000005</v>
      </c>
      <c r="G217" s="31">
        <v>0</v>
      </c>
      <c r="H217" s="31">
        <f t="shared" si="16"/>
        <v>538.92118800000003</v>
      </c>
      <c r="I217" s="1"/>
    </row>
    <row r="218" spans="1:9" s="3" customFormat="1" ht="20.25" customHeight="1" x14ac:dyDescent="0.25">
      <c r="A218" s="93">
        <f t="shared" si="17"/>
        <v>5</v>
      </c>
      <c r="B218" s="94"/>
      <c r="C218" s="53" t="s">
        <v>89</v>
      </c>
      <c r="D218" s="53" t="s">
        <v>340</v>
      </c>
      <c r="E218" s="32">
        <f>(66.79)*10.764</f>
        <v>718.92755999999997</v>
      </c>
      <c r="F218" s="32">
        <f>(1.2*2.78+1.2*2.07)*10.764</f>
        <v>62.64647999999999</v>
      </c>
      <c r="G218" s="31">
        <v>0</v>
      </c>
      <c r="H218" s="31">
        <f t="shared" si="16"/>
        <v>781.57403999999997</v>
      </c>
      <c r="I218" s="1"/>
    </row>
    <row r="219" spans="1:9" s="3" customFormat="1" ht="20.25" customHeight="1" x14ac:dyDescent="0.25">
      <c r="A219" s="93">
        <f t="shared" si="17"/>
        <v>6</v>
      </c>
      <c r="B219" s="94"/>
      <c r="C219" s="53" t="s">
        <v>89</v>
      </c>
      <c r="D219" s="53" t="s">
        <v>340</v>
      </c>
      <c r="E219" s="32">
        <f>(68.71)*10.764</f>
        <v>739.59443999999985</v>
      </c>
      <c r="F219" s="32">
        <f>(1.2*2.78+1.3*2.12)*10.764</f>
        <v>65.574287999999996</v>
      </c>
      <c r="G219" s="31">
        <v>0</v>
      </c>
      <c r="H219" s="31">
        <f t="shared" si="16"/>
        <v>805.16872799999987</v>
      </c>
      <c r="I219" s="1"/>
    </row>
    <row r="220" spans="1:9" s="3" customFormat="1" ht="20.25" customHeight="1" x14ac:dyDescent="0.25">
      <c r="A220" s="93">
        <f t="shared" si="17"/>
        <v>7</v>
      </c>
      <c r="B220" s="94"/>
      <c r="C220" s="53" t="s">
        <v>89</v>
      </c>
      <c r="D220" s="53" t="s">
        <v>340</v>
      </c>
      <c r="E220" s="32">
        <f>(63.44)*10.764</f>
        <v>682.86815999999999</v>
      </c>
      <c r="F220" s="32">
        <f>(3.18*1.1+1.38*1.52)*10.764</f>
        <v>60.23103840000001</v>
      </c>
      <c r="G220" s="31">
        <v>0</v>
      </c>
      <c r="H220" s="31">
        <f t="shared" si="16"/>
        <v>743.09919839999998</v>
      </c>
      <c r="I220" s="1"/>
    </row>
    <row r="221" spans="1:9" s="3" customFormat="1" ht="20.25" customHeight="1" x14ac:dyDescent="0.25">
      <c r="A221" s="93">
        <f t="shared" si="17"/>
        <v>8</v>
      </c>
      <c r="B221" s="94"/>
      <c r="C221" s="53" t="s">
        <v>89</v>
      </c>
      <c r="D221" s="53" t="s">
        <v>341</v>
      </c>
      <c r="E221" s="32">
        <f>(44.82)*10.764</f>
        <v>482.44247999999999</v>
      </c>
      <c r="F221" s="32">
        <f>(2.7*1.1+2.07*1.1)*10.764</f>
        <v>56.478708000000005</v>
      </c>
      <c r="G221" s="31">
        <v>0</v>
      </c>
      <c r="H221" s="31">
        <f t="shared" si="16"/>
        <v>538.92118800000003</v>
      </c>
      <c r="I221" s="1"/>
    </row>
    <row r="222" spans="1:9" s="3" customFormat="1" ht="20.25" x14ac:dyDescent="0.25">
      <c r="A222" s="89" t="s">
        <v>397</v>
      </c>
      <c r="B222" s="90"/>
      <c r="C222" s="90"/>
      <c r="D222" s="90"/>
      <c r="E222" s="90"/>
      <c r="F222" s="90"/>
      <c r="G222" s="90"/>
      <c r="H222" s="91"/>
      <c r="I222" s="1">
        <f>4+5</f>
        <v>9</v>
      </c>
    </row>
    <row r="223" spans="1:9" s="3" customFormat="1" ht="20.25" x14ac:dyDescent="0.25">
      <c r="A223" s="92">
        <v>1</v>
      </c>
      <c r="B223" s="92"/>
      <c r="C223" s="53" t="s">
        <v>89</v>
      </c>
      <c r="D223" s="53" t="s">
        <v>340</v>
      </c>
      <c r="E223" s="32">
        <f>(66.79)*10.764</f>
        <v>718.92755999999997</v>
      </c>
      <c r="F223" s="32">
        <f>(1.2*2.78+1.2*2.08)*10.764</f>
        <v>62.775647999999997</v>
      </c>
      <c r="G223" s="31">
        <v>0</v>
      </c>
      <c r="H223" s="31">
        <f>E223+F223+(IF(G223&lt;101,G223,IF(G223&lt;201,G223/2,IF(G223&lt;=301,G223/3,G223/4))))</f>
        <v>781.70320800000002</v>
      </c>
      <c r="I223" s="1"/>
    </row>
    <row r="224" spans="1:9" s="3" customFormat="1" ht="20.25" x14ac:dyDescent="0.25">
      <c r="A224" s="93">
        <f>A223+1</f>
        <v>2</v>
      </c>
      <c r="B224" s="94"/>
      <c r="C224" s="53" t="s">
        <v>89</v>
      </c>
      <c r="D224" s="53" t="s">
        <v>340</v>
      </c>
      <c r="E224" s="32">
        <f>(68.71)*10.764</f>
        <v>739.59443999999985</v>
      </c>
      <c r="F224" s="32">
        <f>(1.2*2.78+1.3*2.12)*10.764</f>
        <v>65.574287999999996</v>
      </c>
      <c r="G224" s="31">
        <v>0</v>
      </c>
      <c r="H224" s="31">
        <f t="shared" ref="H224:H230" si="18">E224+F224+(IF(G224&lt;101,G224,IF(G224&lt;201,G224/2,IF(G224&lt;=301,G224/3,G224/4))))</f>
        <v>805.16872799999987</v>
      </c>
      <c r="I224" s="1"/>
    </row>
    <row r="225" spans="1:9" s="3" customFormat="1" ht="20.25" x14ac:dyDescent="0.25">
      <c r="A225" s="93">
        <f t="shared" ref="A225:A230" si="19">A224+1</f>
        <v>3</v>
      </c>
      <c r="B225" s="94"/>
      <c r="C225" s="53" t="s">
        <v>89</v>
      </c>
      <c r="D225" s="53" t="s">
        <v>340</v>
      </c>
      <c r="E225" s="32">
        <f>(63.44)*10.764</f>
        <v>682.86815999999999</v>
      </c>
      <c r="F225" s="32">
        <f>(3.18*1.1+1.38*1.52)*10.764</f>
        <v>60.23103840000001</v>
      </c>
      <c r="G225" s="31">
        <v>0</v>
      </c>
      <c r="H225" s="31">
        <f t="shared" si="18"/>
        <v>743.09919839999998</v>
      </c>
      <c r="I225" s="1"/>
    </row>
    <row r="226" spans="1:9" s="3" customFormat="1" ht="20.25" customHeight="1" x14ac:dyDescent="0.25">
      <c r="A226" s="93">
        <f t="shared" si="19"/>
        <v>4</v>
      </c>
      <c r="B226" s="94"/>
      <c r="C226" s="53" t="s">
        <v>89</v>
      </c>
      <c r="D226" s="53" t="s">
        <v>341</v>
      </c>
      <c r="E226" s="32">
        <f>(44.82)*10.764</f>
        <v>482.44247999999999</v>
      </c>
      <c r="F226" s="32">
        <f>(2.7*1.1+2.07*1.1)*10.764</f>
        <v>56.478708000000005</v>
      </c>
      <c r="G226" s="31">
        <v>0</v>
      </c>
      <c r="H226" s="31">
        <f t="shared" si="18"/>
        <v>538.92118800000003</v>
      </c>
      <c r="I226" s="1"/>
    </row>
    <row r="227" spans="1:9" s="3" customFormat="1" ht="20.25" customHeight="1" x14ac:dyDescent="0.25">
      <c r="A227" s="93">
        <f t="shared" si="19"/>
        <v>5</v>
      </c>
      <c r="B227" s="94"/>
      <c r="C227" s="53" t="s">
        <v>89</v>
      </c>
      <c r="D227" s="53" t="s">
        <v>340</v>
      </c>
      <c r="E227" s="32">
        <f>(66.79)*10.764</f>
        <v>718.92755999999997</v>
      </c>
      <c r="F227" s="32">
        <f>(1.2*2.78+1.2*2.07)*10.764</f>
        <v>62.64647999999999</v>
      </c>
      <c r="G227" s="31">
        <v>0</v>
      </c>
      <c r="H227" s="31">
        <f t="shared" si="18"/>
        <v>781.57403999999997</v>
      </c>
      <c r="I227" s="1"/>
    </row>
    <row r="228" spans="1:9" s="3" customFormat="1" ht="20.25" customHeight="1" x14ac:dyDescent="0.25">
      <c r="A228" s="93">
        <f t="shared" si="19"/>
        <v>6</v>
      </c>
      <c r="B228" s="94"/>
      <c r="C228" s="53" t="s">
        <v>89</v>
      </c>
      <c r="D228" s="53" t="s">
        <v>340</v>
      </c>
      <c r="E228" s="32">
        <f>(68.71)*10.764</f>
        <v>739.59443999999985</v>
      </c>
      <c r="F228" s="32">
        <f>(1.2*2.78+1.3*2.12)*10.764</f>
        <v>65.574287999999996</v>
      </c>
      <c r="G228" s="31">
        <v>0</v>
      </c>
      <c r="H228" s="31">
        <f t="shared" si="18"/>
        <v>805.16872799999987</v>
      </c>
      <c r="I228" s="1"/>
    </row>
    <row r="229" spans="1:9" s="3" customFormat="1" ht="20.25" customHeight="1" x14ac:dyDescent="0.25">
      <c r="A229" s="93">
        <f t="shared" si="19"/>
        <v>7</v>
      </c>
      <c r="B229" s="94"/>
      <c r="C229" s="53" t="s">
        <v>89</v>
      </c>
      <c r="D229" s="53" t="s">
        <v>340</v>
      </c>
      <c r="E229" s="32">
        <f>(63.44)*10.764</f>
        <v>682.86815999999999</v>
      </c>
      <c r="F229" s="32">
        <f>(3.18*1.1+1.38*1.52)*10.764</f>
        <v>60.23103840000001</v>
      </c>
      <c r="G229" s="31">
        <v>0</v>
      </c>
      <c r="H229" s="31">
        <f t="shared" si="18"/>
        <v>743.09919839999998</v>
      </c>
      <c r="I229" s="1"/>
    </row>
    <row r="230" spans="1:9" s="3" customFormat="1" ht="20.25" customHeight="1" x14ac:dyDescent="0.25">
      <c r="A230" s="93">
        <f t="shared" si="19"/>
        <v>8</v>
      </c>
      <c r="B230" s="94"/>
      <c r="C230" s="53" t="s">
        <v>89</v>
      </c>
      <c r="D230" s="53" t="s">
        <v>341</v>
      </c>
      <c r="E230" s="32">
        <f>(44.82)*10.764</f>
        <v>482.44247999999999</v>
      </c>
      <c r="F230" s="32">
        <f>(2.7*1.1+2.07*1.1)*10.764</f>
        <v>56.478708000000005</v>
      </c>
      <c r="G230" s="31">
        <v>0</v>
      </c>
      <c r="H230" s="31">
        <f t="shared" si="18"/>
        <v>538.92118800000003</v>
      </c>
      <c r="I230" s="1"/>
    </row>
    <row r="231" spans="1:9" s="3" customFormat="1" ht="20.25" x14ac:dyDescent="0.25">
      <c r="A231" s="89" t="s">
        <v>353</v>
      </c>
      <c r="B231" s="90"/>
      <c r="C231" s="90"/>
      <c r="D231" s="90"/>
      <c r="E231" s="90"/>
      <c r="F231" s="90"/>
      <c r="G231" s="90"/>
      <c r="H231" s="91"/>
      <c r="I231" s="1">
        <v>1</v>
      </c>
    </row>
    <row r="232" spans="1:9" s="3" customFormat="1" ht="20.25" x14ac:dyDescent="0.25">
      <c r="A232" s="92">
        <v>1</v>
      </c>
      <c r="B232" s="92"/>
      <c r="C232" s="53" t="s">
        <v>89</v>
      </c>
      <c r="D232" s="53" t="s">
        <v>340</v>
      </c>
      <c r="E232" s="32">
        <f>(67.28)*10.764</f>
        <v>724.20191999999997</v>
      </c>
      <c r="F232" s="32">
        <f>(1.2*2.78+1.2*2.08+1.2*3.13)*10.764</f>
        <v>103.20523199999998</v>
      </c>
      <c r="G232" s="31">
        <v>0</v>
      </c>
      <c r="H232" s="31">
        <f>E232+F232+(IF(G232&lt;101,G232,IF(G232&lt;201,G232/2,IF(G232&lt;=301,G232/3,G232/4))))</f>
        <v>827.407152</v>
      </c>
      <c r="I232" s="1"/>
    </row>
    <row r="233" spans="1:9" s="3" customFormat="1" ht="20.25" x14ac:dyDescent="0.25">
      <c r="A233" s="93">
        <f>A232+1</f>
        <v>2</v>
      </c>
      <c r="B233" s="94"/>
      <c r="C233" s="53" t="s">
        <v>89</v>
      </c>
      <c r="D233" s="53" t="s">
        <v>340</v>
      </c>
      <c r="E233" s="32">
        <f>(69.66)*10.764</f>
        <v>749.8202399999999</v>
      </c>
      <c r="F233" s="32">
        <f>(1.2*2.78+1.3*2.12+1.2*5.75)*10.764</f>
        <v>139.845888</v>
      </c>
      <c r="G233" s="31">
        <v>0</v>
      </c>
      <c r="H233" s="31">
        <f t="shared" ref="H233:H239" si="20">E233+F233+(IF(G233&lt;101,G233,IF(G233&lt;201,G233/2,IF(G233&lt;=301,G233/3,G233/4))))</f>
        <v>889.66612799999984</v>
      </c>
      <c r="I233" s="1"/>
    </row>
    <row r="234" spans="1:9" s="3" customFormat="1" ht="20.25" x14ac:dyDescent="0.25">
      <c r="A234" s="93">
        <f t="shared" ref="A234:A239" si="21">A233+1</f>
        <v>3</v>
      </c>
      <c r="B234" s="94"/>
      <c r="C234" s="53" t="s">
        <v>89</v>
      </c>
      <c r="D234" s="53" t="s">
        <v>340</v>
      </c>
      <c r="E234" s="32">
        <f>(64.43)*10.764</f>
        <v>693.52452000000005</v>
      </c>
      <c r="F234" s="32">
        <f>(3.18*1.1+1.38*1.52+1.2*6.2)*10.764</f>
        <v>140.31519839999999</v>
      </c>
      <c r="G234" s="31">
        <v>0</v>
      </c>
      <c r="H234" s="31">
        <f t="shared" si="20"/>
        <v>833.83971840000004</v>
      </c>
      <c r="I234" s="1"/>
    </row>
    <row r="235" spans="1:9" s="3" customFormat="1" ht="20.25" customHeight="1" x14ac:dyDescent="0.25">
      <c r="A235" s="93">
        <f t="shared" si="21"/>
        <v>4</v>
      </c>
      <c r="B235" s="94"/>
      <c r="C235" s="53" t="s">
        <v>89</v>
      </c>
      <c r="D235" s="53" t="s">
        <v>341</v>
      </c>
      <c r="E235" s="32">
        <f>(44.97)*10.764</f>
        <v>484.05707999999998</v>
      </c>
      <c r="F235" s="32">
        <f>(2.7*1.1+2.07*1.1)*10.764</f>
        <v>56.478708000000005</v>
      </c>
      <c r="G235" s="31">
        <v>0</v>
      </c>
      <c r="H235" s="31">
        <f t="shared" si="20"/>
        <v>540.53578800000003</v>
      </c>
      <c r="I235" s="1"/>
    </row>
    <row r="236" spans="1:9" s="3" customFormat="1" ht="20.25" customHeight="1" x14ac:dyDescent="0.25">
      <c r="A236" s="93">
        <f t="shared" si="21"/>
        <v>5</v>
      </c>
      <c r="B236" s="94"/>
      <c r="C236" s="53" t="s">
        <v>89</v>
      </c>
      <c r="D236" s="53" t="s">
        <v>340</v>
      </c>
      <c r="E236" s="32">
        <f>(67.28)*10.764</f>
        <v>724.20191999999997</v>
      </c>
      <c r="F236" s="32">
        <f>(1.2*2.78+1.2*2.07+1.2*3.14)*10.764</f>
        <v>103.20523199999998</v>
      </c>
      <c r="G236" s="31">
        <v>0</v>
      </c>
      <c r="H236" s="31">
        <f t="shared" si="20"/>
        <v>827.407152</v>
      </c>
      <c r="I236" s="1"/>
    </row>
    <row r="237" spans="1:9" s="3" customFormat="1" ht="20.25" customHeight="1" x14ac:dyDescent="0.25">
      <c r="A237" s="93">
        <f t="shared" si="21"/>
        <v>6</v>
      </c>
      <c r="B237" s="94"/>
      <c r="C237" s="53" t="s">
        <v>89</v>
      </c>
      <c r="D237" s="53" t="s">
        <v>340</v>
      </c>
      <c r="E237" s="32">
        <f>(69.66)*10.764</f>
        <v>749.8202399999999</v>
      </c>
      <c r="F237" s="32">
        <f>(1.2*2.78+1.3*2.12+1.2*5.75)*10.764</f>
        <v>139.845888</v>
      </c>
      <c r="G237" s="31">
        <v>0</v>
      </c>
      <c r="H237" s="31">
        <f t="shared" si="20"/>
        <v>889.66612799999984</v>
      </c>
      <c r="I237" s="1"/>
    </row>
    <row r="238" spans="1:9" s="3" customFormat="1" ht="20.25" customHeight="1" x14ac:dyDescent="0.25">
      <c r="A238" s="93">
        <f t="shared" si="21"/>
        <v>7</v>
      </c>
      <c r="B238" s="94"/>
      <c r="C238" s="53" t="s">
        <v>89</v>
      </c>
      <c r="D238" s="53" t="s">
        <v>340</v>
      </c>
      <c r="E238" s="32">
        <f>(64.43)*10.764</f>
        <v>693.52452000000005</v>
      </c>
      <c r="F238" s="32">
        <f>(3.18*1.1+1.38*1.52+1.2*6.2)*10.764</f>
        <v>140.31519839999999</v>
      </c>
      <c r="G238" s="31">
        <v>0</v>
      </c>
      <c r="H238" s="31">
        <f t="shared" si="20"/>
        <v>833.83971840000004</v>
      </c>
      <c r="I238" s="1"/>
    </row>
    <row r="239" spans="1:9" s="3" customFormat="1" ht="20.25" customHeight="1" x14ac:dyDescent="0.25">
      <c r="A239" s="93">
        <f t="shared" si="21"/>
        <v>8</v>
      </c>
      <c r="B239" s="94"/>
      <c r="C239" s="53" t="s">
        <v>89</v>
      </c>
      <c r="D239" s="53" t="s">
        <v>341</v>
      </c>
      <c r="E239" s="32">
        <f>(44.82)*10.764</f>
        <v>482.44247999999999</v>
      </c>
      <c r="F239" s="32">
        <f>(2.7*1.1+2.07*1.1)*10.764</f>
        <v>56.478708000000005</v>
      </c>
      <c r="G239" s="31">
        <v>0</v>
      </c>
      <c r="H239" s="31">
        <f t="shared" si="20"/>
        <v>538.92118800000003</v>
      </c>
      <c r="I239" s="1"/>
    </row>
    <row r="240" spans="1:9" s="3" customFormat="1" ht="20.25" x14ac:dyDescent="0.25">
      <c r="A240" s="89" t="s">
        <v>354</v>
      </c>
      <c r="B240" s="90"/>
      <c r="C240" s="90"/>
      <c r="D240" s="90"/>
      <c r="E240" s="90"/>
      <c r="F240" s="90"/>
      <c r="G240" s="90"/>
      <c r="H240" s="91"/>
      <c r="I240" s="1">
        <v>1</v>
      </c>
    </row>
    <row r="241" spans="1:9" s="3" customFormat="1" ht="20.25" x14ac:dyDescent="0.25">
      <c r="A241" s="92">
        <v>1</v>
      </c>
      <c r="B241" s="92"/>
      <c r="C241" s="53" t="s">
        <v>89</v>
      </c>
      <c r="D241" s="53" t="s">
        <v>340</v>
      </c>
      <c r="E241" s="32">
        <f>(67.28)*10.764</f>
        <v>724.20191999999997</v>
      </c>
      <c r="F241" s="32">
        <f>(1.2*2.78+1.2*2.08+1.2*3.13)*10.764</f>
        <v>103.20523199999998</v>
      </c>
      <c r="G241" s="31">
        <v>0</v>
      </c>
      <c r="H241" s="31">
        <f>E241+F241+(IF(G241&lt;101,G241,IF(G241&lt;201,G241/2,IF(G241&lt;=301,G241/3,G241/4))))</f>
        <v>827.407152</v>
      </c>
      <c r="I241" s="1"/>
    </row>
    <row r="242" spans="1:9" s="3" customFormat="1" ht="20.25" x14ac:dyDescent="0.25">
      <c r="A242" s="93">
        <f>A241+1</f>
        <v>2</v>
      </c>
      <c r="B242" s="94"/>
      <c r="C242" s="53" t="s">
        <v>89</v>
      </c>
      <c r="D242" s="53" t="s">
        <v>340</v>
      </c>
      <c r="E242" s="32">
        <f>(69.18)*10.764</f>
        <v>744.65352000000007</v>
      </c>
      <c r="F242" s="32">
        <f>(1.2*2.78+1.3*2.12+1.2*2.8)*10.764</f>
        <v>101.741328</v>
      </c>
      <c r="G242" s="31">
        <v>0</v>
      </c>
      <c r="H242" s="31">
        <f t="shared" ref="H242:H248" si="22">E242+F242+(IF(G242&lt;101,G242,IF(G242&lt;201,G242/2,IF(G242&lt;=301,G242/3,G242/4))))</f>
        <v>846.39484800000002</v>
      </c>
      <c r="I242" s="1"/>
    </row>
    <row r="243" spans="1:9" s="3" customFormat="1" ht="20.25" x14ac:dyDescent="0.25">
      <c r="A243" s="93">
        <f t="shared" ref="A243:A248" si="23">A242+1</f>
        <v>3</v>
      </c>
      <c r="B243" s="94"/>
      <c r="C243" s="53" t="s">
        <v>89</v>
      </c>
      <c r="D243" s="53" t="s">
        <v>340</v>
      </c>
      <c r="E243" s="32">
        <f>(63.91)*10.764</f>
        <v>687.92723999999987</v>
      </c>
      <c r="F243" s="32">
        <f>(3.18*1.1+1.38*1.52+1.2*3.04)*10.764</f>
        <v>99.498110400000002</v>
      </c>
      <c r="G243" s="31">
        <v>0</v>
      </c>
      <c r="H243" s="31">
        <f t="shared" si="22"/>
        <v>787.42535039999984</v>
      </c>
      <c r="I243" s="1"/>
    </row>
    <row r="244" spans="1:9" s="3" customFormat="1" ht="20.25" customHeight="1" x14ac:dyDescent="0.25">
      <c r="A244" s="93">
        <f t="shared" si="23"/>
        <v>4</v>
      </c>
      <c r="B244" s="94"/>
      <c r="C244" s="53" t="s">
        <v>89</v>
      </c>
      <c r="D244" s="53" t="s">
        <v>341</v>
      </c>
      <c r="E244" s="32">
        <f>(44.82)*10.764</f>
        <v>482.44247999999999</v>
      </c>
      <c r="F244" s="32">
        <f>(2.7*1.1+2.07*1.1)*10.764</f>
        <v>56.478708000000005</v>
      </c>
      <c r="G244" s="31">
        <v>0</v>
      </c>
      <c r="H244" s="31">
        <f t="shared" si="22"/>
        <v>538.92118800000003</v>
      </c>
      <c r="I244" s="1"/>
    </row>
    <row r="245" spans="1:9" s="3" customFormat="1" ht="20.25" customHeight="1" x14ac:dyDescent="0.25">
      <c r="A245" s="93">
        <f t="shared" si="23"/>
        <v>5</v>
      </c>
      <c r="B245" s="94"/>
      <c r="C245" s="53" t="s">
        <v>89</v>
      </c>
      <c r="D245" s="53" t="s">
        <v>340</v>
      </c>
      <c r="E245" s="32">
        <f>(67.28)*10.764</f>
        <v>724.20191999999997</v>
      </c>
      <c r="F245" s="32">
        <f>(1.2*2.78+1.2*2.07+1.2*3.14)*10.764</f>
        <v>103.20523199999998</v>
      </c>
      <c r="G245" s="31">
        <v>0</v>
      </c>
      <c r="H245" s="31">
        <f t="shared" si="22"/>
        <v>827.407152</v>
      </c>
      <c r="I245" s="1"/>
    </row>
    <row r="246" spans="1:9" s="3" customFormat="1" ht="20.25" customHeight="1" x14ac:dyDescent="0.25">
      <c r="A246" s="93">
        <f t="shared" si="23"/>
        <v>6</v>
      </c>
      <c r="B246" s="94"/>
      <c r="C246" s="53" t="s">
        <v>89</v>
      </c>
      <c r="D246" s="53" t="s">
        <v>340</v>
      </c>
      <c r="E246" s="32">
        <f>(69.18)*10.764</f>
        <v>744.65352000000007</v>
      </c>
      <c r="F246" s="32">
        <f>(1.2*2.78+1.3*2.12+1.2*2.8)*10.764</f>
        <v>101.741328</v>
      </c>
      <c r="G246" s="31">
        <v>0</v>
      </c>
      <c r="H246" s="31">
        <f t="shared" si="22"/>
        <v>846.39484800000002</v>
      </c>
      <c r="I246" s="1"/>
    </row>
    <row r="247" spans="1:9" s="3" customFormat="1" ht="20.25" customHeight="1" x14ac:dyDescent="0.25">
      <c r="A247" s="93">
        <f t="shared" si="23"/>
        <v>7</v>
      </c>
      <c r="B247" s="94"/>
      <c r="C247" s="53" t="s">
        <v>89</v>
      </c>
      <c r="D247" s="53" t="s">
        <v>340</v>
      </c>
      <c r="E247" s="32">
        <f>(63.91)*10.764</f>
        <v>687.92723999999987</v>
      </c>
      <c r="F247" s="32">
        <f>(3.18*1.1+1.38*1.52+1.2*3.04)*10.764</f>
        <v>99.498110400000002</v>
      </c>
      <c r="G247" s="31">
        <v>0</v>
      </c>
      <c r="H247" s="31">
        <f t="shared" si="22"/>
        <v>787.42535039999984</v>
      </c>
      <c r="I247" s="1"/>
    </row>
    <row r="248" spans="1:9" s="3" customFormat="1" ht="20.25" customHeight="1" x14ac:dyDescent="0.25">
      <c r="A248" s="93">
        <f t="shared" si="23"/>
        <v>8</v>
      </c>
      <c r="B248" s="94"/>
      <c r="C248" s="53" t="s">
        <v>89</v>
      </c>
      <c r="D248" s="53" t="s">
        <v>341</v>
      </c>
      <c r="E248" s="32">
        <f>(44.82)*10.764</f>
        <v>482.44247999999999</v>
      </c>
      <c r="F248" s="32">
        <f>(2.7*1.1+2.07*1.1)*10.764</f>
        <v>56.478708000000005</v>
      </c>
      <c r="G248" s="31">
        <v>0</v>
      </c>
      <c r="H248" s="31">
        <f t="shared" si="22"/>
        <v>538.92118800000003</v>
      </c>
      <c r="I248" s="1"/>
    </row>
    <row r="249" spans="1:9" s="3" customFormat="1" ht="20.25" x14ac:dyDescent="0.25">
      <c r="A249" s="89" t="s">
        <v>355</v>
      </c>
      <c r="B249" s="90"/>
      <c r="C249" s="90"/>
      <c r="D249" s="90"/>
      <c r="E249" s="90"/>
      <c r="F249" s="90"/>
      <c r="G249" s="90"/>
      <c r="H249" s="91"/>
      <c r="I249" s="1">
        <v>3</v>
      </c>
    </row>
    <row r="250" spans="1:9" s="3" customFormat="1" ht="20.25" x14ac:dyDescent="0.25">
      <c r="A250" s="92">
        <v>1</v>
      </c>
      <c r="B250" s="92"/>
      <c r="C250" s="53" t="s">
        <v>89</v>
      </c>
      <c r="D250" s="53" t="s">
        <v>340</v>
      </c>
      <c r="E250" s="32">
        <f>(67.28)*10.764</f>
        <v>724.20191999999997</v>
      </c>
      <c r="F250" s="32">
        <f>(1.2*2.78+1.2*2.08+1.2*3.13)*10.764</f>
        <v>103.20523199999998</v>
      </c>
      <c r="G250" s="31">
        <v>0</v>
      </c>
      <c r="H250" s="31">
        <f>E250+F250+(IF(G250&lt;101,G250,IF(G250&lt;201,G250/2,IF(G250&lt;=301,G250/3,G250/4))))</f>
        <v>827.407152</v>
      </c>
      <c r="I250" s="1"/>
    </row>
    <row r="251" spans="1:9" s="3" customFormat="1" ht="20.25" x14ac:dyDescent="0.25">
      <c r="A251" s="93">
        <f>A250+1</f>
        <v>2</v>
      </c>
      <c r="B251" s="94"/>
      <c r="C251" s="53" t="s">
        <v>89</v>
      </c>
      <c r="D251" s="53" t="s">
        <v>340</v>
      </c>
      <c r="E251" s="32">
        <f>(69.18)*10.764</f>
        <v>744.65352000000007</v>
      </c>
      <c r="F251" s="32">
        <f>(1.2*2.78+1.3*2.12+1.2*2.8)*10.764</f>
        <v>101.741328</v>
      </c>
      <c r="G251" s="31">
        <v>0</v>
      </c>
      <c r="H251" s="31">
        <f t="shared" ref="H251:H257" si="24">E251+F251+(IF(G251&lt;101,G251,IF(G251&lt;201,G251/2,IF(G251&lt;=301,G251/3,G251/4))))</f>
        <v>846.39484800000002</v>
      </c>
      <c r="I251" s="1"/>
    </row>
    <row r="252" spans="1:9" s="3" customFormat="1" ht="20.25" x14ac:dyDescent="0.25">
      <c r="A252" s="93">
        <f t="shared" ref="A252:A257" si="25">A251+1</f>
        <v>3</v>
      </c>
      <c r="B252" s="94"/>
      <c r="C252" s="53" t="s">
        <v>89</v>
      </c>
      <c r="D252" s="53" t="s">
        <v>340</v>
      </c>
      <c r="E252" s="32">
        <f>(63.91)*10.764</f>
        <v>687.92723999999987</v>
      </c>
      <c r="F252" s="32">
        <f>(3.18*1.1+1.38*1.52+1.2*3.04)*10.764</f>
        <v>99.498110400000002</v>
      </c>
      <c r="G252" s="31">
        <v>0</v>
      </c>
      <c r="H252" s="31">
        <f t="shared" si="24"/>
        <v>787.42535039999984</v>
      </c>
      <c r="I252" s="1"/>
    </row>
    <row r="253" spans="1:9" s="3" customFormat="1" ht="20.25" customHeight="1" x14ac:dyDescent="0.25">
      <c r="A253" s="93">
        <f t="shared" si="25"/>
        <v>4</v>
      </c>
      <c r="B253" s="94"/>
      <c r="C253" s="53" t="s">
        <v>89</v>
      </c>
      <c r="D253" s="53" t="s">
        <v>341</v>
      </c>
      <c r="E253" s="32">
        <f>(44.82)*10.764</f>
        <v>482.44247999999999</v>
      </c>
      <c r="F253" s="32">
        <f>(2.7*1.1+2.07*1.1)*10.764</f>
        <v>56.478708000000005</v>
      </c>
      <c r="G253" s="31">
        <v>0</v>
      </c>
      <c r="H253" s="31">
        <f t="shared" si="24"/>
        <v>538.92118800000003</v>
      </c>
      <c r="I253" s="1"/>
    </row>
    <row r="254" spans="1:9" s="3" customFormat="1" ht="20.25" customHeight="1" x14ac:dyDescent="0.25">
      <c r="A254" s="93">
        <f t="shared" si="25"/>
        <v>5</v>
      </c>
      <c r="B254" s="94"/>
      <c r="C254" s="53" t="s">
        <v>89</v>
      </c>
      <c r="D254" s="53" t="s">
        <v>340</v>
      </c>
      <c r="E254" s="32">
        <f>(67.28)*10.764</f>
        <v>724.20191999999997</v>
      </c>
      <c r="F254" s="32">
        <f>(1.2*2.78+1.2*2.07+1.2*3.14)*10.764</f>
        <v>103.20523199999998</v>
      </c>
      <c r="G254" s="31">
        <v>0</v>
      </c>
      <c r="H254" s="31">
        <f t="shared" si="24"/>
        <v>827.407152</v>
      </c>
      <c r="I254" s="1"/>
    </row>
    <row r="255" spans="1:9" s="3" customFormat="1" ht="20.25" customHeight="1" x14ac:dyDescent="0.25">
      <c r="A255" s="93">
        <f t="shared" si="25"/>
        <v>6</v>
      </c>
      <c r="B255" s="94"/>
      <c r="C255" s="53" t="s">
        <v>89</v>
      </c>
      <c r="D255" s="53" t="s">
        <v>340</v>
      </c>
      <c r="E255" s="32">
        <f>(69.18)*10.764</f>
        <v>744.65352000000007</v>
      </c>
      <c r="F255" s="32">
        <f>(1.2*2.78+1.3*2.12+1.2*2.8)*10.764</f>
        <v>101.741328</v>
      </c>
      <c r="G255" s="31">
        <v>0</v>
      </c>
      <c r="H255" s="31">
        <f t="shared" si="24"/>
        <v>846.39484800000002</v>
      </c>
      <c r="I255" s="1"/>
    </row>
    <row r="256" spans="1:9" s="3" customFormat="1" ht="20.25" customHeight="1" x14ac:dyDescent="0.25">
      <c r="A256" s="93">
        <f t="shared" si="25"/>
        <v>7</v>
      </c>
      <c r="B256" s="94"/>
      <c r="C256" s="53" t="s">
        <v>89</v>
      </c>
      <c r="D256" s="53" t="s">
        <v>340</v>
      </c>
      <c r="E256" s="32">
        <f>(63.91)*10.764</f>
        <v>687.92723999999987</v>
      </c>
      <c r="F256" s="32">
        <f>(3.18*1.1+1.38*1.52+1.2*3.04)*10.764</f>
        <v>99.498110400000002</v>
      </c>
      <c r="G256" s="31">
        <v>0</v>
      </c>
      <c r="H256" s="31">
        <f t="shared" si="24"/>
        <v>787.42535039999984</v>
      </c>
      <c r="I256" s="1"/>
    </row>
    <row r="257" spans="1:9" s="3" customFormat="1" ht="20.25" customHeight="1" x14ac:dyDescent="0.25">
      <c r="A257" s="93">
        <f t="shared" si="25"/>
        <v>8</v>
      </c>
      <c r="B257" s="94"/>
      <c r="C257" s="53" t="s">
        <v>89</v>
      </c>
      <c r="D257" s="53" t="s">
        <v>341</v>
      </c>
      <c r="E257" s="32">
        <f>(44.82)*10.764</f>
        <v>482.44247999999999</v>
      </c>
      <c r="F257" s="32">
        <f>(2.7*1.1+2.07*1.1)*10.764</f>
        <v>56.478708000000005</v>
      </c>
      <c r="G257" s="31">
        <v>0</v>
      </c>
      <c r="H257" s="31">
        <f t="shared" si="24"/>
        <v>538.92118800000003</v>
      </c>
      <c r="I257" s="1"/>
    </row>
    <row r="258" spans="1:9" s="3" customFormat="1" ht="20.25" x14ac:dyDescent="0.25">
      <c r="A258" s="181" t="s">
        <v>356</v>
      </c>
      <c r="B258" s="182"/>
      <c r="C258" s="182"/>
      <c r="D258" s="182"/>
      <c r="E258" s="182"/>
      <c r="F258" s="182"/>
      <c r="G258" s="182"/>
      <c r="H258" s="183"/>
      <c r="I258" s="1">
        <v>1</v>
      </c>
    </row>
    <row r="259" spans="1:9" s="3" customFormat="1" ht="20.25" x14ac:dyDescent="0.25">
      <c r="A259" s="92">
        <v>1</v>
      </c>
      <c r="B259" s="92"/>
      <c r="C259" s="53" t="s">
        <v>89</v>
      </c>
      <c r="D259" s="53" t="s">
        <v>340</v>
      </c>
      <c r="E259" s="77">
        <f>(67.25)*10.764</f>
        <v>723.87899999999991</v>
      </c>
      <c r="F259" s="32">
        <f>(1.2*2.78+1.2*2.08+1.2*3.13)*10.764</f>
        <v>103.20523199999998</v>
      </c>
      <c r="G259" s="31">
        <v>0</v>
      </c>
      <c r="H259" s="31">
        <f>E259+F259+(IF(G259&lt;101,G259,IF(G259&lt;201,G259/2,IF(G259&lt;=301,G259/3,G259/4))))</f>
        <v>827.08423199999993</v>
      </c>
      <c r="I259" s="1"/>
    </row>
    <row r="260" spans="1:9" s="3" customFormat="1" ht="20.25" x14ac:dyDescent="0.25">
      <c r="A260" s="93">
        <f>A259+1</f>
        <v>2</v>
      </c>
      <c r="B260" s="94"/>
      <c r="C260" s="53" t="s">
        <v>89</v>
      </c>
      <c r="D260" s="53" t="s">
        <v>340</v>
      </c>
      <c r="E260" s="77">
        <f>(69.54)*10.764</f>
        <v>748.52855999999997</v>
      </c>
      <c r="F260" s="32">
        <f>(1.2*2.78+1.3*2.12+1.2*2.8)*10.764</f>
        <v>101.741328</v>
      </c>
      <c r="G260" s="31">
        <v>0</v>
      </c>
      <c r="H260" s="31">
        <f t="shared" ref="H260:H266" si="26">E260+F260+(IF(G260&lt;101,G260,IF(G260&lt;201,G260/2,IF(G260&lt;=301,G260/3,G260/4))))</f>
        <v>850.26988799999992</v>
      </c>
      <c r="I260" s="78" t="s">
        <v>385</v>
      </c>
    </row>
    <row r="261" spans="1:9" s="3" customFormat="1" ht="20.25" x14ac:dyDescent="0.25">
      <c r="A261" s="93">
        <f t="shared" ref="A261:A266" si="27">A260+1</f>
        <v>3</v>
      </c>
      <c r="B261" s="94"/>
      <c r="C261" s="53" t="s">
        <v>89</v>
      </c>
      <c r="D261" s="53" t="s">
        <v>340</v>
      </c>
      <c r="E261" s="77">
        <f>(64.37)*10.764</f>
        <v>692.87868000000003</v>
      </c>
      <c r="F261" s="32">
        <f>(3.18*1.1+1.38*1.52+1.2*3.04)*10.764</f>
        <v>99.498110400000002</v>
      </c>
      <c r="G261" s="31">
        <v>0</v>
      </c>
      <c r="H261" s="31">
        <f t="shared" si="26"/>
        <v>792.3767904</v>
      </c>
      <c r="I261" s="1"/>
    </row>
    <row r="262" spans="1:9" s="3" customFormat="1" ht="20.25" customHeight="1" x14ac:dyDescent="0.25">
      <c r="A262" s="93">
        <f t="shared" si="27"/>
        <v>4</v>
      </c>
      <c r="B262" s="94"/>
      <c r="C262" s="53" t="s">
        <v>89</v>
      </c>
      <c r="D262" s="53" t="s">
        <v>341</v>
      </c>
      <c r="E262" s="77">
        <f>(44.7)*10.764</f>
        <v>481.1508</v>
      </c>
      <c r="F262" s="32">
        <f>(2.7*1.1+2.07*1.1)*10.764</f>
        <v>56.478708000000005</v>
      </c>
      <c r="G262" s="31">
        <v>0</v>
      </c>
      <c r="H262" s="31">
        <f t="shared" si="26"/>
        <v>537.62950799999999</v>
      </c>
      <c r="I262" s="1"/>
    </row>
    <row r="263" spans="1:9" s="3" customFormat="1" ht="20.25" customHeight="1" x14ac:dyDescent="0.25">
      <c r="A263" s="93">
        <f t="shared" si="27"/>
        <v>5</v>
      </c>
      <c r="B263" s="94"/>
      <c r="C263" s="53" t="s">
        <v>89</v>
      </c>
      <c r="D263" s="53" t="s">
        <v>340</v>
      </c>
      <c r="E263" s="32">
        <f>(67.28)*10.764</f>
        <v>724.20191999999997</v>
      </c>
      <c r="F263" s="32">
        <f>(1.2*2.78+1.2*2.07+1.2*3.14)*10.764</f>
        <v>103.20523199999998</v>
      </c>
      <c r="G263" s="31">
        <v>0</v>
      </c>
      <c r="H263" s="31">
        <f t="shared" si="26"/>
        <v>827.407152</v>
      </c>
      <c r="I263" s="1"/>
    </row>
    <row r="264" spans="1:9" s="3" customFormat="1" ht="20.25" customHeight="1" x14ac:dyDescent="0.25">
      <c r="A264" s="93">
        <f t="shared" si="27"/>
        <v>6</v>
      </c>
      <c r="B264" s="94"/>
      <c r="C264" s="53" t="s">
        <v>89</v>
      </c>
      <c r="D264" s="53" t="s">
        <v>340</v>
      </c>
      <c r="E264" s="32">
        <f>(69.18)*10.764</f>
        <v>744.65352000000007</v>
      </c>
      <c r="F264" s="32">
        <f>(1.2*2.78+1.3*2.12+1.2*2.8)*10.764</f>
        <v>101.741328</v>
      </c>
      <c r="G264" s="31">
        <v>0</v>
      </c>
      <c r="H264" s="31">
        <f t="shared" si="26"/>
        <v>846.39484800000002</v>
      </c>
      <c r="I264" s="1"/>
    </row>
    <row r="265" spans="1:9" s="3" customFormat="1" ht="20.25" customHeight="1" x14ac:dyDescent="0.25">
      <c r="A265" s="93">
        <f t="shared" si="27"/>
        <v>7</v>
      </c>
      <c r="B265" s="94"/>
      <c r="C265" s="95" t="s">
        <v>357</v>
      </c>
      <c r="D265" s="96"/>
      <c r="E265" s="96"/>
      <c r="F265" s="96"/>
      <c r="G265" s="96"/>
      <c r="H265" s="97"/>
      <c r="I265" s="1"/>
    </row>
    <row r="266" spans="1:9" s="3" customFormat="1" ht="20.25" customHeight="1" x14ac:dyDescent="0.25">
      <c r="A266" s="93">
        <f t="shared" si="27"/>
        <v>8</v>
      </c>
      <c r="B266" s="94"/>
      <c r="C266" s="53" t="s">
        <v>89</v>
      </c>
      <c r="D266" s="53" t="s">
        <v>341</v>
      </c>
      <c r="E266" s="32">
        <f>(44.82)*10.764</f>
        <v>482.44247999999999</v>
      </c>
      <c r="F266" s="32">
        <f>(2.7*1.1+2.07*1.1)*10.764</f>
        <v>56.478708000000005</v>
      </c>
      <c r="G266" s="31">
        <v>0</v>
      </c>
      <c r="H266" s="31">
        <f t="shared" si="26"/>
        <v>538.92118800000003</v>
      </c>
      <c r="I266" s="1"/>
    </row>
    <row r="267" spans="1:9" s="3" customFormat="1" ht="20.25" x14ac:dyDescent="0.25">
      <c r="A267" s="89" t="s">
        <v>383</v>
      </c>
      <c r="B267" s="90"/>
      <c r="C267" s="90"/>
      <c r="D267" s="90"/>
      <c r="E267" s="90"/>
      <c r="F267" s="90"/>
      <c r="G267" s="90"/>
      <c r="H267" s="91"/>
      <c r="I267" s="31">
        <v>10.763999999999999</v>
      </c>
    </row>
    <row r="268" spans="1:9" s="3" customFormat="1" ht="20.25" x14ac:dyDescent="0.25">
      <c r="A268" s="89" t="s">
        <v>334</v>
      </c>
      <c r="B268" s="90"/>
      <c r="C268" s="90"/>
      <c r="D268" s="90"/>
      <c r="E268" s="90"/>
      <c r="F268" s="90"/>
      <c r="G268" s="90"/>
      <c r="H268" s="91"/>
      <c r="I268" s="1"/>
    </row>
    <row r="269" spans="1:9" s="3" customFormat="1" ht="20.25" x14ac:dyDescent="0.25">
      <c r="A269" s="89" t="s">
        <v>335</v>
      </c>
      <c r="B269" s="90"/>
      <c r="C269" s="90"/>
      <c r="D269" s="90"/>
      <c r="E269" s="90"/>
      <c r="F269" s="90"/>
      <c r="G269" s="90"/>
      <c r="H269" s="91"/>
      <c r="I269" s="1"/>
    </row>
    <row r="270" spans="1:9" s="3" customFormat="1" ht="20.25" customHeight="1" x14ac:dyDescent="0.25">
      <c r="A270" s="89" t="s">
        <v>377</v>
      </c>
      <c r="B270" s="90"/>
      <c r="C270" s="90"/>
      <c r="D270" s="90"/>
      <c r="E270" s="90"/>
      <c r="F270" s="90"/>
      <c r="G270" s="90"/>
      <c r="H270" s="91"/>
      <c r="I270" s="1"/>
    </row>
    <row r="271" spans="1:9" s="3" customFormat="1" ht="20.25" x14ac:dyDescent="0.25">
      <c r="A271" s="89" t="s">
        <v>336</v>
      </c>
      <c r="B271" s="90"/>
      <c r="C271" s="90"/>
      <c r="D271" s="90"/>
      <c r="E271" s="90"/>
      <c r="F271" s="90"/>
      <c r="G271" s="90"/>
      <c r="H271" s="91"/>
      <c r="I271" s="1"/>
    </row>
    <row r="272" spans="1:9" s="3" customFormat="1" ht="20.25" x14ac:dyDescent="0.25">
      <c r="A272" s="89" t="s">
        <v>337</v>
      </c>
      <c r="B272" s="90"/>
      <c r="C272" s="90"/>
      <c r="D272" s="90"/>
      <c r="E272" s="90"/>
      <c r="F272" s="90"/>
      <c r="G272" s="90"/>
      <c r="H272" s="91"/>
      <c r="I272" s="1"/>
    </row>
    <row r="273" spans="1:9" s="3" customFormat="1" ht="21" customHeight="1" x14ac:dyDescent="0.25">
      <c r="A273" s="89" t="s">
        <v>359</v>
      </c>
      <c r="B273" s="90"/>
      <c r="C273" s="90"/>
      <c r="D273" s="90"/>
      <c r="E273" s="90"/>
      <c r="F273" s="90"/>
      <c r="G273" s="90"/>
      <c r="H273" s="91"/>
      <c r="I273" s="1"/>
    </row>
    <row r="274" spans="1:9" s="3" customFormat="1" ht="20.25" x14ac:dyDescent="0.25">
      <c r="A274" s="89" t="s">
        <v>386</v>
      </c>
      <c r="B274" s="90"/>
      <c r="C274" s="90"/>
      <c r="D274" s="90"/>
      <c r="E274" s="90"/>
      <c r="F274" s="90"/>
      <c r="G274" s="90"/>
      <c r="H274" s="91"/>
      <c r="I274" s="1"/>
    </row>
    <row r="275" spans="1:9" s="3" customFormat="1" ht="20.25" x14ac:dyDescent="0.25">
      <c r="A275" s="92">
        <v>1</v>
      </c>
      <c r="B275" s="92"/>
      <c r="C275" s="53" t="s">
        <v>89</v>
      </c>
      <c r="D275" s="53" t="s">
        <v>340</v>
      </c>
      <c r="E275" s="31">
        <f>(67.13)*10.764</f>
        <v>722.58731999999986</v>
      </c>
      <c r="F275" s="31">
        <f>(1.2*(2.83+3.1)+2.08*1.25)*10.764</f>
        <v>104.58302399999998</v>
      </c>
      <c r="G275" s="31">
        <v>0</v>
      </c>
      <c r="H275" s="31">
        <f>E275+F275+(IF(G275&lt;101,G275,IF(G275&lt;201,G275/2,IF(G275&lt;=301,G275/3,G275/4))))</f>
        <v>827.17034399999989</v>
      </c>
      <c r="I275" s="1"/>
    </row>
    <row r="276" spans="1:9" s="3" customFormat="1" ht="20.25" x14ac:dyDescent="0.25">
      <c r="A276" s="93">
        <f>A275+1</f>
        <v>2</v>
      </c>
      <c r="B276" s="94"/>
      <c r="C276" s="53" t="s">
        <v>89</v>
      </c>
      <c r="D276" s="53" t="s">
        <v>340</v>
      </c>
      <c r="E276" s="31">
        <f>(69.46)*10.764</f>
        <v>747.66743999999994</v>
      </c>
      <c r="F276" s="31">
        <f>(1.2*(2.78+5.75)+1.35*2.13)*10.764</f>
        <v>141.13218599999999</v>
      </c>
      <c r="G276" s="31">
        <v>0</v>
      </c>
      <c r="H276" s="31">
        <f t="shared" ref="H276:H277" si="28">E276+F276+(IF(G276&lt;101,G276,IF(G276&lt;201,G276/2,IF(G276&lt;=301,G276/3,G276/4))))</f>
        <v>888.79962599999999</v>
      </c>
      <c r="I276" s="1"/>
    </row>
    <row r="277" spans="1:9" s="3" customFormat="1" ht="20.25" x14ac:dyDescent="0.25">
      <c r="A277" s="93">
        <f t="shared" ref="A277:A280" si="29">A276+1</f>
        <v>3</v>
      </c>
      <c r="B277" s="94"/>
      <c r="C277" s="53" t="s">
        <v>89</v>
      </c>
      <c r="D277" s="53" t="s">
        <v>387</v>
      </c>
      <c r="E277" s="31">
        <f>(109.76)*10.764</f>
        <v>1181.4566399999999</v>
      </c>
      <c r="F277" s="31">
        <f>(6.02*1.1+1.2*6.2+1.43*1.52)*10.764</f>
        <v>174.75999839999997</v>
      </c>
      <c r="G277" s="31">
        <v>0</v>
      </c>
      <c r="H277" s="31">
        <f t="shared" si="28"/>
        <v>1356.2166383999997</v>
      </c>
      <c r="I277" s="1"/>
    </row>
    <row r="278" spans="1:9" s="3" customFormat="1" ht="20.25" customHeight="1" x14ac:dyDescent="0.25">
      <c r="A278" s="93">
        <f t="shared" si="29"/>
        <v>4</v>
      </c>
      <c r="B278" s="94"/>
      <c r="C278" s="98" t="s">
        <v>388</v>
      </c>
      <c r="D278" s="99"/>
      <c r="E278" s="99"/>
      <c r="F278" s="99"/>
      <c r="G278" s="99"/>
      <c r="H278" s="100"/>
      <c r="I278" s="1"/>
    </row>
    <row r="279" spans="1:9" s="3" customFormat="1" ht="20.25" customHeight="1" x14ac:dyDescent="0.25">
      <c r="A279" s="93">
        <f t="shared" si="29"/>
        <v>5</v>
      </c>
      <c r="B279" s="94"/>
      <c r="C279" s="101"/>
      <c r="D279" s="102"/>
      <c r="E279" s="102"/>
      <c r="F279" s="102"/>
      <c r="G279" s="102"/>
      <c r="H279" s="103"/>
      <c r="I279" s="1"/>
    </row>
    <row r="280" spans="1:9" s="3" customFormat="1" ht="20.25" customHeight="1" x14ac:dyDescent="0.25">
      <c r="A280" s="93">
        <f t="shared" si="29"/>
        <v>6</v>
      </c>
      <c r="B280" s="94"/>
      <c r="C280" s="95" t="s">
        <v>389</v>
      </c>
      <c r="D280" s="96"/>
      <c r="E280" s="96"/>
      <c r="F280" s="96"/>
      <c r="G280" s="96"/>
      <c r="H280" s="97"/>
      <c r="I280" s="1"/>
    </row>
    <row r="281" spans="1:9" s="3" customFormat="1" ht="20.25" x14ac:dyDescent="0.25">
      <c r="A281" s="89" t="s">
        <v>342</v>
      </c>
      <c r="B281" s="90"/>
      <c r="C281" s="90"/>
      <c r="D281" s="90"/>
      <c r="E281" s="90"/>
      <c r="F281" s="90"/>
      <c r="G281" s="90"/>
      <c r="H281" s="91"/>
      <c r="I281" s="1"/>
    </row>
    <row r="282" spans="1:9" s="3" customFormat="1" ht="20.25" x14ac:dyDescent="0.25">
      <c r="A282" s="92">
        <v>1</v>
      </c>
      <c r="B282" s="92"/>
      <c r="C282" s="53" t="s">
        <v>89</v>
      </c>
      <c r="D282" s="53" t="s">
        <v>340</v>
      </c>
      <c r="E282" s="31">
        <f>(67.13)*10.764</f>
        <v>722.58731999999986</v>
      </c>
      <c r="F282" s="31">
        <f>(1.2*(2.83+3.1)+2.08*1.25)*10.764</f>
        <v>104.58302399999998</v>
      </c>
      <c r="G282" s="31">
        <v>0</v>
      </c>
      <c r="H282" s="31">
        <f>E282+F282+(IF(G282&lt;101,G282,IF(G282&lt;201,G282/2,IF(G282&lt;=301,G282/3,G282/4))))</f>
        <v>827.17034399999989</v>
      </c>
      <c r="I282" s="1"/>
    </row>
    <row r="283" spans="1:9" s="3" customFormat="1" ht="20.25" x14ac:dyDescent="0.25">
      <c r="A283" s="93">
        <f>A282+1</f>
        <v>2</v>
      </c>
      <c r="B283" s="94"/>
      <c r="C283" s="53" t="s">
        <v>89</v>
      </c>
      <c r="D283" s="53" t="s">
        <v>340</v>
      </c>
      <c r="E283" s="31">
        <f>(69.51)*10.764</f>
        <v>748.20564000000002</v>
      </c>
      <c r="F283" s="31">
        <f>(1.2*(2.78+5.75)+1.35*2.13)*10.764</f>
        <v>141.13218599999999</v>
      </c>
      <c r="G283" s="31">
        <v>0</v>
      </c>
      <c r="H283" s="31">
        <f t="shared" ref="H283:H287" si="30">E283+F283+(IF(G283&lt;101,G283,IF(G283&lt;201,G283/2,IF(G283&lt;=301,G283/3,G283/4))))</f>
        <v>889.33782599999995</v>
      </c>
      <c r="I283" s="1"/>
    </row>
    <row r="284" spans="1:9" s="3" customFormat="1" ht="20.25" x14ac:dyDescent="0.25">
      <c r="A284" s="93">
        <f t="shared" ref="A284:A287" si="31">A283+1</f>
        <v>3</v>
      </c>
      <c r="B284" s="94"/>
      <c r="C284" s="53" t="s">
        <v>89</v>
      </c>
      <c r="D284" s="53" t="s">
        <v>387</v>
      </c>
      <c r="E284" s="31">
        <f>(109.76)*10.764</f>
        <v>1181.4566399999999</v>
      </c>
      <c r="F284" s="31">
        <f>(6.02*1.1+1.2*6.2+1.43*1.53)*10.764</f>
        <v>174.9139236</v>
      </c>
      <c r="G284" s="31">
        <v>0</v>
      </c>
      <c r="H284" s="31">
        <f t="shared" si="30"/>
        <v>1356.3705636</v>
      </c>
      <c r="I284" s="1"/>
    </row>
    <row r="285" spans="1:9" s="3" customFormat="1" ht="20.25" customHeight="1" x14ac:dyDescent="0.25">
      <c r="A285" s="93">
        <f t="shared" si="31"/>
        <v>4</v>
      </c>
      <c r="B285" s="94"/>
      <c r="C285" s="53" t="s">
        <v>89</v>
      </c>
      <c r="D285" s="53" t="s">
        <v>340</v>
      </c>
      <c r="E285" s="31">
        <f>(67.13)*10.764</f>
        <v>722.58731999999986</v>
      </c>
      <c r="F285" s="31">
        <f>(1.2*(2.83+3.1)+2.08*1.25)*10.764</f>
        <v>104.58302399999998</v>
      </c>
      <c r="G285" s="31">
        <v>0</v>
      </c>
      <c r="H285" s="31">
        <f t="shared" si="30"/>
        <v>827.17034399999989</v>
      </c>
      <c r="I285" s="1"/>
    </row>
    <row r="286" spans="1:9" s="3" customFormat="1" ht="20.25" customHeight="1" x14ac:dyDescent="0.25">
      <c r="A286" s="93">
        <f t="shared" si="31"/>
        <v>5</v>
      </c>
      <c r="B286" s="94"/>
      <c r="C286" s="53" t="s">
        <v>89</v>
      </c>
      <c r="D286" s="53" t="s">
        <v>340</v>
      </c>
      <c r="E286" s="31">
        <f>(69.47)*10.764</f>
        <v>747.77507999999989</v>
      </c>
      <c r="F286" s="31">
        <f>(1.2*(2.78+5.75)+1.35*2.13)*10.764</f>
        <v>141.13218599999999</v>
      </c>
      <c r="G286" s="31">
        <v>0</v>
      </c>
      <c r="H286" s="31">
        <f t="shared" si="30"/>
        <v>888.90726599999994</v>
      </c>
      <c r="I286" s="1"/>
    </row>
    <row r="287" spans="1:9" s="3" customFormat="1" ht="20.25" customHeight="1" x14ac:dyDescent="0.25">
      <c r="A287" s="93">
        <f t="shared" si="31"/>
        <v>6</v>
      </c>
      <c r="B287" s="94"/>
      <c r="C287" s="53" t="s">
        <v>89</v>
      </c>
      <c r="D287" s="53" t="s">
        <v>387</v>
      </c>
      <c r="E287" s="31">
        <f>(109.76)*10.764</f>
        <v>1181.4566399999999</v>
      </c>
      <c r="F287" s="31">
        <f>(6.02*1.1+1.2*6.2+1.43*1.53)*10.764</f>
        <v>174.9139236</v>
      </c>
      <c r="G287" s="31">
        <v>0</v>
      </c>
      <c r="H287" s="31">
        <f t="shared" si="30"/>
        <v>1356.3705636</v>
      </c>
      <c r="I287" s="1"/>
    </row>
    <row r="288" spans="1:9" s="3" customFormat="1" ht="20.25" x14ac:dyDescent="0.25">
      <c r="A288" s="89" t="s">
        <v>344</v>
      </c>
      <c r="B288" s="90"/>
      <c r="C288" s="90"/>
      <c r="D288" s="90"/>
      <c r="E288" s="90"/>
      <c r="F288" s="90"/>
      <c r="G288" s="90"/>
      <c r="H288" s="91"/>
      <c r="I288" s="1"/>
    </row>
    <row r="289" spans="1:9" s="3" customFormat="1" ht="20.25" x14ac:dyDescent="0.25">
      <c r="A289" s="92">
        <v>1</v>
      </c>
      <c r="B289" s="92"/>
      <c r="C289" s="53" t="s">
        <v>89</v>
      </c>
      <c r="D289" s="53" t="s">
        <v>345</v>
      </c>
      <c r="E289" s="31">
        <f>(78.12)*10.764</f>
        <v>840.88368000000003</v>
      </c>
      <c r="F289" s="31">
        <f>(1.2*(2.83+3.1+2.78)+2.08*1.25)*10.764</f>
        <v>140.49172799999997</v>
      </c>
      <c r="G289" s="31">
        <v>0</v>
      </c>
      <c r="H289" s="31">
        <f>E289+F289+(IF(G289&lt;101,G289,IF(G289&lt;201,G289/2,IF(G289&lt;=301,G289/3,G289/4))))</f>
        <v>981.37540799999999</v>
      </c>
      <c r="I289" s="1"/>
    </row>
    <row r="290" spans="1:9" s="3" customFormat="1" ht="20.25" x14ac:dyDescent="0.25">
      <c r="A290" s="93">
        <f>A289+1</f>
        <v>2</v>
      </c>
      <c r="B290" s="94"/>
      <c r="C290" s="95" t="s">
        <v>343</v>
      </c>
      <c r="D290" s="96"/>
      <c r="E290" s="96"/>
      <c r="F290" s="96"/>
      <c r="G290" s="96"/>
      <c r="H290" s="97"/>
      <c r="I290" s="1"/>
    </row>
    <row r="291" spans="1:9" s="3" customFormat="1" ht="20.25" x14ac:dyDescent="0.25">
      <c r="A291" s="93">
        <f t="shared" ref="A291:A294" si="32">A290+1</f>
        <v>3</v>
      </c>
      <c r="B291" s="94"/>
      <c r="C291" s="53" t="s">
        <v>89</v>
      </c>
      <c r="D291" s="53" t="s">
        <v>341</v>
      </c>
      <c r="E291" s="31">
        <f>(43.85)*10.764</f>
        <v>472.00139999999999</v>
      </c>
      <c r="F291" s="31">
        <f>(0)*10.764</f>
        <v>0</v>
      </c>
      <c r="G291" s="53">
        <v>0</v>
      </c>
      <c r="H291" s="31">
        <f>E291+F291+(IF(G291&lt;101,G291,IF(G291&lt;201,G291/2,IF(G291&lt;=301,G291/3,G291/4))))</f>
        <v>472.00139999999999</v>
      </c>
      <c r="I291" s="1"/>
    </row>
    <row r="292" spans="1:9" s="3" customFormat="1" ht="20.25" customHeight="1" x14ac:dyDescent="0.25">
      <c r="A292" s="93">
        <f t="shared" si="32"/>
        <v>4</v>
      </c>
      <c r="B292" s="94"/>
      <c r="C292" s="53" t="s">
        <v>89</v>
      </c>
      <c r="D292" s="53" t="s">
        <v>340</v>
      </c>
      <c r="E292" s="31">
        <f>(67.13)*10.764</f>
        <v>722.58731999999986</v>
      </c>
      <c r="F292" s="31">
        <f>(1.2*(2.83+3.1)+2.08*1.25)*10.764</f>
        <v>104.58302399999998</v>
      </c>
      <c r="G292" s="31">
        <v>0</v>
      </c>
      <c r="H292" s="31">
        <f t="shared" ref="H292:H294" si="33">E292+F292+(IF(G292&lt;101,G292,IF(G292&lt;201,G292/2,IF(G292&lt;=301,G292/3,G292/4))))</f>
        <v>827.17034399999989</v>
      </c>
      <c r="I292" s="1"/>
    </row>
    <row r="293" spans="1:9" s="3" customFormat="1" ht="20.25" customHeight="1" x14ac:dyDescent="0.25">
      <c r="A293" s="93">
        <f t="shared" si="32"/>
        <v>5</v>
      </c>
      <c r="B293" s="94"/>
      <c r="C293" s="53" t="s">
        <v>89</v>
      </c>
      <c r="D293" s="53" t="s">
        <v>340</v>
      </c>
      <c r="E293" s="31">
        <f>(69.47)*10.764</f>
        <v>747.77507999999989</v>
      </c>
      <c r="F293" s="31">
        <f>(1.2*(2.78+5.75)+1.35*2.13)*10.764</f>
        <v>141.13218599999999</v>
      </c>
      <c r="G293" s="31">
        <v>0</v>
      </c>
      <c r="H293" s="31">
        <f t="shared" si="33"/>
        <v>888.90726599999994</v>
      </c>
      <c r="I293" s="1"/>
    </row>
    <row r="294" spans="1:9" s="3" customFormat="1" ht="20.25" customHeight="1" x14ac:dyDescent="0.25">
      <c r="A294" s="93">
        <f t="shared" si="32"/>
        <v>6</v>
      </c>
      <c r="B294" s="94"/>
      <c r="C294" s="53" t="s">
        <v>89</v>
      </c>
      <c r="D294" s="53" t="s">
        <v>387</v>
      </c>
      <c r="E294" s="31">
        <f>(109.76)*10.764</f>
        <v>1181.4566399999999</v>
      </c>
      <c r="F294" s="31">
        <f>(1.2*6.2+1.43*1.52)*10.764</f>
        <v>103.48079039999999</v>
      </c>
      <c r="G294" s="31">
        <v>0</v>
      </c>
      <c r="H294" s="31">
        <f t="shared" si="33"/>
        <v>1284.9374303999998</v>
      </c>
      <c r="I294" s="1"/>
    </row>
    <row r="295" spans="1:9" s="3" customFormat="1" ht="20.25" x14ac:dyDescent="0.25">
      <c r="A295" s="89" t="s">
        <v>346</v>
      </c>
      <c r="B295" s="90"/>
      <c r="C295" s="90"/>
      <c r="D295" s="90"/>
      <c r="E295" s="90"/>
      <c r="F295" s="90"/>
      <c r="G295" s="90"/>
      <c r="H295" s="91"/>
      <c r="I295" s="1"/>
    </row>
    <row r="296" spans="1:9" s="3" customFormat="1" ht="20.25" x14ac:dyDescent="0.25">
      <c r="A296" s="92">
        <v>1</v>
      </c>
      <c r="B296" s="92"/>
      <c r="C296" s="53" t="s">
        <v>89</v>
      </c>
      <c r="D296" s="53" t="s">
        <v>340</v>
      </c>
      <c r="E296" s="31">
        <f>(67.13)*10.764</f>
        <v>722.58731999999986</v>
      </c>
      <c r="F296" s="31">
        <f>(1.2*(2.83+3.1)+2.08*1.25)*10.764</f>
        <v>104.58302399999998</v>
      </c>
      <c r="G296" s="31">
        <v>0</v>
      </c>
      <c r="H296" s="31">
        <f>E296+F296+(IF(G296&lt;101,G296,IF(G296&lt;201,G296/2,IF(G296&lt;=301,G296/3,G296/4))))</f>
        <v>827.17034399999989</v>
      </c>
      <c r="I296" s="1"/>
    </row>
    <row r="297" spans="1:9" s="3" customFormat="1" ht="20.25" x14ac:dyDescent="0.25">
      <c r="A297" s="93">
        <f>A296+1</f>
        <v>2</v>
      </c>
      <c r="B297" s="94"/>
      <c r="C297" s="53" t="s">
        <v>89</v>
      </c>
      <c r="D297" s="53" t="s">
        <v>340</v>
      </c>
      <c r="E297" s="31">
        <f>(69.51)*10.764</f>
        <v>748.20564000000002</v>
      </c>
      <c r="F297" s="31">
        <f>(1.2*(2.78+5.75)+2.13*1.35)*10.764</f>
        <v>141.13218599999999</v>
      </c>
      <c r="G297" s="31">
        <v>0</v>
      </c>
      <c r="H297" s="31">
        <f t="shared" ref="H297:H301" si="34">E297+F297+(IF(G297&lt;101,G297,IF(G297&lt;201,G297/2,IF(G297&lt;=301,G297/3,G297/4))))</f>
        <v>889.33782599999995</v>
      </c>
      <c r="I297" s="1"/>
    </row>
    <row r="298" spans="1:9" s="3" customFormat="1" ht="20.25" x14ac:dyDescent="0.25">
      <c r="A298" s="93">
        <f t="shared" ref="A298:A301" si="35">A297+1</f>
        <v>3</v>
      </c>
      <c r="B298" s="94"/>
      <c r="C298" s="53" t="s">
        <v>89</v>
      </c>
      <c r="D298" s="53" t="s">
        <v>387</v>
      </c>
      <c r="E298" s="31">
        <f>(108.75)*10.764</f>
        <v>1170.585</v>
      </c>
      <c r="F298" s="31">
        <f>(1.2*6.2+1.43*1.53)*10.764</f>
        <v>103.63471559999999</v>
      </c>
      <c r="G298" s="31">
        <v>0</v>
      </c>
      <c r="H298" s="31">
        <f t="shared" si="34"/>
        <v>1274.2197156</v>
      </c>
      <c r="I298" s="1"/>
    </row>
    <row r="299" spans="1:9" s="3" customFormat="1" ht="20.25" customHeight="1" x14ac:dyDescent="0.25">
      <c r="A299" s="93">
        <f t="shared" si="35"/>
        <v>4</v>
      </c>
      <c r="B299" s="94"/>
      <c r="C299" s="53" t="s">
        <v>89</v>
      </c>
      <c r="D299" s="53" t="s">
        <v>340</v>
      </c>
      <c r="E299" s="31">
        <f>(66.2)*10.764</f>
        <v>712.57679999999993</v>
      </c>
      <c r="F299" s="31">
        <f>(1.25*2.08)*10.764</f>
        <v>27.9864</v>
      </c>
      <c r="G299" s="31">
        <v>0</v>
      </c>
      <c r="H299" s="31">
        <f t="shared" si="34"/>
        <v>740.56319999999994</v>
      </c>
      <c r="I299" s="1"/>
    </row>
    <row r="300" spans="1:9" s="3" customFormat="1" ht="20.25" customHeight="1" x14ac:dyDescent="0.25">
      <c r="A300" s="93">
        <f t="shared" si="35"/>
        <v>5</v>
      </c>
      <c r="B300" s="94"/>
      <c r="C300" s="53" t="s">
        <v>89</v>
      </c>
      <c r="D300" s="53" t="s">
        <v>340</v>
      </c>
      <c r="E300" s="31">
        <f>(68.09)*10.764</f>
        <v>732.92075999999997</v>
      </c>
      <c r="F300" s="31">
        <f>(1.35*2.13)*10.764</f>
        <v>30.951882000000001</v>
      </c>
      <c r="G300" s="31">
        <v>0</v>
      </c>
      <c r="H300" s="31">
        <f t="shared" si="34"/>
        <v>763.87264199999993</v>
      </c>
      <c r="I300" s="1"/>
    </row>
    <row r="301" spans="1:9" s="3" customFormat="1" ht="20.25" customHeight="1" x14ac:dyDescent="0.25">
      <c r="A301" s="93">
        <f t="shared" si="35"/>
        <v>6</v>
      </c>
      <c r="B301" s="94"/>
      <c r="C301" s="53" t="s">
        <v>89</v>
      </c>
      <c r="D301" s="53" t="s">
        <v>387</v>
      </c>
      <c r="E301" s="31">
        <f>(107.63)*10.764</f>
        <v>1158.5293199999999</v>
      </c>
      <c r="F301" s="31">
        <f>(1.43*1.53)*10.764</f>
        <v>23.550555599999999</v>
      </c>
      <c r="G301" s="31">
        <v>0</v>
      </c>
      <c r="H301" s="31">
        <f t="shared" si="34"/>
        <v>1182.0798755999999</v>
      </c>
      <c r="I301" s="1"/>
    </row>
    <row r="302" spans="1:9" s="3" customFormat="1" ht="20.25" x14ac:dyDescent="0.25">
      <c r="A302" s="89" t="s">
        <v>347</v>
      </c>
      <c r="B302" s="90"/>
      <c r="C302" s="90"/>
      <c r="D302" s="90"/>
      <c r="E302" s="90"/>
      <c r="F302" s="90"/>
      <c r="G302" s="90"/>
      <c r="H302" s="91"/>
      <c r="I302" s="1"/>
    </row>
    <row r="303" spans="1:9" s="3" customFormat="1" ht="20.25" x14ac:dyDescent="0.25">
      <c r="A303" s="92">
        <v>1</v>
      </c>
      <c r="B303" s="92"/>
      <c r="C303" s="53" t="s">
        <v>89</v>
      </c>
      <c r="D303" s="53" t="s">
        <v>340</v>
      </c>
      <c r="E303" s="31">
        <f>(66.14)*10.764</f>
        <v>711.93095999999991</v>
      </c>
      <c r="F303" s="31">
        <f>(2.08*1.25)*10.764</f>
        <v>27.9864</v>
      </c>
      <c r="G303" s="31">
        <v>0</v>
      </c>
      <c r="H303" s="31">
        <f>E303+F303+(IF(G303&lt;101,G303,IF(G303&lt;201,G303/2,IF(G303&lt;=301,G303/3,G303/4))))</f>
        <v>739.91735999999992</v>
      </c>
      <c r="I303" s="1"/>
    </row>
    <row r="304" spans="1:9" s="3" customFormat="1" ht="20.25" x14ac:dyDescent="0.25">
      <c r="A304" s="93">
        <f>A303+1</f>
        <v>2</v>
      </c>
      <c r="B304" s="94"/>
      <c r="C304" s="53" t="s">
        <v>89</v>
      </c>
      <c r="D304" s="53" t="s">
        <v>340</v>
      </c>
      <c r="E304" s="31">
        <f>(68.07)*10.764</f>
        <v>732.70547999999985</v>
      </c>
      <c r="F304" s="31">
        <f>(1.35*2.13)*10.764</f>
        <v>30.951882000000001</v>
      </c>
      <c r="G304" s="31">
        <v>0</v>
      </c>
      <c r="H304" s="31">
        <f t="shared" ref="H304:H308" si="36">E304+F304+(IF(G304&lt;101,G304,IF(G304&lt;201,G304/2,IF(G304&lt;=301,G304/3,G304/4))))</f>
        <v>763.65736199999981</v>
      </c>
      <c r="I304" s="1"/>
    </row>
    <row r="305" spans="1:9" s="3" customFormat="1" ht="20.25" x14ac:dyDescent="0.25">
      <c r="A305" s="93">
        <f t="shared" ref="A305:A308" si="37">A304+1</f>
        <v>3</v>
      </c>
      <c r="B305" s="94"/>
      <c r="C305" s="53" t="s">
        <v>89</v>
      </c>
      <c r="D305" s="53" t="s">
        <v>387</v>
      </c>
      <c r="E305" s="31">
        <f>(107.63)*10.764</f>
        <v>1158.5293199999999</v>
      </c>
      <c r="F305" s="31">
        <f>(1.43*1.53)*10.764</f>
        <v>23.550555599999999</v>
      </c>
      <c r="G305" s="31">
        <v>0</v>
      </c>
      <c r="H305" s="31">
        <f t="shared" si="36"/>
        <v>1182.0798755999999</v>
      </c>
      <c r="I305" s="1"/>
    </row>
    <row r="306" spans="1:9" s="3" customFormat="1" ht="20.25" customHeight="1" x14ac:dyDescent="0.25">
      <c r="A306" s="93">
        <f t="shared" si="37"/>
        <v>4</v>
      </c>
      <c r="B306" s="94"/>
      <c r="C306" s="53" t="s">
        <v>89</v>
      </c>
      <c r="D306" s="53" t="s">
        <v>340</v>
      </c>
      <c r="E306" s="31">
        <f>(66.2)*10.764</f>
        <v>712.57679999999993</v>
      </c>
      <c r="F306" s="31">
        <f t="shared" ref="F306" si="38">(2.08*1.25)*10.764</f>
        <v>27.9864</v>
      </c>
      <c r="G306" s="31">
        <v>0</v>
      </c>
      <c r="H306" s="31">
        <f t="shared" si="36"/>
        <v>740.56319999999994</v>
      </c>
      <c r="I306" s="1"/>
    </row>
    <row r="307" spans="1:9" s="3" customFormat="1" ht="20.25" customHeight="1" x14ac:dyDescent="0.25">
      <c r="A307" s="93">
        <f t="shared" si="37"/>
        <v>5</v>
      </c>
      <c r="B307" s="94"/>
      <c r="C307" s="53" t="s">
        <v>89</v>
      </c>
      <c r="D307" s="53" t="s">
        <v>340</v>
      </c>
      <c r="E307" s="31">
        <f>(68.09)*10.764</f>
        <v>732.92075999999997</v>
      </c>
      <c r="F307" s="31">
        <f>(1.35*2.13)*10.764</f>
        <v>30.951882000000001</v>
      </c>
      <c r="G307" s="31">
        <v>0</v>
      </c>
      <c r="H307" s="31">
        <f t="shared" si="36"/>
        <v>763.87264199999993</v>
      </c>
      <c r="I307" s="1"/>
    </row>
    <row r="308" spans="1:9" s="3" customFormat="1" ht="20.25" customHeight="1" x14ac:dyDescent="0.25">
      <c r="A308" s="93">
        <f t="shared" si="37"/>
        <v>6</v>
      </c>
      <c r="B308" s="94"/>
      <c r="C308" s="53" t="s">
        <v>89</v>
      </c>
      <c r="D308" s="53" t="s">
        <v>387</v>
      </c>
      <c r="E308" s="31">
        <f>(107.63)*10.764</f>
        <v>1158.5293199999999</v>
      </c>
      <c r="F308" s="31">
        <f>(1.43*1.53)*10.764</f>
        <v>23.550555599999999</v>
      </c>
      <c r="G308" s="31">
        <v>0</v>
      </c>
      <c r="H308" s="31">
        <f t="shared" si="36"/>
        <v>1182.0798755999999</v>
      </c>
      <c r="I308" s="1"/>
    </row>
    <row r="309" spans="1:9" s="3" customFormat="1" ht="20.25" x14ac:dyDescent="0.25">
      <c r="A309" s="89" t="s">
        <v>348</v>
      </c>
      <c r="B309" s="90"/>
      <c r="C309" s="90"/>
      <c r="D309" s="90"/>
      <c r="E309" s="90"/>
      <c r="F309" s="90"/>
      <c r="G309" s="90"/>
      <c r="H309" s="91"/>
      <c r="I309" s="1"/>
    </row>
    <row r="310" spans="1:9" s="3" customFormat="1" ht="20.25" x14ac:dyDescent="0.25">
      <c r="A310" s="92">
        <v>1</v>
      </c>
      <c r="B310" s="92"/>
      <c r="C310" s="53" t="s">
        <v>89</v>
      </c>
      <c r="D310" s="53" t="s">
        <v>340</v>
      </c>
      <c r="E310" s="31">
        <f>(66.14)*10.764</f>
        <v>711.93095999999991</v>
      </c>
      <c r="F310" s="31">
        <f>(2.08*1.25)*10.764</f>
        <v>27.9864</v>
      </c>
      <c r="G310" s="31">
        <v>0</v>
      </c>
      <c r="H310" s="31">
        <f>E310+F310+(IF(G310&lt;101,G310,IF(G310&lt;201,G310/2,IF(G310&lt;=301,G310/3,G310/4))))</f>
        <v>739.91735999999992</v>
      </c>
      <c r="I310" s="1"/>
    </row>
    <row r="311" spans="1:9" s="3" customFormat="1" ht="20.25" x14ac:dyDescent="0.25">
      <c r="A311" s="93">
        <f>A310+1</f>
        <v>2</v>
      </c>
      <c r="B311" s="94"/>
      <c r="C311" s="53" t="s">
        <v>89</v>
      </c>
      <c r="D311" s="53" t="s">
        <v>340</v>
      </c>
      <c r="E311" s="31">
        <f>(68.07)*10.764</f>
        <v>732.70547999999985</v>
      </c>
      <c r="F311" s="31">
        <f>(1.35*2.13)*10.764</f>
        <v>30.951882000000001</v>
      </c>
      <c r="G311" s="31">
        <v>0</v>
      </c>
      <c r="H311" s="31">
        <f t="shared" ref="H311:H315" si="39">E311+F311+(IF(G311&lt;101,G311,IF(G311&lt;201,G311/2,IF(G311&lt;=301,G311/3,G311/4))))</f>
        <v>763.65736199999981</v>
      </c>
      <c r="I311" s="1"/>
    </row>
    <row r="312" spans="1:9" s="3" customFormat="1" ht="20.25" x14ac:dyDescent="0.25">
      <c r="A312" s="93">
        <f t="shared" ref="A312:A315" si="40">A311+1</f>
        <v>3</v>
      </c>
      <c r="B312" s="94"/>
      <c r="C312" s="53" t="s">
        <v>89</v>
      </c>
      <c r="D312" s="53" t="s">
        <v>387</v>
      </c>
      <c r="E312" s="31">
        <f>(107.63)*10.764</f>
        <v>1158.5293199999999</v>
      </c>
      <c r="F312" s="31">
        <f>(1.43*1.53)*10.764</f>
        <v>23.550555599999999</v>
      </c>
      <c r="G312" s="31">
        <v>0</v>
      </c>
      <c r="H312" s="31">
        <f t="shared" si="39"/>
        <v>1182.0798755999999</v>
      </c>
      <c r="I312" s="1"/>
    </row>
    <row r="313" spans="1:9" s="3" customFormat="1" ht="20.25" customHeight="1" x14ac:dyDescent="0.25">
      <c r="A313" s="93">
        <f t="shared" si="40"/>
        <v>4</v>
      </c>
      <c r="B313" s="94"/>
      <c r="C313" s="53" t="s">
        <v>89</v>
      </c>
      <c r="D313" s="53" t="s">
        <v>340</v>
      </c>
      <c r="E313" s="31">
        <f>(66.2)*10.764</f>
        <v>712.57679999999993</v>
      </c>
      <c r="F313" s="31">
        <f t="shared" ref="F313" si="41">(2.08*1.25)*10.764</f>
        <v>27.9864</v>
      </c>
      <c r="G313" s="31">
        <v>0</v>
      </c>
      <c r="H313" s="31">
        <f t="shared" si="39"/>
        <v>740.56319999999994</v>
      </c>
      <c r="I313" s="1"/>
    </row>
    <row r="314" spans="1:9" s="3" customFormat="1" ht="20.25" customHeight="1" x14ac:dyDescent="0.25">
      <c r="A314" s="93">
        <f t="shared" si="40"/>
        <v>5</v>
      </c>
      <c r="B314" s="94"/>
      <c r="C314" s="53" t="s">
        <v>89</v>
      </c>
      <c r="D314" s="53" t="s">
        <v>340</v>
      </c>
      <c r="E314" s="31">
        <f>(68.09)*10.764</f>
        <v>732.92075999999997</v>
      </c>
      <c r="F314" s="31">
        <f>(1.35*2.13)*10.764</f>
        <v>30.951882000000001</v>
      </c>
      <c r="G314" s="31">
        <v>0</v>
      </c>
      <c r="H314" s="31">
        <f t="shared" si="39"/>
        <v>763.87264199999993</v>
      </c>
      <c r="I314" s="1"/>
    </row>
    <row r="315" spans="1:9" s="3" customFormat="1" ht="20.25" customHeight="1" x14ac:dyDescent="0.25">
      <c r="A315" s="93">
        <f t="shared" si="40"/>
        <v>6</v>
      </c>
      <c r="B315" s="94"/>
      <c r="C315" s="53" t="s">
        <v>89</v>
      </c>
      <c r="D315" s="53" t="s">
        <v>387</v>
      </c>
      <c r="E315" s="31">
        <f>(107.63)*10.764</f>
        <v>1158.5293199999999</v>
      </c>
      <c r="F315" s="31">
        <f>(1.43*1.53)*10.764</f>
        <v>23.550555599999999</v>
      </c>
      <c r="G315" s="31">
        <v>0</v>
      </c>
      <c r="H315" s="31">
        <f t="shared" si="39"/>
        <v>1182.0798755999999</v>
      </c>
      <c r="I315" s="1"/>
    </row>
    <row r="316" spans="1:9" s="3" customFormat="1" ht="20.25" x14ac:dyDescent="0.25">
      <c r="A316" s="89" t="s">
        <v>360</v>
      </c>
      <c r="B316" s="90"/>
      <c r="C316" s="90"/>
      <c r="D316" s="90"/>
      <c r="E316" s="90"/>
      <c r="F316" s="90"/>
      <c r="G316" s="90"/>
      <c r="H316" s="91"/>
      <c r="I316" s="1"/>
    </row>
    <row r="317" spans="1:9" s="3" customFormat="1" ht="20.25" x14ac:dyDescent="0.25">
      <c r="A317" s="92">
        <v>1</v>
      </c>
      <c r="B317" s="92"/>
      <c r="C317" s="53" t="s">
        <v>89</v>
      </c>
      <c r="D317" s="53" t="s">
        <v>340</v>
      </c>
      <c r="E317" s="31">
        <f>(67.13)*10.764</f>
        <v>722.58731999999986</v>
      </c>
      <c r="F317" s="31">
        <f>(1.2*(2.83+3.1)+2.08*1.25)*10.764</f>
        <v>104.58302399999998</v>
      </c>
      <c r="G317" s="31">
        <v>0</v>
      </c>
      <c r="H317" s="31">
        <f>E317+F317+(IF(G317&lt;101,G317,IF(G317&lt;201,G317/2,IF(G317&lt;=301,G317/3,G317/4))))</f>
        <v>827.17034399999989</v>
      </c>
      <c r="I317" s="1"/>
    </row>
    <row r="318" spans="1:9" s="3" customFormat="1" ht="20.25" x14ac:dyDescent="0.25">
      <c r="A318" s="93">
        <f>A317+1</f>
        <v>2</v>
      </c>
      <c r="B318" s="94"/>
      <c r="C318" s="95" t="s">
        <v>343</v>
      </c>
      <c r="D318" s="96"/>
      <c r="E318" s="96"/>
      <c r="F318" s="96"/>
      <c r="G318" s="96"/>
      <c r="H318" s="97"/>
      <c r="I318" s="1"/>
    </row>
    <row r="319" spans="1:9" s="3" customFormat="1" ht="20.25" x14ac:dyDescent="0.25">
      <c r="A319" s="93">
        <f t="shared" ref="A319:A322" si="42">A318+1</f>
        <v>3</v>
      </c>
      <c r="B319" s="94"/>
      <c r="C319" s="53" t="s">
        <v>89</v>
      </c>
      <c r="D319" s="53" t="s">
        <v>341</v>
      </c>
      <c r="E319" s="31">
        <f>(44.32)*10.764</f>
        <v>477.06047999999998</v>
      </c>
      <c r="F319" s="31">
        <f>(2.7*1.1)*10.764</f>
        <v>31.969080000000005</v>
      </c>
      <c r="G319" s="31">
        <v>0</v>
      </c>
      <c r="H319" s="31">
        <f t="shared" ref="H319:H322" si="43">E319+F319+(IF(G319&lt;101,G319,IF(G319&lt;201,G319/2,IF(G319&lt;=301,G319/3,G319/4))))</f>
        <v>509.02956</v>
      </c>
      <c r="I319" s="1"/>
    </row>
    <row r="320" spans="1:9" s="3" customFormat="1" ht="20.25" customHeight="1" x14ac:dyDescent="0.25">
      <c r="A320" s="93">
        <f t="shared" si="42"/>
        <v>4</v>
      </c>
      <c r="B320" s="94"/>
      <c r="C320" s="53" t="s">
        <v>89</v>
      </c>
      <c r="D320" s="53" t="s">
        <v>340</v>
      </c>
      <c r="E320" s="31">
        <f>(67.13)*10.764</f>
        <v>722.58731999999986</v>
      </c>
      <c r="F320" s="31">
        <f>(1.2*(2.83+3.1)+2.08*1.25)*10.764</f>
        <v>104.58302399999998</v>
      </c>
      <c r="G320" s="31">
        <v>0</v>
      </c>
      <c r="H320" s="31">
        <f t="shared" si="43"/>
        <v>827.17034399999989</v>
      </c>
      <c r="I320" s="1"/>
    </row>
    <row r="321" spans="1:9" s="3" customFormat="1" ht="20.25" customHeight="1" x14ac:dyDescent="0.25">
      <c r="A321" s="93">
        <f t="shared" si="42"/>
        <v>5</v>
      </c>
      <c r="B321" s="94"/>
      <c r="C321" s="53" t="s">
        <v>89</v>
      </c>
      <c r="D321" s="53" t="s">
        <v>340</v>
      </c>
      <c r="E321" s="31">
        <f>(69.47)*10.764</f>
        <v>747.77507999999989</v>
      </c>
      <c r="F321" s="31">
        <f>(1.2*(2.78+5.75)+1.35*2.13)*10.764</f>
        <v>141.13218599999999</v>
      </c>
      <c r="G321" s="31">
        <v>0</v>
      </c>
      <c r="H321" s="31">
        <f t="shared" si="43"/>
        <v>888.90726599999994</v>
      </c>
      <c r="I321" s="1"/>
    </row>
    <row r="322" spans="1:9" s="3" customFormat="1" ht="20.25" customHeight="1" x14ac:dyDescent="0.25">
      <c r="A322" s="93">
        <f t="shared" si="42"/>
        <v>6</v>
      </c>
      <c r="B322" s="94"/>
      <c r="C322" s="53" t="s">
        <v>89</v>
      </c>
      <c r="D322" s="53" t="s">
        <v>387</v>
      </c>
      <c r="E322" s="31">
        <f>(109.76)*10.764</f>
        <v>1181.4566399999999</v>
      </c>
      <c r="F322" s="31">
        <f>(6.02*1.1+1.2*6.2+1.43*1.53)*10.764</f>
        <v>174.9139236</v>
      </c>
      <c r="G322" s="31">
        <v>0</v>
      </c>
      <c r="H322" s="31">
        <f t="shared" si="43"/>
        <v>1356.3705636</v>
      </c>
      <c r="I322" s="1"/>
    </row>
    <row r="323" spans="1:9" s="3" customFormat="1" ht="20.25" x14ac:dyDescent="0.25">
      <c r="A323" s="89" t="s">
        <v>349</v>
      </c>
      <c r="B323" s="90"/>
      <c r="C323" s="90"/>
      <c r="D323" s="90"/>
      <c r="E323" s="90"/>
      <c r="F323" s="90"/>
      <c r="G323" s="90"/>
      <c r="H323" s="91"/>
      <c r="I323" s="1"/>
    </row>
    <row r="324" spans="1:9" s="3" customFormat="1" ht="20.25" x14ac:dyDescent="0.25">
      <c r="A324" s="92">
        <v>1</v>
      </c>
      <c r="B324" s="92"/>
      <c r="C324" s="53" t="s">
        <v>89</v>
      </c>
      <c r="D324" s="53" t="s">
        <v>340</v>
      </c>
      <c r="E324" s="31">
        <f>(67.13)*10.764</f>
        <v>722.58731999999986</v>
      </c>
      <c r="F324" s="31">
        <f>(1.2*(2.83+3.1)+2.08*1.25)*10.764</f>
        <v>104.58302399999998</v>
      </c>
      <c r="G324" s="31">
        <v>0</v>
      </c>
      <c r="H324" s="31">
        <f>E324+F324+(IF(G324&lt;101,G324,IF(G324&lt;201,G324/2,IF(G324&lt;=301,G324/3,G324/4))))</f>
        <v>827.17034399999989</v>
      </c>
      <c r="I324" s="1"/>
    </row>
    <row r="325" spans="1:9" s="3" customFormat="1" ht="20.25" x14ac:dyDescent="0.25">
      <c r="A325" s="93">
        <f>A324+1</f>
        <v>2</v>
      </c>
      <c r="B325" s="94"/>
      <c r="C325" s="53" t="s">
        <v>89</v>
      </c>
      <c r="D325" s="53" t="s">
        <v>340</v>
      </c>
      <c r="E325" s="31">
        <f>(69.51)*10.764</f>
        <v>748.20564000000002</v>
      </c>
      <c r="F325" s="31">
        <f>(1.2*(2.78+5.75)+2.13*1.35)*10.764</f>
        <v>141.13218599999999</v>
      </c>
      <c r="G325" s="31">
        <v>0</v>
      </c>
      <c r="H325" s="31">
        <f t="shared" ref="H325:H329" si="44">E325+F325+(IF(G325&lt;101,G325,IF(G325&lt;201,G325/2,IF(G325&lt;=301,G325/3,G325/4))))</f>
        <v>889.33782599999995</v>
      </c>
      <c r="I325" s="1"/>
    </row>
    <row r="326" spans="1:9" s="3" customFormat="1" ht="20.25" x14ac:dyDescent="0.25">
      <c r="A326" s="93">
        <f t="shared" ref="A326:A329" si="45">A325+1</f>
        <v>3</v>
      </c>
      <c r="B326" s="94"/>
      <c r="C326" s="53" t="s">
        <v>89</v>
      </c>
      <c r="D326" s="53" t="s">
        <v>387</v>
      </c>
      <c r="E326" s="31">
        <f>(109.76)*10.764</f>
        <v>1181.4566399999999</v>
      </c>
      <c r="F326" s="31">
        <f>(6.02*1.1+1.2*6.2+1.43*1.53)*10.764</f>
        <v>174.9139236</v>
      </c>
      <c r="G326" s="31">
        <v>0</v>
      </c>
      <c r="H326" s="31">
        <f t="shared" si="44"/>
        <v>1356.3705636</v>
      </c>
      <c r="I326" s="1"/>
    </row>
    <row r="327" spans="1:9" s="3" customFormat="1" ht="20.25" customHeight="1" x14ac:dyDescent="0.25">
      <c r="A327" s="93">
        <f t="shared" si="45"/>
        <v>4</v>
      </c>
      <c r="B327" s="94"/>
      <c r="C327" s="53" t="s">
        <v>89</v>
      </c>
      <c r="D327" s="53" t="s">
        <v>340</v>
      </c>
      <c r="E327" s="31">
        <f>(66.64)*10.764</f>
        <v>717.31295999999998</v>
      </c>
      <c r="F327" s="31">
        <f>(2.83*1.2+2.08*1.25)*10.764</f>
        <v>64.540943999999996</v>
      </c>
      <c r="G327" s="31">
        <v>0</v>
      </c>
      <c r="H327" s="31">
        <f t="shared" si="44"/>
        <v>781.85390399999994</v>
      </c>
      <c r="I327" s="1"/>
    </row>
    <row r="328" spans="1:9" s="3" customFormat="1" ht="20.25" customHeight="1" x14ac:dyDescent="0.25">
      <c r="A328" s="93">
        <f t="shared" si="45"/>
        <v>5</v>
      </c>
      <c r="B328" s="94"/>
      <c r="C328" s="53" t="s">
        <v>89</v>
      </c>
      <c r="D328" s="53" t="s">
        <v>340</v>
      </c>
      <c r="E328" s="31">
        <f>(68.52)*10.764</f>
        <v>737.54927999999995</v>
      </c>
      <c r="F328" s="31">
        <f>(2.78*1.2+1.35*2.13)*10.764</f>
        <v>66.860585999999998</v>
      </c>
      <c r="G328" s="31">
        <v>0</v>
      </c>
      <c r="H328" s="31">
        <f t="shared" si="44"/>
        <v>804.40986599999997</v>
      </c>
      <c r="I328" s="1"/>
    </row>
    <row r="329" spans="1:9" s="3" customFormat="1" ht="20.25" customHeight="1" x14ac:dyDescent="0.25">
      <c r="A329" s="93">
        <f t="shared" si="45"/>
        <v>6</v>
      </c>
      <c r="B329" s="94"/>
      <c r="C329" s="53" t="s">
        <v>89</v>
      </c>
      <c r="D329" s="53" t="s">
        <v>387</v>
      </c>
      <c r="E329" s="31">
        <f>(108.63)*10.764</f>
        <v>1169.2933199999998</v>
      </c>
      <c r="F329" s="31">
        <f>(6.03*1.1+1.43*1.53)*10.764</f>
        <v>94.948167600000019</v>
      </c>
      <c r="G329" s="31">
        <v>0</v>
      </c>
      <c r="H329" s="31">
        <f t="shared" si="44"/>
        <v>1264.2414875999998</v>
      </c>
      <c r="I329" s="1"/>
    </row>
    <row r="330" spans="1:9" s="3" customFormat="1" ht="20.25" x14ac:dyDescent="0.25">
      <c r="A330" s="89" t="s">
        <v>351</v>
      </c>
      <c r="B330" s="90"/>
      <c r="C330" s="90"/>
      <c r="D330" s="90"/>
      <c r="E330" s="90"/>
      <c r="F330" s="90"/>
      <c r="G330" s="90"/>
      <c r="H330" s="91"/>
      <c r="I330" s="1"/>
    </row>
    <row r="331" spans="1:9" s="3" customFormat="1" ht="20.25" x14ac:dyDescent="0.25">
      <c r="A331" s="92">
        <v>1</v>
      </c>
      <c r="B331" s="92"/>
      <c r="C331" s="53" t="s">
        <v>89</v>
      </c>
      <c r="D331" s="53" t="s">
        <v>340</v>
      </c>
      <c r="E331" s="31">
        <f>(66.64)*10.764</f>
        <v>717.31295999999998</v>
      </c>
      <c r="F331" s="31">
        <f>(1.2*2.83+2.08*1.25)*10.764</f>
        <v>64.540943999999996</v>
      </c>
      <c r="G331" s="31">
        <v>0</v>
      </c>
      <c r="H331" s="31">
        <f>E331+F331+(IF(G331&lt;101,G331,IF(G331&lt;201,G331/2,IF(G331&lt;=301,G331/3,G331/4))))</f>
        <v>781.85390399999994</v>
      </c>
      <c r="I331" s="1"/>
    </row>
    <row r="332" spans="1:9" s="3" customFormat="1" ht="20.25" x14ac:dyDescent="0.25">
      <c r="A332" s="93">
        <f>A331+1</f>
        <v>2</v>
      </c>
      <c r="B332" s="94"/>
      <c r="C332" s="53" t="s">
        <v>89</v>
      </c>
      <c r="D332" s="53" t="s">
        <v>340</v>
      </c>
      <c r="E332" s="31">
        <f>(68.07)*10.764</f>
        <v>732.70547999999985</v>
      </c>
      <c r="F332" s="31">
        <f>(2.78*1.2+1.35*2.13)*10.764</f>
        <v>66.860585999999998</v>
      </c>
      <c r="G332" s="31">
        <v>0</v>
      </c>
      <c r="H332" s="31">
        <f t="shared" ref="H332:H336" si="46">E332+F332+(IF(G332&lt;101,G332,IF(G332&lt;201,G332/2,IF(G332&lt;=301,G332/3,G332/4))))</f>
        <v>799.56606599999986</v>
      </c>
      <c r="I332" s="1"/>
    </row>
    <row r="333" spans="1:9" s="3" customFormat="1" ht="20.25" x14ac:dyDescent="0.25">
      <c r="A333" s="93">
        <f t="shared" ref="A333:A336" si="47">A332+1</f>
        <v>3</v>
      </c>
      <c r="B333" s="94"/>
      <c r="C333" s="53" t="s">
        <v>89</v>
      </c>
      <c r="D333" s="53" t="s">
        <v>387</v>
      </c>
      <c r="E333" s="31">
        <f>(107.63)*10.764</f>
        <v>1158.5293199999999</v>
      </c>
      <c r="F333" s="31">
        <f>(6.02*1.1+1.43*1.53)*10.764</f>
        <v>94.829763599999978</v>
      </c>
      <c r="G333" s="31">
        <v>0</v>
      </c>
      <c r="H333" s="31">
        <f t="shared" si="46"/>
        <v>1253.3590835999998</v>
      </c>
      <c r="I333" s="1"/>
    </row>
    <row r="334" spans="1:9" s="3" customFormat="1" ht="20.25" customHeight="1" x14ac:dyDescent="0.25">
      <c r="A334" s="93">
        <f t="shared" si="47"/>
        <v>4</v>
      </c>
      <c r="B334" s="94"/>
      <c r="C334" s="53" t="s">
        <v>89</v>
      </c>
      <c r="D334" s="53" t="s">
        <v>340</v>
      </c>
      <c r="E334" s="31">
        <f>(66.2)*10.764</f>
        <v>712.57679999999993</v>
      </c>
      <c r="F334" s="31">
        <f>(1.2*2.83+2.08*1.25)*10.764</f>
        <v>64.540943999999996</v>
      </c>
      <c r="G334" s="31">
        <v>0</v>
      </c>
      <c r="H334" s="31">
        <f t="shared" si="46"/>
        <v>777.1177439999999</v>
      </c>
      <c r="I334" s="1"/>
    </row>
    <row r="335" spans="1:9" s="3" customFormat="1" ht="20.25" customHeight="1" x14ac:dyDescent="0.25">
      <c r="A335" s="93">
        <f t="shared" si="47"/>
        <v>5</v>
      </c>
      <c r="B335" s="94"/>
      <c r="C335" s="53" t="s">
        <v>89</v>
      </c>
      <c r="D335" s="53" t="s">
        <v>340</v>
      </c>
      <c r="E335" s="31">
        <f>(68.52)*10.764</f>
        <v>737.54927999999995</v>
      </c>
      <c r="F335" s="31">
        <f>(2.78*1.2+1.35*2.13)*10.764</f>
        <v>66.860585999999998</v>
      </c>
      <c r="G335" s="31">
        <v>0</v>
      </c>
      <c r="H335" s="31">
        <f t="shared" si="46"/>
        <v>804.40986599999997</v>
      </c>
      <c r="I335" s="1"/>
    </row>
    <row r="336" spans="1:9" s="3" customFormat="1" ht="20.25" customHeight="1" x14ac:dyDescent="0.25">
      <c r="A336" s="93">
        <f t="shared" si="47"/>
        <v>6</v>
      </c>
      <c r="B336" s="94"/>
      <c r="C336" s="53" t="s">
        <v>89</v>
      </c>
      <c r="D336" s="53" t="s">
        <v>387</v>
      </c>
      <c r="E336" s="31">
        <f>(108.63)*10.764</f>
        <v>1169.2933199999998</v>
      </c>
      <c r="F336" s="31">
        <f>(6.03*1.1+1.43*1.53)*10.764</f>
        <v>94.948167600000019</v>
      </c>
      <c r="G336" s="31">
        <v>0</v>
      </c>
      <c r="H336" s="31">
        <f t="shared" si="46"/>
        <v>1264.2414875999998</v>
      </c>
      <c r="I336" s="1"/>
    </row>
    <row r="337" spans="1:9" s="3" customFormat="1" ht="20.25" x14ac:dyDescent="0.25">
      <c r="A337" s="89" t="s">
        <v>390</v>
      </c>
      <c r="B337" s="90"/>
      <c r="C337" s="90"/>
      <c r="D337" s="90"/>
      <c r="E337" s="90"/>
      <c r="F337" s="90"/>
      <c r="G337" s="90"/>
      <c r="H337" s="91"/>
      <c r="I337" s="1"/>
    </row>
    <row r="338" spans="1:9" s="3" customFormat="1" ht="20.25" x14ac:dyDescent="0.25">
      <c r="A338" s="92">
        <v>1</v>
      </c>
      <c r="B338" s="92"/>
      <c r="C338" s="53" t="s">
        <v>89</v>
      </c>
      <c r="D338" s="53" t="s">
        <v>340</v>
      </c>
      <c r="E338" s="31">
        <f>(66.64)*10.764</f>
        <v>717.31295999999998</v>
      </c>
      <c r="F338" s="31">
        <f>(1.2*2.83+2.08*1.25)*10.764</f>
        <v>64.540943999999996</v>
      </c>
      <c r="G338" s="31">
        <v>0</v>
      </c>
      <c r="H338" s="31">
        <f>E338+F338+(IF(G338&lt;101,G338,IF(G338&lt;201,G338/2,IF(G338&lt;=301,G338/3,G338/4))))</f>
        <v>781.85390399999994</v>
      </c>
      <c r="I338" s="1"/>
    </row>
    <row r="339" spans="1:9" s="3" customFormat="1" ht="20.25" x14ac:dyDescent="0.25">
      <c r="A339" s="93">
        <f>A338+1</f>
        <v>2</v>
      </c>
      <c r="B339" s="94"/>
      <c r="C339" s="53" t="s">
        <v>89</v>
      </c>
      <c r="D339" s="53" t="s">
        <v>340</v>
      </c>
      <c r="E339" s="31">
        <f>(68.07)*10.764</f>
        <v>732.70547999999985</v>
      </c>
      <c r="F339" s="31">
        <f>(2.78*1.2+1.35*2.13)*10.764</f>
        <v>66.860585999999998</v>
      </c>
      <c r="G339" s="31">
        <v>0</v>
      </c>
      <c r="H339" s="31">
        <f t="shared" ref="H339:H343" si="48">E339+F339+(IF(G339&lt;101,G339,IF(G339&lt;201,G339/2,IF(G339&lt;=301,G339/3,G339/4))))</f>
        <v>799.56606599999986</v>
      </c>
      <c r="I339" s="1"/>
    </row>
    <row r="340" spans="1:9" s="3" customFormat="1" ht="20.25" x14ac:dyDescent="0.25">
      <c r="A340" s="93">
        <f t="shared" ref="A340:A343" si="49">A339+1</f>
        <v>3</v>
      </c>
      <c r="B340" s="94"/>
      <c r="C340" s="53" t="s">
        <v>89</v>
      </c>
      <c r="D340" s="53" t="s">
        <v>387</v>
      </c>
      <c r="E340" s="31">
        <f>(107.63)*10.764</f>
        <v>1158.5293199999999</v>
      </c>
      <c r="F340" s="31">
        <f>(6.02*1.1+1.43*1.53)*10.764</f>
        <v>94.829763599999978</v>
      </c>
      <c r="G340" s="31">
        <v>0</v>
      </c>
      <c r="H340" s="31">
        <f t="shared" si="48"/>
        <v>1253.3590835999998</v>
      </c>
      <c r="I340" s="1"/>
    </row>
    <row r="341" spans="1:9" s="3" customFormat="1" ht="20.25" customHeight="1" x14ac:dyDescent="0.25">
      <c r="A341" s="93">
        <f t="shared" si="49"/>
        <v>4</v>
      </c>
      <c r="B341" s="94"/>
      <c r="C341" s="53" t="s">
        <v>89</v>
      </c>
      <c r="D341" s="53" t="s">
        <v>340</v>
      </c>
      <c r="E341" s="31">
        <f>(66.2)*10.764</f>
        <v>712.57679999999993</v>
      </c>
      <c r="F341" s="31">
        <f>(1.2*2.83+2.08*1.25)*10.764</f>
        <v>64.540943999999996</v>
      </c>
      <c r="G341" s="31">
        <v>0</v>
      </c>
      <c r="H341" s="31">
        <f t="shared" si="48"/>
        <v>777.1177439999999</v>
      </c>
      <c r="I341" s="1"/>
    </row>
    <row r="342" spans="1:9" s="3" customFormat="1" ht="20.25" customHeight="1" x14ac:dyDescent="0.25">
      <c r="A342" s="93">
        <f t="shared" si="49"/>
        <v>5</v>
      </c>
      <c r="B342" s="94"/>
      <c r="C342" s="53" t="s">
        <v>89</v>
      </c>
      <c r="D342" s="53" t="s">
        <v>340</v>
      </c>
      <c r="E342" s="31">
        <f>(68.52)*10.764</f>
        <v>737.54927999999995</v>
      </c>
      <c r="F342" s="31">
        <f>(2.78*1.2+1.35*2.13)*10.764</f>
        <v>66.860585999999998</v>
      </c>
      <c r="G342" s="31">
        <v>0</v>
      </c>
      <c r="H342" s="31">
        <f t="shared" si="48"/>
        <v>804.40986599999997</v>
      </c>
      <c r="I342" s="1"/>
    </row>
    <row r="343" spans="1:9" s="3" customFormat="1" ht="20.25" customHeight="1" x14ac:dyDescent="0.25">
      <c r="A343" s="93">
        <f t="shared" si="49"/>
        <v>6</v>
      </c>
      <c r="B343" s="94"/>
      <c r="C343" s="53" t="s">
        <v>89</v>
      </c>
      <c r="D343" s="53" t="s">
        <v>387</v>
      </c>
      <c r="E343" s="31">
        <f>(108.63)*10.764</f>
        <v>1169.2933199999998</v>
      </c>
      <c r="F343" s="31">
        <f>(6.03*1.1+1.43*1.53)*10.764</f>
        <v>94.948167600000019</v>
      </c>
      <c r="G343" s="31">
        <v>0</v>
      </c>
      <c r="H343" s="31">
        <f t="shared" si="48"/>
        <v>1264.2414875999998</v>
      </c>
      <c r="I343" s="1"/>
    </row>
    <row r="344" spans="1:9" s="3" customFormat="1" ht="20.25" x14ac:dyDescent="0.25">
      <c r="A344" s="89" t="s">
        <v>391</v>
      </c>
      <c r="B344" s="90"/>
      <c r="C344" s="90"/>
      <c r="D344" s="90"/>
      <c r="E344" s="90"/>
      <c r="F344" s="90"/>
      <c r="G344" s="90"/>
      <c r="H344" s="91"/>
      <c r="I344" s="1"/>
    </row>
    <row r="345" spans="1:9" s="3" customFormat="1" ht="20.25" x14ac:dyDescent="0.25">
      <c r="A345" s="92">
        <v>1</v>
      </c>
      <c r="B345" s="92"/>
      <c r="C345" s="53" t="s">
        <v>89</v>
      </c>
      <c r="D345" s="53" t="s">
        <v>392</v>
      </c>
      <c r="E345" s="31">
        <f>(136.16)*10.764</f>
        <v>1465.6262399999998</v>
      </c>
      <c r="F345" s="31">
        <f>(1.2*5.75+1.25*2.08)*10.764</f>
        <v>102.258</v>
      </c>
      <c r="G345" s="31">
        <v>0</v>
      </c>
      <c r="H345" s="31">
        <f>E345+F345+(IF(G345&lt;101,G345,IF(G345&lt;201,G345/2,IF(G345&lt;=301,G345/3,G345/4))))</f>
        <v>1567.8842399999999</v>
      </c>
      <c r="I345" s="1"/>
    </row>
    <row r="346" spans="1:9" s="3" customFormat="1" ht="20.25" x14ac:dyDescent="0.25">
      <c r="A346" s="93">
        <f>A345+1</f>
        <v>2</v>
      </c>
      <c r="B346" s="94"/>
      <c r="C346" s="53" t="s">
        <v>89</v>
      </c>
      <c r="D346" s="53" t="s">
        <v>387</v>
      </c>
      <c r="E346" s="31">
        <f>(108.61)*10.764</f>
        <v>1169.0780399999999</v>
      </c>
      <c r="F346" s="31">
        <f>(6.02*1.1+1.43*1.52)*10.764</f>
        <v>94.675838400000004</v>
      </c>
      <c r="G346" s="31">
        <v>0</v>
      </c>
      <c r="H346" s="31">
        <f t="shared" ref="H346:H348" si="50">E346+F346+(IF(G346&lt;101,G346,IF(G346&lt;201,G346/2,IF(G346&lt;=301,G346/3,G346/4))))</f>
        <v>1263.7538783999998</v>
      </c>
      <c r="I346" s="1"/>
    </row>
    <row r="347" spans="1:9" s="3" customFormat="1" ht="20.25" x14ac:dyDescent="0.25">
      <c r="A347" s="93">
        <f t="shared" ref="A347:A348" si="51">A346+1</f>
        <v>3</v>
      </c>
      <c r="B347" s="94"/>
      <c r="C347" s="53" t="s">
        <v>89</v>
      </c>
      <c r="D347" s="53" t="s">
        <v>392</v>
      </c>
      <c r="E347" s="31">
        <f>(136.12)*10.764</f>
        <v>1465.19568</v>
      </c>
      <c r="F347" s="31">
        <f>(1.2*5.75+1.25*2.08)*10.764</f>
        <v>102.258</v>
      </c>
      <c r="G347" s="31">
        <v>0</v>
      </c>
      <c r="H347" s="31">
        <f t="shared" si="50"/>
        <v>1567.4536800000001</v>
      </c>
      <c r="I347" s="1"/>
    </row>
    <row r="348" spans="1:9" s="3" customFormat="1" ht="20.25" customHeight="1" x14ac:dyDescent="0.25">
      <c r="A348" s="93">
        <f t="shared" si="51"/>
        <v>4</v>
      </c>
      <c r="B348" s="94"/>
      <c r="C348" s="53" t="s">
        <v>89</v>
      </c>
      <c r="D348" s="53" t="s">
        <v>387</v>
      </c>
      <c r="E348" s="31">
        <f>(108.63)*10.764</f>
        <v>1169.2933199999998</v>
      </c>
      <c r="F348" s="31">
        <f>(6.03*1.1+1.43*1.52)*10.764</f>
        <v>94.794242400000002</v>
      </c>
      <c r="G348" s="31">
        <v>0</v>
      </c>
      <c r="H348" s="31">
        <f t="shared" si="50"/>
        <v>1264.0875623999998</v>
      </c>
      <c r="I348" s="1"/>
    </row>
    <row r="349" spans="1:9" s="3" customFormat="1" ht="20.25" x14ac:dyDescent="0.25">
      <c r="A349" s="89" t="s">
        <v>393</v>
      </c>
      <c r="B349" s="90"/>
      <c r="C349" s="90"/>
      <c r="D349" s="90"/>
      <c r="E349" s="90"/>
      <c r="F349" s="90"/>
      <c r="G349" s="90"/>
      <c r="H349" s="91"/>
      <c r="I349" s="1"/>
    </row>
    <row r="350" spans="1:9" s="3" customFormat="1" ht="20.25" x14ac:dyDescent="0.25">
      <c r="A350" s="92">
        <v>1</v>
      </c>
      <c r="B350" s="92"/>
      <c r="C350" s="53" t="s">
        <v>89</v>
      </c>
      <c r="D350" s="53" t="s">
        <v>392</v>
      </c>
      <c r="E350" s="31">
        <f>(136.16)*10.764</f>
        <v>1465.6262399999998</v>
      </c>
      <c r="F350" s="31">
        <f>(1.2*5.75+1.25*2.08)*10.764</f>
        <v>102.258</v>
      </c>
      <c r="G350" s="31">
        <v>0</v>
      </c>
      <c r="H350" s="31">
        <f>E350+F350+(IF(G350&lt;101,G350,IF(G350&lt;201,G350/2,IF(G350&lt;=301,G350/3,G350/4))))</f>
        <v>1567.8842399999999</v>
      </c>
      <c r="I350" s="1"/>
    </row>
    <row r="351" spans="1:9" s="3" customFormat="1" ht="20.25" x14ac:dyDescent="0.25">
      <c r="A351" s="93">
        <f>A350+1</f>
        <v>2</v>
      </c>
      <c r="B351" s="94"/>
      <c r="C351" s="53" t="s">
        <v>89</v>
      </c>
      <c r="D351" s="53" t="s">
        <v>387</v>
      </c>
      <c r="E351" s="31">
        <f>(108.61)*10.764</f>
        <v>1169.0780399999999</v>
      </c>
      <c r="F351" s="31">
        <f>(6.02*1.1+1.43*1.52)*10.764</f>
        <v>94.675838400000004</v>
      </c>
      <c r="G351" s="31">
        <v>0</v>
      </c>
      <c r="H351" s="31">
        <f t="shared" ref="H351:H353" si="52">E351+F351+(IF(G351&lt;101,G351,IF(G351&lt;201,G351/2,IF(G351&lt;=301,G351/3,G351/4))))</f>
        <v>1263.7538783999998</v>
      </c>
      <c r="I351" s="1"/>
    </row>
    <row r="352" spans="1:9" s="3" customFormat="1" ht="20.25" x14ac:dyDescent="0.25">
      <c r="A352" s="93">
        <f t="shared" ref="A352:A353" si="53">A351+1</f>
        <v>3</v>
      </c>
      <c r="B352" s="94"/>
      <c r="C352" s="53" t="s">
        <v>89</v>
      </c>
      <c r="D352" s="53" t="s">
        <v>392</v>
      </c>
      <c r="E352" s="31">
        <f>(136.12)*10.764</f>
        <v>1465.19568</v>
      </c>
      <c r="F352" s="31">
        <f>(1.2*5.75+1.25*2.08)*10.764</f>
        <v>102.258</v>
      </c>
      <c r="G352" s="31">
        <v>0</v>
      </c>
      <c r="H352" s="31">
        <f t="shared" si="52"/>
        <v>1567.4536800000001</v>
      </c>
      <c r="I352" s="1"/>
    </row>
    <row r="353" spans="1:9" s="3" customFormat="1" ht="20.25" customHeight="1" x14ac:dyDescent="0.25">
      <c r="A353" s="93">
        <f t="shared" si="53"/>
        <v>4</v>
      </c>
      <c r="B353" s="94"/>
      <c r="C353" s="53" t="s">
        <v>89</v>
      </c>
      <c r="D353" s="53" t="s">
        <v>387</v>
      </c>
      <c r="E353" s="31">
        <f>(108.63)*10.764</f>
        <v>1169.2933199999998</v>
      </c>
      <c r="F353" s="31">
        <f>(6.03*1.1+1.43*1.52)*10.764</f>
        <v>94.794242400000002</v>
      </c>
      <c r="G353" s="31">
        <v>0</v>
      </c>
      <c r="H353" s="31">
        <f t="shared" si="52"/>
        <v>1264.0875623999998</v>
      </c>
      <c r="I353" s="1"/>
    </row>
    <row r="354" spans="1:9" s="3" customFormat="1" ht="20.25" x14ac:dyDescent="0.25">
      <c r="A354" s="89" t="s">
        <v>362</v>
      </c>
      <c r="B354" s="90"/>
      <c r="C354" s="90"/>
      <c r="D354" s="90"/>
      <c r="E354" s="90"/>
      <c r="F354" s="90"/>
      <c r="G354" s="90"/>
      <c r="H354" s="91"/>
      <c r="I354" s="1"/>
    </row>
    <row r="355" spans="1:9" s="3" customFormat="1" ht="20.25" x14ac:dyDescent="0.25">
      <c r="A355" s="92">
        <v>1</v>
      </c>
      <c r="B355" s="92"/>
      <c r="C355" s="53" t="s">
        <v>89</v>
      </c>
      <c r="D355" s="53" t="s">
        <v>340</v>
      </c>
      <c r="E355" s="31">
        <f>(67.13)*10.764</f>
        <v>722.58731999999986</v>
      </c>
      <c r="F355" s="31">
        <f>(1.2*(2.83+3.1)+2.08*1.25)*10.764</f>
        <v>104.58302399999998</v>
      </c>
      <c r="G355" s="31">
        <v>0</v>
      </c>
      <c r="H355" s="31">
        <f>E355+F355+(IF(G355&lt;101,G355,IF(G355&lt;201,G355/2,IF(G355&lt;=301,G355/3,G355/4))))</f>
        <v>827.17034399999989</v>
      </c>
      <c r="I355" s="1"/>
    </row>
    <row r="356" spans="1:9" s="3" customFormat="1" ht="20.25" x14ac:dyDescent="0.25">
      <c r="A356" s="93" t="s">
        <v>97</v>
      </c>
      <c r="B356" s="94"/>
      <c r="C356" s="95" t="s">
        <v>343</v>
      </c>
      <c r="D356" s="96"/>
      <c r="E356" s="96"/>
      <c r="F356" s="96"/>
      <c r="G356" s="96"/>
      <c r="H356" s="97"/>
      <c r="I356" s="1"/>
    </row>
    <row r="357" spans="1:9" s="3" customFormat="1" ht="20.25" x14ac:dyDescent="0.25">
      <c r="A357" s="93">
        <f>A355+1</f>
        <v>2</v>
      </c>
      <c r="B357" s="94"/>
      <c r="C357" s="53" t="s">
        <v>89</v>
      </c>
      <c r="D357" s="53" t="s">
        <v>341</v>
      </c>
      <c r="E357" s="31">
        <f>(44.32)*10.764</f>
        <v>477.06047999999998</v>
      </c>
      <c r="F357" s="31">
        <f>(2.7*1.1)*10.764</f>
        <v>31.969080000000005</v>
      </c>
      <c r="G357" s="31">
        <v>0</v>
      </c>
      <c r="H357" s="31">
        <f t="shared" ref="H357:H359" si="54">E357+F357+(IF(G357&lt;101,G357,IF(G357&lt;201,G357/2,IF(G357&lt;=301,G357/3,G357/4))))</f>
        <v>509.02956</v>
      </c>
      <c r="I357" s="1"/>
    </row>
    <row r="358" spans="1:9" s="3" customFormat="1" ht="20.25" x14ac:dyDescent="0.25">
      <c r="A358" s="93">
        <f t="shared" ref="A358:A359" si="55">A357+1</f>
        <v>3</v>
      </c>
      <c r="B358" s="94"/>
      <c r="C358" s="53" t="s">
        <v>89</v>
      </c>
      <c r="D358" s="53" t="s">
        <v>392</v>
      </c>
      <c r="E358" s="31">
        <f>(137.87)*10.764</f>
        <v>1484.03268</v>
      </c>
      <c r="F358" s="31">
        <f>(1.2*(3.1+5.76+5.75)+1.3*2.13+1.25*2.08)*10.764</f>
        <v>246.50636400000002</v>
      </c>
      <c r="G358" s="31">
        <v>0</v>
      </c>
      <c r="H358" s="31">
        <f t="shared" si="54"/>
        <v>1730.5390440000001</v>
      </c>
      <c r="I358" s="1"/>
    </row>
    <row r="359" spans="1:9" s="3" customFormat="1" ht="20.25" customHeight="1" x14ac:dyDescent="0.25">
      <c r="A359" s="93">
        <f t="shared" si="55"/>
        <v>4</v>
      </c>
      <c r="B359" s="94"/>
      <c r="C359" s="53" t="s">
        <v>89</v>
      </c>
      <c r="D359" s="53" t="s">
        <v>387</v>
      </c>
      <c r="E359" s="31">
        <f>(109.76)*10.764</f>
        <v>1181.4566399999999</v>
      </c>
      <c r="F359" s="31">
        <f>(6.03*1.1+6.2*1.2+1.43*1.52)*10.764</f>
        <v>174.8784024</v>
      </c>
      <c r="G359" s="31">
        <v>0</v>
      </c>
      <c r="H359" s="31">
        <f t="shared" si="54"/>
        <v>1356.3350423999998</v>
      </c>
      <c r="I359" s="1"/>
    </row>
    <row r="360" spans="1:9" s="3" customFormat="1" ht="20.25" x14ac:dyDescent="0.25">
      <c r="A360" s="89" t="s">
        <v>353</v>
      </c>
      <c r="B360" s="90"/>
      <c r="C360" s="90"/>
      <c r="D360" s="90"/>
      <c r="E360" s="90"/>
      <c r="F360" s="90"/>
      <c r="G360" s="90"/>
      <c r="H360" s="91"/>
      <c r="I360" s="1"/>
    </row>
    <row r="361" spans="1:9" s="3" customFormat="1" ht="20.25" x14ac:dyDescent="0.25">
      <c r="A361" s="92">
        <v>1</v>
      </c>
      <c r="B361" s="92"/>
      <c r="C361" s="53" t="s">
        <v>89</v>
      </c>
      <c r="D361" s="53" t="s">
        <v>392</v>
      </c>
      <c r="E361" s="31">
        <f>(137.91)*10.764</f>
        <v>1484.4632399999998</v>
      </c>
      <c r="F361" s="31">
        <f>(1.2*(3.1+5.76+5.75)+1.3*2.13+1.25*2.08)*10.764</f>
        <v>246.50636400000002</v>
      </c>
      <c r="G361" s="31">
        <v>0</v>
      </c>
      <c r="H361" s="31">
        <f>E361+F361+(IF(G361&lt;101,G361,IF(G361&lt;201,G361/2,IF(G361&lt;=301,G361/3,G361/4))))</f>
        <v>1730.9696039999999</v>
      </c>
      <c r="I361" s="1"/>
    </row>
    <row r="362" spans="1:9" s="3" customFormat="1" ht="20.25" x14ac:dyDescent="0.25">
      <c r="A362" s="93">
        <f>A361+1</f>
        <v>2</v>
      </c>
      <c r="B362" s="94"/>
      <c r="C362" s="53" t="s">
        <v>89</v>
      </c>
      <c r="D362" s="53" t="s">
        <v>387</v>
      </c>
      <c r="E362" s="31">
        <f>(109.73)*10.764</f>
        <v>1181.13372</v>
      </c>
      <c r="F362" s="31">
        <f>(6.03*1.1+6.2*1.2+1.43*1.52)*10.764</f>
        <v>174.8784024</v>
      </c>
      <c r="G362" s="31">
        <v>0</v>
      </c>
      <c r="H362" s="31">
        <f t="shared" ref="H362:H364" si="56">E362+F362+(IF(G362&lt;101,G362,IF(G362&lt;201,G362/2,IF(G362&lt;=301,G362/3,G362/4))))</f>
        <v>1356.0121224</v>
      </c>
      <c r="I362" s="1"/>
    </row>
    <row r="363" spans="1:9" s="3" customFormat="1" ht="20.25" x14ac:dyDescent="0.25">
      <c r="A363" s="93">
        <f t="shared" ref="A363:A364" si="57">A362+1</f>
        <v>3</v>
      </c>
      <c r="B363" s="94"/>
      <c r="C363" s="53" t="s">
        <v>89</v>
      </c>
      <c r="D363" s="53" t="s">
        <v>392</v>
      </c>
      <c r="E363" s="31">
        <f>(136.59)*10.764</f>
        <v>1470.25476</v>
      </c>
      <c r="F363" s="31">
        <f>(1.2*(5.75)+1.2*2.08+1.2*2.85)*10.764</f>
        <v>137.95142399999997</v>
      </c>
      <c r="G363" s="31">
        <v>0</v>
      </c>
      <c r="H363" s="31">
        <f t="shared" si="56"/>
        <v>1608.2061840000001</v>
      </c>
      <c r="I363" s="1"/>
    </row>
    <row r="364" spans="1:9" s="3" customFormat="1" ht="20.25" customHeight="1" x14ac:dyDescent="0.25">
      <c r="A364" s="93">
        <f t="shared" si="57"/>
        <v>4</v>
      </c>
      <c r="B364" s="94"/>
      <c r="C364" s="53" t="s">
        <v>89</v>
      </c>
      <c r="D364" s="53" t="s">
        <v>387</v>
      </c>
      <c r="E364" s="31">
        <f>(109.13)*10.764</f>
        <v>1174.6753199999998</v>
      </c>
      <c r="F364" s="31">
        <f>(6.03*1.1+3.05*1.2+1.43*1.52)*10.764</f>
        <v>134.19048240000001</v>
      </c>
      <c r="G364" s="31">
        <v>0</v>
      </c>
      <c r="H364" s="31">
        <f t="shared" si="56"/>
        <v>1308.8658023999999</v>
      </c>
      <c r="I364" s="1"/>
    </row>
    <row r="365" spans="1:9" s="3" customFormat="1" ht="20.25" x14ac:dyDescent="0.25">
      <c r="A365" s="89" t="s">
        <v>354</v>
      </c>
      <c r="B365" s="90"/>
      <c r="C365" s="90"/>
      <c r="D365" s="90"/>
      <c r="E365" s="90"/>
      <c r="F365" s="90"/>
      <c r="G365" s="90"/>
      <c r="H365" s="91"/>
      <c r="I365" s="1"/>
    </row>
    <row r="366" spans="1:9" s="3" customFormat="1" ht="20.25" x14ac:dyDescent="0.25">
      <c r="A366" s="92">
        <v>1</v>
      </c>
      <c r="B366" s="92"/>
      <c r="C366" s="53" t="s">
        <v>89</v>
      </c>
      <c r="D366" s="53" t="s">
        <v>392</v>
      </c>
      <c r="E366" s="31">
        <f>(136.63)*10.764</f>
        <v>1470.6853199999998</v>
      </c>
      <c r="F366" s="31">
        <f>(1.2*(5.75)+1.2*2.08+1.2*2.85)*10.764</f>
        <v>137.95142399999997</v>
      </c>
      <c r="G366" s="31">
        <v>0</v>
      </c>
      <c r="H366" s="31">
        <f>E366+F366+(IF(G366&lt;101,G366,IF(G366&lt;201,G366/2,IF(G366&lt;=301,G366/3,G366/4))))</f>
        <v>1608.6367439999999</v>
      </c>
      <c r="I366" s="1"/>
    </row>
    <row r="367" spans="1:9" s="3" customFormat="1" ht="20.25" x14ac:dyDescent="0.25">
      <c r="A367" s="93">
        <f>A366+1</f>
        <v>2</v>
      </c>
      <c r="B367" s="94"/>
      <c r="C367" s="53" t="s">
        <v>89</v>
      </c>
      <c r="D367" s="53" t="s">
        <v>387</v>
      </c>
      <c r="E367" s="31">
        <f>(109.17)*10.764</f>
        <v>1175.1058799999998</v>
      </c>
      <c r="F367" s="31">
        <f>(6.03*1.1+3.05*1.2+1.43*1.52)*10.764</f>
        <v>134.19048240000001</v>
      </c>
      <c r="G367" s="31">
        <v>0</v>
      </c>
      <c r="H367" s="31">
        <f t="shared" ref="H367:H369" si="58">E367+F367+(IF(G367&lt;101,G367,IF(G367&lt;201,G367/2,IF(G367&lt;=301,G367/3,G367/4))))</f>
        <v>1309.2963623999999</v>
      </c>
      <c r="I367" s="1"/>
    </row>
    <row r="368" spans="1:9" s="3" customFormat="1" ht="20.25" x14ac:dyDescent="0.25">
      <c r="A368" s="93">
        <f t="shared" ref="A368:A369" si="59">A367+1</f>
        <v>3</v>
      </c>
      <c r="B368" s="94"/>
      <c r="C368" s="53" t="s">
        <v>89</v>
      </c>
      <c r="D368" s="53" t="s">
        <v>392</v>
      </c>
      <c r="E368" s="31">
        <f>(136.59)*10.764</f>
        <v>1470.25476</v>
      </c>
      <c r="F368" s="31">
        <f>(1.2*(5.75)+1.2*2.08+1.2*2.85)*10.764</f>
        <v>137.95142399999997</v>
      </c>
      <c r="G368" s="31">
        <v>0</v>
      </c>
      <c r="H368" s="31">
        <f t="shared" si="58"/>
        <v>1608.2061840000001</v>
      </c>
      <c r="I368" s="1"/>
    </row>
    <row r="369" spans="1:9" s="3" customFormat="1" ht="20.25" customHeight="1" x14ac:dyDescent="0.25">
      <c r="A369" s="93">
        <f t="shared" si="59"/>
        <v>4</v>
      </c>
      <c r="B369" s="94"/>
      <c r="C369" s="53" t="s">
        <v>89</v>
      </c>
      <c r="D369" s="53" t="s">
        <v>387</v>
      </c>
      <c r="E369" s="31">
        <f>(109.13)*10.764</f>
        <v>1174.6753199999998</v>
      </c>
      <c r="F369" s="31">
        <f>(6.03*1.1+3.05*1.2+1.43*1.52)*10.764</f>
        <v>134.19048240000001</v>
      </c>
      <c r="G369" s="31">
        <v>0</v>
      </c>
      <c r="H369" s="31">
        <f t="shared" si="58"/>
        <v>1308.8658023999999</v>
      </c>
      <c r="I369" s="1"/>
    </row>
    <row r="370" spans="1:9" s="3" customFormat="1" ht="20.25" x14ac:dyDescent="0.25">
      <c r="A370" s="89" t="s">
        <v>355</v>
      </c>
      <c r="B370" s="90"/>
      <c r="C370" s="90"/>
      <c r="D370" s="90"/>
      <c r="E370" s="90"/>
      <c r="F370" s="90"/>
      <c r="G370" s="90"/>
      <c r="H370" s="91"/>
      <c r="I370" s="1"/>
    </row>
    <row r="371" spans="1:9" s="3" customFormat="1" ht="20.25" x14ac:dyDescent="0.25">
      <c r="A371" s="92">
        <v>1</v>
      </c>
      <c r="B371" s="92"/>
      <c r="C371" s="53" t="s">
        <v>89</v>
      </c>
      <c r="D371" s="53" t="s">
        <v>392</v>
      </c>
      <c r="E371" s="32">
        <f>(136.63)*10.764</f>
        <v>1470.6853199999998</v>
      </c>
      <c r="F371" s="31">
        <f>(1.2*(5.75)+1.2*2.08+1.2*2.85)*10.764</f>
        <v>137.95142399999997</v>
      </c>
      <c r="G371" s="31">
        <v>0</v>
      </c>
      <c r="H371" s="31">
        <f>E371+F371+(IF(G371&lt;101,G371,IF(G371&lt;201,G371/2,IF(G371&lt;=301,G371/3,G371/4))))</f>
        <v>1608.6367439999999</v>
      </c>
      <c r="I371" s="1"/>
    </row>
    <row r="372" spans="1:9" s="3" customFormat="1" ht="20.25" x14ac:dyDescent="0.25">
      <c r="A372" s="93">
        <f>A371+1</f>
        <v>2</v>
      </c>
      <c r="B372" s="94"/>
      <c r="C372" s="53" t="s">
        <v>89</v>
      </c>
      <c r="D372" s="53" t="s">
        <v>387</v>
      </c>
      <c r="E372" s="32">
        <f>(109.17)*10.764</f>
        <v>1175.1058799999998</v>
      </c>
      <c r="F372" s="31">
        <f>(6.03*1.1+3.05*1.2+1.43*1.52)*10.764</f>
        <v>134.19048240000001</v>
      </c>
      <c r="G372" s="31">
        <v>0</v>
      </c>
      <c r="H372" s="31">
        <f t="shared" ref="H372:H374" si="60">E372+F372+(IF(G372&lt;101,G372,IF(G372&lt;201,G372/2,IF(G372&lt;=301,G372/3,G372/4))))</f>
        <v>1309.2963623999999</v>
      </c>
      <c r="I372" s="1"/>
    </row>
    <row r="373" spans="1:9" s="3" customFormat="1" ht="20.25" x14ac:dyDescent="0.25">
      <c r="A373" s="93">
        <f t="shared" ref="A373:A374" si="61">A372+1</f>
        <v>3</v>
      </c>
      <c r="B373" s="94"/>
      <c r="C373" s="53" t="s">
        <v>89</v>
      </c>
      <c r="D373" s="53" t="s">
        <v>392</v>
      </c>
      <c r="E373" s="32">
        <f>(136.59)*10.764</f>
        <v>1470.25476</v>
      </c>
      <c r="F373" s="31">
        <f>(1.2*(5.75)+1.2*2.08+1.2*2.85)*10.764</f>
        <v>137.95142399999997</v>
      </c>
      <c r="G373" s="31">
        <v>0</v>
      </c>
      <c r="H373" s="31">
        <f t="shared" si="60"/>
        <v>1608.2061840000001</v>
      </c>
      <c r="I373" s="1"/>
    </row>
    <row r="374" spans="1:9" s="3" customFormat="1" ht="20.25" customHeight="1" x14ac:dyDescent="0.25">
      <c r="A374" s="93">
        <f t="shared" si="61"/>
        <v>4</v>
      </c>
      <c r="B374" s="94"/>
      <c r="C374" s="53" t="s">
        <v>89</v>
      </c>
      <c r="D374" s="53" t="s">
        <v>387</v>
      </c>
      <c r="E374" s="32">
        <f>(109.13)*10.764</f>
        <v>1174.6753199999998</v>
      </c>
      <c r="F374" s="31">
        <f>(6.03*1.1+3.05*1.2+1.43*1.52)*10.764</f>
        <v>134.19048240000001</v>
      </c>
      <c r="G374" s="31">
        <v>0</v>
      </c>
      <c r="H374" s="31">
        <f t="shared" si="60"/>
        <v>1308.8658023999999</v>
      </c>
      <c r="I374" s="1"/>
    </row>
    <row r="375" spans="1:9" s="3" customFormat="1" ht="20.25" x14ac:dyDescent="0.25">
      <c r="A375" s="89" t="s">
        <v>358</v>
      </c>
      <c r="B375" s="90"/>
      <c r="C375" s="90"/>
      <c r="D375" s="90"/>
      <c r="E375" s="90"/>
      <c r="F375" s="90"/>
      <c r="G375" s="90"/>
      <c r="H375" s="91"/>
      <c r="I375" s="1"/>
    </row>
    <row r="376" spans="1:9" s="3" customFormat="1" ht="20.25" x14ac:dyDescent="0.25">
      <c r="A376" s="89" t="s">
        <v>334</v>
      </c>
      <c r="B376" s="90"/>
      <c r="C376" s="90"/>
      <c r="D376" s="90"/>
      <c r="E376" s="90"/>
      <c r="F376" s="90"/>
      <c r="G376" s="90"/>
      <c r="H376" s="91"/>
      <c r="I376" s="1"/>
    </row>
    <row r="377" spans="1:9" s="3" customFormat="1" ht="20.25" x14ac:dyDescent="0.25">
      <c r="A377" s="89" t="s">
        <v>335</v>
      </c>
      <c r="B377" s="90"/>
      <c r="C377" s="90"/>
      <c r="D377" s="90"/>
      <c r="E377" s="90"/>
      <c r="F377" s="90"/>
      <c r="G377" s="90"/>
      <c r="H377" s="91"/>
      <c r="I377" s="1"/>
    </row>
    <row r="378" spans="1:9" s="3" customFormat="1" ht="20.25" customHeight="1" x14ac:dyDescent="0.25">
      <c r="A378" s="89" t="s">
        <v>377</v>
      </c>
      <c r="B378" s="90"/>
      <c r="C378" s="90"/>
      <c r="D378" s="90"/>
      <c r="E378" s="90"/>
      <c r="F378" s="90"/>
      <c r="G378" s="90"/>
      <c r="H378" s="91"/>
      <c r="I378" s="1"/>
    </row>
    <row r="379" spans="1:9" s="3" customFormat="1" ht="20.25" x14ac:dyDescent="0.25">
      <c r="A379" s="89" t="s">
        <v>336</v>
      </c>
      <c r="B379" s="90"/>
      <c r="C379" s="90"/>
      <c r="D379" s="90"/>
      <c r="E379" s="90"/>
      <c r="F379" s="90"/>
      <c r="G379" s="90"/>
      <c r="H379" s="91"/>
      <c r="I379" s="1"/>
    </row>
    <row r="380" spans="1:9" s="3" customFormat="1" ht="20.25" x14ac:dyDescent="0.25">
      <c r="A380" s="89" t="s">
        <v>337</v>
      </c>
      <c r="B380" s="90"/>
      <c r="C380" s="90"/>
      <c r="D380" s="90"/>
      <c r="E380" s="90"/>
      <c r="F380" s="90"/>
      <c r="G380" s="90"/>
      <c r="H380" s="91"/>
      <c r="I380" s="1"/>
    </row>
    <row r="381" spans="1:9" s="3" customFormat="1" ht="21" customHeight="1" x14ac:dyDescent="0.25">
      <c r="A381" s="89" t="s">
        <v>359</v>
      </c>
      <c r="B381" s="90"/>
      <c r="C381" s="90"/>
      <c r="D381" s="90"/>
      <c r="E381" s="90"/>
      <c r="F381" s="90"/>
      <c r="G381" s="90"/>
      <c r="H381" s="91"/>
      <c r="I381" s="1"/>
    </row>
    <row r="382" spans="1:9" s="3" customFormat="1" ht="20.25" x14ac:dyDescent="0.25">
      <c r="A382" s="89" t="s">
        <v>339</v>
      </c>
      <c r="B382" s="90"/>
      <c r="C382" s="90"/>
      <c r="D382" s="90"/>
      <c r="E382" s="90"/>
      <c r="F382" s="90"/>
      <c r="G382" s="90"/>
      <c r="H382" s="91"/>
      <c r="I382" s="1">
        <v>1</v>
      </c>
    </row>
    <row r="383" spans="1:9" s="3" customFormat="1" ht="20.25" x14ac:dyDescent="0.25">
      <c r="A383" s="92">
        <v>1</v>
      </c>
      <c r="B383" s="92"/>
      <c r="C383" s="95" t="s">
        <v>338</v>
      </c>
      <c r="D383" s="96"/>
      <c r="E383" s="96"/>
      <c r="F383" s="96"/>
      <c r="G383" s="96"/>
      <c r="H383" s="97"/>
      <c r="I383" s="1"/>
    </row>
    <row r="384" spans="1:9" s="3" customFormat="1" ht="20.25" x14ac:dyDescent="0.25">
      <c r="A384" s="93">
        <f>A383+1</f>
        <v>2</v>
      </c>
      <c r="B384" s="94"/>
      <c r="C384" s="53" t="s">
        <v>89</v>
      </c>
      <c r="D384" s="53" t="s">
        <v>340</v>
      </c>
      <c r="E384" s="32">
        <f>(69.58)*10.764</f>
        <v>748.95911999999998</v>
      </c>
      <c r="F384" s="32">
        <f>(1*2.8+1*2.63+0.65*3.05)*10.764</f>
        <v>79.788149999999987</v>
      </c>
      <c r="G384" s="31">
        <v>0</v>
      </c>
      <c r="H384" s="31">
        <f t="shared" ref="H384:H388" si="62">E384+F384+(IF(G384&lt;101,G384,IF(G384&lt;201,G384/2,IF(G384&lt;=301,G384/3,G384/4))))</f>
        <v>828.74726999999996</v>
      </c>
      <c r="I384" s="1"/>
    </row>
    <row r="385" spans="1:9" s="3" customFormat="1" ht="20.25" x14ac:dyDescent="0.25">
      <c r="A385" s="93">
        <f t="shared" ref="A385:A390" si="63">A384+1</f>
        <v>3</v>
      </c>
      <c r="B385" s="94"/>
      <c r="C385" s="53" t="s">
        <v>89</v>
      </c>
      <c r="D385" s="53" t="s">
        <v>345</v>
      </c>
      <c r="E385" s="32">
        <f>(105.59)*10.764</f>
        <v>1136.5707600000001</v>
      </c>
      <c r="F385" s="32">
        <f>(1*3.5+1*2.98+2.33+0.65*2.78)*10.764</f>
        <v>114.28138800000001</v>
      </c>
      <c r="G385" s="31">
        <v>0</v>
      </c>
      <c r="H385" s="31">
        <f t="shared" si="62"/>
        <v>1250.8521480000002</v>
      </c>
      <c r="I385" s="1"/>
    </row>
    <row r="386" spans="1:9" s="3" customFormat="1" ht="20.25" customHeight="1" x14ac:dyDescent="0.25">
      <c r="A386" s="93">
        <f t="shared" si="63"/>
        <v>4</v>
      </c>
      <c r="B386" s="94"/>
      <c r="C386" s="53" t="s">
        <v>89</v>
      </c>
      <c r="D386" s="53" t="s">
        <v>340</v>
      </c>
      <c r="E386" s="32">
        <f>(63.47)*10.764</f>
        <v>683.19107999999994</v>
      </c>
      <c r="F386" s="32">
        <f>(2.33*1.2+2.9*1.2)*10.764</f>
        <v>67.554863999999995</v>
      </c>
      <c r="G386" s="31">
        <v>0</v>
      </c>
      <c r="H386" s="31">
        <f t="shared" si="62"/>
        <v>750.74594399999989</v>
      </c>
      <c r="I386" s="1"/>
    </row>
    <row r="387" spans="1:9" s="3" customFormat="1" ht="20.25" customHeight="1" x14ac:dyDescent="0.25">
      <c r="A387" s="93">
        <f t="shared" si="63"/>
        <v>5</v>
      </c>
      <c r="B387" s="94"/>
      <c r="C387" s="53" t="s">
        <v>89</v>
      </c>
      <c r="D387" s="53" t="s">
        <v>345</v>
      </c>
      <c r="E387" s="32">
        <f>(92.52)*10.764</f>
        <v>995.88527999999985</v>
      </c>
      <c r="F387" s="32">
        <f>(0.65*3.28+2.95+3.15+2.1)*10.764</f>
        <v>111.21364800000001</v>
      </c>
      <c r="G387" s="31">
        <v>0</v>
      </c>
      <c r="H387" s="31">
        <f t="shared" si="62"/>
        <v>1107.0989279999999</v>
      </c>
      <c r="I387" s="1"/>
    </row>
    <row r="388" spans="1:9" s="3" customFormat="1" ht="20.25" customHeight="1" x14ac:dyDescent="0.25">
      <c r="A388" s="93">
        <f t="shared" si="63"/>
        <v>6</v>
      </c>
      <c r="B388" s="94"/>
      <c r="C388" s="53" t="s">
        <v>89</v>
      </c>
      <c r="D388" s="53" t="s">
        <v>340</v>
      </c>
      <c r="E388" s="32">
        <f>(69.06)*10.764</f>
        <v>743.36184000000003</v>
      </c>
      <c r="F388" s="32">
        <f>(1*2.8+1*2.63+0.65*3.05)*10.764</f>
        <v>79.788149999999987</v>
      </c>
      <c r="G388" s="31">
        <v>0</v>
      </c>
      <c r="H388" s="31">
        <f t="shared" si="62"/>
        <v>823.14999</v>
      </c>
      <c r="I388" s="1"/>
    </row>
    <row r="389" spans="1:9" s="3" customFormat="1" ht="20.25" customHeight="1" x14ac:dyDescent="0.25">
      <c r="A389" s="93">
        <f t="shared" si="63"/>
        <v>7</v>
      </c>
      <c r="B389" s="94"/>
      <c r="C389" s="98" t="s">
        <v>338</v>
      </c>
      <c r="D389" s="99"/>
      <c r="E389" s="99"/>
      <c r="F389" s="99"/>
      <c r="G389" s="99"/>
      <c r="H389" s="100"/>
      <c r="I389" s="1"/>
    </row>
    <row r="390" spans="1:9" s="3" customFormat="1" ht="20.25" customHeight="1" x14ac:dyDescent="0.25">
      <c r="A390" s="93">
        <f t="shared" si="63"/>
        <v>8</v>
      </c>
      <c r="B390" s="94"/>
      <c r="C390" s="101"/>
      <c r="D390" s="102"/>
      <c r="E390" s="102"/>
      <c r="F390" s="102"/>
      <c r="G390" s="102"/>
      <c r="H390" s="103"/>
      <c r="I390" s="1"/>
    </row>
    <row r="391" spans="1:9" s="3" customFormat="1" ht="20.25" x14ac:dyDescent="0.25">
      <c r="A391" s="89" t="s">
        <v>342</v>
      </c>
      <c r="B391" s="90"/>
      <c r="C391" s="90"/>
      <c r="D391" s="90"/>
      <c r="E391" s="90"/>
      <c r="F391" s="90"/>
      <c r="G391" s="90"/>
      <c r="H391" s="91"/>
      <c r="I391" s="1">
        <v>1</v>
      </c>
    </row>
    <row r="392" spans="1:9" s="3" customFormat="1" ht="20.25" x14ac:dyDescent="0.25">
      <c r="A392" s="92">
        <v>1</v>
      </c>
      <c r="B392" s="92"/>
      <c r="C392" s="53" t="s">
        <v>89</v>
      </c>
      <c r="D392" s="53" t="s">
        <v>345</v>
      </c>
      <c r="E392" s="32">
        <f>(92.63)*10.764</f>
        <v>997.06931999999983</v>
      </c>
      <c r="F392" s="32">
        <f>(0.65*3.28+2.95+3.15+2.1)*10.764</f>
        <v>111.21364800000001</v>
      </c>
      <c r="G392" s="31">
        <v>0</v>
      </c>
      <c r="H392" s="31">
        <f>E392+F392+(IF(G392&lt;101,G392,IF(G392&lt;201,G392/2,IF(G392&lt;=301,G392/3,G392/4))))</f>
        <v>1108.2829679999998</v>
      </c>
      <c r="I392" s="1"/>
    </row>
    <row r="393" spans="1:9" s="3" customFormat="1" ht="20.25" x14ac:dyDescent="0.25">
      <c r="A393" s="93">
        <f>A392+1</f>
        <v>2</v>
      </c>
      <c r="B393" s="94"/>
      <c r="C393" s="53" t="s">
        <v>89</v>
      </c>
      <c r="D393" s="53" t="s">
        <v>340</v>
      </c>
      <c r="E393" s="32">
        <f>(69.06)*10.764</f>
        <v>743.36184000000003</v>
      </c>
      <c r="F393" s="32">
        <f>(1*2.8+1*2.63+0.65*3.05)*10.764</f>
        <v>79.788149999999987</v>
      </c>
      <c r="G393" s="31">
        <v>0</v>
      </c>
      <c r="H393" s="31">
        <f t="shared" ref="H393:H399" si="64">E393+F393+(IF(G393&lt;101,G393,IF(G393&lt;201,G393/2,IF(G393&lt;=301,G393/3,G393/4))))</f>
        <v>823.14999</v>
      </c>
      <c r="I393" s="1"/>
    </row>
    <row r="394" spans="1:9" s="3" customFormat="1" ht="20.25" x14ac:dyDescent="0.25">
      <c r="A394" s="93">
        <f t="shared" ref="A394:A399" si="65">A393+1</f>
        <v>3</v>
      </c>
      <c r="B394" s="94"/>
      <c r="C394" s="53" t="s">
        <v>89</v>
      </c>
      <c r="D394" s="53" t="s">
        <v>345</v>
      </c>
      <c r="E394" s="32">
        <f>(105.56)*10.764</f>
        <v>1136.24784</v>
      </c>
      <c r="F394" s="32">
        <f>(1*3.5+1*2.98+2.33+0.65*2.78)*10.764</f>
        <v>114.28138800000001</v>
      </c>
      <c r="G394" s="31">
        <v>0</v>
      </c>
      <c r="H394" s="31">
        <f t="shared" si="64"/>
        <v>1250.5292280000001</v>
      </c>
      <c r="I394" s="1"/>
    </row>
    <row r="395" spans="1:9" s="3" customFormat="1" ht="20.25" customHeight="1" x14ac:dyDescent="0.25">
      <c r="A395" s="93">
        <f t="shared" si="65"/>
        <v>4</v>
      </c>
      <c r="B395" s="94"/>
      <c r="C395" s="53" t="s">
        <v>89</v>
      </c>
      <c r="D395" s="53" t="s">
        <v>340</v>
      </c>
      <c r="E395" s="32">
        <f>(61.37)*10.764</f>
        <v>660.58667999999989</v>
      </c>
      <c r="F395" s="32">
        <f>(2.33*1.2+2.9*1.2)*10.764</f>
        <v>67.554863999999995</v>
      </c>
      <c r="G395" s="31">
        <v>0</v>
      </c>
      <c r="H395" s="31">
        <f t="shared" si="64"/>
        <v>728.14154399999984</v>
      </c>
      <c r="I395" s="1"/>
    </row>
    <row r="396" spans="1:9" s="3" customFormat="1" ht="20.25" customHeight="1" x14ac:dyDescent="0.25">
      <c r="A396" s="93">
        <f t="shared" si="65"/>
        <v>5</v>
      </c>
      <c r="B396" s="94"/>
      <c r="C396" s="53" t="s">
        <v>89</v>
      </c>
      <c r="D396" s="53" t="s">
        <v>345</v>
      </c>
      <c r="E396" s="32">
        <f>(92.55)*10.764</f>
        <v>996.20819999999992</v>
      </c>
      <c r="F396" s="32">
        <f>(0.65*3.28+2.95+3.15+2.1)*10.764</f>
        <v>111.21364800000001</v>
      </c>
      <c r="G396" s="31">
        <v>0</v>
      </c>
      <c r="H396" s="31">
        <f t="shared" si="64"/>
        <v>1107.421848</v>
      </c>
      <c r="I396" s="1"/>
    </row>
    <row r="397" spans="1:9" s="3" customFormat="1" ht="20.25" customHeight="1" x14ac:dyDescent="0.25">
      <c r="A397" s="93">
        <f t="shared" si="65"/>
        <v>6</v>
      </c>
      <c r="B397" s="94"/>
      <c r="C397" s="53" t="s">
        <v>89</v>
      </c>
      <c r="D397" s="53" t="s">
        <v>340</v>
      </c>
      <c r="E397" s="32">
        <f>(69.05)*10.764</f>
        <v>743.25419999999997</v>
      </c>
      <c r="F397" s="32">
        <f>(1*2.8+1*2.63+0.65*3.05)*10.764</f>
        <v>79.788149999999987</v>
      </c>
      <c r="G397" s="31">
        <v>0</v>
      </c>
      <c r="H397" s="31">
        <f t="shared" si="64"/>
        <v>823.04234999999994</v>
      </c>
      <c r="I397" s="1"/>
    </row>
    <row r="398" spans="1:9" s="3" customFormat="1" ht="20.25" customHeight="1" x14ac:dyDescent="0.25">
      <c r="A398" s="93">
        <f t="shared" si="65"/>
        <v>7</v>
      </c>
      <c r="B398" s="94"/>
      <c r="C398" s="53" t="s">
        <v>89</v>
      </c>
      <c r="D398" s="53" t="s">
        <v>345</v>
      </c>
      <c r="E398" s="32">
        <f>(105.47)*10.764</f>
        <v>1135.27908</v>
      </c>
      <c r="F398" s="32">
        <f>(1*3.5+1*2.98+2.33+0.65*2.78)*10.764</f>
        <v>114.28138800000001</v>
      </c>
      <c r="G398" s="31">
        <v>0</v>
      </c>
      <c r="H398" s="31">
        <f t="shared" si="64"/>
        <v>1249.5604680000001</v>
      </c>
      <c r="I398" s="1"/>
    </row>
    <row r="399" spans="1:9" s="3" customFormat="1" ht="20.25" customHeight="1" x14ac:dyDescent="0.25">
      <c r="A399" s="93">
        <f t="shared" si="65"/>
        <v>8</v>
      </c>
      <c r="B399" s="94"/>
      <c r="C399" s="53" t="s">
        <v>89</v>
      </c>
      <c r="D399" s="53" t="s">
        <v>340</v>
      </c>
      <c r="E399" s="32">
        <f>(62.5)*10.764</f>
        <v>672.75</v>
      </c>
      <c r="F399" s="32">
        <f>(2.33*1.2+2.9*1.1+3.1*1.1)*10.764</f>
        <v>101.138544</v>
      </c>
      <c r="G399" s="31">
        <v>0</v>
      </c>
      <c r="H399" s="31">
        <f t="shared" si="64"/>
        <v>773.88854400000002</v>
      </c>
      <c r="I399" s="1"/>
    </row>
    <row r="400" spans="1:9" s="3" customFormat="1" ht="20.25" x14ac:dyDescent="0.25">
      <c r="A400" s="89" t="s">
        <v>344</v>
      </c>
      <c r="B400" s="90"/>
      <c r="C400" s="90"/>
      <c r="D400" s="90"/>
      <c r="E400" s="90"/>
      <c r="F400" s="90"/>
      <c r="G400" s="90"/>
      <c r="H400" s="91"/>
      <c r="I400" s="1">
        <v>1</v>
      </c>
    </row>
    <row r="401" spans="1:9" s="3" customFormat="1" ht="20.25" x14ac:dyDescent="0.25">
      <c r="A401" s="92">
        <v>1</v>
      </c>
      <c r="B401" s="92"/>
      <c r="C401" s="53" t="s">
        <v>89</v>
      </c>
      <c r="D401" s="53" t="s">
        <v>345</v>
      </c>
      <c r="E401" s="32">
        <f>(92.52)*10.764</f>
        <v>995.88527999999985</v>
      </c>
      <c r="F401" s="32">
        <f>(0.65*3.28+2.95+3.15+2.1)*10.764</f>
        <v>111.21364800000001</v>
      </c>
      <c r="G401" s="31">
        <v>0</v>
      </c>
      <c r="H401" s="31">
        <f>E401+F401+(IF(G401&lt;101,G401,IF(G401&lt;201,G401/2,IF(G401&lt;=301,G401/3,G401/4))))</f>
        <v>1107.0989279999999</v>
      </c>
      <c r="I401" s="1"/>
    </row>
    <row r="402" spans="1:9" s="3" customFormat="1" ht="20.25" x14ac:dyDescent="0.25">
      <c r="A402" s="93">
        <f>A401+1</f>
        <v>2</v>
      </c>
      <c r="B402" s="94"/>
      <c r="C402" s="53" t="s">
        <v>89</v>
      </c>
      <c r="D402" s="53" t="s">
        <v>340</v>
      </c>
      <c r="E402" s="32">
        <f>(69.46)*10.764</f>
        <v>747.66743999999994</v>
      </c>
      <c r="F402" s="32">
        <f>(1*2.8+1*2.63+2.55+0.65*3.05)*10.764</f>
        <v>107.23634999999997</v>
      </c>
      <c r="G402" s="31">
        <v>0</v>
      </c>
      <c r="H402" s="31">
        <f t="shared" ref="H402:H405" si="66">E402+F402+(IF(G402&lt;101,G402,IF(G402&lt;201,G402/2,IF(G402&lt;=301,G402/3,G402/4))))</f>
        <v>854.90378999999996</v>
      </c>
      <c r="I402" s="1"/>
    </row>
    <row r="403" spans="1:9" s="3" customFormat="1" ht="20.25" x14ac:dyDescent="0.25">
      <c r="A403" s="93">
        <f t="shared" ref="A403:A408" si="67">A402+1</f>
        <v>3</v>
      </c>
      <c r="B403" s="94"/>
      <c r="C403" s="53" t="s">
        <v>89</v>
      </c>
      <c r="D403" s="53" t="s">
        <v>345</v>
      </c>
      <c r="E403" s="32">
        <f>(105.59)*10.764</f>
        <v>1136.5707600000001</v>
      </c>
      <c r="F403" s="32">
        <f>(1*3.5+1*2.98+2.33+0.65*2.78)*10.764</f>
        <v>114.28138800000001</v>
      </c>
      <c r="G403" s="31">
        <v>0</v>
      </c>
      <c r="H403" s="31">
        <f t="shared" si="66"/>
        <v>1250.8521480000002</v>
      </c>
      <c r="I403" s="1"/>
    </row>
    <row r="404" spans="1:9" s="3" customFormat="1" ht="20.25" customHeight="1" x14ac:dyDescent="0.25">
      <c r="A404" s="93">
        <f t="shared" si="67"/>
        <v>4</v>
      </c>
      <c r="B404" s="94"/>
      <c r="C404" s="53" t="s">
        <v>89</v>
      </c>
      <c r="D404" s="53" t="s">
        <v>340</v>
      </c>
      <c r="E404" s="32">
        <f>(60.91)*10.764</f>
        <v>655.63523999999995</v>
      </c>
      <c r="F404" s="32">
        <f>(2.33*1.2)*10.764</f>
        <v>30.096143999999995</v>
      </c>
      <c r="G404" s="31">
        <v>0</v>
      </c>
      <c r="H404" s="31">
        <f t="shared" si="66"/>
        <v>685.73138399999993</v>
      </c>
      <c r="I404" s="1"/>
    </row>
    <row r="405" spans="1:9" s="3" customFormat="1" ht="20.25" customHeight="1" x14ac:dyDescent="0.25">
      <c r="A405" s="93">
        <f t="shared" si="67"/>
        <v>5</v>
      </c>
      <c r="B405" s="94"/>
      <c r="C405" s="53" t="s">
        <v>89</v>
      </c>
      <c r="D405" s="53" t="s">
        <v>345</v>
      </c>
      <c r="E405" s="32">
        <f>(92.53)*10.764</f>
        <v>995.99291999999991</v>
      </c>
      <c r="F405" s="32">
        <f>(0.65*3.28+2.95+3.15+2.1)*10.764</f>
        <v>111.21364800000001</v>
      </c>
      <c r="G405" s="31">
        <v>0</v>
      </c>
      <c r="H405" s="31">
        <f t="shared" si="66"/>
        <v>1107.2065679999998</v>
      </c>
      <c r="I405" s="1"/>
    </row>
    <row r="406" spans="1:9" s="3" customFormat="1" ht="20.25" customHeight="1" x14ac:dyDescent="0.25">
      <c r="A406" s="93">
        <f t="shared" si="67"/>
        <v>6</v>
      </c>
      <c r="B406" s="94"/>
      <c r="C406" s="98" t="s">
        <v>343</v>
      </c>
      <c r="D406" s="99"/>
      <c r="E406" s="99"/>
      <c r="F406" s="99"/>
      <c r="G406" s="99"/>
      <c r="H406" s="100"/>
      <c r="I406" s="1"/>
    </row>
    <row r="407" spans="1:9" s="3" customFormat="1" ht="20.25" customHeight="1" x14ac:dyDescent="0.25">
      <c r="A407" s="93">
        <f t="shared" si="67"/>
        <v>7</v>
      </c>
      <c r="B407" s="94"/>
      <c r="C407" s="101"/>
      <c r="D407" s="102"/>
      <c r="E407" s="102"/>
      <c r="F407" s="102"/>
      <c r="G407" s="102"/>
      <c r="H407" s="103"/>
      <c r="I407" s="1"/>
    </row>
    <row r="408" spans="1:9" s="3" customFormat="1" ht="20.25" customHeight="1" x14ac:dyDescent="0.25">
      <c r="A408" s="93">
        <f t="shared" si="67"/>
        <v>8</v>
      </c>
      <c r="B408" s="94"/>
      <c r="C408" s="53" t="s">
        <v>89</v>
      </c>
      <c r="D408" s="53" t="s">
        <v>340</v>
      </c>
      <c r="E408" s="32">
        <f>(60.9)*10.764</f>
        <v>655.52759999999989</v>
      </c>
      <c r="F408" s="32">
        <f>(2.32*1.2)*10.764</f>
        <v>29.966975999999995</v>
      </c>
      <c r="G408" s="31">
        <v>0</v>
      </c>
      <c r="H408" s="31">
        <f t="shared" ref="H408" si="68">E408+F408+(IF(G408&lt;101,G408,IF(G408&lt;201,G408/2,IF(G408&lt;=301,G408/3,G408/4))))</f>
        <v>685.49457599999994</v>
      </c>
      <c r="I408" s="1"/>
    </row>
    <row r="409" spans="1:9" s="3" customFormat="1" ht="20.25" x14ac:dyDescent="0.25">
      <c r="A409" s="89" t="s">
        <v>346</v>
      </c>
      <c r="B409" s="90"/>
      <c r="C409" s="90"/>
      <c r="D409" s="90"/>
      <c r="E409" s="90"/>
      <c r="F409" s="90"/>
      <c r="G409" s="90"/>
      <c r="H409" s="91"/>
      <c r="I409" s="1">
        <v>1</v>
      </c>
    </row>
    <row r="410" spans="1:9" s="3" customFormat="1" ht="20.25" x14ac:dyDescent="0.25">
      <c r="A410" s="93">
        <v>1</v>
      </c>
      <c r="B410" s="94"/>
      <c r="C410" s="53" t="s">
        <v>89</v>
      </c>
      <c r="D410" s="53" t="s">
        <v>345</v>
      </c>
      <c r="E410" s="32">
        <f>(92.65)*10.764</f>
        <v>997.28459999999995</v>
      </c>
      <c r="F410" s="32">
        <f>(0.65*3.28+2.95+3.15+2.1)*10.764</f>
        <v>111.21364800000001</v>
      </c>
      <c r="G410" s="31">
        <v>0</v>
      </c>
      <c r="H410" s="31">
        <f>E410+F410+(IF(G410&lt;101,G410,IF(G410&lt;201,G410/2,IF(G410&lt;=301,G410/3,G410/4))))</f>
        <v>1108.4982479999999</v>
      </c>
      <c r="I410" s="1"/>
    </row>
    <row r="411" spans="1:9" s="3" customFormat="1" ht="20.25" x14ac:dyDescent="0.25">
      <c r="A411" s="93">
        <f>A410+1</f>
        <v>2</v>
      </c>
      <c r="B411" s="94"/>
      <c r="C411" s="53" t="s">
        <v>89</v>
      </c>
      <c r="D411" s="53" t="s">
        <v>340</v>
      </c>
      <c r="E411" s="32">
        <f>(69.46)*10.764</f>
        <v>747.66743999999994</v>
      </c>
      <c r="F411" s="32">
        <f>(1*2.8+1*2.63+2.55+0.65*3.05)*10.764</f>
        <v>107.23634999999997</v>
      </c>
      <c r="G411" s="31">
        <v>0</v>
      </c>
      <c r="H411" s="31">
        <f t="shared" ref="H411:H417" si="69">E411+F411+(IF(G411&lt;101,G411,IF(G411&lt;201,G411/2,IF(G411&lt;=301,G411/3,G411/4))))</f>
        <v>854.90378999999996</v>
      </c>
      <c r="I411" s="1"/>
    </row>
    <row r="412" spans="1:9" s="3" customFormat="1" ht="20.25" x14ac:dyDescent="0.25">
      <c r="A412" s="93">
        <f t="shared" ref="A412:A417" si="70">A411+1</f>
        <v>3</v>
      </c>
      <c r="B412" s="94"/>
      <c r="C412" s="53" t="s">
        <v>89</v>
      </c>
      <c r="D412" s="53" t="s">
        <v>345</v>
      </c>
      <c r="E412" s="32">
        <f>(105.59)*10.764</f>
        <v>1136.5707600000001</v>
      </c>
      <c r="F412" s="32">
        <f>(1*3.5+1*2.98+2.33+0.65*2.78)*10.764</f>
        <v>114.28138800000001</v>
      </c>
      <c r="G412" s="31">
        <v>0</v>
      </c>
      <c r="H412" s="31">
        <f t="shared" si="69"/>
        <v>1250.8521480000002</v>
      </c>
      <c r="I412" s="1"/>
    </row>
    <row r="413" spans="1:9" s="3" customFormat="1" ht="20.25" customHeight="1" x14ac:dyDescent="0.25">
      <c r="A413" s="93">
        <f t="shared" si="70"/>
        <v>4</v>
      </c>
      <c r="B413" s="94"/>
      <c r="C413" s="53" t="s">
        <v>89</v>
      </c>
      <c r="D413" s="53" t="s">
        <v>340</v>
      </c>
      <c r="E413" s="32">
        <f>(60.9)*10.764</f>
        <v>655.52759999999989</v>
      </c>
      <c r="F413" s="32">
        <f>(2.33*1.2)*10.764</f>
        <v>30.096143999999995</v>
      </c>
      <c r="G413" s="31">
        <v>0</v>
      </c>
      <c r="H413" s="31">
        <f t="shared" si="69"/>
        <v>685.62374399999987</v>
      </c>
      <c r="I413" s="1"/>
    </row>
    <row r="414" spans="1:9" s="3" customFormat="1" ht="20.25" customHeight="1" x14ac:dyDescent="0.25">
      <c r="A414" s="93">
        <f t="shared" si="70"/>
        <v>5</v>
      </c>
      <c r="B414" s="94"/>
      <c r="C414" s="53" t="s">
        <v>89</v>
      </c>
      <c r="D414" s="53" t="s">
        <v>345</v>
      </c>
      <c r="E414" s="32">
        <f>(92.55)*10.764</f>
        <v>996.20819999999992</v>
      </c>
      <c r="F414" s="32">
        <f>(0.65*3.28+2.95+3.15+2.1)*10.764</f>
        <v>111.21364800000001</v>
      </c>
      <c r="G414" s="31">
        <v>0</v>
      </c>
      <c r="H414" s="31">
        <f t="shared" si="69"/>
        <v>1107.421848</v>
      </c>
      <c r="I414" s="1"/>
    </row>
    <row r="415" spans="1:9" s="3" customFormat="1" ht="20.25" customHeight="1" x14ac:dyDescent="0.25">
      <c r="A415" s="93">
        <f t="shared" si="70"/>
        <v>6</v>
      </c>
      <c r="B415" s="94"/>
      <c r="C415" s="53" t="s">
        <v>89</v>
      </c>
      <c r="D415" s="53" t="s">
        <v>340</v>
      </c>
      <c r="E415" s="32">
        <f>(69.59)*10.764</f>
        <v>749.06676000000004</v>
      </c>
      <c r="F415" s="32">
        <f>(1*2.8+1*2.63+2.55+0.65*3.05)*10.764</f>
        <v>107.23634999999997</v>
      </c>
      <c r="G415" s="31">
        <v>0</v>
      </c>
      <c r="H415" s="31">
        <f t="shared" si="69"/>
        <v>856.30311000000006</v>
      </c>
      <c r="I415" s="1"/>
    </row>
    <row r="416" spans="1:9" s="3" customFormat="1" ht="20.25" customHeight="1" x14ac:dyDescent="0.25">
      <c r="A416" s="93">
        <f t="shared" si="70"/>
        <v>7</v>
      </c>
      <c r="B416" s="94"/>
      <c r="C416" s="53" t="s">
        <v>89</v>
      </c>
      <c r="D416" s="53" t="s">
        <v>345</v>
      </c>
      <c r="E416" s="32">
        <f>(105.47)*10.764</f>
        <v>1135.27908</v>
      </c>
      <c r="F416" s="32">
        <f>(1*3.5+1*2.98+2.33+0.65*2.78)*10.764</f>
        <v>114.28138800000001</v>
      </c>
      <c r="G416" s="31">
        <v>0</v>
      </c>
      <c r="H416" s="31">
        <f t="shared" si="69"/>
        <v>1249.5604680000001</v>
      </c>
      <c r="I416" s="1"/>
    </row>
    <row r="417" spans="1:9" s="3" customFormat="1" ht="20.25" x14ac:dyDescent="0.25">
      <c r="A417" s="93">
        <f t="shared" si="70"/>
        <v>8</v>
      </c>
      <c r="B417" s="94"/>
      <c r="C417" s="53" t="s">
        <v>89</v>
      </c>
      <c r="D417" s="53" t="s">
        <v>340</v>
      </c>
      <c r="E417" s="32">
        <f>(60.91)*10.764</f>
        <v>655.63523999999995</v>
      </c>
      <c r="F417" s="32">
        <f>(2.32*1.2)*10.764</f>
        <v>29.966975999999995</v>
      </c>
      <c r="G417" s="31">
        <v>0</v>
      </c>
      <c r="H417" s="31">
        <f t="shared" si="69"/>
        <v>685.602216</v>
      </c>
      <c r="I417" s="1"/>
    </row>
    <row r="418" spans="1:9" s="3" customFormat="1" ht="20.25" x14ac:dyDescent="0.25">
      <c r="A418" s="104" t="s">
        <v>347</v>
      </c>
      <c r="B418" s="105"/>
      <c r="C418" s="105"/>
      <c r="D418" s="105"/>
      <c r="E418" s="105"/>
      <c r="F418" s="105"/>
      <c r="G418" s="105"/>
      <c r="H418" s="106"/>
      <c r="I418" s="1">
        <v>1</v>
      </c>
    </row>
    <row r="419" spans="1:9" s="3" customFormat="1" ht="20.25" x14ac:dyDescent="0.25">
      <c r="A419" s="92">
        <v>1</v>
      </c>
      <c r="B419" s="92"/>
      <c r="C419" s="53" t="s">
        <v>89</v>
      </c>
      <c r="D419" s="53" t="s">
        <v>345</v>
      </c>
      <c r="E419" s="32">
        <f>(91.09)*10.764</f>
        <v>980.49275999999998</v>
      </c>
      <c r="F419" s="32">
        <f>(2.1*1)*10.764</f>
        <v>22.604399999999998</v>
      </c>
      <c r="G419" s="31">
        <v>0</v>
      </c>
      <c r="H419" s="31">
        <f>E419+F419+(IF(G419&lt;101,G419,IF(G419&lt;201,G419/2,IF(G419&lt;=301,G419/3,G419/4))))</f>
        <v>1003.09716</v>
      </c>
      <c r="I419" s="1"/>
    </row>
    <row r="420" spans="1:9" s="3" customFormat="1" ht="20.25" x14ac:dyDescent="0.25">
      <c r="A420" s="93">
        <f>A419+1</f>
        <v>2</v>
      </c>
      <c r="B420" s="94"/>
      <c r="C420" s="53" t="s">
        <v>89</v>
      </c>
      <c r="D420" s="53" t="s">
        <v>340</v>
      </c>
      <c r="E420" s="32">
        <f>(68.07)*10.764</f>
        <v>732.70547999999985</v>
      </c>
      <c r="F420" s="32">
        <f>(1*2.63)*10.764</f>
        <v>28.309319999999996</v>
      </c>
      <c r="G420" s="31">
        <v>0</v>
      </c>
      <c r="H420" s="31">
        <f t="shared" ref="H420:H426" si="71">E420+F420+(IF(G420&lt;101,G420,IF(G420&lt;201,G420/2,IF(G420&lt;=301,G420/3,G420/4))))</f>
        <v>761.01479999999981</v>
      </c>
      <c r="I420" s="1"/>
    </row>
    <row r="421" spans="1:9" s="3" customFormat="1" ht="20.25" x14ac:dyDescent="0.25">
      <c r="A421" s="93">
        <f t="shared" ref="A421:A426" si="72">A420+1</f>
        <v>3</v>
      </c>
      <c r="B421" s="94"/>
      <c r="C421" s="53" t="s">
        <v>89</v>
      </c>
      <c r="D421" s="53" t="s">
        <v>345</v>
      </c>
      <c r="E421" s="32">
        <f>(104.03)*10.764</f>
        <v>1119.77892</v>
      </c>
      <c r="F421" s="32">
        <f>(1*2.33)*10.764</f>
        <v>25.080120000000001</v>
      </c>
      <c r="G421" s="31">
        <v>0</v>
      </c>
      <c r="H421" s="31">
        <f t="shared" si="71"/>
        <v>1144.85904</v>
      </c>
      <c r="I421" s="1"/>
    </row>
    <row r="422" spans="1:9" s="3" customFormat="1" ht="20.25" customHeight="1" x14ac:dyDescent="0.25">
      <c r="A422" s="93">
        <f t="shared" si="72"/>
        <v>4</v>
      </c>
      <c r="B422" s="94"/>
      <c r="C422" s="53" t="s">
        <v>89</v>
      </c>
      <c r="D422" s="53" t="s">
        <v>340</v>
      </c>
      <c r="E422" s="32">
        <f>(60.91)*10.764</f>
        <v>655.63523999999995</v>
      </c>
      <c r="F422" s="32">
        <f>(2.33*1.2)*10.764</f>
        <v>30.096143999999995</v>
      </c>
      <c r="G422" s="31">
        <v>0</v>
      </c>
      <c r="H422" s="31">
        <f t="shared" si="71"/>
        <v>685.73138399999993</v>
      </c>
      <c r="I422" s="1"/>
    </row>
    <row r="423" spans="1:9" s="3" customFormat="1" ht="20.25" customHeight="1" x14ac:dyDescent="0.25">
      <c r="A423" s="93">
        <f t="shared" si="72"/>
        <v>5</v>
      </c>
      <c r="B423" s="94"/>
      <c r="C423" s="53" t="s">
        <v>89</v>
      </c>
      <c r="D423" s="53" t="s">
        <v>345</v>
      </c>
      <c r="E423" s="32">
        <f>(91)*10.764</f>
        <v>979.52399999999989</v>
      </c>
      <c r="F423" s="32">
        <f>(2.1*1)*10.764</f>
        <v>22.604399999999998</v>
      </c>
      <c r="G423" s="31">
        <v>0</v>
      </c>
      <c r="H423" s="31">
        <f t="shared" si="71"/>
        <v>1002.1283999999998</v>
      </c>
      <c r="I423" s="1"/>
    </row>
    <row r="424" spans="1:9" s="3" customFormat="1" ht="20.25" customHeight="1" x14ac:dyDescent="0.25">
      <c r="A424" s="93">
        <f t="shared" si="72"/>
        <v>6</v>
      </c>
      <c r="B424" s="94"/>
      <c r="C424" s="53" t="s">
        <v>89</v>
      </c>
      <c r="D424" s="53" t="s">
        <v>340</v>
      </c>
      <c r="E424" s="32">
        <f>(68.06)*10.764</f>
        <v>732.59784000000002</v>
      </c>
      <c r="F424" s="32">
        <f>(1*2.63)*10.764</f>
        <v>28.309319999999996</v>
      </c>
      <c r="G424" s="31">
        <v>0</v>
      </c>
      <c r="H424" s="31">
        <f t="shared" si="71"/>
        <v>760.90715999999998</v>
      </c>
      <c r="I424" s="1"/>
    </row>
    <row r="425" spans="1:9" s="3" customFormat="1" ht="20.25" customHeight="1" x14ac:dyDescent="0.25">
      <c r="A425" s="93">
        <f t="shared" si="72"/>
        <v>7</v>
      </c>
      <c r="B425" s="94"/>
      <c r="C425" s="53" t="s">
        <v>89</v>
      </c>
      <c r="D425" s="53" t="s">
        <v>345</v>
      </c>
      <c r="E425" s="32">
        <f>(103.99)*10.764</f>
        <v>1119.34836</v>
      </c>
      <c r="F425" s="32">
        <f>(1*2.33)*10.764</f>
        <v>25.080120000000001</v>
      </c>
      <c r="G425" s="31">
        <v>0</v>
      </c>
      <c r="H425" s="31">
        <f t="shared" si="71"/>
        <v>1144.42848</v>
      </c>
      <c r="I425" s="1"/>
    </row>
    <row r="426" spans="1:9" s="3" customFormat="1" ht="20.25" customHeight="1" x14ac:dyDescent="0.25">
      <c r="A426" s="93">
        <f t="shared" si="72"/>
        <v>8</v>
      </c>
      <c r="B426" s="94"/>
      <c r="C426" s="53" t="s">
        <v>89</v>
      </c>
      <c r="D426" s="53" t="s">
        <v>340</v>
      </c>
      <c r="E426" s="32">
        <f>(60.58)*10.764</f>
        <v>652.08311999999989</v>
      </c>
      <c r="F426" s="32">
        <f>(2.32*1.2)*10.764</f>
        <v>29.966975999999995</v>
      </c>
      <c r="G426" s="31">
        <v>0</v>
      </c>
      <c r="H426" s="31">
        <f t="shared" si="71"/>
        <v>682.05009599999994</v>
      </c>
      <c r="I426" s="1"/>
    </row>
    <row r="427" spans="1:9" s="3" customFormat="1" ht="20.25" x14ac:dyDescent="0.25">
      <c r="A427" s="89" t="s">
        <v>348</v>
      </c>
      <c r="B427" s="90"/>
      <c r="C427" s="90"/>
      <c r="D427" s="90"/>
      <c r="E427" s="90"/>
      <c r="F427" s="90"/>
      <c r="G427" s="90"/>
      <c r="H427" s="91"/>
      <c r="I427" s="1">
        <f>4</f>
        <v>4</v>
      </c>
    </row>
    <row r="428" spans="1:9" s="3" customFormat="1" ht="20.25" x14ac:dyDescent="0.25">
      <c r="A428" s="92">
        <v>1</v>
      </c>
      <c r="B428" s="92"/>
      <c r="C428" s="53" t="s">
        <v>89</v>
      </c>
      <c r="D428" s="53" t="s">
        <v>345</v>
      </c>
      <c r="E428" s="32">
        <f>(91.09)*10.764</f>
        <v>980.49275999999998</v>
      </c>
      <c r="F428" s="32">
        <f>(2.1*1)*10.764</f>
        <v>22.604399999999998</v>
      </c>
      <c r="G428" s="31">
        <v>0</v>
      </c>
      <c r="H428" s="31">
        <f>E428+F428+(IF(G428&lt;101,G428,IF(G428&lt;201,G428/2,IF(G428&lt;=301,G428/3,G428/4))))</f>
        <v>1003.09716</v>
      </c>
      <c r="I428" s="1"/>
    </row>
    <row r="429" spans="1:9" s="3" customFormat="1" ht="20.25" x14ac:dyDescent="0.25">
      <c r="A429" s="93">
        <f>A428+1</f>
        <v>2</v>
      </c>
      <c r="B429" s="94"/>
      <c r="C429" s="53" t="s">
        <v>89</v>
      </c>
      <c r="D429" s="53" t="s">
        <v>340</v>
      </c>
      <c r="E429" s="32">
        <f>(68.07)*10.764</f>
        <v>732.70547999999985</v>
      </c>
      <c r="F429" s="32">
        <f>(1*2.63)*10.764</f>
        <v>28.309319999999996</v>
      </c>
      <c r="G429" s="31">
        <v>0</v>
      </c>
      <c r="H429" s="31">
        <f t="shared" ref="H429:H435" si="73">E429+F429+(IF(G429&lt;101,G429,IF(G429&lt;201,G429/2,IF(G429&lt;=301,G429/3,G429/4))))</f>
        <v>761.01479999999981</v>
      </c>
      <c r="I429" s="1"/>
    </row>
    <row r="430" spans="1:9" s="3" customFormat="1" ht="20.25" x14ac:dyDescent="0.25">
      <c r="A430" s="93">
        <f t="shared" ref="A430:A435" si="74">A429+1</f>
        <v>3</v>
      </c>
      <c r="B430" s="94"/>
      <c r="C430" s="53" t="s">
        <v>89</v>
      </c>
      <c r="D430" s="53" t="s">
        <v>345</v>
      </c>
      <c r="E430" s="32">
        <f>(104.03)*10.764</f>
        <v>1119.77892</v>
      </c>
      <c r="F430" s="32">
        <f>(1*2.33)*10.764</f>
        <v>25.080120000000001</v>
      </c>
      <c r="G430" s="31">
        <v>0</v>
      </c>
      <c r="H430" s="31">
        <f t="shared" si="73"/>
        <v>1144.85904</v>
      </c>
      <c r="I430" s="1"/>
    </row>
    <row r="431" spans="1:9" s="3" customFormat="1" ht="20.25" customHeight="1" x14ac:dyDescent="0.25">
      <c r="A431" s="93">
        <f t="shared" si="74"/>
        <v>4</v>
      </c>
      <c r="B431" s="94"/>
      <c r="C431" s="53" t="s">
        <v>89</v>
      </c>
      <c r="D431" s="53" t="s">
        <v>340</v>
      </c>
      <c r="E431" s="32">
        <f>(60.91)*10.764</f>
        <v>655.63523999999995</v>
      </c>
      <c r="F431" s="32">
        <f>(2.33*1.2)*10.764</f>
        <v>30.096143999999995</v>
      </c>
      <c r="G431" s="31">
        <v>0</v>
      </c>
      <c r="H431" s="31">
        <f t="shared" si="73"/>
        <v>685.73138399999993</v>
      </c>
      <c r="I431" s="1"/>
    </row>
    <row r="432" spans="1:9" s="3" customFormat="1" ht="20.25" customHeight="1" x14ac:dyDescent="0.25">
      <c r="A432" s="93">
        <f t="shared" si="74"/>
        <v>5</v>
      </c>
      <c r="B432" s="94"/>
      <c r="C432" s="53" t="s">
        <v>89</v>
      </c>
      <c r="D432" s="53" t="s">
        <v>345</v>
      </c>
      <c r="E432" s="32">
        <f>(91)*10.764</f>
        <v>979.52399999999989</v>
      </c>
      <c r="F432" s="32">
        <f>(2.1*1)*10.764</f>
        <v>22.604399999999998</v>
      </c>
      <c r="G432" s="31">
        <v>0</v>
      </c>
      <c r="H432" s="31">
        <f t="shared" si="73"/>
        <v>1002.1283999999998</v>
      </c>
      <c r="I432" s="1"/>
    </row>
    <row r="433" spans="1:9" s="3" customFormat="1" ht="20.25" customHeight="1" x14ac:dyDescent="0.25">
      <c r="A433" s="93">
        <f t="shared" si="74"/>
        <v>6</v>
      </c>
      <c r="B433" s="94"/>
      <c r="C433" s="53" t="s">
        <v>89</v>
      </c>
      <c r="D433" s="53" t="s">
        <v>340</v>
      </c>
      <c r="E433" s="32">
        <f>(68.06)*10.764</f>
        <v>732.59784000000002</v>
      </c>
      <c r="F433" s="32">
        <f>(1*2.63)*10.764</f>
        <v>28.309319999999996</v>
      </c>
      <c r="G433" s="31">
        <v>0</v>
      </c>
      <c r="H433" s="31">
        <f t="shared" si="73"/>
        <v>760.90715999999998</v>
      </c>
      <c r="I433" s="1"/>
    </row>
    <row r="434" spans="1:9" s="3" customFormat="1" ht="20.25" customHeight="1" x14ac:dyDescent="0.25">
      <c r="A434" s="93">
        <f t="shared" si="74"/>
        <v>7</v>
      </c>
      <c r="B434" s="94"/>
      <c r="C434" s="53" t="s">
        <v>89</v>
      </c>
      <c r="D434" s="53" t="s">
        <v>345</v>
      </c>
      <c r="E434" s="32">
        <f>(103.99)*10.764</f>
        <v>1119.34836</v>
      </c>
      <c r="F434" s="32">
        <f>(1*2.33)*10.764</f>
        <v>25.080120000000001</v>
      </c>
      <c r="G434" s="31">
        <v>0</v>
      </c>
      <c r="H434" s="31">
        <f t="shared" si="73"/>
        <v>1144.42848</v>
      </c>
      <c r="I434" s="1"/>
    </row>
    <row r="435" spans="1:9" s="3" customFormat="1" ht="20.25" customHeight="1" x14ac:dyDescent="0.25">
      <c r="A435" s="93">
        <f t="shared" si="74"/>
        <v>8</v>
      </c>
      <c r="B435" s="94"/>
      <c r="C435" s="53" t="s">
        <v>89</v>
      </c>
      <c r="D435" s="53" t="s">
        <v>340</v>
      </c>
      <c r="E435" s="32">
        <f>(60.58)*10.764</f>
        <v>652.08311999999989</v>
      </c>
      <c r="F435" s="32">
        <f>(2.32*1.2)*10.764</f>
        <v>29.966975999999995</v>
      </c>
      <c r="G435" s="31">
        <v>0</v>
      </c>
      <c r="H435" s="31">
        <f t="shared" si="73"/>
        <v>682.05009599999994</v>
      </c>
      <c r="I435" s="1"/>
    </row>
    <row r="436" spans="1:9" s="3" customFormat="1" ht="20.25" x14ac:dyDescent="0.25">
      <c r="A436" s="89" t="s">
        <v>360</v>
      </c>
      <c r="B436" s="90"/>
      <c r="C436" s="90"/>
      <c r="D436" s="90"/>
      <c r="E436" s="90"/>
      <c r="F436" s="90"/>
      <c r="G436" s="90"/>
      <c r="H436" s="91"/>
      <c r="I436" s="1">
        <v>2</v>
      </c>
    </row>
    <row r="437" spans="1:9" s="3" customFormat="1" ht="20.25" x14ac:dyDescent="0.25">
      <c r="A437" s="92">
        <v>1</v>
      </c>
      <c r="B437" s="92"/>
      <c r="C437" s="53" t="s">
        <v>89</v>
      </c>
      <c r="D437" s="53" t="s">
        <v>345</v>
      </c>
      <c r="E437" s="32">
        <f>(92.65)*10.764</f>
        <v>997.28459999999995</v>
      </c>
      <c r="F437" s="32">
        <f>(1*3.15+1*2.95+0.65*3.28+2.1*1)*10.764</f>
        <v>111.21364799999998</v>
      </c>
      <c r="G437" s="31">
        <v>0</v>
      </c>
      <c r="H437" s="31">
        <f>E437+F437+(IF(G437&lt;101,G437,IF(G437&lt;201,G437/2,IF(G437&lt;=301,G437/3,G437/4))))</f>
        <v>1108.4982479999999</v>
      </c>
      <c r="I437" s="1"/>
    </row>
    <row r="438" spans="1:9" s="3" customFormat="1" ht="20.25" x14ac:dyDescent="0.25">
      <c r="A438" s="93">
        <f>A437+1</f>
        <v>2</v>
      </c>
      <c r="B438" s="94"/>
      <c r="C438" s="53" t="s">
        <v>89</v>
      </c>
      <c r="D438" s="53" t="s">
        <v>340</v>
      </c>
      <c r="E438" s="32">
        <f>(69.46)*10.764</f>
        <v>747.66743999999994</v>
      </c>
      <c r="F438" s="32">
        <f>(1*2.8+1*2.63+1*2.55+0.65*3.05)*10.764</f>
        <v>107.23634999999997</v>
      </c>
      <c r="G438" s="31">
        <v>0</v>
      </c>
      <c r="H438" s="31">
        <f t="shared" ref="H438:H441" si="75">E438+F438+(IF(G438&lt;101,G438,IF(G438&lt;201,G438/2,IF(G438&lt;=301,G438/3,G438/4))))</f>
        <v>854.90378999999996</v>
      </c>
      <c r="I438" s="1"/>
    </row>
    <row r="439" spans="1:9" s="3" customFormat="1" ht="20.25" x14ac:dyDescent="0.25">
      <c r="A439" s="93">
        <f t="shared" ref="A439:A444" si="76">A438+1</f>
        <v>3</v>
      </c>
      <c r="B439" s="94"/>
      <c r="C439" s="53" t="s">
        <v>89</v>
      </c>
      <c r="D439" s="53" t="s">
        <v>345</v>
      </c>
      <c r="E439" s="32">
        <f>(105.59)*10.764</f>
        <v>1136.5707600000001</v>
      </c>
      <c r="F439" s="32">
        <f>(1*3.5+1*2.98+2.33+0.65*2.78)*10.764</f>
        <v>114.28138800000001</v>
      </c>
      <c r="G439" s="31">
        <v>0</v>
      </c>
      <c r="H439" s="31">
        <f t="shared" si="75"/>
        <v>1250.8521480000002</v>
      </c>
      <c r="I439" s="1"/>
    </row>
    <row r="440" spans="1:9" s="3" customFormat="1" ht="20.25" customHeight="1" x14ac:dyDescent="0.25">
      <c r="A440" s="93">
        <f t="shared" si="76"/>
        <v>4</v>
      </c>
      <c r="B440" s="94"/>
      <c r="C440" s="53" t="s">
        <v>89</v>
      </c>
      <c r="D440" s="53" t="s">
        <v>340</v>
      </c>
      <c r="E440" s="32">
        <f>(63.47)*10.764</f>
        <v>683.19107999999994</v>
      </c>
      <c r="F440" s="32">
        <f>(2.33*1.2+2.9*1.1)*10.764</f>
        <v>64.433303999999993</v>
      </c>
      <c r="G440" s="31">
        <v>0</v>
      </c>
      <c r="H440" s="31">
        <f t="shared" si="75"/>
        <v>747.62438399999996</v>
      </c>
      <c r="I440" s="1"/>
    </row>
    <row r="441" spans="1:9" s="3" customFormat="1" ht="20.25" customHeight="1" x14ac:dyDescent="0.25">
      <c r="A441" s="93">
        <f t="shared" si="76"/>
        <v>5</v>
      </c>
      <c r="B441" s="94"/>
      <c r="C441" s="53" t="s">
        <v>89</v>
      </c>
      <c r="D441" s="53" t="s">
        <v>345</v>
      </c>
      <c r="E441" s="32">
        <f>(92.52)*10.764</f>
        <v>995.88527999999985</v>
      </c>
      <c r="F441" s="32">
        <f>(1*3.15+1*2.95+0.65*3.28+2.1*1)*10.764</f>
        <v>111.21364799999998</v>
      </c>
      <c r="G441" s="31">
        <v>0</v>
      </c>
      <c r="H441" s="31">
        <f t="shared" si="75"/>
        <v>1107.0989279999999</v>
      </c>
      <c r="I441" s="1"/>
    </row>
    <row r="442" spans="1:9" s="3" customFormat="1" ht="20.25" customHeight="1" x14ac:dyDescent="0.25">
      <c r="A442" s="93">
        <f t="shared" si="76"/>
        <v>6</v>
      </c>
      <c r="B442" s="94"/>
      <c r="C442" s="98" t="s">
        <v>343</v>
      </c>
      <c r="D442" s="99"/>
      <c r="E442" s="99"/>
      <c r="F442" s="99"/>
      <c r="G442" s="99"/>
      <c r="H442" s="100"/>
      <c r="I442" s="1"/>
    </row>
    <row r="443" spans="1:9" s="3" customFormat="1" ht="20.25" customHeight="1" x14ac:dyDescent="0.25">
      <c r="A443" s="93">
        <f t="shared" si="76"/>
        <v>7</v>
      </c>
      <c r="B443" s="94"/>
      <c r="C443" s="101"/>
      <c r="D443" s="102"/>
      <c r="E443" s="102"/>
      <c r="F443" s="102"/>
      <c r="G443" s="102"/>
      <c r="H443" s="103"/>
      <c r="I443" s="1"/>
    </row>
    <row r="444" spans="1:9" s="3" customFormat="1" ht="20.25" customHeight="1" x14ac:dyDescent="0.25">
      <c r="A444" s="93">
        <f t="shared" si="76"/>
        <v>8</v>
      </c>
      <c r="B444" s="94"/>
      <c r="C444" s="53" t="s">
        <v>89</v>
      </c>
      <c r="D444" s="53" t="s">
        <v>340</v>
      </c>
      <c r="E444" s="32">
        <f>(63.48)*10.764</f>
        <v>683.29871999999989</v>
      </c>
      <c r="F444" s="32">
        <f>(2.9*1.1+2.32*1.2)*10.764</f>
        <v>64.304136</v>
      </c>
      <c r="G444" s="31">
        <v>0</v>
      </c>
      <c r="H444" s="31">
        <f t="shared" ref="H444" si="77">E444+F444+(IF(G444&lt;101,G444,IF(G444&lt;201,G444/2,IF(G444&lt;=301,G444/3,G444/4))))</f>
        <v>747.60285599999986</v>
      </c>
      <c r="I444" s="1"/>
    </row>
    <row r="445" spans="1:9" s="3" customFormat="1" ht="20.25" x14ac:dyDescent="0.25">
      <c r="A445" s="89" t="s">
        <v>361</v>
      </c>
      <c r="B445" s="90"/>
      <c r="C445" s="90"/>
      <c r="D445" s="90"/>
      <c r="E445" s="90"/>
      <c r="F445" s="90"/>
      <c r="G445" s="90"/>
      <c r="H445" s="91"/>
      <c r="I445" s="1">
        <v>3</v>
      </c>
    </row>
    <row r="446" spans="1:9" s="3" customFormat="1" ht="20.25" x14ac:dyDescent="0.25">
      <c r="A446" s="92">
        <v>1</v>
      </c>
      <c r="B446" s="92"/>
      <c r="C446" s="53" t="s">
        <v>89</v>
      </c>
      <c r="D446" s="53" t="s">
        <v>345</v>
      </c>
      <c r="E446" s="32">
        <f>(92.52)*10.764</f>
        <v>995.88527999999985</v>
      </c>
      <c r="F446" s="32">
        <f>(1*3.15+1*2.95+0.65*3.28+2.1*1)*10.764</f>
        <v>111.21364799999998</v>
      </c>
      <c r="G446" s="31">
        <v>0</v>
      </c>
      <c r="H446" s="31">
        <f>E446+F446+(IF(G446&lt;101,G446,IF(G446&lt;201,G446/2,IF(G446&lt;=301,G446/3,G446/4))))</f>
        <v>1107.0989279999999</v>
      </c>
      <c r="I446" s="1"/>
    </row>
    <row r="447" spans="1:9" s="3" customFormat="1" ht="20.25" x14ac:dyDescent="0.25">
      <c r="A447" s="93">
        <f>A446+1</f>
        <v>2</v>
      </c>
      <c r="B447" s="94"/>
      <c r="C447" s="53" t="s">
        <v>89</v>
      </c>
      <c r="D447" s="53" t="s">
        <v>340</v>
      </c>
      <c r="E447" s="32">
        <f>(69.45)*10.764</f>
        <v>747.5598</v>
      </c>
      <c r="F447" s="32">
        <f>(1*2.8+1*2.98+1*2.24+0.65*3.05)*10.764</f>
        <v>107.66690999999999</v>
      </c>
      <c r="G447" s="31">
        <v>0</v>
      </c>
      <c r="H447" s="31">
        <f t="shared" ref="H447:H453" si="78">E447+F447+(IF(G447&lt;101,G447,IF(G447&lt;201,G447/2,IF(G447&lt;=301,G447/3,G447/4))))</f>
        <v>855.22671000000003</v>
      </c>
      <c r="I447" s="1"/>
    </row>
    <row r="448" spans="1:9" s="3" customFormat="1" ht="20.25" x14ac:dyDescent="0.25">
      <c r="A448" s="93">
        <f t="shared" ref="A448:A453" si="79">A447+1</f>
        <v>3</v>
      </c>
      <c r="B448" s="94"/>
      <c r="C448" s="53" t="s">
        <v>89</v>
      </c>
      <c r="D448" s="53" t="s">
        <v>345</v>
      </c>
      <c r="E448" s="32">
        <f>(105.59)*10.764</f>
        <v>1136.5707600000001</v>
      </c>
      <c r="F448" s="32">
        <f>(1*3.5+1*2.37+1*2.98+0.65*2.78)*10.764</f>
        <v>114.71194799999999</v>
      </c>
      <c r="G448" s="31">
        <v>0</v>
      </c>
      <c r="H448" s="31">
        <f t="shared" si="78"/>
        <v>1251.282708</v>
      </c>
      <c r="I448" s="1"/>
    </row>
    <row r="449" spans="1:9" s="3" customFormat="1" ht="20.25" customHeight="1" x14ac:dyDescent="0.25">
      <c r="A449" s="93">
        <f t="shared" si="79"/>
        <v>4</v>
      </c>
      <c r="B449" s="94"/>
      <c r="C449" s="53" t="s">
        <v>89</v>
      </c>
      <c r="D449" s="53" t="s">
        <v>340</v>
      </c>
      <c r="E449" s="32">
        <f>(63.47)*10.764</f>
        <v>683.19107999999994</v>
      </c>
      <c r="F449" s="32">
        <f>(2.9*1.1+2.33*1.2)*10.764</f>
        <v>64.433303999999993</v>
      </c>
      <c r="G449" s="31">
        <v>0</v>
      </c>
      <c r="H449" s="31">
        <f t="shared" si="78"/>
        <v>747.62438399999996</v>
      </c>
      <c r="I449" s="1"/>
    </row>
    <row r="450" spans="1:9" s="3" customFormat="1" ht="20.25" customHeight="1" x14ac:dyDescent="0.25">
      <c r="A450" s="93">
        <f t="shared" si="79"/>
        <v>5</v>
      </c>
      <c r="B450" s="94"/>
      <c r="C450" s="53" t="s">
        <v>89</v>
      </c>
      <c r="D450" s="53" t="s">
        <v>345</v>
      </c>
      <c r="E450" s="32">
        <f>(92.53)*10.764</f>
        <v>995.99291999999991</v>
      </c>
      <c r="F450" s="32">
        <f>(1*3.15+1*3.05+0.65*3.28+2.1*1)*10.764</f>
        <v>112.29004799999998</v>
      </c>
      <c r="G450" s="31">
        <v>0</v>
      </c>
      <c r="H450" s="31">
        <f t="shared" si="78"/>
        <v>1108.282968</v>
      </c>
      <c r="I450" s="1"/>
    </row>
    <row r="451" spans="1:9" s="3" customFormat="1" ht="20.25" customHeight="1" x14ac:dyDescent="0.25">
      <c r="A451" s="93">
        <f t="shared" si="79"/>
        <v>6</v>
      </c>
      <c r="B451" s="94"/>
      <c r="C451" s="53" t="s">
        <v>89</v>
      </c>
      <c r="D451" s="53" t="s">
        <v>340</v>
      </c>
      <c r="E451" s="32">
        <f>(69.58)*10.764</f>
        <v>748.95911999999998</v>
      </c>
      <c r="F451" s="32">
        <f>(1*2.8+1*2.98+1*2.25+0.65*3.05)*10.764</f>
        <v>107.77454999999999</v>
      </c>
      <c r="G451" s="31">
        <v>0</v>
      </c>
      <c r="H451" s="31">
        <f t="shared" si="78"/>
        <v>856.73366999999996</v>
      </c>
      <c r="I451" s="1"/>
    </row>
    <row r="452" spans="1:9" s="3" customFormat="1" ht="20.25" customHeight="1" x14ac:dyDescent="0.25">
      <c r="A452" s="93">
        <f t="shared" si="79"/>
        <v>7</v>
      </c>
      <c r="B452" s="94"/>
      <c r="C452" s="53" t="s">
        <v>89</v>
      </c>
      <c r="D452" s="53" t="s">
        <v>345</v>
      </c>
      <c r="E452" s="32">
        <f>(105.44)*10.764</f>
        <v>1134.95616</v>
      </c>
      <c r="F452" s="32">
        <f>(1*3.5+1*2.37+1*2.98+0.65*2.78+2.32*1.2)*10.764</f>
        <v>144.67892399999997</v>
      </c>
      <c r="G452" s="31">
        <v>0</v>
      </c>
      <c r="H452" s="31">
        <f t="shared" si="78"/>
        <v>1279.635084</v>
      </c>
      <c r="I452" s="1"/>
    </row>
    <row r="453" spans="1:9" s="3" customFormat="1" ht="20.25" customHeight="1" x14ac:dyDescent="0.25">
      <c r="A453" s="93">
        <f t="shared" si="79"/>
        <v>8</v>
      </c>
      <c r="B453" s="94"/>
      <c r="C453" s="53" t="s">
        <v>89</v>
      </c>
      <c r="D453" s="53" t="s">
        <v>340</v>
      </c>
      <c r="E453" s="32">
        <f>(63.47)*10.764</f>
        <v>683.19107999999994</v>
      </c>
      <c r="F453" s="32">
        <f>(2.32*1.2+2.9*1.1)*10.764</f>
        <v>64.304136</v>
      </c>
      <c r="G453" s="31">
        <v>0</v>
      </c>
      <c r="H453" s="31">
        <f t="shared" si="78"/>
        <v>747.49521599999991</v>
      </c>
      <c r="I453" s="1"/>
    </row>
    <row r="454" spans="1:9" s="3" customFormat="1" ht="20.25" x14ac:dyDescent="0.25">
      <c r="A454" s="184" t="s">
        <v>351</v>
      </c>
      <c r="B454" s="185"/>
      <c r="C454" s="185"/>
      <c r="D454" s="185"/>
      <c r="E454" s="185"/>
      <c r="F454" s="185"/>
      <c r="G454" s="185"/>
      <c r="H454" s="186"/>
      <c r="I454" s="1">
        <v>1</v>
      </c>
    </row>
    <row r="455" spans="1:9" s="3" customFormat="1" ht="20.25" x14ac:dyDescent="0.25">
      <c r="A455" s="92">
        <v>1</v>
      </c>
      <c r="B455" s="92"/>
      <c r="C455" s="53" t="s">
        <v>89</v>
      </c>
      <c r="D455" s="53" t="s">
        <v>345</v>
      </c>
      <c r="E455" s="32">
        <f>(91.48)*10.764</f>
        <v>984.69071999999994</v>
      </c>
      <c r="F455" s="32">
        <f>(1*3.15+2.1*1)*10.764</f>
        <v>56.510999999999996</v>
      </c>
      <c r="G455" s="31">
        <v>0</v>
      </c>
      <c r="H455" s="31">
        <f>E455+F455+(IF(G455&lt;101,G455,IF(G455&lt;201,G455/2,IF(G455&lt;=301,G455/3,G455/4))))</f>
        <v>1041.20172</v>
      </c>
      <c r="I455" s="1"/>
    </row>
    <row r="456" spans="1:9" s="3" customFormat="1" ht="20.25" x14ac:dyDescent="0.25">
      <c r="A456" s="93">
        <f>A455+1</f>
        <v>2</v>
      </c>
      <c r="B456" s="94"/>
      <c r="C456" s="53" t="s">
        <v>89</v>
      </c>
      <c r="D456" s="53" t="s">
        <v>340</v>
      </c>
      <c r="E456" s="32">
        <f>(68.58)*10.764</f>
        <v>738.19511999999997</v>
      </c>
      <c r="F456" s="32">
        <f>(1*2.8+1*2.98)*10.764</f>
        <v>62.21591999999999</v>
      </c>
      <c r="G456" s="31">
        <v>0</v>
      </c>
      <c r="H456" s="31">
        <f t="shared" ref="H456:H462" si="80">E456+F456+(IF(G456&lt;101,G456,IF(G456&lt;201,G456/2,IF(G456&lt;=301,G456/3,G456/4))))</f>
        <v>800.41103999999996</v>
      </c>
      <c r="I456" s="1"/>
    </row>
    <row r="457" spans="1:9" s="3" customFormat="1" ht="20.25" x14ac:dyDescent="0.25">
      <c r="A457" s="93">
        <f t="shared" ref="A457:A462" si="81">A456+1</f>
        <v>3</v>
      </c>
      <c r="B457" s="94"/>
      <c r="C457" s="53" t="s">
        <v>89</v>
      </c>
      <c r="D457" s="53" t="s">
        <v>345</v>
      </c>
      <c r="E457" s="32">
        <f>(104.54)*10.764</f>
        <v>1125.26856</v>
      </c>
      <c r="F457" s="32">
        <f>(1*3.5+1*2.37)*10.764</f>
        <v>63.18468</v>
      </c>
      <c r="G457" s="31">
        <v>0</v>
      </c>
      <c r="H457" s="31">
        <f t="shared" si="80"/>
        <v>1188.4532400000001</v>
      </c>
      <c r="I457" s="1"/>
    </row>
    <row r="458" spans="1:9" s="3" customFormat="1" ht="20.25" customHeight="1" x14ac:dyDescent="0.25">
      <c r="A458" s="93">
        <f t="shared" si="81"/>
        <v>4</v>
      </c>
      <c r="B458" s="94"/>
      <c r="C458" s="53" t="s">
        <v>89</v>
      </c>
      <c r="D458" s="53" t="s">
        <v>340</v>
      </c>
      <c r="E458" s="32">
        <f>(63.47)*10.764</f>
        <v>683.19107999999994</v>
      </c>
      <c r="F458" s="32">
        <f>(2.33*1.2+2.9*1.1)*10.764</f>
        <v>64.433303999999993</v>
      </c>
      <c r="G458" s="31">
        <v>0</v>
      </c>
      <c r="H458" s="31">
        <f t="shared" si="80"/>
        <v>747.62438399999996</v>
      </c>
      <c r="I458" s="1"/>
    </row>
    <row r="459" spans="1:9" s="3" customFormat="1" ht="20.25" customHeight="1" x14ac:dyDescent="0.25">
      <c r="A459" s="93">
        <f t="shared" si="81"/>
        <v>5</v>
      </c>
      <c r="B459" s="94"/>
      <c r="C459" s="53" t="s">
        <v>89</v>
      </c>
      <c r="D459" s="53" t="s">
        <v>345</v>
      </c>
      <c r="E459" s="32">
        <f>(91.47)*10.764</f>
        <v>984.58307999999988</v>
      </c>
      <c r="F459" s="32">
        <f>(1*3.15)*10.764</f>
        <v>33.906599999999997</v>
      </c>
      <c r="G459" s="31">
        <v>0</v>
      </c>
      <c r="H459" s="31">
        <f t="shared" si="80"/>
        <v>1018.4896799999999</v>
      </c>
      <c r="I459" s="1"/>
    </row>
    <row r="460" spans="1:9" s="3" customFormat="1" ht="20.25" customHeight="1" x14ac:dyDescent="0.25">
      <c r="A460" s="93">
        <f t="shared" si="81"/>
        <v>6</v>
      </c>
      <c r="B460" s="94"/>
      <c r="C460" s="53" t="s">
        <v>89</v>
      </c>
      <c r="D460" s="53" t="s">
        <v>340</v>
      </c>
      <c r="E460" s="32">
        <f>(68.57)*10.764</f>
        <v>738.08747999999991</v>
      </c>
      <c r="F460" s="32">
        <f>(1*2.8+1*2.98)*10.764</f>
        <v>62.21591999999999</v>
      </c>
      <c r="G460" s="31">
        <v>0</v>
      </c>
      <c r="H460" s="31">
        <f t="shared" si="80"/>
        <v>800.3033999999999</v>
      </c>
      <c r="I460" s="1"/>
    </row>
    <row r="461" spans="1:9" s="3" customFormat="1" ht="20.25" customHeight="1" x14ac:dyDescent="0.25">
      <c r="A461" s="93">
        <f t="shared" si="81"/>
        <v>7</v>
      </c>
      <c r="B461" s="94"/>
      <c r="C461" s="53" t="s">
        <v>89</v>
      </c>
      <c r="D461" s="53" t="s">
        <v>345</v>
      </c>
      <c r="E461" s="32">
        <f>(104.39)*10.764</f>
        <v>1123.6539599999999</v>
      </c>
      <c r="F461" s="32">
        <f>(1*3.5+1*2.37)*10.764</f>
        <v>63.18468</v>
      </c>
      <c r="G461" s="31">
        <v>0</v>
      </c>
      <c r="H461" s="31">
        <f t="shared" si="80"/>
        <v>1186.8386399999999</v>
      </c>
      <c r="I461" s="1"/>
    </row>
    <row r="462" spans="1:9" s="3" customFormat="1" ht="20.25" customHeight="1" x14ac:dyDescent="0.25">
      <c r="A462" s="93">
        <f t="shared" si="81"/>
        <v>8</v>
      </c>
      <c r="B462" s="94"/>
      <c r="C462" s="53" t="s">
        <v>89</v>
      </c>
      <c r="D462" s="53" t="s">
        <v>340</v>
      </c>
      <c r="E462" s="32">
        <f>(63.47)*10.764</f>
        <v>683.19107999999994</v>
      </c>
      <c r="F462" s="32">
        <f>(2.32*1.2+2.9*1.1)*10.764</f>
        <v>64.304136</v>
      </c>
      <c r="G462" s="31">
        <v>0</v>
      </c>
      <c r="H462" s="31">
        <f t="shared" si="80"/>
        <v>747.49521599999991</v>
      </c>
      <c r="I462" s="1"/>
    </row>
    <row r="463" spans="1:9" s="3" customFormat="1" ht="20.25" x14ac:dyDescent="0.25">
      <c r="A463" s="89" t="s">
        <v>352</v>
      </c>
      <c r="B463" s="90"/>
      <c r="C463" s="90"/>
      <c r="D463" s="90"/>
      <c r="E463" s="90"/>
      <c r="F463" s="90"/>
      <c r="G463" s="90"/>
      <c r="H463" s="91"/>
      <c r="I463" s="1">
        <f>4+5</f>
        <v>9</v>
      </c>
    </row>
    <row r="464" spans="1:9" s="3" customFormat="1" ht="20.25" x14ac:dyDescent="0.25">
      <c r="A464" s="92">
        <v>1</v>
      </c>
      <c r="B464" s="92"/>
      <c r="C464" s="53" t="s">
        <v>89</v>
      </c>
      <c r="D464" s="53" t="s">
        <v>345</v>
      </c>
      <c r="E464" s="32">
        <f>(91.48)*10.764</f>
        <v>984.69071999999994</v>
      </c>
      <c r="F464" s="32">
        <f>(1*3.15+2.1*1)*10.764</f>
        <v>56.510999999999996</v>
      </c>
      <c r="G464" s="31">
        <v>0</v>
      </c>
      <c r="H464" s="31">
        <f>E464+F464+(IF(G464&lt;101,G464,IF(G464&lt;201,G464/2,IF(G464&lt;=301,G464/3,G464/4))))</f>
        <v>1041.20172</v>
      </c>
      <c r="I464" s="1"/>
    </row>
    <row r="465" spans="1:9" s="3" customFormat="1" ht="20.25" x14ac:dyDescent="0.25">
      <c r="A465" s="93">
        <f>A464+1</f>
        <v>2</v>
      </c>
      <c r="B465" s="94"/>
      <c r="C465" s="53" t="s">
        <v>89</v>
      </c>
      <c r="D465" s="53" t="s">
        <v>340</v>
      </c>
      <c r="E465" s="32">
        <f>(68.58)*10.764</f>
        <v>738.19511999999997</v>
      </c>
      <c r="F465" s="32">
        <f>(1*2.8+1*2.98)*10.764</f>
        <v>62.21591999999999</v>
      </c>
      <c r="G465" s="31">
        <v>0</v>
      </c>
      <c r="H465" s="31">
        <f t="shared" ref="H465:H471" si="82">E465+F465+(IF(G465&lt;101,G465,IF(G465&lt;201,G465/2,IF(G465&lt;=301,G465/3,G465/4))))</f>
        <v>800.41103999999996</v>
      </c>
      <c r="I465" s="1"/>
    </row>
    <row r="466" spans="1:9" s="3" customFormat="1" ht="20.25" x14ac:dyDescent="0.25">
      <c r="A466" s="93">
        <f t="shared" ref="A466:A471" si="83">A465+1</f>
        <v>3</v>
      </c>
      <c r="B466" s="94"/>
      <c r="C466" s="53" t="s">
        <v>89</v>
      </c>
      <c r="D466" s="53" t="s">
        <v>345</v>
      </c>
      <c r="E466" s="32">
        <f>(104.54)*10.764</f>
        <v>1125.26856</v>
      </c>
      <c r="F466" s="32">
        <f>(1*3.5+1*2.37)*10.764</f>
        <v>63.18468</v>
      </c>
      <c r="G466" s="31">
        <v>0</v>
      </c>
      <c r="H466" s="31">
        <f t="shared" si="82"/>
        <v>1188.4532400000001</v>
      </c>
      <c r="I466" s="1"/>
    </row>
    <row r="467" spans="1:9" s="3" customFormat="1" ht="20.25" customHeight="1" x14ac:dyDescent="0.25">
      <c r="A467" s="93">
        <f t="shared" si="83"/>
        <v>4</v>
      </c>
      <c r="B467" s="94"/>
      <c r="C467" s="53" t="s">
        <v>89</v>
      </c>
      <c r="D467" s="53" t="s">
        <v>340</v>
      </c>
      <c r="E467" s="32">
        <f>(63.47)*10.764</f>
        <v>683.19107999999994</v>
      </c>
      <c r="F467" s="32">
        <f>(2.33*1.2+2.9*1.1)*10.764</f>
        <v>64.433303999999993</v>
      </c>
      <c r="G467" s="31">
        <v>0</v>
      </c>
      <c r="H467" s="31">
        <f t="shared" si="82"/>
        <v>747.62438399999996</v>
      </c>
      <c r="I467" s="1"/>
    </row>
    <row r="468" spans="1:9" s="3" customFormat="1" ht="20.25" customHeight="1" x14ac:dyDescent="0.25">
      <c r="A468" s="93">
        <f t="shared" si="83"/>
        <v>5</v>
      </c>
      <c r="B468" s="94"/>
      <c r="C468" s="53" t="s">
        <v>89</v>
      </c>
      <c r="D468" s="53" t="s">
        <v>345</v>
      </c>
      <c r="E468" s="32">
        <f>(91.47)*10.764</f>
        <v>984.58307999999988</v>
      </c>
      <c r="F468" s="32">
        <f>(1*3.15)*10.764</f>
        <v>33.906599999999997</v>
      </c>
      <c r="G468" s="31">
        <v>0</v>
      </c>
      <c r="H468" s="31">
        <f t="shared" si="82"/>
        <v>1018.4896799999999</v>
      </c>
      <c r="I468" s="1"/>
    </row>
    <row r="469" spans="1:9" s="3" customFormat="1" ht="20.25" customHeight="1" x14ac:dyDescent="0.25">
      <c r="A469" s="93">
        <f t="shared" si="83"/>
        <v>6</v>
      </c>
      <c r="B469" s="94"/>
      <c r="C469" s="53" t="s">
        <v>89</v>
      </c>
      <c r="D469" s="53" t="s">
        <v>340</v>
      </c>
      <c r="E469" s="32">
        <f>(68.57)*10.764</f>
        <v>738.08747999999991</v>
      </c>
      <c r="F469" s="32">
        <f>(1*2.8+1*2.98)*10.764</f>
        <v>62.21591999999999</v>
      </c>
      <c r="G469" s="31">
        <v>0</v>
      </c>
      <c r="H469" s="31">
        <f t="shared" si="82"/>
        <v>800.3033999999999</v>
      </c>
      <c r="I469" s="1"/>
    </row>
    <row r="470" spans="1:9" s="3" customFormat="1" ht="20.25" customHeight="1" x14ac:dyDescent="0.25">
      <c r="A470" s="93">
        <f t="shared" si="83"/>
        <v>7</v>
      </c>
      <c r="B470" s="94"/>
      <c r="C470" s="53" t="s">
        <v>89</v>
      </c>
      <c r="D470" s="53" t="s">
        <v>345</v>
      </c>
      <c r="E470" s="32">
        <f>(104.39)*10.764</f>
        <v>1123.6539599999999</v>
      </c>
      <c r="F470" s="32">
        <f>(1*3.5+1*2.37)*10.764</f>
        <v>63.18468</v>
      </c>
      <c r="G470" s="31">
        <v>0</v>
      </c>
      <c r="H470" s="31">
        <f t="shared" si="82"/>
        <v>1186.8386399999999</v>
      </c>
      <c r="I470" s="1"/>
    </row>
    <row r="471" spans="1:9" s="3" customFormat="1" ht="20.25" customHeight="1" x14ac:dyDescent="0.25">
      <c r="A471" s="93">
        <f t="shared" si="83"/>
        <v>8</v>
      </c>
      <c r="B471" s="94"/>
      <c r="C471" s="53" t="s">
        <v>89</v>
      </c>
      <c r="D471" s="53" t="s">
        <v>340</v>
      </c>
      <c r="E471" s="32">
        <f>(63.47)*10.764</f>
        <v>683.19107999999994</v>
      </c>
      <c r="F471" s="32">
        <f>(2.32*1.2+2.9*1.1)*10.764</f>
        <v>64.304136</v>
      </c>
      <c r="G471" s="31">
        <v>0</v>
      </c>
      <c r="H471" s="31">
        <f t="shared" si="82"/>
        <v>747.49521599999991</v>
      </c>
      <c r="I471" s="1"/>
    </row>
    <row r="472" spans="1:9" s="3" customFormat="1" ht="20.25" x14ac:dyDescent="0.25">
      <c r="A472" s="89" t="s">
        <v>362</v>
      </c>
      <c r="B472" s="90"/>
      <c r="C472" s="90"/>
      <c r="D472" s="90"/>
      <c r="E472" s="90"/>
      <c r="F472" s="90"/>
      <c r="G472" s="90"/>
      <c r="H472" s="91"/>
      <c r="I472" s="1">
        <v>1</v>
      </c>
    </row>
    <row r="473" spans="1:9" s="3" customFormat="1" ht="20.25" x14ac:dyDescent="0.25">
      <c r="A473" s="92">
        <v>1</v>
      </c>
      <c r="B473" s="92"/>
      <c r="C473" s="53" t="s">
        <v>89</v>
      </c>
      <c r="D473" s="53" t="s">
        <v>345</v>
      </c>
      <c r="E473" s="32">
        <f>(92.65)*10.764</f>
        <v>997.28459999999995</v>
      </c>
      <c r="F473" s="32">
        <f>(1*3.15+1*2.95+0.65*3.28+2.1*1)*10.764</f>
        <v>111.21364799999998</v>
      </c>
      <c r="G473" s="31">
        <v>0</v>
      </c>
      <c r="H473" s="31">
        <f>E473+F473+(IF(G473&lt;101,G473,IF(G473&lt;201,G473/2,IF(G473&lt;=301,G473/3,G473/4))))</f>
        <v>1108.4982479999999</v>
      </c>
      <c r="I473" s="1"/>
    </row>
    <row r="474" spans="1:9" s="3" customFormat="1" ht="20.25" x14ac:dyDescent="0.25">
      <c r="A474" s="93">
        <f>A473+1</f>
        <v>2</v>
      </c>
      <c r="B474" s="94"/>
      <c r="C474" s="53" t="s">
        <v>89</v>
      </c>
      <c r="D474" s="53" t="s">
        <v>340</v>
      </c>
      <c r="E474" s="32">
        <f>(69.46)*10.764</f>
        <v>747.66743999999994</v>
      </c>
      <c r="F474" s="32">
        <f>(1*2.8+1*2.63+1*2.55+0.65*3.05)*10.764</f>
        <v>107.23634999999997</v>
      </c>
      <c r="G474" s="31">
        <v>0</v>
      </c>
      <c r="H474" s="31">
        <f t="shared" ref="H474:H480" si="84">E474+F474+(IF(G474&lt;101,G474,IF(G474&lt;201,G474/2,IF(G474&lt;=301,G474/3,G474/4))))</f>
        <v>854.90378999999996</v>
      </c>
      <c r="I474" s="1"/>
    </row>
    <row r="475" spans="1:9" s="3" customFormat="1" ht="20.25" x14ac:dyDescent="0.25">
      <c r="A475" s="93">
        <f t="shared" ref="A475:A480" si="85">A474+1</f>
        <v>3</v>
      </c>
      <c r="B475" s="94"/>
      <c r="C475" s="53" t="s">
        <v>89</v>
      </c>
      <c r="D475" s="53" t="s">
        <v>345</v>
      </c>
      <c r="E475" s="32">
        <f>(105.59)*10.764</f>
        <v>1136.5707600000001</v>
      </c>
      <c r="F475" s="32">
        <f>(1*3.5+1*2.98+2.33+0.65*2.78)*10.764</f>
        <v>114.28138800000001</v>
      </c>
      <c r="G475" s="31">
        <v>0</v>
      </c>
      <c r="H475" s="31">
        <f t="shared" si="84"/>
        <v>1250.8521480000002</v>
      </c>
      <c r="I475" s="1"/>
    </row>
    <row r="476" spans="1:9" s="3" customFormat="1" ht="20.25" customHeight="1" x14ac:dyDescent="0.25">
      <c r="A476" s="93">
        <f t="shared" si="85"/>
        <v>4</v>
      </c>
      <c r="B476" s="94"/>
      <c r="C476" s="53" t="s">
        <v>89</v>
      </c>
      <c r="D476" s="53" t="s">
        <v>340</v>
      </c>
      <c r="E476" s="32">
        <f>(63.47)*10.764</f>
        <v>683.19107999999994</v>
      </c>
      <c r="F476" s="32">
        <f>(2.33*1.2+2.9*1.1)*10.764</f>
        <v>64.433303999999993</v>
      </c>
      <c r="G476" s="31">
        <v>0</v>
      </c>
      <c r="H476" s="31">
        <f t="shared" si="84"/>
        <v>747.62438399999996</v>
      </c>
      <c r="I476" s="1"/>
    </row>
    <row r="477" spans="1:9" s="3" customFormat="1" ht="20.25" customHeight="1" x14ac:dyDescent="0.25">
      <c r="A477" s="93">
        <f t="shared" si="85"/>
        <v>5</v>
      </c>
      <c r="B477" s="94"/>
      <c r="C477" s="53" t="s">
        <v>89</v>
      </c>
      <c r="D477" s="53" t="s">
        <v>345</v>
      </c>
      <c r="E477" s="32">
        <f>(92.52)*10.764</f>
        <v>995.88527999999985</v>
      </c>
      <c r="F477" s="32">
        <f>(1*3.15+1*2.95+0.65*3.28+2.1*1)*10.764</f>
        <v>111.21364799999998</v>
      </c>
      <c r="G477" s="31">
        <v>0</v>
      </c>
      <c r="H477" s="31">
        <f t="shared" si="84"/>
        <v>1107.0989279999999</v>
      </c>
      <c r="I477" s="1"/>
    </row>
    <row r="478" spans="1:9" s="3" customFormat="1" ht="20.25" customHeight="1" x14ac:dyDescent="0.25">
      <c r="A478" s="93">
        <f t="shared" si="85"/>
        <v>6</v>
      </c>
      <c r="B478" s="94"/>
      <c r="C478" s="98" t="s">
        <v>343</v>
      </c>
      <c r="D478" s="99"/>
      <c r="E478" s="99"/>
      <c r="F478" s="99"/>
      <c r="G478" s="99"/>
      <c r="H478" s="100"/>
      <c r="I478" s="1"/>
    </row>
    <row r="479" spans="1:9" s="3" customFormat="1" ht="20.25" customHeight="1" x14ac:dyDescent="0.25">
      <c r="A479" s="93">
        <f t="shared" si="85"/>
        <v>7</v>
      </c>
      <c r="B479" s="94"/>
      <c r="C479" s="101"/>
      <c r="D479" s="102"/>
      <c r="E479" s="102"/>
      <c r="F479" s="102"/>
      <c r="G479" s="102"/>
      <c r="H479" s="103"/>
      <c r="I479" s="1"/>
    </row>
    <row r="480" spans="1:9" s="3" customFormat="1" ht="20.25" customHeight="1" x14ac:dyDescent="0.25">
      <c r="A480" s="93">
        <f t="shared" si="85"/>
        <v>8</v>
      </c>
      <c r="B480" s="94"/>
      <c r="C480" s="53" t="s">
        <v>89</v>
      </c>
      <c r="D480" s="53" t="s">
        <v>345</v>
      </c>
      <c r="E480" s="32">
        <f>(63.48)*10.764</f>
        <v>683.29871999999989</v>
      </c>
      <c r="F480" s="32">
        <f>(2.32*1.2+2.9*1.1)*10.764</f>
        <v>64.304136</v>
      </c>
      <c r="G480" s="31">
        <v>0</v>
      </c>
      <c r="H480" s="31">
        <f t="shared" si="84"/>
        <v>747.60285599999986</v>
      </c>
      <c r="I480" s="1"/>
    </row>
    <row r="481" spans="1:9" s="3" customFormat="1" ht="20.25" x14ac:dyDescent="0.25">
      <c r="A481" s="89" t="s">
        <v>364</v>
      </c>
      <c r="B481" s="90"/>
      <c r="C481" s="90"/>
      <c r="D481" s="90"/>
      <c r="E481" s="90"/>
      <c r="F481" s="90"/>
      <c r="G481" s="90"/>
      <c r="H481" s="91"/>
      <c r="I481" s="1">
        <f>4</f>
        <v>4</v>
      </c>
    </row>
    <row r="482" spans="1:9" s="3" customFormat="1" ht="20.25" x14ac:dyDescent="0.25">
      <c r="A482" s="92">
        <v>1</v>
      </c>
      <c r="B482" s="92"/>
      <c r="C482" s="53" t="s">
        <v>89</v>
      </c>
      <c r="D482" s="53" t="s">
        <v>345</v>
      </c>
      <c r="E482" s="32">
        <f>(92.54)*10.764</f>
        <v>996.10055999999997</v>
      </c>
      <c r="F482" s="32">
        <f>(1*3.15+0.65*3.28+2.1*1)*10.764</f>
        <v>79.459847999999994</v>
      </c>
      <c r="G482" s="31">
        <v>0</v>
      </c>
      <c r="H482" s="31">
        <f>E482+F482+(IF(G482&lt;101,G482,IF(G482&lt;201,G482/2,IF(G482&lt;=301,G482/3,G482/4))))</f>
        <v>1075.5604080000001</v>
      </c>
      <c r="I482" s="1"/>
    </row>
    <row r="483" spans="1:9" s="3" customFormat="1" ht="20.25" x14ac:dyDescent="0.25">
      <c r="A483" s="93">
        <f>A482+1</f>
        <v>2</v>
      </c>
      <c r="B483" s="94"/>
      <c r="C483" s="53" t="s">
        <v>89</v>
      </c>
      <c r="D483" s="53" t="s">
        <v>340</v>
      </c>
      <c r="E483" s="32">
        <f>(69.05)*10.764</f>
        <v>743.25419999999997</v>
      </c>
      <c r="F483" s="32">
        <f>(1*2.8+1*2.63+0.65*3.05)*10.764</f>
        <v>79.788149999999987</v>
      </c>
      <c r="G483" s="31">
        <v>0</v>
      </c>
      <c r="H483" s="31">
        <f t="shared" ref="H483:H489" si="86">E483+F483+(IF(G483&lt;101,G483,IF(G483&lt;201,G483/2,IF(G483&lt;=301,G483/3,G483/4))))</f>
        <v>823.04234999999994</v>
      </c>
      <c r="I483" s="1"/>
    </row>
    <row r="484" spans="1:9" s="3" customFormat="1" ht="20.25" x14ac:dyDescent="0.25">
      <c r="A484" s="93">
        <f t="shared" ref="A484:A489" si="87">A483+1</f>
        <v>3</v>
      </c>
      <c r="B484" s="94"/>
      <c r="C484" s="53" t="s">
        <v>89</v>
      </c>
      <c r="D484" s="53" t="s">
        <v>345</v>
      </c>
      <c r="E484" s="32">
        <f>(105.1)*10.764</f>
        <v>1131.2963999999999</v>
      </c>
      <c r="F484" s="32">
        <f>(1*3.5+1*2.33+0.65*2.78)*10.764</f>
        <v>82.204667999999998</v>
      </c>
      <c r="G484" s="31">
        <v>0</v>
      </c>
      <c r="H484" s="31">
        <f t="shared" si="86"/>
        <v>1213.501068</v>
      </c>
      <c r="I484" s="1"/>
    </row>
    <row r="485" spans="1:9" s="3" customFormat="1" ht="20.25" customHeight="1" x14ac:dyDescent="0.25">
      <c r="A485" s="93">
        <f t="shared" si="87"/>
        <v>4</v>
      </c>
      <c r="B485" s="94"/>
      <c r="C485" s="53" t="s">
        <v>89</v>
      </c>
      <c r="D485" s="53" t="s">
        <v>340</v>
      </c>
      <c r="E485" s="32">
        <f>(63.47)*10.764</f>
        <v>683.19107999999994</v>
      </c>
      <c r="F485" s="32">
        <f>(2.33*1.2+2.9*1.1)*10.764</f>
        <v>64.433303999999993</v>
      </c>
      <c r="G485" s="31">
        <v>0</v>
      </c>
      <c r="H485" s="31">
        <f t="shared" si="86"/>
        <v>747.62438399999996</v>
      </c>
      <c r="I485" s="1"/>
    </row>
    <row r="486" spans="1:9" s="3" customFormat="1" ht="20.25" customHeight="1" x14ac:dyDescent="0.25">
      <c r="A486" s="93">
        <f t="shared" si="87"/>
        <v>5</v>
      </c>
      <c r="B486" s="94"/>
      <c r="C486" s="53" t="s">
        <v>89</v>
      </c>
      <c r="D486" s="53" t="s">
        <v>345</v>
      </c>
      <c r="E486" s="32">
        <f>(91.92)*10.764</f>
        <v>989.42687999999998</v>
      </c>
      <c r="F486" s="32">
        <f>(1*3.15+0.65*3.28+2.1*1)*10.764</f>
        <v>79.459847999999994</v>
      </c>
      <c r="G486" s="31">
        <v>0</v>
      </c>
      <c r="H486" s="31">
        <f t="shared" si="86"/>
        <v>1068.8867279999999</v>
      </c>
      <c r="I486" s="1"/>
    </row>
    <row r="487" spans="1:9" s="3" customFormat="1" ht="20.25" customHeight="1" x14ac:dyDescent="0.25">
      <c r="A487" s="93">
        <f t="shared" si="87"/>
        <v>6</v>
      </c>
      <c r="B487" s="94"/>
      <c r="C487" s="53" t="s">
        <v>89</v>
      </c>
      <c r="D487" s="53" t="s">
        <v>340</v>
      </c>
      <c r="E487" s="32">
        <f>(69.05)*10.764</f>
        <v>743.25419999999997</v>
      </c>
      <c r="F487" s="32">
        <f>(1*2.8+1*2.63+0.65*3.05)*10.764</f>
        <v>79.788149999999987</v>
      </c>
      <c r="G487" s="31">
        <v>0</v>
      </c>
      <c r="H487" s="31">
        <f t="shared" si="86"/>
        <v>823.04234999999994</v>
      </c>
      <c r="I487" s="1"/>
    </row>
    <row r="488" spans="1:9" s="3" customFormat="1" ht="20.25" customHeight="1" x14ac:dyDescent="0.25">
      <c r="A488" s="93">
        <f t="shared" si="87"/>
        <v>7</v>
      </c>
      <c r="B488" s="94"/>
      <c r="C488" s="53" t="s">
        <v>89</v>
      </c>
      <c r="D488" s="53" t="s">
        <v>345</v>
      </c>
      <c r="E488" s="32">
        <f>(104.75)*10.764</f>
        <v>1127.529</v>
      </c>
      <c r="F488" s="32">
        <f>(1*3.5+1*2.33+0.65*2.78)*10.764</f>
        <v>82.204667999999998</v>
      </c>
      <c r="G488" s="31">
        <v>0</v>
      </c>
      <c r="H488" s="31">
        <f t="shared" si="86"/>
        <v>1209.7336680000001</v>
      </c>
      <c r="I488" s="1"/>
    </row>
    <row r="489" spans="1:9" s="3" customFormat="1" ht="20.25" customHeight="1" x14ac:dyDescent="0.25">
      <c r="A489" s="93">
        <f t="shared" si="87"/>
        <v>8</v>
      </c>
      <c r="B489" s="94"/>
      <c r="C489" s="53" t="s">
        <v>89</v>
      </c>
      <c r="D489" s="53" t="s">
        <v>340</v>
      </c>
      <c r="E489" s="32">
        <f>(63.15)*10.764</f>
        <v>679.74659999999994</v>
      </c>
      <c r="F489" s="32">
        <f>(2.33*1.2+2.9*1.1)*10.764</f>
        <v>64.433303999999993</v>
      </c>
      <c r="G489" s="31">
        <v>0</v>
      </c>
      <c r="H489" s="31">
        <f t="shared" si="86"/>
        <v>744.17990399999996</v>
      </c>
      <c r="I489" s="1"/>
    </row>
    <row r="490" spans="1:9" s="3" customFormat="1" ht="20.25" hidden="1" x14ac:dyDescent="0.25">
      <c r="A490" s="89" t="s">
        <v>354</v>
      </c>
      <c r="B490" s="90"/>
      <c r="C490" s="90"/>
      <c r="D490" s="90"/>
      <c r="E490" s="90"/>
      <c r="F490" s="90"/>
      <c r="G490" s="90"/>
      <c r="H490" s="91"/>
      <c r="I490" s="1"/>
    </row>
    <row r="491" spans="1:9" s="3" customFormat="1" ht="20.25" hidden="1" x14ac:dyDescent="0.25">
      <c r="A491" s="92">
        <v>1</v>
      </c>
      <c r="B491" s="92"/>
      <c r="C491" s="53" t="s">
        <v>89</v>
      </c>
      <c r="D491" s="53"/>
      <c r="E491" s="32"/>
      <c r="F491" s="31"/>
      <c r="G491" s="31">
        <v>0</v>
      </c>
      <c r="H491" s="31">
        <f>E491+F491+(IF(G491&lt;101,G491,IF(G491&lt;201,G491/2,IF(G491&lt;=301,G491/3,G491/4))))</f>
        <v>0</v>
      </c>
      <c r="I491" s="1"/>
    </row>
    <row r="492" spans="1:9" s="3" customFormat="1" ht="20.25" hidden="1" x14ac:dyDescent="0.25">
      <c r="A492" s="93">
        <f>A491+1</f>
        <v>2</v>
      </c>
      <c r="B492" s="94"/>
      <c r="C492" s="53" t="s">
        <v>89</v>
      </c>
      <c r="D492" s="53"/>
      <c r="E492" s="32"/>
      <c r="F492" s="31"/>
      <c r="G492" s="31">
        <v>0</v>
      </c>
      <c r="H492" s="31">
        <f t="shared" ref="H492:H496" si="88">E492+F492+(IF(G492&lt;101,G492,IF(G492&lt;201,G492/2,IF(G492&lt;=301,G492/3,G492/4))))</f>
        <v>0</v>
      </c>
      <c r="I492" s="1"/>
    </row>
    <row r="493" spans="1:9" s="3" customFormat="1" ht="20.25" hidden="1" x14ac:dyDescent="0.25">
      <c r="A493" s="93">
        <f t="shared" ref="A493:A496" si="89">A492+1</f>
        <v>3</v>
      </c>
      <c r="B493" s="94"/>
      <c r="C493" s="53" t="s">
        <v>89</v>
      </c>
      <c r="D493" s="53"/>
      <c r="E493" s="32"/>
      <c r="F493" s="31"/>
      <c r="G493" s="31">
        <v>0</v>
      </c>
      <c r="H493" s="31">
        <f t="shared" si="88"/>
        <v>0</v>
      </c>
      <c r="I493" s="1"/>
    </row>
    <row r="494" spans="1:9" s="3" customFormat="1" ht="20.25" hidden="1" customHeight="1" x14ac:dyDescent="0.25">
      <c r="A494" s="93">
        <f t="shared" si="89"/>
        <v>4</v>
      </c>
      <c r="B494" s="94"/>
      <c r="C494" s="53" t="s">
        <v>89</v>
      </c>
      <c r="D494" s="53"/>
      <c r="E494" s="32"/>
      <c r="F494" s="31"/>
      <c r="G494" s="31">
        <v>0</v>
      </c>
      <c r="H494" s="31">
        <f t="shared" si="88"/>
        <v>0</v>
      </c>
      <c r="I494" s="1"/>
    </row>
    <row r="495" spans="1:9" s="3" customFormat="1" ht="20.25" hidden="1" customHeight="1" x14ac:dyDescent="0.25">
      <c r="A495" s="93">
        <f t="shared" si="89"/>
        <v>5</v>
      </c>
      <c r="B495" s="94"/>
      <c r="C495" s="53" t="s">
        <v>89</v>
      </c>
      <c r="D495" s="53"/>
      <c r="E495" s="32"/>
      <c r="F495" s="31"/>
      <c r="G495" s="31">
        <v>0</v>
      </c>
      <c r="H495" s="31">
        <f t="shared" si="88"/>
        <v>0</v>
      </c>
      <c r="I495" s="1"/>
    </row>
    <row r="496" spans="1:9" s="3" customFormat="1" ht="20.25" hidden="1" customHeight="1" x14ac:dyDescent="0.25">
      <c r="A496" s="93">
        <f t="shared" si="89"/>
        <v>6</v>
      </c>
      <c r="B496" s="94"/>
      <c r="C496" s="53" t="s">
        <v>89</v>
      </c>
      <c r="D496" s="53"/>
      <c r="E496" s="32"/>
      <c r="F496" s="31"/>
      <c r="G496" s="31">
        <v>0</v>
      </c>
      <c r="H496" s="31">
        <f t="shared" si="88"/>
        <v>0</v>
      </c>
      <c r="I496" s="1"/>
    </row>
    <row r="497" spans="1:9" s="3" customFormat="1" ht="20.25" hidden="1" x14ac:dyDescent="0.25">
      <c r="A497" s="89" t="s">
        <v>354</v>
      </c>
      <c r="B497" s="90"/>
      <c r="C497" s="90"/>
      <c r="D497" s="90"/>
      <c r="E497" s="90"/>
      <c r="F497" s="90"/>
      <c r="G497" s="90"/>
      <c r="H497" s="91"/>
      <c r="I497" s="1"/>
    </row>
    <row r="498" spans="1:9" s="3" customFormat="1" ht="20.25" hidden="1" x14ac:dyDescent="0.25">
      <c r="A498" s="92">
        <v>1</v>
      </c>
      <c r="B498" s="92"/>
      <c r="C498" s="53" t="s">
        <v>89</v>
      </c>
      <c r="D498" s="53"/>
      <c r="E498" s="32"/>
      <c r="F498" s="31"/>
      <c r="G498" s="31">
        <v>0</v>
      </c>
      <c r="H498" s="31">
        <f>E498+F498+(IF(G498&lt;101,G498,IF(G498&lt;201,G498/2,IF(G498&lt;=301,G498/3,G498/4))))</f>
        <v>0</v>
      </c>
      <c r="I498" s="1"/>
    </row>
    <row r="499" spans="1:9" s="3" customFormat="1" ht="20.25" hidden="1" x14ac:dyDescent="0.25">
      <c r="A499" s="93">
        <f>A498+1</f>
        <v>2</v>
      </c>
      <c r="B499" s="94"/>
      <c r="C499" s="53" t="s">
        <v>89</v>
      </c>
      <c r="D499" s="53"/>
      <c r="E499" s="32"/>
      <c r="F499" s="31"/>
      <c r="G499" s="31">
        <v>0</v>
      </c>
      <c r="H499" s="31">
        <f t="shared" ref="H499:H503" si="90">E499+F499+(IF(G499&lt;101,G499,IF(G499&lt;201,G499/2,IF(G499&lt;=301,G499/3,G499/4))))</f>
        <v>0</v>
      </c>
      <c r="I499" s="1"/>
    </row>
    <row r="500" spans="1:9" s="3" customFormat="1" ht="20.25" hidden="1" x14ac:dyDescent="0.25">
      <c r="A500" s="93">
        <f t="shared" ref="A500:A503" si="91">A499+1</f>
        <v>3</v>
      </c>
      <c r="B500" s="94"/>
      <c r="C500" s="53" t="s">
        <v>89</v>
      </c>
      <c r="D500" s="53"/>
      <c r="E500" s="32"/>
      <c r="F500" s="31"/>
      <c r="G500" s="31">
        <v>0</v>
      </c>
      <c r="H500" s="31">
        <f t="shared" si="90"/>
        <v>0</v>
      </c>
      <c r="I500" s="1"/>
    </row>
    <row r="501" spans="1:9" s="3" customFormat="1" ht="20.25" hidden="1" customHeight="1" x14ac:dyDescent="0.25">
      <c r="A501" s="93">
        <f t="shared" si="91"/>
        <v>4</v>
      </c>
      <c r="B501" s="94"/>
      <c r="C501" s="53" t="s">
        <v>89</v>
      </c>
      <c r="D501" s="53"/>
      <c r="E501" s="32"/>
      <c r="F501" s="31"/>
      <c r="G501" s="31">
        <v>0</v>
      </c>
      <c r="H501" s="31">
        <f t="shared" si="90"/>
        <v>0</v>
      </c>
      <c r="I501" s="1"/>
    </row>
    <row r="502" spans="1:9" s="3" customFormat="1" ht="20.25" hidden="1" customHeight="1" x14ac:dyDescent="0.25">
      <c r="A502" s="93">
        <f t="shared" si="91"/>
        <v>5</v>
      </c>
      <c r="B502" s="94"/>
      <c r="C502" s="53" t="s">
        <v>89</v>
      </c>
      <c r="D502" s="53"/>
      <c r="E502" s="32"/>
      <c r="F502" s="31"/>
      <c r="G502" s="31">
        <v>0</v>
      </c>
      <c r="H502" s="31">
        <f t="shared" si="90"/>
        <v>0</v>
      </c>
      <c r="I502" s="1"/>
    </row>
    <row r="503" spans="1:9" s="3" customFormat="1" ht="20.25" hidden="1" customHeight="1" x14ac:dyDescent="0.25">
      <c r="A503" s="93">
        <f t="shared" si="91"/>
        <v>6</v>
      </c>
      <c r="B503" s="94"/>
      <c r="C503" s="53" t="s">
        <v>89</v>
      </c>
      <c r="D503" s="53"/>
      <c r="E503" s="32"/>
      <c r="F503" s="31"/>
      <c r="G503" s="31">
        <v>0</v>
      </c>
      <c r="H503" s="31">
        <f t="shared" si="90"/>
        <v>0</v>
      </c>
      <c r="I503" s="1"/>
    </row>
    <row r="504" spans="1:9" s="3" customFormat="1" ht="20.25" hidden="1" x14ac:dyDescent="0.25">
      <c r="A504" s="89" t="s">
        <v>354</v>
      </c>
      <c r="B504" s="90"/>
      <c r="C504" s="90"/>
      <c r="D504" s="90"/>
      <c r="E504" s="90"/>
      <c r="F504" s="90"/>
      <c r="G504" s="90"/>
      <c r="H504" s="91"/>
      <c r="I504" s="1"/>
    </row>
    <row r="505" spans="1:9" s="3" customFormat="1" ht="20.25" hidden="1" x14ac:dyDescent="0.25">
      <c r="A505" s="92">
        <v>1</v>
      </c>
      <c r="B505" s="92"/>
      <c r="C505" s="53" t="s">
        <v>89</v>
      </c>
      <c r="D505" s="53"/>
      <c r="E505" s="32"/>
      <c r="F505" s="31"/>
      <c r="G505" s="31">
        <v>0</v>
      </c>
      <c r="H505" s="31">
        <f>E505+F505+(IF(G505&lt;101,G505,IF(G505&lt;201,G505/2,IF(G505&lt;=301,G505/3,G505/4))))</f>
        <v>0</v>
      </c>
      <c r="I505" s="1"/>
    </row>
    <row r="506" spans="1:9" s="3" customFormat="1" ht="20.25" hidden="1" x14ac:dyDescent="0.25">
      <c r="A506" s="93">
        <f>A505+1</f>
        <v>2</v>
      </c>
      <c r="B506" s="94"/>
      <c r="C506" s="53" t="s">
        <v>89</v>
      </c>
      <c r="D506" s="53"/>
      <c r="E506" s="32"/>
      <c r="F506" s="31"/>
      <c r="G506" s="31">
        <v>0</v>
      </c>
      <c r="H506" s="31">
        <f t="shared" ref="H506:H510" si="92">E506+F506+(IF(G506&lt;101,G506,IF(G506&lt;201,G506/2,IF(G506&lt;=301,G506/3,G506/4))))</f>
        <v>0</v>
      </c>
      <c r="I506" s="1"/>
    </row>
    <row r="507" spans="1:9" s="3" customFormat="1" ht="20.25" hidden="1" x14ac:dyDescent="0.25">
      <c r="A507" s="93">
        <f t="shared" ref="A507:A510" si="93">A506+1</f>
        <v>3</v>
      </c>
      <c r="B507" s="94"/>
      <c r="C507" s="53" t="s">
        <v>89</v>
      </c>
      <c r="D507" s="53"/>
      <c r="E507" s="32"/>
      <c r="F507" s="31"/>
      <c r="G507" s="31">
        <v>0</v>
      </c>
      <c r="H507" s="31">
        <f t="shared" si="92"/>
        <v>0</v>
      </c>
      <c r="I507" s="1"/>
    </row>
    <row r="508" spans="1:9" s="3" customFormat="1" ht="20.25" hidden="1" customHeight="1" x14ac:dyDescent="0.25">
      <c r="A508" s="93">
        <f t="shared" si="93"/>
        <v>4</v>
      </c>
      <c r="B508" s="94"/>
      <c r="C508" s="53" t="s">
        <v>89</v>
      </c>
      <c r="D508" s="53"/>
      <c r="E508" s="32"/>
      <c r="F508" s="31"/>
      <c r="G508" s="31">
        <v>0</v>
      </c>
      <c r="H508" s="31">
        <f t="shared" si="92"/>
        <v>0</v>
      </c>
      <c r="I508" s="1"/>
    </row>
    <row r="509" spans="1:9" s="3" customFormat="1" ht="20.25" hidden="1" customHeight="1" x14ac:dyDescent="0.25">
      <c r="A509" s="93">
        <f t="shared" si="93"/>
        <v>5</v>
      </c>
      <c r="B509" s="94"/>
      <c r="C509" s="53" t="s">
        <v>89</v>
      </c>
      <c r="D509" s="53"/>
      <c r="E509" s="32"/>
      <c r="F509" s="31"/>
      <c r="G509" s="31">
        <v>0</v>
      </c>
      <c r="H509" s="31">
        <f t="shared" si="92"/>
        <v>0</v>
      </c>
      <c r="I509" s="1"/>
    </row>
    <row r="510" spans="1:9" s="3" customFormat="1" ht="20.25" hidden="1" customHeight="1" x14ac:dyDescent="0.25">
      <c r="A510" s="93">
        <f t="shared" si="93"/>
        <v>6</v>
      </c>
      <c r="B510" s="94"/>
      <c r="C510" s="53" t="s">
        <v>89</v>
      </c>
      <c r="D510" s="53"/>
      <c r="E510" s="32"/>
      <c r="F510" s="31"/>
      <c r="G510" s="31">
        <v>0</v>
      </c>
      <c r="H510" s="31">
        <f t="shared" si="92"/>
        <v>0</v>
      </c>
      <c r="I510" s="1"/>
    </row>
    <row r="511" spans="1:9" s="3" customFormat="1" ht="20.25" hidden="1" x14ac:dyDescent="0.25">
      <c r="A511" s="89" t="s">
        <v>354</v>
      </c>
      <c r="B511" s="90"/>
      <c r="C511" s="90"/>
      <c r="D511" s="90"/>
      <c r="E511" s="90"/>
      <c r="F511" s="90"/>
      <c r="G511" s="90"/>
      <c r="H511" s="91"/>
      <c r="I511" s="1"/>
    </row>
    <row r="512" spans="1:9" s="3" customFormat="1" ht="20.25" hidden="1" x14ac:dyDescent="0.25">
      <c r="A512" s="92">
        <v>1</v>
      </c>
      <c r="B512" s="92"/>
      <c r="C512" s="53" t="s">
        <v>89</v>
      </c>
      <c r="D512" s="53"/>
      <c r="E512" s="32"/>
      <c r="F512" s="31"/>
      <c r="G512" s="31">
        <v>0</v>
      </c>
      <c r="H512" s="31">
        <f>E512+F512+(IF(G512&lt;101,G512,IF(G512&lt;201,G512/2,IF(G512&lt;=301,G512/3,G512/4))))</f>
        <v>0</v>
      </c>
      <c r="I512" s="1"/>
    </row>
    <row r="513" spans="1:9" s="3" customFormat="1" ht="20.25" hidden="1" x14ac:dyDescent="0.25">
      <c r="A513" s="93">
        <f>A512+1</f>
        <v>2</v>
      </c>
      <c r="B513" s="94"/>
      <c r="C513" s="53" t="s">
        <v>89</v>
      </c>
      <c r="D513" s="53"/>
      <c r="E513" s="32"/>
      <c r="F513" s="31"/>
      <c r="G513" s="31">
        <v>0</v>
      </c>
      <c r="H513" s="31">
        <f t="shared" ref="H513:H517" si="94">E513+F513+(IF(G513&lt;101,G513,IF(G513&lt;201,G513/2,IF(G513&lt;=301,G513/3,G513/4))))</f>
        <v>0</v>
      </c>
      <c r="I513" s="1"/>
    </row>
    <row r="514" spans="1:9" s="3" customFormat="1" ht="20.25" hidden="1" x14ac:dyDescent="0.25">
      <c r="A514" s="93">
        <f t="shared" ref="A514:A517" si="95">A513+1</f>
        <v>3</v>
      </c>
      <c r="B514" s="94"/>
      <c r="C514" s="53" t="s">
        <v>89</v>
      </c>
      <c r="D514" s="53"/>
      <c r="E514" s="32"/>
      <c r="F514" s="31"/>
      <c r="G514" s="31">
        <v>0</v>
      </c>
      <c r="H514" s="31">
        <f t="shared" si="94"/>
        <v>0</v>
      </c>
      <c r="I514" s="1"/>
    </row>
    <row r="515" spans="1:9" s="3" customFormat="1" ht="20.25" hidden="1" customHeight="1" x14ac:dyDescent="0.25">
      <c r="A515" s="93">
        <f t="shared" si="95"/>
        <v>4</v>
      </c>
      <c r="B515" s="94"/>
      <c r="C515" s="53" t="s">
        <v>89</v>
      </c>
      <c r="D515" s="53"/>
      <c r="E515" s="32"/>
      <c r="F515" s="31"/>
      <c r="G515" s="31">
        <v>0</v>
      </c>
      <c r="H515" s="31">
        <f t="shared" si="94"/>
        <v>0</v>
      </c>
      <c r="I515" s="1"/>
    </row>
    <row r="516" spans="1:9" s="3" customFormat="1" ht="20.25" hidden="1" customHeight="1" x14ac:dyDescent="0.25">
      <c r="A516" s="93">
        <f t="shared" si="95"/>
        <v>5</v>
      </c>
      <c r="B516" s="94"/>
      <c r="C516" s="53" t="s">
        <v>89</v>
      </c>
      <c r="D516" s="53"/>
      <c r="E516" s="32"/>
      <c r="F516" s="31"/>
      <c r="G516" s="31">
        <v>0</v>
      </c>
      <c r="H516" s="31">
        <f t="shared" si="94"/>
        <v>0</v>
      </c>
      <c r="I516" s="1"/>
    </row>
    <row r="517" spans="1:9" s="3" customFormat="1" ht="20.25" hidden="1" customHeight="1" x14ac:dyDescent="0.25">
      <c r="A517" s="93">
        <f t="shared" si="95"/>
        <v>6</v>
      </c>
      <c r="B517" s="94"/>
      <c r="C517" s="53" t="s">
        <v>89</v>
      </c>
      <c r="D517" s="53"/>
      <c r="E517" s="32"/>
      <c r="F517" s="31"/>
      <c r="G517" s="31">
        <v>0</v>
      </c>
      <c r="H517" s="31">
        <f t="shared" si="94"/>
        <v>0</v>
      </c>
      <c r="I517" s="1"/>
    </row>
    <row r="518" spans="1:9" s="3" customFormat="1" ht="20.25" hidden="1" x14ac:dyDescent="0.25">
      <c r="A518" s="89" t="s">
        <v>354</v>
      </c>
      <c r="B518" s="90"/>
      <c r="C518" s="90"/>
      <c r="D518" s="90"/>
      <c r="E518" s="90"/>
      <c r="F518" s="90"/>
      <c r="G518" s="90"/>
      <c r="H518" s="91"/>
      <c r="I518" s="1"/>
    </row>
    <row r="519" spans="1:9" s="3" customFormat="1" ht="20.25" hidden="1" x14ac:dyDescent="0.25">
      <c r="A519" s="92">
        <v>1</v>
      </c>
      <c r="B519" s="92"/>
      <c r="C519" s="53" t="s">
        <v>89</v>
      </c>
      <c r="D519" s="53"/>
      <c r="E519" s="32"/>
      <c r="F519" s="31"/>
      <c r="G519" s="31">
        <v>0</v>
      </c>
      <c r="H519" s="31">
        <f>E519+F519+(IF(G519&lt;101,G519,IF(G519&lt;201,G519/2,IF(G519&lt;=301,G519/3,G519/4))))</f>
        <v>0</v>
      </c>
      <c r="I519" s="1"/>
    </row>
    <row r="520" spans="1:9" s="3" customFormat="1" ht="20.25" hidden="1" x14ac:dyDescent="0.25">
      <c r="A520" s="93">
        <f>A519+1</f>
        <v>2</v>
      </c>
      <c r="B520" s="94"/>
      <c r="C520" s="53" t="s">
        <v>89</v>
      </c>
      <c r="D520" s="53"/>
      <c r="E520" s="32"/>
      <c r="F520" s="31"/>
      <c r="G520" s="31">
        <v>0</v>
      </c>
      <c r="H520" s="31">
        <f t="shared" ref="H520:H526" si="96">E520+F520+(IF(G520&lt;101,G520,IF(G520&lt;201,G520/2,IF(G520&lt;=301,G520/3,G520/4))))</f>
        <v>0</v>
      </c>
      <c r="I520" s="1"/>
    </row>
    <row r="521" spans="1:9" s="3" customFormat="1" ht="20.25" hidden="1" x14ac:dyDescent="0.25">
      <c r="A521" s="93">
        <f t="shared" ref="A521:A526" si="97">A520+1</f>
        <v>3</v>
      </c>
      <c r="B521" s="94"/>
      <c r="C521" s="53" t="s">
        <v>89</v>
      </c>
      <c r="D521" s="53"/>
      <c r="E521" s="32"/>
      <c r="F521" s="31"/>
      <c r="G521" s="31">
        <v>0</v>
      </c>
      <c r="H521" s="31">
        <f t="shared" si="96"/>
        <v>0</v>
      </c>
      <c r="I521" s="1"/>
    </row>
    <row r="522" spans="1:9" s="3" customFormat="1" ht="20.25" hidden="1" customHeight="1" x14ac:dyDescent="0.25">
      <c r="A522" s="93">
        <f t="shared" si="97"/>
        <v>4</v>
      </c>
      <c r="B522" s="94"/>
      <c r="C522" s="53" t="s">
        <v>89</v>
      </c>
      <c r="D522" s="53"/>
      <c r="E522" s="32"/>
      <c r="F522" s="31"/>
      <c r="G522" s="31">
        <v>0</v>
      </c>
      <c r="H522" s="31">
        <f t="shared" si="96"/>
        <v>0</v>
      </c>
      <c r="I522" s="1"/>
    </row>
    <row r="523" spans="1:9" s="3" customFormat="1" ht="20.25" hidden="1" customHeight="1" x14ac:dyDescent="0.25">
      <c r="A523" s="93">
        <f t="shared" si="97"/>
        <v>5</v>
      </c>
      <c r="B523" s="94"/>
      <c r="C523" s="53" t="s">
        <v>89</v>
      </c>
      <c r="D523" s="53"/>
      <c r="E523" s="32"/>
      <c r="F523" s="31"/>
      <c r="G523" s="31">
        <v>0</v>
      </c>
      <c r="H523" s="31">
        <f t="shared" si="96"/>
        <v>0</v>
      </c>
      <c r="I523" s="1"/>
    </row>
    <row r="524" spans="1:9" s="3" customFormat="1" ht="20.25" hidden="1" customHeight="1" x14ac:dyDescent="0.25">
      <c r="A524" s="93">
        <f t="shared" si="97"/>
        <v>6</v>
      </c>
      <c r="B524" s="94"/>
      <c r="C524" s="53" t="s">
        <v>89</v>
      </c>
      <c r="D524" s="53"/>
      <c r="E524" s="32"/>
      <c r="F524" s="31"/>
      <c r="G524" s="31">
        <v>0</v>
      </c>
      <c r="H524" s="31">
        <f t="shared" si="96"/>
        <v>0</v>
      </c>
      <c r="I524" s="1"/>
    </row>
    <row r="525" spans="1:9" s="3" customFormat="1" ht="20.25" hidden="1" customHeight="1" x14ac:dyDescent="0.25">
      <c r="A525" s="93">
        <f t="shared" si="97"/>
        <v>7</v>
      </c>
      <c r="B525" s="94"/>
      <c r="C525" s="53" t="s">
        <v>89</v>
      </c>
      <c r="D525" s="53"/>
      <c r="E525" s="32"/>
      <c r="F525" s="31"/>
      <c r="G525" s="31">
        <v>0</v>
      </c>
      <c r="H525" s="31">
        <f t="shared" si="96"/>
        <v>0</v>
      </c>
      <c r="I525" s="1"/>
    </row>
    <row r="526" spans="1:9" s="3" customFormat="1" ht="20.25" hidden="1" customHeight="1" x14ac:dyDescent="0.25">
      <c r="A526" s="93">
        <f t="shared" si="97"/>
        <v>8</v>
      </c>
      <c r="B526" s="94"/>
      <c r="C526" s="53" t="s">
        <v>89</v>
      </c>
      <c r="D526" s="53"/>
      <c r="E526" s="32"/>
      <c r="F526" s="31"/>
      <c r="G526" s="31">
        <v>0</v>
      </c>
      <c r="H526" s="31">
        <f t="shared" si="96"/>
        <v>0</v>
      </c>
      <c r="I526" s="1"/>
    </row>
    <row r="527" spans="1:9" s="3" customFormat="1" ht="20.25" hidden="1" x14ac:dyDescent="0.25">
      <c r="A527" s="89" t="s">
        <v>355</v>
      </c>
      <c r="B527" s="90"/>
      <c r="C527" s="90"/>
      <c r="D527" s="90"/>
      <c r="E527" s="90"/>
      <c r="F527" s="90"/>
      <c r="G527" s="90"/>
      <c r="H527" s="91"/>
      <c r="I527" s="1"/>
    </row>
    <row r="528" spans="1:9" s="3" customFormat="1" ht="20.25" hidden="1" x14ac:dyDescent="0.25">
      <c r="A528" s="92">
        <v>1</v>
      </c>
      <c r="B528" s="92"/>
      <c r="C528" s="53" t="s">
        <v>89</v>
      </c>
      <c r="D528" s="53"/>
      <c r="E528" s="32"/>
      <c r="F528" s="31"/>
      <c r="G528" s="31">
        <v>0</v>
      </c>
      <c r="H528" s="31">
        <f>E528+F528+(IF(G528&lt;101,G528,IF(G528&lt;201,G528/2,IF(G528&lt;=301,G528/3,G528/4))))</f>
        <v>0</v>
      </c>
      <c r="I528" s="1"/>
    </row>
    <row r="529" spans="1:22" s="3" customFormat="1" ht="20.25" hidden="1" x14ac:dyDescent="0.25">
      <c r="A529" s="93">
        <f>A528+1</f>
        <v>2</v>
      </c>
      <c r="B529" s="94"/>
      <c r="C529" s="53" t="s">
        <v>89</v>
      </c>
      <c r="D529" s="53"/>
      <c r="E529" s="32"/>
      <c r="F529" s="31"/>
      <c r="G529" s="31">
        <v>0</v>
      </c>
      <c r="H529" s="31">
        <f t="shared" ref="H529:H535" si="98">E529+F529+(IF(G529&lt;101,G529,IF(G529&lt;201,G529/2,IF(G529&lt;=301,G529/3,G529/4))))</f>
        <v>0</v>
      </c>
      <c r="I529" s="1"/>
    </row>
    <row r="530" spans="1:22" s="3" customFormat="1" ht="20.25" hidden="1" x14ac:dyDescent="0.25">
      <c r="A530" s="93">
        <f t="shared" ref="A530:A535" si="99">A529+1</f>
        <v>3</v>
      </c>
      <c r="B530" s="94"/>
      <c r="C530" s="53" t="s">
        <v>89</v>
      </c>
      <c r="D530" s="53"/>
      <c r="E530" s="32"/>
      <c r="F530" s="31"/>
      <c r="G530" s="31">
        <v>0</v>
      </c>
      <c r="H530" s="31">
        <f t="shared" si="98"/>
        <v>0</v>
      </c>
      <c r="I530" s="1"/>
    </row>
    <row r="531" spans="1:22" s="3" customFormat="1" ht="20.25" hidden="1" customHeight="1" x14ac:dyDescent="0.25">
      <c r="A531" s="93">
        <f t="shared" si="99"/>
        <v>4</v>
      </c>
      <c r="B531" s="94"/>
      <c r="C531" s="53" t="s">
        <v>89</v>
      </c>
      <c r="D531" s="53"/>
      <c r="E531" s="32"/>
      <c r="F531" s="31"/>
      <c r="G531" s="31">
        <v>0</v>
      </c>
      <c r="H531" s="31">
        <f t="shared" si="98"/>
        <v>0</v>
      </c>
      <c r="I531" s="1"/>
    </row>
    <row r="532" spans="1:22" s="3" customFormat="1" ht="20.25" hidden="1" customHeight="1" x14ac:dyDescent="0.25">
      <c r="A532" s="93">
        <f t="shared" si="99"/>
        <v>5</v>
      </c>
      <c r="B532" s="94"/>
      <c r="C532" s="53" t="s">
        <v>89</v>
      </c>
      <c r="D532" s="53"/>
      <c r="E532" s="32"/>
      <c r="F532" s="31"/>
      <c r="G532" s="31">
        <v>0</v>
      </c>
      <c r="H532" s="31">
        <f t="shared" si="98"/>
        <v>0</v>
      </c>
      <c r="I532" s="1"/>
    </row>
    <row r="533" spans="1:22" s="3" customFormat="1" ht="20.25" hidden="1" customHeight="1" x14ac:dyDescent="0.25">
      <c r="A533" s="93">
        <f t="shared" si="99"/>
        <v>6</v>
      </c>
      <c r="B533" s="94"/>
      <c r="C533" s="53" t="s">
        <v>89</v>
      </c>
      <c r="D533" s="53"/>
      <c r="E533" s="32"/>
      <c r="F533" s="31"/>
      <c r="G533" s="31">
        <v>0</v>
      </c>
      <c r="H533" s="31">
        <f t="shared" si="98"/>
        <v>0</v>
      </c>
      <c r="I533" s="1"/>
    </row>
    <row r="534" spans="1:22" s="3" customFormat="1" ht="20.25" hidden="1" customHeight="1" x14ac:dyDescent="0.25">
      <c r="A534" s="93">
        <f t="shared" si="99"/>
        <v>7</v>
      </c>
      <c r="B534" s="94"/>
      <c r="C534" s="53" t="s">
        <v>89</v>
      </c>
      <c r="D534" s="53"/>
      <c r="E534" s="32"/>
      <c r="F534" s="31"/>
      <c r="G534" s="31">
        <v>0</v>
      </c>
      <c r="H534" s="31">
        <f t="shared" si="98"/>
        <v>0</v>
      </c>
      <c r="I534" s="1"/>
    </row>
    <row r="535" spans="1:22" s="3" customFormat="1" ht="20.25" hidden="1" customHeight="1" x14ac:dyDescent="0.25">
      <c r="A535" s="93">
        <f t="shared" si="99"/>
        <v>8</v>
      </c>
      <c r="B535" s="94"/>
      <c r="C535" s="53" t="s">
        <v>89</v>
      </c>
      <c r="D535" s="53"/>
      <c r="E535" s="32"/>
      <c r="F535" s="31"/>
      <c r="G535" s="31">
        <v>0</v>
      </c>
      <c r="H535" s="31">
        <f t="shared" si="98"/>
        <v>0</v>
      </c>
      <c r="I535" s="1"/>
    </row>
    <row r="536" spans="1:22" s="3" customFormat="1" ht="20.25" hidden="1" x14ac:dyDescent="0.25">
      <c r="A536" s="89" t="s">
        <v>356</v>
      </c>
      <c r="B536" s="90"/>
      <c r="C536" s="90"/>
      <c r="D536" s="90"/>
      <c r="E536" s="90"/>
      <c r="F536" s="90"/>
      <c r="G536" s="90"/>
      <c r="H536" s="91"/>
      <c r="I536" s="1"/>
    </row>
    <row r="537" spans="1:22" s="3" customFormat="1" ht="20.25" hidden="1" x14ac:dyDescent="0.25">
      <c r="A537" s="92">
        <v>1</v>
      </c>
      <c r="B537" s="92"/>
      <c r="C537" s="53" t="s">
        <v>89</v>
      </c>
      <c r="D537" s="53"/>
      <c r="E537" s="32"/>
      <c r="F537" s="31"/>
      <c r="G537" s="31">
        <v>0</v>
      </c>
      <c r="H537" s="31">
        <f>E537+F537+(IF(G537&lt;101,G537,IF(G537&lt;201,G537/2,IF(G537&lt;=301,G537/3,G537/4))))</f>
        <v>0</v>
      </c>
      <c r="I537" s="1"/>
    </row>
    <row r="538" spans="1:22" s="3" customFormat="1" ht="20.25" hidden="1" x14ac:dyDescent="0.25">
      <c r="A538" s="93">
        <f>A537+1</f>
        <v>2</v>
      </c>
      <c r="B538" s="94"/>
      <c r="C538" s="53" t="s">
        <v>89</v>
      </c>
      <c r="D538" s="53"/>
      <c r="E538" s="32"/>
      <c r="F538" s="31"/>
      <c r="G538" s="31">
        <v>0</v>
      </c>
      <c r="H538" s="31">
        <f t="shared" ref="H538:H540" si="100">E538+F538+(IF(G538&lt;101,G538,IF(G538&lt;201,G538/2,IF(G538&lt;=301,G538/3,G538/4))))</f>
        <v>0</v>
      </c>
      <c r="I538" s="1"/>
    </row>
    <row r="539" spans="1:22" s="3" customFormat="1" ht="20.25" hidden="1" x14ac:dyDescent="0.25">
      <c r="A539" s="93">
        <f t="shared" ref="A539:A544" si="101">A538+1</f>
        <v>3</v>
      </c>
      <c r="B539" s="94"/>
      <c r="C539" s="53" t="s">
        <v>89</v>
      </c>
      <c r="D539" s="53"/>
      <c r="E539" s="32"/>
      <c r="F539" s="31"/>
      <c r="G539" s="31">
        <v>0</v>
      </c>
      <c r="H539" s="31">
        <f t="shared" si="100"/>
        <v>0</v>
      </c>
      <c r="I539" s="1"/>
    </row>
    <row r="540" spans="1:22" s="3" customFormat="1" ht="20.25" hidden="1" customHeight="1" x14ac:dyDescent="0.25">
      <c r="A540" s="93">
        <f t="shared" si="101"/>
        <v>4</v>
      </c>
      <c r="B540" s="94"/>
      <c r="C540" s="53" t="s">
        <v>89</v>
      </c>
      <c r="D540" s="53"/>
      <c r="E540" s="32"/>
      <c r="F540" s="31"/>
      <c r="G540" s="31">
        <v>0</v>
      </c>
      <c r="H540" s="31">
        <f t="shared" si="100"/>
        <v>0</v>
      </c>
      <c r="I540" s="1"/>
      <c r="J540" s="1"/>
      <c r="K540" s="1"/>
      <c r="L540" s="1"/>
      <c r="M540" s="1"/>
      <c r="N540" s="1"/>
      <c r="O540" s="1"/>
      <c r="P540" s="1"/>
      <c r="Q540" s="1"/>
      <c r="R540" s="1"/>
      <c r="S540" s="1"/>
      <c r="T540" s="1"/>
      <c r="U540" s="1"/>
      <c r="V540" s="1"/>
    </row>
    <row r="541" spans="1:22" s="3" customFormat="1" ht="20.25" hidden="1" customHeight="1" x14ac:dyDescent="0.25">
      <c r="A541" s="93">
        <f t="shared" si="101"/>
        <v>5</v>
      </c>
      <c r="B541" s="94"/>
      <c r="C541" s="53" t="s">
        <v>89</v>
      </c>
      <c r="D541" s="53"/>
      <c r="E541" s="32"/>
      <c r="F541" s="31"/>
      <c r="G541" s="31">
        <v>0</v>
      </c>
      <c r="H541" s="31">
        <f t="shared" ref="H541:H543" si="102">E541+F541+(IF(G541&lt;101,G541,IF(G541&lt;201,G541/2,IF(G541&lt;=301,G541/3,G541/4))))</f>
        <v>0</v>
      </c>
      <c r="I541" s="1"/>
      <c r="J541" s="1"/>
      <c r="K541" s="1"/>
      <c r="L541" s="1"/>
      <c r="M541" s="1"/>
      <c r="N541" s="1"/>
      <c r="O541" s="1"/>
      <c r="P541" s="1"/>
      <c r="Q541" s="1"/>
      <c r="R541" s="1"/>
      <c r="S541" s="1"/>
      <c r="T541" s="1"/>
      <c r="U541" s="1"/>
      <c r="V541" s="1"/>
    </row>
    <row r="542" spans="1:22" s="3" customFormat="1" ht="20.25" hidden="1" customHeight="1" x14ac:dyDescent="0.25">
      <c r="A542" s="93">
        <f t="shared" si="101"/>
        <v>6</v>
      </c>
      <c r="B542" s="94"/>
      <c r="C542" s="53" t="s">
        <v>89</v>
      </c>
      <c r="D542" s="53"/>
      <c r="E542" s="32"/>
      <c r="F542" s="31"/>
      <c r="G542" s="31">
        <v>0</v>
      </c>
      <c r="H542" s="31">
        <f t="shared" si="102"/>
        <v>0</v>
      </c>
      <c r="I542" s="1"/>
      <c r="J542" s="1"/>
      <c r="K542" s="1"/>
      <c r="L542" s="1"/>
      <c r="M542" s="1"/>
      <c r="N542" s="1"/>
      <c r="O542" s="1"/>
      <c r="P542" s="1"/>
      <c r="Q542" s="1"/>
      <c r="R542" s="1"/>
      <c r="S542" s="1"/>
      <c r="T542" s="1"/>
      <c r="U542" s="1"/>
      <c r="V542" s="1"/>
    </row>
    <row r="543" spans="1:22" s="3" customFormat="1" ht="20.25" hidden="1" customHeight="1" x14ac:dyDescent="0.25">
      <c r="A543" s="93">
        <f t="shared" si="101"/>
        <v>7</v>
      </c>
      <c r="B543" s="94"/>
      <c r="C543" s="53" t="s">
        <v>89</v>
      </c>
      <c r="D543" s="53"/>
      <c r="E543" s="32"/>
      <c r="F543" s="31"/>
      <c r="G543" s="31">
        <v>0</v>
      </c>
      <c r="H543" s="31">
        <f t="shared" si="102"/>
        <v>0</v>
      </c>
      <c r="I543" s="1"/>
      <c r="J543" s="1"/>
      <c r="K543" s="1"/>
      <c r="L543" s="1"/>
      <c r="M543" s="1"/>
      <c r="N543" s="1"/>
      <c r="O543" s="1"/>
      <c r="P543" s="1"/>
      <c r="Q543" s="1"/>
      <c r="R543" s="1"/>
      <c r="S543" s="1"/>
      <c r="T543" s="1"/>
      <c r="U543" s="1"/>
      <c r="V543" s="1"/>
    </row>
    <row r="544" spans="1:22" s="3" customFormat="1" ht="20.25" hidden="1" customHeight="1" x14ac:dyDescent="0.25">
      <c r="A544" s="93">
        <f t="shared" si="101"/>
        <v>8</v>
      </c>
      <c r="B544" s="94"/>
      <c r="C544" s="53" t="s">
        <v>89</v>
      </c>
      <c r="D544" s="53"/>
      <c r="E544" s="32"/>
      <c r="F544" s="31"/>
      <c r="G544" s="31">
        <v>0</v>
      </c>
      <c r="H544" s="31">
        <f t="shared" ref="H544" si="103">E544+F544+(IF(G544&lt;101,G544,IF(G544&lt;201,G544/2,IF(G544&lt;=301,G544/3,G544/4))))</f>
        <v>0</v>
      </c>
      <c r="I544" s="1"/>
      <c r="J544" s="1"/>
      <c r="K544" s="1"/>
      <c r="L544" s="1"/>
      <c r="M544" s="1"/>
      <c r="N544" s="1"/>
      <c r="O544" s="1"/>
      <c r="P544" s="1"/>
      <c r="Q544" s="1"/>
      <c r="R544" s="1"/>
      <c r="S544" s="1"/>
      <c r="T544" s="1"/>
      <c r="U544" s="1"/>
      <c r="V544" s="1"/>
    </row>
    <row r="545" spans="1:22" s="3" customFormat="1" ht="20.25" hidden="1" x14ac:dyDescent="0.25">
      <c r="A545" s="104" t="s">
        <v>132</v>
      </c>
      <c r="B545" s="105"/>
      <c r="C545" s="105"/>
      <c r="D545" s="105"/>
      <c r="E545" s="105"/>
      <c r="F545" s="105"/>
      <c r="G545" s="105"/>
      <c r="H545" s="106"/>
      <c r="I545" s="1"/>
      <c r="J545" s="1"/>
      <c r="K545" s="1"/>
      <c r="L545" s="1"/>
      <c r="M545" s="1"/>
      <c r="N545" s="1"/>
      <c r="O545" s="1"/>
      <c r="P545" s="1"/>
      <c r="Q545" s="1"/>
      <c r="R545" s="1"/>
      <c r="S545" s="1"/>
      <c r="T545" s="1"/>
      <c r="U545" s="1"/>
      <c r="V545" s="1"/>
    </row>
    <row r="546" spans="1:22" s="3" customFormat="1" ht="20.25" hidden="1" x14ac:dyDescent="0.25">
      <c r="A546" s="92">
        <v>1</v>
      </c>
      <c r="B546" s="92"/>
      <c r="C546" s="53" t="s">
        <v>89</v>
      </c>
      <c r="D546" s="53"/>
      <c r="E546" s="32">
        <v>0</v>
      </c>
      <c r="F546" s="31">
        <v>0</v>
      </c>
      <c r="G546" s="31">
        <v>0</v>
      </c>
      <c r="H546" s="31">
        <f>E546+F546+(IF(G546&lt;101,G546,IF(G546&lt;201,G546/2,IF(G546&lt;=301,G546/3,G546/4))))</f>
        <v>0</v>
      </c>
      <c r="I546" s="1"/>
      <c r="J546" s="1"/>
      <c r="K546" s="1"/>
      <c r="L546" s="1"/>
      <c r="M546" s="1"/>
      <c r="N546" s="1"/>
      <c r="O546" s="1"/>
      <c r="P546" s="1"/>
      <c r="Q546" s="1"/>
      <c r="R546" s="1"/>
      <c r="S546" s="1"/>
      <c r="T546" s="1"/>
      <c r="U546" s="1"/>
      <c r="V546" s="1"/>
    </row>
    <row r="547" spans="1:22" s="3" customFormat="1" ht="20.25" hidden="1" x14ac:dyDescent="0.25">
      <c r="A547" s="93">
        <f>A546+1</f>
        <v>2</v>
      </c>
      <c r="B547" s="94"/>
      <c r="C547" s="53" t="s">
        <v>89</v>
      </c>
      <c r="D547" s="53"/>
      <c r="E547" s="32"/>
      <c r="F547" s="31"/>
      <c r="G547" s="31"/>
      <c r="H547" s="31">
        <f t="shared" ref="H547:H553" si="104">E547+F547+(IF(G547&lt;101,G547,IF(G547&lt;201,G547/2,IF(G547&lt;=301,G547/3,G547/4))))</f>
        <v>0</v>
      </c>
      <c r="I547" s="1"/>
      <c r="J547" s="1"/>
      <c r="K547" s="1"/>
      <c r="L547" s="1"/>
      <c r="M547" s="1"/>
      <c r="N547" s="1"/>
      <c r="O547" s="1"/>
      <c r="P547" s="1"/>
      <c r="Q547" s="1"/>
      <c r="R547" s="1"/>
      <c r="S547" s="1"/>
      <c r="T547" s="1"/>
      <c r="U547" s="1"/>
      <c r="V547" s="1"/>
    </row>
    <row r="548" spans="1:22" s="3" customFormat="1" ht="20.25" hidden="1" x14ac:dyDescent="0.25">
      <c r="A548" s="93">
        <f t="shared" ref="A548:A553" si="105">A547+1</f>
        <v>3</v>
      </c>
      <c r="B548" s="94"/>
      <c r="C548" s="53" t="s">
        <v>89</v>
      </c>
      <c r="D548" s="53"/>
      <c r="E548" s="32"/>
      <c r="F548" s="31"/>
      <c r="G548" s="31"/>
      <c r="H548" s="31">
        <f t="shared" si="104"/>
        <v>0</v>
      </c>
      <c r="I548" s="1"/>
      <c r="J548" s="1"/>
      <c r="K548" s="1"/>
      <c r="L548" s="1"/>
      <c r="M548" s="1"/>
      <c r="N548" s="1"/>
      <c r="O548" s="1"/>
      <c r="P548" s="1"/>
      <c r="Q548" s="1"/>
      <c r="R548" s="1"/>
      <c r="S548" s="1"/>
      <c r="T548" s="1"/>
      <c r="U548" s="1"/>
      <c r="V548" s="1"/>
    </row>
    <row r="549" spans="1:22" s="3" customFormat="1" ht="20.25" hidden="1" customHeight="1" x14ac:dyDescent="0.25">
      <c r="A549" s="93">
        <f t="shared" si="105"/>
        <v>4</v>
      </c>
      <c r="B549" s="94"/>
      <c r="C549" s="53" t="s">
        <v>89</v>
      </c>
      <c r="D549" s="53"/>
      <c r="E549" s="32"/>
      <c r="F549" s="31"/>
      <c r="G549" s="31"/>
      <c r="H549" s="31">
        <f t="shared" si="104"/>
        <v>0</v>
      </c>
      <c r="I549" s="1"/>
      <c r="J549" s="1"/>
      <c r="K549" s="1"/>
      <c r="L549" s="1"/>
      <c r="M549" s="1"/>
      <c r="N549" s="1"/>
      <c r="O549" s="1"/>
      <c r="P549" s="1"/>
      <c r="Q549" s="1"/>
      <c r="R549" s="1"/>
      <c r="S549" s="1"/>
      <c r="T549" s="1"/>
      <c r="U549" s="1"/>
      <c r="V549" s="1"/>
    </row>
    <row r="550" spans="1:22" s="3" customFormat="1" ht="20.25" hidden="1" customHeight="1" x14ac:dyDescent="0.25">
      <c r="A550" s="93">
        <f t="shared" si="105"/>
        <v>5</v>
      </c>
      <c r="B550" s="94"/>
      <c r="C550" s="53" t="s">
        <v>89</v>
      </c>
      <c r="D550" s="53"/>
      <c r="E550" s="32"/>
      <c r="F550" s="31"/>
      <c r="G550" s="31"/>
      <c r="H550" s="31">
        <f t="shared" si="104"/>
        <v>0</v>
      </c>
      <c r="I550" s="1"/>
      <c r="J550" s="1"/>
      <c r="K550" s="1"/>
      <c r="L550" s="1"/>
      <c r="M550" s="1"/>
      <c r="N550" s="1"/>
      <c r="O550" s="1"/>
      <c r="P550" s="1"/>
      <c r="Q550" s="1"/>
      <c r="R550" s="1"/>
      <c r="S550" s="1"/>
      <c r="T550" s="1"/>
      <c r="U550" s="1"/>
      <c r="V550" s="1"/>
    </row>
    <row r="551" spans="1:22" s="3" customFormat="1" ht="20.25" hidden="1" customHeight="1" x14ac:dyDescent="0.25">
      <c r="A551" s="93">
        <f t="shared" si="105"/>
        <v>6</v>
      </c>
      <c r="B551" s="94"/>
      <c r="C551" s="53" t="s">
        <v>89</v>
      </c>
      <c r="D551" s="53"/>
      <c r="E551" s="32"/>
      <c r="F551" s="31"/>
      <c r="G551" s="31"/>
      <c r="H551" s="31">
        <f t="shared" si="104"/>
        <v>0</v>
      </c>
      <c r="I551" s="1"/>
      <c r="J551" s="1"/>
      <c r="K551" s="1"/>
      <c r="L551" s="1"/>
      <c r="M551" s="1"/>
      <c r="N551" s="1"/>
      <c r="O551" s="1"/>
      <c r="P551" s="1"/>
      <c r="Q551" s="1"/>
      <c r="R551" s="1"/>
      <c r="S551" s="1"/>
      <c r="T551" s="1"/>
      <c r="U551" s="1"/>
      <c r="V551" s="1"/>
    </row>
    <row r="552" spans="1:22" s="3" customFormat="1" ht="20.25" hidden="1" customHeight="1" x14ac:dyDescent="0.25">
      <c r="A552" s="93">
        <f t="shared" si="105"/>
        <v>7</v>
      </c>
      <c r="B552" s="94"/>
      <c r="C552" s="53" t="s">
        <v>89</v>
      </c>
      <c r="D552" s="53"/>
      <c r="E552" s="32"/>
      <c r="F552" s="31"/>
      <c r="G552" s="31"/>
      <c r="H552" s="31">
        <f t="shared" si="104"/>
        <v>0</v>
      </c>
      <c r="I552" s="1"/>
      <c r="J552" s="1"/>
      <c r="K552" s="1"/>
      <c r="L552" s="1"/>
      <c r="M552" s="1"/>
      <c r="N552" s="1"/>
      <c r="O552" s="1"/>
      <c r="P552" s="1"/>
      <c r="Q552" s="1"/>
      <c r="R552" s="1"/>
      <c r="S552" s="1"/>
      <c r="T552" s="1"/>
      <c r="U552" s="1"/>
      <c r="V552" s="1"/>
    </row>
    <row r="553" spans="1:22" s="3" customFormat="1" ht="20.25" hidden="1" customHeight="1" x14ac:dyDescent="0.25">
      <c r="A553" s="93">
        <f t="shared" si="105"/>
        <v>8</v>
      </c>
      <c r="B553" s="94"/>
      <c r="C553" s="53" t="s">
        <v>89</v>
      </c>
      <c r="D553" s="53"/>
      <c r="E553" s="32"/>
      <c r="F553" s="31"/>
      <c r="G553" s="31"/>
      <c r="H553" s="31">
        <f t="shared" si="104"/>
        <v>0</v>
      </c>
      <c r="I553" s="1"/>
      <c r="J553" s="1"/>
      <c r="K553" s="1"/>
      <c r="L553" s="1"/>
      <c r="M553" s="1"/>
      <c r="N553" s="1"/>
      <c r="O553" s="1"/>
      <c r="P553" s="1"/>
      <c r="Q553" s="1"/>
      <c r="R553" s="1"/>
      <c r="S553" s="1"/>
      <c r="T553" s="1"/>
      <c r="U553" s="1"/>
      <c r="V553" s="1"/>
    </row>
    <row r="554" spans="1:22" s="3" customFormat="1" ht="20.25" hidden="1" x14ac:dyDescent="0.25">
      <c r="A554" s="104" t="s">
        <v>133</v>
      </c>
      <c r="B554" s="105"/>
      <c r="C554" s="105"/>
      <c r="D554" s="105"/>
      <c r="E554" s="105"/>
      <c r="F554" s="105"/>
      <c r="G554" s="105"/>
      <c r="H554" s="106"/>
      <c r="I554" s="1"/>
      <c r="J554" s="1"/>
      <c r="K554" s="1"/>
      <c r="L554" s="1"/>
      <c r="M554" s="1"/>
      <c r="N554" s="1"/>
      <c r="O554" s="1"/>
      <c r="P554" s="1"/>
      <c r="Q554" s="1"/>
      <c r="R554" s="1"/>
      <c r="S554" s="1"/>
      <c r="T554" s="1"/>
      <c r="U554" s="1"/>
      <c r="V554" s="1"/>
    </row>
    <row r="555" spans="1:22" s="3" customFormat="1" ht="20.25" hidden="1" customHeight="1" x14ac:dyDescent="0.25">
      <c r="A555" s="92" t="str">
        <f ca="1">T555</f>
        <v>201,..,901</v>
      </c>
      <c r="B555" s="92"/>
      <c r="C555" s="53"/>
      <c r="D555" s="53"/>
      <c r="E555" s="32">
        <v>0</v>
      </c>
      <c r="F555" s="31">
        <v>0</v>
      </c>
      <c r="G555" s="31">
        <v>0</v>
      </c>
      <c r="H555" s="31">
        <f>E555+F555+(IF(G555&lt;101,G555,IF(G555&lt;201,G555/2,IF(G555&lt;=301,G555/3,G555/4))))</f>
        <v>0</v>
      </c>
      <c r="I555" s="1"/>
      <c r="J555" s="1"/>
      <c r="K555" s="1"/>
      <c r="L555" s="1"/>
      <c r="M555" s="1"/>
      <c r="N555" s="1"/>
      <c r="O555" s="1"/>
      <c r="P555" s="1"/>
      <c r="Q555" s="1"/>
      <c r="R555" s="1"/>
      <c r="S555" s="1"/>
      <c r="T555" s="21" t="str">
        <f t="shared" ref="T555:T562" ca="1" si="106">U555&amp;""&amp;",..,"&amp;""&amp;V555</f>
        <v>201,..,901</v>
      </c>
      <c r="U555" s="21">
        <f ca="1">(SUMPRODUCT(MID(0&amp;(LEFT(A554,SUM(LEN(A554)-LEN(SUBSTITUTE(A554,{"0","1","2","3"},""))))), LARGE(INDEX(ISNUMBER(--MID((LEFT(A554,SUM(LEN(A554)-LEN(SUBSTITUTE(A554,{"0","1","2","3"},""))))), ROW(INDIRECT("1:"&amp;LEN((LEFT(A554,SUM(LEN(A554)-LEN(SUBSTITUTE(A554,{"0","1","2","3"},"")))))))), 1)) * ROW(INDIRECT("1:"&amp;LEN((LEFT(A554,SUM(LEN(A554)-LEN(SUBSTITUTE(A554,{"0","1","2","3"},"")))))))), 0), ROW(INDIRECT("1:"&amp;LEN((LEFT(A554,SUM(LEN(A554)-LEN(SUBSTITUTE(A554,{"0","1","2","3"},"")))))))))+1, 1) * 10^ROW(INDIRECT("1:"&amp;LEN((LEFT(A554,SUM(LEN(A554)-LEN(SUBSTITUTE(A554,{"0","1","2","3"},""))))))))/10))*100+1</f>
        <v>201</v>
      </c>
      <c r="V555" s="21">
        <f ca="1">(SUMPRODUCT(MID(0&amp;(--TRIM(RIGHT(SUBSTITUTE(LEFT(A554,_xlfn.AGGREGATE(16,6,FIND({0,1,2,3,4,5,6,7,8,9},A554,ROW(INDIRECT("1:"&amp;LEN(A554)))),1))," ",REPT(" ",LEN(A554))),LEN(A554)))), LARGE(INDEX(ISNUMBER(--MID((--TRIM(RIGHT(SUBSTITUTE(LEFT(A554,_xlfn.AGGREGATE(16,6,FIND({0,1,2,3,4,5,6,7,8,9},A554,ROW(INDIRECT("1:"&amp;LEN(A554)))),1))," ",REPT(" ",LEN(A554))),LEN(A554)))), ROW(INDIRECT("1:"&amp;LEN((--TRIM(RIGHT(SUBSTITUTE(LEFT(A554,_xlfn.AGGREGATE(16,6,FIND({0,1,2,3,4,5,6,7,8,9},A554,ROW(INDIRECT("1:"&amp;LEN(A554)))),1))," ",REPT(" ",LEN(A554))),LEN(A554))))))), 1)) * ROW(INDIRECT("1:"&amp;LEN((--TRIM(RIGHT(SUBSTITUTE(LEFT(A554,_xlfn.AGGREGATE(16,6,FIND({0,1,2,3,4,5,6,7,8,9},A554,ROW(INDIRECT("1:"&amp;LEN(A554)))),1))," ",REPT(" ",LEN(A554))),LEN(A554))))))), 0), ROW(INDIRECT("1:"&amp;LEN((--TRIM(RIGHT(SUBSTITUTE(LEFT(A554,_xlfn.AGGREGATE(16,6,FIND({0,1,2,3,4,5,6,7,8,9},A554,ROW(INDIRECT("1:"&amp;LEN(A554)))),1))," ",REPT(" ",LEN(A554))),LEN(A554))))))))+1, 1) * 10^ROW(INDIRECT("1:"&amp;LEN((--TRIM(RIGHT(SUBSTITUTE(LEFT(A554,_xlfn.AGGREGATE(16,6,FIND({0,1,2,3,4,5,6,7,8,9},A554,ROW(INDIRECT("1:"&amp;LEN(A554)))),1))," ",REPT(" ",LEN(A554))),LEN(A554)))))))/10))*100+1</f>
        <v>901</v>
      </c>
    </row>
    <row r="556" spans="1:22" s="3" customFormat="1" ht="20.25" hidden="1" customHeight="1" x14ac:dyDescent="0.25">
      <c r="A556" s="92" t="str">
        <f t="shared" ref="A556:A561" ca="1" si="107">T556</f>
        <v>202,..,902</v>
      </c>
      <c r="B556" s="92"/>
      <c r="C556" s="53"/>
      <c r="D556" s="53"/>
      <c r="E556" s="32"/>
      <c r="F556" s="31"/>
      <c r="G556" s="31"/>
      <c r="H556" s="31">
        <f t="shared" ref="H556:H562" si="108">E556+F556+(IF(G556&lt;101,G556,IF(G556&lt;201,G556/2,IF(G556&lt;=301,G556/3,G556/4))))</f>
        <v>0</v>
      </c>
      <c r="I556" s="1"/>
      <c r="J556" s="1"/>
      <c r="K556" s="1"/>
      <c r="L556" s="1"/>
      <c r="M556" s="1"/>
      <c r="N556" s="1"/>
      <c r="O556" s="1"/>
      <c r="P556" s="1"/>
      <c r="Q556" s="1"/>
      <c r="R556" s="1"/>
      <c r="S556" s="1"/>
      <c r="T556" s="21" t="str">
        <f t="shared" ca="1" si="106"/>
        <v>202,..,902</v>
      </c>
      <c r="U556" s="21">
        <f ca="1">U555+1</f>
        <v>202</v>
      </c>
      <c r="V556" s="21">
        <f ca="1">V555+1</f>
        <v>902</v>
      </c>
    </row>
    <row r="557" spans="1:22" s="3" customFormat="1" ht="20.25" hidden="1" customHeight="1" x14ac:dyDescent="0.25">
      <c r="A557" s="92" t="str">
        <f t="shared" ca="1" si="107"/>
        <v>203,..,903</v>
      </c>
      <c r="B557" s="92"/>
      <c r="C557" s="53"/>
      <c r="D557" s="53"/>
      <c r="E557" s="32"/>
      <c r="F557" s="31"/>
      <c r="G557" s="31"/>
      <c r="H557" s="31">
        <f t="shared" si="108"/>
        <v>0</v>
      </c>
      <c r="I557" s="1"/>
      <c r="J557" s="1"/>
      <c r="K557" s="1"/>
      <c r="L557" s="1"/>
      <c r="M557" s="1"/>
      <c r="N557" s="1"/>
      <c r="O557" s="1"/>
      <c r="P557" s="1"/>
      <c r="Q557" s="1"/>
      <c r="R557" s="1"/>
      <c r="S557" s="1"/>
      <c r="T557" s="21" t="str">
        <f t="shared" ca="1" si="106"/>
        <v>203,..,903</v>
      </c>
      <c r="U557" s="21">
        <f t="shared" ref="U557:U562" ca="1" si="109">U556+1</f>
        <v>203</v>
      </c>
      <c r="V557" s="21">
        <f t="shared" ref="V557:V562" ca="1" si="110">V556+1</f>
        <v>903</v>
      </c>
    </row>
    <row r="558" spans="1:22" s="3" customFormat="1" ht="20.25" hidden="1" customHeight="1" x14ac:dyDescent="0.25">
      <c r="A558" s="92" t="str">
        <f t="shared" ca="1" si="107"/>
        <v>204,..,904</v>
      </c>
      <c r="B558" s="92"/>
      <c r="C558" s="53"/>
      <c r="D558" s="53"/>
      <c r="E558" s="32"/>
      <c r="F558" s="31"/>
      <c r="G558" s="31"/>
      <c r="H558" s="31">
        <f t="shared" si="108"/>
        <v>0</v>
      </c>
      <c r="I558" s="1"/>
      <c r="J558" s="1"/>
      <c r="K558" s="1"/>
      <c r="L558" s="1"/>
      <c r="M558" s="1"/>
      <c r="N558" s="1"/>
      <c r="O558" s="1"/>
      <c r="P558" s="1"/>
      <c r="Q558" s="1"/>
      <c r="R558" s="1"/>
      <c r="S558" s="1"/>
      <c r="T558" s="21" t="str">
        <f t="shared" ca="1" si="106"/>
        <v>204,..,904</v>
      </c>
      <c r="U558" s="21">
        <f t="shared" ca="1" si="109"/>
        <v>204</v>
      </c>
      <c r="V558" s="21">
        <f t="shared" ca="1" si="110"/>
        <v>904</v>
      </c>
    </row>
    <row r="559" spans="1:22" s="3" customFormat="1" ht="20.25" hidden="1" customHeight="1" x14ac:dyDescent="0.25">
      <c r="A559" s="92" t="str">
        <f t="shared" ca="1" si="107"/>
        <v>205,..,905</v>
      </c>
      <c r="B559" s="92"/>
      <c r="C559" s="53"/>
      <c r="D559" s="53"/>
      <c r="E559" s="32"/>
      <c r="F559" s="31"/>
      <c r="G559" s="31"/>
      <c r="H559" s="31">
        <f t="shared" si="108"/>
        <v>0</v>
      </c>
      <c r="I559" s="1"/>
      <c r="J559" s="1"/>
      <c r="K559" s="1"/>
      <c r="L559" s="1"/>
      <c r="M559" s="1"/>
      <c r="N559" s="1"/>
      <c r="O559" s="1"/>
      <c r="P559" s="1"/>
      <c r="Q559" s="1"/>
      <c r="R559" s="1"/>
      <c r="S559" s="1"/>
      <c r="T559" s="21" t="str">
        <f t="shared" ca="1" si="106"/>
        <v>205,..,905</v>
      </c>
      <c r="U559" s="21">
        <f t="shared" ca="1" si="109"/>
        <v>205</v>
      </c>
      <c r="V559" s="21">
        <f t="shared" ca="1" si="110"/>
        <v>905</v>
      </c>
    </row>
    <row r="560" spans="1:22" s="3" customFormat="1" ht="20.25" hidden="1" customHeight="1" x14ac:dyDescent="0.25">
      <c r="A560" s="92" t="str">
        <f t="shared" ca="1" si="107"/>
        <v>206,..,906</v>
      </c>
      <c r="B560" s="92"/>
      <c r="C560" s="53"/>
      <c r="D560" s="53"/>
      <c r="E560" s="32"/>
      <c r="F560" s="31"/>
      <c r="G560" s="31"/>
      <c r="H560" s="31">
        <f t="shared" si="108"/>
        <v>0</v>
      </c>
      <c r="I560" s="1"/>
      <c r="J560" s="1"/>
      <c r="K560" s="1"/>
      <c r="L560" s="1"/>
      <c r="M560" s="1"/>
      <c r="N560" s="1"/>
      <c r="O560" s="1"/>
      <c r="P560" s="1"/>
      <c r="Q560" s="1"/>
      <c r="R560" s="1"/>
      <c r="S560" s="1"/>
      <c r="T560" s="21" t="str">
        <f t="shared" ca="1" si="106"/>
        <v>206,..,906</v>
      </c>
      <c r="U560" s="21">
        <f t="shared" ca="1" si="109"/>
        <v>206</v>
      </c>
      <c r="V560" s="21">
        <f t="shared" ca="1" si="110"/>
        <v>906</v>
      </c>
    </row>
    <row r="561" spans="1:22" s="3" customFormat="1" ht="20.25" hidden="1" customHeight="1" x14ac:dyDescent="0.25">
      <c r="A561" s="92" t="str">
        <f t="shared" ca="1" si="107"/>
        <v>207,..,907</v>
      </c>
      <c r="B561" s="92"/>
      <c r="C561" s="53"/>
      <c r="D561" s="53"/>
      <c r="E561" s="32"/>
      <c r="F561" s="31"/>
      <c r="G561" s="31"/>
      <c r="H561" s="31">
        <f t="shared" si="108"/>
        <v>0</v>
      </c>
      <c r="I561" s="1"/>
      <c r="J561" s="1"/>
      <c r="K561" s="1"/>
      <c r="L561" s="1"/>
      <c r="M561" s="1"/>
      <c r="N561" s="1"/>
      <c r="O561" s="1"/>
      <c r="P561" s="1"/>
      <c r="Q561" s="1"/>
      <c r="R561" s="1"/>
      <c r="S561" s="1"/>
      <c r="T561" s="21" t="str">
        <f t="shared" ca="1" si="106"/>
        <v>207,..,907</v>
      </c>
      <c r="U561" s="21">
        <f t="shared" ca="1" si="109"/>
        <v>207</v>
      </c>
      <c r="V561" s="21">
        <f t="shared" ca="1" si="110"/>
        <v>907</v>
      </c>
    </row>
    <row r="562" spans="1:22" s="3" customFormat="1" ht="20.25" hidden="1" customHeight="1" x14ac:dyDescent="0.25">
      <c r="A562" s="92" t="str">
        <f t="shared" ref="A562" ca="1" si="111">T562</f>
        <v>208,..,908</v>
      </c>
      <c r="B562" s="92"/>
      <c r="C562" s="53"/>
      <c r="D562" s="53"/>
      <c r="E562" s="32"/>
      <c r="F562" s="31"/>
      <c r="G562" s="31"/>
      <c r="H562" s="31">
        <f t="shared" si="108"/>
        <v>0</v>
      </c>
      <c r="I562" s="1"/>
      <c r="J562" s="1"/>
      <c r="K562" s="1"/>
      <c r="L562" s="1"/>
      <c r="M562" s="1"/>
      <c r="N562" s="1"/>
      <c r="O562" s="1"/>
      <c r="P562" s="1"/>
      <c r="Q562" s="1"/>
      <c r="R562" s="1"/>
      <c r="S562" s="1"/>
      <c r="T562" s="21" t="str">
        <f t="shared" ca="1" si="106"/>
        <v>208,..,908</v>
      </c>
      <c r="U562" s="21">
        <f t="shared" ca="1" si="109"/>
        <v>208</v>
      </c>
      <c r="V562" s="21">
        <f t="shared" ca="1" si="110"/>
        <v>908</v>
      </c>
    </row>
    <row r="563" spans="1:22" s="3" customFormat="1" ht="20.25" hidden="1" x14ac:dyDescent="0.25">
      <c r="A563" s="104" t="s">
        <v>134</v>
      </c>
      <c r="B563" s="105"/>
      <c r="C563" s="105"/>
      <c r="D563" s="105"/>
      <c r="E563" s="105"/>
      <c r="F563" s="105"/>
      <c r="G563" s="105"/>
      <c r="H563" s="106"/>
      <c r="I563" s="1"/>
      <c r="J563" s="1"/>
      <c r="K563" s="1"/>
      <c r="L563" s="1"/>
      <c r="M563" s="1"/>
      <c r="N563" s="1"/>
      <c r="O563" s="1"/>
      <c r="P563" s="1"/>
      <c r="Q563" s="1"/>
      <c r="R563" s="1"/>
      <c r="S563" s="1"/>
      <c r="T563" s="1"/>
      <c r="U563" s="1"/>
      <c r="V563" s="1"/>
    </row>
    <row r="564" spans="1:22" s="3" customFormat="1" ht="20.25" hidden="1" customHeight="1" x14ac:dyDescent="0.25">
      <c r="A564" s="92" t="str">
        <f ca="1">T564</f>
        <v>201 to 501</v>
      </c>
      <c r="B564" s="92"/>
      <c r="C564" s="53"/>
      <c r="D564" s="53"/>
      <c r="E564" s="32">
        <v>0</v>
      </c>
      <c r="F564" s="31">
        <v>0</v>
      </c>
      <c r="G564" s="31">
        <v>0</v>
      </c>
      <c r="H564" s="31">
        <f>E564+F564+(IF(G564&lt;101,G564,IF(G564&lt;201,G564/2,IF(G564&lt;=301,G564/3,G564/4))))</f>
        <v>0</v>
      </c>
      <c r="I564" s="1"/>
      <c r="J564" s="1"/>
      <c r="K564" s="1"/>
      <c r="L564" s="1"/>
      <c r="M564" s="1"/>
      <c r="N564" s="1"/>
      <c r="O564" s="1"/>
      <c r="P564" s="1"/>
      <c r="Q564" s="1"/>
      <c r="R564" s="1"/>
      <c r="S564" s="1"/>
      <c r="T564" s="21" t="str">
        <f ca="1">U564&amp;""&amp;" to "&amp;""&amp;V564</f>
        <v>201 to 501</v>
      </c>
      <c r="U564" s="21">
        <f ca="1">(SUMPRODUCT(MID(0&amp;(LEFT(A563,SUM(LEN(A563)-LEN(SUBSTITUTE(A563,{"0","1","2","3"},""))))), LARGE(INDEX(ISNUMBER(--MID((LEFT(A563,SUM(LEN(A563)-LEN(SUBSTITUTE(A563,{"0","1","2","3"},""))))), ROW(INDIRECT("1:"&amp;LEN((LEFT(A563,SUM(LEN(A563)-LEN(SUBSTITUTE(A563,{"0","1","2","3"},"")))))))), 1)) * ROW(INDIRECT("1:"&amp;LEN((LEFT(A563,SUM(LEN(A563)-LEN(SUBSTITUTE(A563,{"0","1","2","3"},"")))))))), 0), ROW(INDIRECT("1:"&amp;LEN((LEFT(A563,SUM(LEN(A563)-LEN(SUBSTITUTE(A563,{"0","1","2","3"},"")))))))))+1, 1) * 10^ROW(INDIRECT("1:"&amp;LEN((LEFT(A563,SUM(LEN(A563)-LEN(SUBSTITUTE(A563,{"0","1","2","3"},""))))))))/10))*100+1</f>
        <v>201</v>
      </c>
      <c r="V564" s="21">
        <f ca="1">(SUMPRODUCT(MID(0&amp;(--TRIM(RIGHT(SUBSTITUTE(LEFT(A563,_xlfn.AGGREGATE(16,6,FIND({0,1,2,3,4,5,6,7,8,9},A563,ROW(INDIRECT("1:"&amp;LEN(A563)))),1))," ",REPT(" ",LEN(A563))),LEN(A563)))), LARGE(INDEX(ISNUMBER(--MID((--TRIM(RIGHT(SUBSTITUTE(LEFT(A563,_xlfn.AGGREGATE(16,6,FIND({0,1,2,3,4,5,6,7,8,9},A563,ROW(INDIRECT("1:"&amp;LEN(A563)))),1))," ",REPT(" ",LEN(A563))),LEN(A563)))), ROW(INDIRECT("1:"&amp;LEN((--TRIM(RIGHT(SUBSTITUTE(LEFT(A563,_xlfn.AGGREGATE(16,6,FIND({0,1,2,3,4,5,6,7,8,9},A563,ROW(INDIRECT("1:"&amp;LEN(A563)))),1))," ",REPT(" ",LEN(A563))),LEN(A563))))))), 1)) * ROW(INDIRECT("1:"&amp;LEN((--TRIM(RIGHT(SUBSTITUTE(LEFT(A563,_xlfn.AGGREGATE(16,6,FIND({0,1,2,3,4,5,6,7,8,9},A563,ROW(INDIRECT("1:"&amp;LEN(A563)))),1))," ",REPT(" ",LEN(A563))),LEN(A563))))))), 0), ROW(INDIRECT("1:"&amp;LEN((--TRIM(RIGHT(SUBSTITUTE(LEFT(A563,_xlfn.AGGREGATE(16,6,FIND({0,1,2,3,4,5,6,7,8,9},A563,ROW(INDIRECT("1:"&amp;LEN(A563)))),1))," ",REPT(" ",LEN(A563))),LEN(A563))))))))+1, 1) * 10^ROW(INDIRECT("1:"&amp;LEN((--TRIM(RIGHT(SUBSTITUTE(LEFT(A563,_xlfn.AGGREGATE(16,6,FIND({0,1,2,3,4,5,6,7,8,9},A563,ROW(INDIRECT("1:"&amp;LEN(A563)))),1))," ",REPT(" ",LEN(A563))),LEN(A563)))))))/10))*100+1</f>
        <v>501</v>
      </c>
    </row>
    <row r="565" spans="1:22" s="3" customFormat="1" ht="20.25" hidden="1" customHeight="1" x14ac:dyDescent="0.25">
      <c r="A565" s="92" t="str">
        <f t="shared" ref="A565:A571" ca="1" si="112">T565</f>
        <v>202 to 502</v>
      </c>
      <c r="B565" s="92"/>
      <c r="C565" s="53"/>
      <c r="D565" s="53"/>
      <c r="E565" s="32"/>
      <c r="F565" s="31"/>
      <c r="G565" s="31"/>
      <c r="H565" s="31">
        <f t="shared" ref="H565:H571" si="113">E565+F565+(IF(G565&lt;101,G565,IF(G565&lt;201,G565/2,IF(G565&lt;=301,G565/3,G565/4))))</f>
        <v>0</v>
      </c>
      <c r="I565" s="1"/>
      <c r="J565" s="1"/>
      <c r="K565" s="1"/>
      <c r="L565" s="1"/>
      <c r="M565" s="1"/>
      <c r="N565" s="1"/>
      <c r="O565" s="1"/>
      <c r="P565" s="1"/>
      <c r="Q565" s="1"/>
      <c r="R565" s="1"/>
      <c r="S565" s="1"/>
      <c r="T565" s="21" t="str">
        <f t="shared" ref="T565:T571" ca="1" si="114">U565&amp;""&amp;" to "&amp;""&amp;V565</f>
        <v>202 to 502</v>
      </c>
      <c r="U565" s="21">
        <f ca="1">U564+1</f>
        <v>202</v>
      </c>
      <c r="V565" s="21">
        <f ca="1">V564+1</f>
        <v>502</v>
      </c>
    </row>
    <row r="566" spans="1:22" s="3" customFormat="1" ht="20.25" hidden="1" customHeight="1" x14ac:dyDescent="0.25">
      <c r="A566" s="92" t="str">
        <f t="shared" ca="1" si="112"/>
        <v>203 to 503</v>
      </c>
      <c r="B566" s="92"/>
      <c r="C566" s="53"/>
      <c r="D566" s="53"/>
      <c r="E566" s="32"/>
      <c r="F566" s="31"/>
      <c r="G566" s="31"/>
      <c r="H566" s="31">
        <f t="shared" si="113"/>
        <v>0</v>
      </c>
      <c r="I566" s="1"/>
      <c r="J566" s="1"/>
      <c r="K566" s="1"/>
      <c r="L566" s="1"/>
      <c r="M566" s="1"/>
      <c r="N566" s="1"/>
      <c r="O566" s="1"/>
      <c r="P566" s="1"/>
      <c r="Q566" s="1"/>
      <c r="R566" s="1"/>
      <c r="S566" s="1"/>
      <c r="T566" s="21" t="str">
        <f t="shared" ca="1" si="114"/>
        <v>203 to 503</v>
      </c>
      <c r="U566" s="21">
        <f t="shared" ref="U566:U571" ca="1" si="115">U565+1</f>
        <v>203</v>
      </c>
      <c r="V566" s="21">
        <f t="shared" ref="V566:V571" ca="1" si="116">V565+1</f>
        <v>503</v>
      </c>
    </row>
    <row r="567" spans="1:22" s="3" customFormat="1" ht="20.25" hidden="1" customHeight="1" x14ac:dyDescent="0.25">
      <c r="A567" s="92" t="str">
        <f t="shared" ca="1" si="112"/>
        <v>204 to 504</v>
      </c>
      <c r="B567" s="92"/>
      <c r="C567" s="53"/>
      <c r="D567" s="53"/>
      <c r="E567" s="32"/>
      <c r="F567" s="31"/>
      <c r="G567" s="31"/>
      <c r="H567" s="31">
        <f t="shared" si="113"/>
        <v>0</v>
      </c>
      <c r="I567" s="1"/>
      <c r="J567" s="1"/>
      <c r="K567" s="1"/>
      <c r="L567" s="1"/>
      <c r="M567" s="1"/>
      <c r="N567" s="1"/>
      <c r="O567" s="1"/>
      <c r="P567" s="1"/>
      <c r="Q567" s="1"/>
      <c r="R567" s="1"/>
      <c r="S567" s="1"/>
      <c r="T567" s="21" t="str">
        <f t="shared" ca="1" si="114"/>
        <v>204 to 504</v>
      </c>
      <c r="U567" s="21">
        <f t="shared" ca="1" si="115"/>
        <v>204</v>
      </c>
      <c r="V567" s="21">
        <f t="shared" ca="1" si="116"/>
        <v>504</v>
      </c>
    </row>
    <row r="568" spans="1:22" s="3" customFormat="1" ht="20.25" hidden="1" customHeight="1" x14ac:dyDescent="0.25">
      <c r="A568" s="92" t="str">
        <f t="shared" ca="1" si="112"/>
        <v>205 to 505</v>
      </c>
      <c r="B568" s="92"/>
      <c r="C568" s="53"/>
      <c r="D568" s="53"/>
      <c r="E568" s="32"/>
      <c r="F568" s="31"/>
      <c r="G568" s="31"/>
      <c r="H568" s="31">
        <f t="shared" si="113"/>
        <v>0</v>
      </c>
      <c r="I568" s="1"/>
      <c r="J568" s="1"/>
      <c r="K568" s="1"/>
      <c r="L568" s="1"/>
      <c r="M568" s="1"/>
      <c r="N568" s="1"/>
      <c r="O568" s="1"/>
      <c r="P568" s="1"/>
      <c r="Q568" s="1"/>
      <c r="R568" s="1"/>
      <c r="S568" s="1"/>
      <c r="T568" s="21" t="str">
        <f t="shared" ca="1" si="114"/>
        <v>205 to 505</v>
      </c>
      <c r="U568" s="21">
        <f t="shared" ca="1" si="115"/>
        <v>205</v>
      </c>
      <c r="V568" s="21">
        <f t="shared" ca="1" si="116"/>
        <v>505</v>
      </c>
    </row>
    <row r="569" spans="1:22" s="3" customFormat="1" ht="20.25" hidden="1" customHeight="1" x14ac:dyDescent="0.25">
      <c r="A569" s="92" t="str">
        <f t="shared" ca="1" si="112"/>
        <v>206 to 506</v>
      </c>
      <c r="B569" s="92"/>
      <c r="C569" s="53"/>
      <c r="D569" s="53"/>
      <c r="E569" s="32"/>
      <c r="F569" s="31"/>
      <c r="G569" s="31"/>
      <c r="H569" s="31">
        <f t="shared" si="113"/>
        <v>0</v>
      </c>
      <c r="I569" s="1"/>
      <c r="J569" s="1"/>
      <c r="K569" s="1"/>
      <c r="L569" s="1"/>
      <c r="M569" s="1"/>
      <c r="N569" s="1"/>
      <c r="O569" s="1"/>
      <c r="P569" s="1"/>
      <c r="Q569" s="1"/>
      <c r="R569" s="1"/>
      <c r="S569" s="1"/>
      <c r="T569" s="21" t="str">
        <f t="shared" ca="1" si="114"/>
        <v>206 to 506</v>
      </c>
      <c r="U569" s="21">
        <f t="shared" ca="1" si="115"/>
        <v>206</v>
      </c>
      <c r="V569" s="21">
        <f t="shared" ca="1" si="116"/>
        <v>506</v>
      </c>
    </row>
    <row r="570" spans="1:22" s="3" customFormat="1" ht="20.25" hidden="1" customHeight="1" x14ac:dyDescent="0.25">
      <c r="A570" s="92" t="str">
        <f t="shared" ca="1" si="112"/>
        <v>207 to 507</v>
      </c>
      <c r="B570" s="92"/>
      <c r="C570" s="53"/>
      <c r="D570" s="53"/>
      <c r="E570" s="32"/>
      <c r="F570" s="31"/>
      <c r="G570" s="31"/>
      <c r="H570" s="31">
        <f t="shared" si="113"/>
        <v>0</v>
      </c>
      <c r="I570" s="1"/>
      <c r="J570" s="1"/>
      <c r="K570" s="1"/>
      <c r="L570" s="1"/>
      <c r="M570" s="1"/>
      <c r="N570" s="1"/>
      <c r="O570" s="1"/>
      <c r="P570" s="1"/>
      <c r="Q570" s="1"/>
      <c r="R570" s="1"/>
      <c r="S570" s="1"/>
      <c r="T570" s="21" t="str">
        <f t="shared" ca="1" si="114"/>
        <v>207 to 507</v>
      </c>
      <c r="U570" s="21">
        <f t="shared" ca="1" si="115"/>
        <v>207</v>
      </c>
      <c r="V570" s="21">
        <f t="shared" ca="1" si="116"/>
        <v>507</v>
      </c>
    </row>
    <row r="571" spans="1:22" s="3" customFormat="1" ht="20.25" hidden="1" customHeight="1" x14ac:dyDescent="0.25">
      <c r="A571" s="92" t="str">
        <f t="shared" ca="1" si="112"/>
        <v>208 to 508</v>
      </c>
      <c r="B571" s="92"/>
      <c r="C571" s="53"/>
      <c r="D571" s="53"/>
      <c r="E571" s="32"/>
      <c r="F571" s="31"/>
      <c r="G571" s="31"/>
      <c r="H571" s="31">
        <f t="shared" si="113"/>
        <v>0</v>
      </c>
      <c r="I571" s="1"/>
      <c r="J571" s="1"/>
      <c r="K571" s="1"/>
      <c r="L571" s="1"/>
      <c r="M571" s="1"/>
      <c r="N571" s="1"/>
      <c r="O571" s="1"/>
      <c r="P571" s="1"/>
      <c r="Q571" s="1"/>
      <c r="R571" s="1"/>
      <c r="S571" s="1"/>
      <c r="T571" s="21" t="str">
        <f t="shared" ca="1" si="114"/>
        <v>208 to 508</v>
      </c>
      <c r="U571" s="21">
        <f t="shared" ca="1" si="115"/>
        <v>208</v>
      </c>
      <c r="V571" s="21">
        <f t="shared" ca="1" si="116"/>
        <v>508</v>
      </c>
    </row>
    <row r="572" spans="1:22" s="3" customFormat="1" ht="20.25" hidden="1" x14ac:dyDescent="0.25">
      <c r="A572" s="104" t="s">
        <v>135</v>
      </c>
      <c r="B572" s="105"/>
      <c r="C572" s="105"/>
      <c r="D572" s="105"/>
      <c r="E572" s="105"/>
      <c r="F572" s="105"/>
      <c r="G572" s="105"/>
      <c r="H572" s="106"/>
      <c r="I572" s="1"/>
      <c r="J572" s="1"/>
      <c r="K572" s="1"/>
      <c r="L572" s="1"/>
      <c r="M572" s="1"/>
      <c r="N572" s="1"/>
      <c r="O572" s="1"/>
      <c r="P572" s="1"/>
      <c r="Q572" s="1"/>
      <c r="R572" s="1"/>
      <c r="S572" s="1"/>
      <c r="T572" s="1"/>
      <c r="U572" s="1"/>
      <c r="V572" s="1"/>
    </row>
    <row r="573" spans="1:22" s="3" customFormat="1" ht="20.25" hidden="1" customHeight="1" x14ac:dyDescent="0.25">
      <c r="A573" s="92" t="str">
        <f ca="1">T573</f>
        <v>201 &amp; 501</v>
      </c>
      <c r="B573" s="92"/>
      <c r="C573" s="53"/>
      <c r="D573" s="53"/>
      <c r="E573" s="32">
        <v>0</v>
      </c>
      <c r="F573" s="31">
        <v>0</v>
      </c>
      <c r="G573" s="31">
        <v>0</v>
      </c>
      <c r="H573" s="31">
        <f>E573+F573+(IF(G573&lt;101,G573,IF(G573&lt;201,G573/2,IF(G573&lt;=301,G573/3,G573/4))))</f>
        <v>0</v>
      </c>
      <c r="I573" s="1"/>
      <c r="J573" s="1"/>
      <c r="K573" s="1"/>
      <c r="L573" s="1"/>
      <c r="M573" s="1"/>
      <c r="N573" s="1"/>
      <c r="O573" s="1"/>
      <c r="P573" s="1"/>
      <c r="Q573" s="1"/>
      <c r="R573" s="1"/>
      <c r="S573" s="1"/>
      <c r="T573" s="21" t="str">
        <f ca="1">U573&amp;""&amp;" &amp; "&amp;""&amp;V573</f>
        <v>201 &amp; 501</v>
      </c>
      <c r="U573" s="21">
        <f ca="1">(SUMPRODUCT(MID(0&amp;(LEFT(A572,SUM(LEN(A572)-LEN(SUBSTITUTE(A572,{"0","1","2","3"},""))))), LARGE(INDEX(ISNUMBER(--MID((LEFT(A572,SUM(LEN(A572)-LEN(SUBSTITUTE(A572,{"0","1","2","3"},""))))), ROW(INDIRECT("1:"&amp;LEN((LEFT(A572,SUM(LEN(A572)-LEN(SUBSTITUTE(A572,{"0","1","2","3"},"")))))))), 1)) * ROW(INDIRECT("1:"&amp;LEN((LEFT(A572,SUM(LEN(A572)-LEN(SUBSTITUTE(A572,{"0","1","2","3"},"")))))))), 0), ROW(INDIRECT("1:"&amp;LEN((LEFT(A572,SUM(LEN(A572)-LEN(SUBSTITUTE(A572,{"0","1","2","3"},"")))))))))+1, 1) * 10^ROW(INDIRECT("1:"&amp;LEN((LEFT(A572,SUM(LEN(A572)-LEN(SUBSTITUTE(A572,{"0","1","2","3"},""))))))))/10))*100+1</f>
        <v>201</v>
      </c>
      <c r="V573" s="21">
        <f ca="1">(SUMPRODUCT(MID(0&amp;(--TRIM(RIGHT(SUBSTITUTE(LEFT(A572,_xlfn.AGGREGATE(16,6,FIND({0,1,2,3,4,5,6,7,8,9},A572,ROW(INDIRECT("1:"&amp;LEN(A572)))),1))," ",REPT(" ",LEN(A572))),LEN(A572)))), LARGE(INDEX(ISNUMBER(--MID((--TRIM(RIGHT(SUBSTITUTE(LEFT(A572,_xlfn.AGGREGATE(16,6,FIND({0,1,2,3,4,5,6,7,8,9},A572,ROW(INDIRECT("1:"&amp;LEN(A572)))),1))," ",REPT(" ",LEN(A572))),LEN(A572)))), ROW(INDIRECT("1:"&amp;LEN((--TRIM(RIGHT(SUBSTITUTE(LEFT(A572,_xlfn.AGGREGATE(16,6,FIND({0,1,2,3,4,5,6,7,8,9},A572,ROW(INDIRECT("1:"&amp;LEN(A572)))),1))," ",REPT(" ",LEN(A572))),LEN(A572))))))), 1)) * ROW(INDIRECT("1:"&amp;LEN((--TRIM(RIGHT(SUBSTITUTE(LEFT(A572,_xlfn.AGGREGATE(16,6,FIND({0,1,2,3,4,5,6,7,8,9},A572,ROW(INDIRECT("1:"&amp;LEN(A572)))),1))," ",REPT(" ",LEN(A572))),LEN(A572))))))), 0), ROW(INDIRECT("1:"&amp;LEN((--TRIM(RIGHT(SUBSTITUTE(LEFT(A572,_xlfn.AGGREGATE(16,6,FIND({0,1,2,3,4,5,6,7,8,9},A572,ROW(INDIRECT("1:"&amp;LEN(A572)))),1))," ",REPT(" ",LEN(A572))),LEN(A572))))))))+1, 1) * 10^ROW(INDIRECT("1:"&amp;LEN((--TRIM(RIGHT(SUBSTITUTE(LEFT(A572,_xlfn.AGGREGATE(16,6,FIND({0,1,2,3,4,5,6,7,8,9},A572,ROW(INDIRECT("1:"&amp;LEN(A572)))),1))," ",REPT(" ",LEN(A572))),LEN(A572)))))))/10))*100+1</f>
        <v>501</v>
      </c>
    </row>
    <row r="574" spans="1:22" s="3" customFormat="1" ht="20.25" hidden="1" customHeight="1" x14ac:dyDescent="0.25">
      <c r="A574" s="92" t="str">
        <f t="shared" ref="A574:A580" ca="1" si="117">T574</f>
        <v>202 &amp; 502</v>
      </c>
      <c r="B574" s="92"/>
      <c r="C574" s="53"/>
      <c r="D574" s="53"/>
      <c r="E574" s="32"/>
      <c r="F574" s="31"/>
      <c r="G574" s="31"/>
      <c r="H574" s="31">
        <f t="shared" ref="H574:H580" si="118">E574+F574+(IF(G574&lt;101,G574,IF(G574&lt;201,G574/2,IF(G574&lt;=301,G574/3,G574/4))))</f>
        <v>0</v>
      </c>
      <c r="I574" s="1"/>
      <c r="J574" s="1"/>
      <c r="K574" s="1"/>
      <c r="L574" s="1"/>
      <c r="M574" s="1"/>
      <c r="N574" s="1"/>
      <c r="O574" s="1"/>
      <c r="P574" s="1"/>
      <c r="Q574" s="1"/>
      <c r="R574" s="1"/>
      <c r="S574" s="1"/>
      <c r="T574" s="21" t="str">
        <f t="shared" ref="T574:T580" ca="1" si="119">U574&amp;""&amp;" &amp; "&amp;""&amp;V574</f>
        <v>202 &amp; 502</v>
      </c>
      <c r="U574" s="21">
        <f ca="1">U573+1</f>
        <v>202</v>
      </c>
      <c r="V574" s="21">
        <f ca="1">V573+1</f>
        <v>502</v>
      </c>
    </row>
    <row r="575" spans="1:22" s="3" customFormat="1" ht="20.25" hidden="1" customHeight="1" x14ac:dyDescent="0.25">
      <c r="A575" s="92" t="str">
        <f t="shared" ca="1" si="117"/>
        <v>203 &amp; 503</v>
      </c>
      <c r="B575" s="92"/>
      <c r="C575" s="53"/>
      <c r="D575" s="53"/>
      <c r="E575" s="32"/>
      <c r="F575" s="31"/>
      <c r="G575" s="31"/>
      <c r="H575" s="31">
        <f t="shared" si="118"/>
        <v>0</v>
      </c>
      <c r="I575" s="1"/>
      <c r="J575" s="1"/>
      <c r="K575" s="1"/>
      <c r="L575" s="1"/>
      <c r="M575" s="1"/>
      <c r="N575" s="1"/>
      <c r="O575" s="1"/>
      <c r="P575" s="1"/>
      <c r="Q575" s="1"/>
      <c r="R575" s="1"/>
      <c r="S575" s="1"/>
      <c r="T575" s="21" t="str">
        <f t="shared" ca="1" si="119"/>
        <v>203 &amp; 503</v>
      </c>
      <c r="U575" s="21">
        <f t="shared" ref="U575:U580" ca="1" si="120">U574+1</f>
        <v>203</v>
      </c>
      <c r="V575" s="21">
        <f t="shared" ref="V575:V580" ca="1" si="121">V574+1</f>
        <v>503</v>
      </c>
    </row>
    <row r="576" spans="1:22" s="3" customFormat="1" ht="20.25" hidden="1" customHeight="1" x14ac:dyDescent="0.25">
      <c r="A576" s="92" t="str">
        <f t="shared" ca="1" si="117"/>
        <v>204 &amp; 504</v>
      </c>
      <c r="B576" s="92"/>
      <c r="C576" s="53"/>
      <c r="D576" s="53"/>
      <c r="E576" s="32"/>
      <c r="F576" s="31"/>
      <c r="G576" s="31"/>
      <c r="H576" s="31">
        <f t="shared" si="118"/>
        <v>0</v>
      </c>
      <c r="I576" s="1"/>
      <c r="J576" s="1"/>
      <c r="K576" s="1"/>
      <c r="L576" s="1"/>
      <c r="M576" s="1"/>
      <c r="N576" s="1"/>
      <c r="O576" s="1"/>
      <c r="P576" s="1"/>
      <c r="Q576" s="1"/>
      <c r="R576" s="1"/>
      <c r="S576" s="1"/>
      <c r="T576" s="21" t="str">
        <f t="shared" ca="1" si="119"/>
        <v>204 &amp; 504</v>
      </c>
      <c r="U576" s="21">
        <f t="shared" ca="1" si="120"/>
        <v>204</v>
      </c>
      <c r="V576" s="21">
        <f t="shared" ca="1" si="121"/>
        <v>504</v>
      </c>
    </row>
    <row r="577" spans="1:22" s="3" customFormat="1" ht="20.25" hidden="1" customHeight="1" x14ac:dyDescent="0.25">
      <c r="A577" s="92" t="str">
        <f t="shared" ca="1" si="117"/>
        <v>205 &amp; 505</v>
      </c>
      <c r="B577" s="92"/>
      <c r="C577" s="53"/>
      <c r="D577" s="53"/>
      <c r="E577" s="32"/>
      <c r="F577" s="31"/>
      <c r="G577" s="31"/>
      <c r="H577" s="31">
        <f t="shared" si="118"/>
        <v>0</v>
      </c>
      <c r="I577" s="1"/>
      <c r="J577" s="1"/>
      <c r="K577" s="1"/>
      <c r="L577" s="1"/>
      <c r="M577" s="1"/>
      <c r="N577" s="1"/>
      <c r="O577" s="1"/>
      <c r="P577" s="1"/>
      <c r="Q577" s="1"/>
      <c r="R577" s="1"/>
      <c r="S577" s="1"/>
      <c r="T577" s="21" t="str">
        <f t="shared" ca="1" si="119"/>
        <v>205 &amp; 505</v>
      </c>
      <c r="U577" s="21">
        <f t="shared" ca="1" si="120"/>
        <v>205</v>
      </c>
      <c r="V577" s="21">
        <f t="shared" ca="1" si="121"/>
        <v>505</v>
      </c>
    </row>
    <row r="578" spans="1:22" s="3" customFormat="1" ht="20.25" hidden="1" customHeight="1" x14ac:dyDescent="0.25">
      <c r="A578" s="92" t="str">
        <f t="shared" ca="1" si="117"/>
        <v>206 &amp; 506</v>
      </c>
      <c r="B578" s="92"/>
      <c r="C578" s="53"/>
      <c r="D578" s="53"/>
      <c r="E578" s="32"/>
      <c r="F578" s="31"/>
      <c r="G578" s="31"/>
      <c r="H578" s="31">
        <f t="shared" si="118"/>
        <v>0</v>
      </c>
      <c r="I578" s="1"/>
      <c r="J578" s="1"/>
      <c r="K578" s="1"/>
      <c r="L578" s="1"/>
      <c r="M578" s="1"/>
      <c r="N578" s="1"/>
      <c r="O578" s="1"/>
      <c r="P578" s="1"/>
      <c r="Q578" s="1"/>
      <c r="R578" s="1"/>
      <c r="S578" s="1"/>
      <c r="T578" s="21" t="str">
        <f t="shared" ca="1" si="119"/>
        <v>206 &amp; 506</v>
      </c>
      <c r="U578" s="21">
        <f t="shared" ca="1" si="120"/>
        <v>206</v>
      </c>
      <c r="V578" s="21">
        <f t="shared" ca="1" si="121"/>
        <v>506</v>
      </c>
    </row>
    <row r="579" spans="1:22" s="3" customFormat="1" ht="20.25" hidden="1" customHeight="1" x14ac:dyDescent="0.25">
      <c r="A579" s="92" t="str">
        <f t="shared" ca="1" si="117"/>
        <v>207 &amp; 507</v>
      </c>
      <c r="B579" s="92"/>
      <c r="C579" s="53"/>
      <c r="D579" s="53"/>
      <c r="E579" s="32"/>
      <c r="F579" s="31"/>
      <c r="G579" s="31"/>
      <c r="H579" s="31">
        <f t="shared" si="118"/>
        <v>0</v>
      </c>
      <c r="I579" s="1"/>
      <c r="J579" s="1"/>
      <c r="K579" s="1"/>
      <c r="L579" s="1"/>
      <c r="M579" s="1"/>
      <c r="N579" s="1"/>
      <c r="O579" s="1"/>
      <c r="P579" s="1"/>
      <c r="Q579" s="1"/>
      <c r="R579" s="1"/>
      <c r="S579" s="1"/>
      <c r="T579" s="21" t="str">
        <f t="shared" ca="1" si="119"/>
        <v>207 &amp; 507</v>
      </c>
      <c r="U579" s="21">
        <f t="shared" ca="1" si="120"/>
        <v>207</v>
      </c>
      <c r="V579" s="21">
        <f t="shared" ca="1" si="121"/>
        <v>507</v>
      </c>
    </row>
    <row r="580" spans="1:22" s="3" customFormat="1" ht="20.25" hidden="1" customHeight="1" x14ac:dyDescent="0.25">
      <c r="A580" s="92" t="str">
        <f t="shared" ca="1" si="117"/>
        <v>208 &amp; 508</v>
      </c>
      <c r="B580" s="92"/>
      <c r="C580" s="53"/>
      <c r="D580" s="53"/>
      <c r="E580" s="32"/>
      <c r="F580" s="31"/>
      <c r="G580" s="31"/>
      <c r="H580" s="31">
        <f t="shared" si="118"/>
        <v>0</v>
      </c>
      <c r="I580" s="1"/>
      <c r="J580" s="1"/>
      <c r="K580" s="1"/>
      <c r="L580" s="1"/>
      <c r="M580" s="1"/>
      <c r="N580" s="1"/>
      <c r="O580" s="1"/>
      <c r="P580" s="1"/>
      <c r="Q580" s="1"/>
      <c r="R580" s="1"/>
      <c r="S580" s="1"/>
      <c r="T580" s="21" t="str">
        <f t="shared" ca="1" si="119"/>
        <v>208 &amp; 508</v>
      </c>
      <c r="U580" s="21">
        <f t="shared" ca="1" si="120"/>
        <v>208</v>
      </c>
      <c r="V580" s="21">
        <f t="shared" ca="1" si="121"/>
        <v>508</v>
      </c>
    </row>
    <row r="581" spans="1:22" ht="20.25" x14ac:dyDescent="0.25">
      <c r="A581" s="134" t="s">
        <v>70</v>
      </c>
      <c r="B581" s="134"/>
      <c r="C581" s="134"/>
      <c r="D581" s="134"/>
      <c r="E581" s="134"/>
      <c r="F581" s="134"/>
      <c r="G581" s="134"/>
      <c r="H581" s="134"/>
    </row>
    <row r="582" spans="1:22" ht="20.25" x14ac:dyDescent="0.25">
      <c r="A582" s="2" t="s">
        <v>241</v>
      </c>
      <c r="B582" s="86" t="s">
        <v>409</v>
      </c>
      <c r="C582" s="87"/>
      <c r="D582" s="87"/>
      <c r="E582" s="87"/>
      <c r="F582" s="87"/>
      <c r="G582" s="87"/>
      <c r="H582" s="88"/>
    </row>
    <row r="583" spans="1:22" ht="20.25" x14ac:dyDescent="0.25">
      <c r="A583" s="2" t="s">
        <v>241</v>
      </c>
      <c r="B583" s="86" t="s">
        <v>242</v>
      </c>
      <c r="C583" s="87"/>
      <c r="D583" s="87"/>
      <c r="E583" s="87"/>
      <c r="F583" s="87"/>
      <c r="G583" s="87"/>
      <c r="H583" s="88"/>
    </row>
    <row r="584" spans="1:22" ht="20.25" x14ac:dyDescent="0.25">
      <c r="A584" s="2" t="s">
        <v>241</v>
      </c>
      <c r="B584" s="86" t="s">
        <v>405</v>
      </c>
      <c r="C584" s="87"/>
      <c r="D584" s="87"/>
      <c r="E584" s="87"/>
      <c r="F584" s="87"/>
      <c r="G584" s="87"/>
      <c r="H584" s="88"/>
    </row>
    <row r="585" spans="1:22" ht="20.25" x14ac:dyDescent="0.25">
      <c r="A585" s="2" t="s">
        <v>241</v>
      </c>
      <c r="B585" s="86" t="s">
        <v>243</v>
      </c>
      <c r="C585" s="87"/>
      <c r="D585" s="87"/>
      <c r="E585" s="87"/>
      <c r="F585" s="87"/>
      <c r="G585" s="87"/>
      <c r="H585" s="88"/>
    </row>
    <row r="586" spans="1:22" ht="20.25" x14ac:dyDescent="0.25">
      <c r="A586" s="2" t="s">
        <v>241</v>
      </c>
      <c r="B586" s="86" t="s">
        <v>244</v>
      </c>
      <c r="C586" s="87"/>
      <c r="D586" s="87"/>
      <c r="E586" s="87"/>
      <c r="F586" s="87"/>
      <c r="G586" s="87"/>
      <c r="H586" s="88"/>
    </row>
    <row r="587" spans="1:22" ht="42" customHeight="1" x14ac:dyDescent="0.25">
      <c r="A587" s="2" t="s">
        <v>241</v>
      </c>
      <c r="B587" s="86" t="s">
        <v>376</v>
      </c>
      <c r="C587" s="87"/>
      <c r="D587" s="87"/>
      <c r="E587" s="87"/>
      <c r="F587" s="87"/>
      <c r="G587" s="87"/>
      <c r="H587" s="88"/>
    </row>
    <row r="588" spans="1:22" ht="20.25" x14ac:dyDescent="0.25">
      <c r="A588" s="2" t="s">
        <v>241</v>
      </c>
      <c r="B588" s="86" t="s">
        <v>401</v>
      </c>
      <c r="C588" s="87"/>
      <c r="D588" s="87"/>
      <c r="E588" s="87"/>
      <c r="F588" s="87"/>
      <c r="G588" s="87"/>
      <c r="H588" s="88"/>
    </row>
    <row r="589" spans="1:22" ht="20.25" x14ac:dyDescent="0.25">
      <c r="A589" s="2" t="s">
        <v>241</v>
      </c>
      <c r="B589" s="86" t="s">
        <v>400</v>
      </c>
      <c r="C589" s="87"/>
      <c r="D589" s="87"/>
      <c r="E589" s="87"/>
      <c r="F589" s="87"/>
      <c r="G589" s="87"/>
      <c r="H589" s="88"/>
    </row>
    <row r="590" spans="1:22" ht="46.5" hidden="1" customHeight="1" x14ac:dyDescent="0.25">
      <c r="A590" s="2" t="s">
        <v>241</v>
      </c>
      <c r="B590" s="141" t="s">
        <v>245</v>
      </c>
      <c r="C590" s="87"/>
      <c r="D590" s="87"/>
      <c r="E590" s="87"/>
      <c r="F590" s="87"/>
      <c r="G590" s="87"/>
      <c r="H590" s="88"/>
    </row>
    <row r="591" spans="1:22" ht="20.25" x14ac:dyDescent="0.25">
      <c r="A591" s="2" t="s">
        <v>241</v>
      </c>
      <c r="B591" s="86" t="s">
        <v>414</v>
      </c>
      <c r="C591" s="87"/>
      <c r="D591" s="87"/>
      <c r="E591" s="87"/>
      <c r="F591" s="87"/>
      <c r="G591" s="87"/>
      <c r="H591" s="88"/>
    </row>
    <row r="592" spans="1:22" ht="41.25" customHeight="1" x14ac:dyDescent="0.25">
      <c r="A592" s="2" t="s">
        <v>241</v>
      </c>
      <c r="B592" s="86" t="s">
        <v>415</v>
      </c>
      <c r="C592" s="87"/>
      <c r="D592" s="87"/>
      <c r="E592" s="87"/>
      <c r="F592" s="87"/>
      <c r="G592" s="87"/>
      <c r="H592" s="88"/>
    </row>
    <row r="593" spans="1:8" ht="20.25" x14ac:dyDescent="0.25">
      <c r="A593" s="2" t="s">
        <v>241</v>
      </c>
      <c r="B593" s="86" t="s">
        <v>425</v>
      </c>
      <c r="C593" s="87"/>
      <c r="D593" s="87"/>
      <c r="E593" s="87"/>
      <c r="F593" s="87"/>
      <c r="G593" s="87"/>
      <c r="H593" s="88"/>
    </row>
    <row r="594" spans="1:8" ht="20.25" x14ac:dyDescent="0.25">
      <c r="A594" s="2" t="s">
        <v>241</v>
      </c>
      <c r="B594" s="86" t="s">
        <v>423</v>
      </c>
      <c r="C594" s="87"/>
      <c r="D594" s="87"/>
      <c r="E594" s="87"/>
      <c r="F594" s="87"/>
      <c r="G594" s="87"/>
      <c r="H594" s="88"/>
    </row>
    <row r="595" spans="1:8" ht="20.25" x14ac:dyDescent="0.25">
      <c r="A595" s="152" t="s">
        <v>76</v>
      </c>
      <c r="B595" s="152"/>
      <c r="C595" s="152"/>
      <c r="D595" s="152"/>
      <c r="E595" s="152"/>
      <c r="F595" s="152"/>
      <c r="G595" s="152"/>
      <c r="H595" s="152"/>
    </row>
    <row r="596" spans="1:8" ht="20.25" x14ac:dyDescent="0.25">
      <c r="A596" s="84" t="s">
        <v>71</v>
      </c>
      <c r="B596" s="84"/>
      <c r="C596" s="84"/>
      <c r="D596" s="86" t="str">
        <f>C3</f>
        <v xml:space="preserve">Airica Tower 1, 2 &amp; 4
</v>
      </c>
      <c r="E596" s="87"/>
      <c r="F596" s="87"/>
      <c r="G596" s="87"/>
      <c r="H596" s="88"/>
    </row>
    <row r="597" spans="1:8" ht="66.75" customHeight="1" x14ac:dyDescent="0.25">
      <c r="A597" s="84" t="s">
        <v>107</v>
      </c>
      <c r="B597" s="84"/>
      <c r="C597" s="84"/>
      <c r="D597" s="86" t="str">
        <f>C10</f>
        <v>Codename Triumph Tower 1 &amp; 4, CTS No. 611, 611/1 TO 611/10, Near Runwal Forest, LBS Marg, Kanjur, Kanjurmarg  West, Kurla, Mumbai 400078.</v>
      </c>
      <c r="E597" s="87"/>
      <c r="F597" s="87"/>
      <c r="G597" s="87"/>
      <c r="H597" s="88"/>
    </row>
    <row r="598" spans="1:8" ht="20.25" customHeight="1" x14ac:dyDescent="0.25">
      <c r="A598" s="162" t="s">
        <v>113</v>
      </c>
      <c r="B598" s="162"/>
      <c r="C598" s="162"/>
      <c r="D598" s="142" t="str">
        <f>G3</f>
        <v>07/07/2025 at 03:53PM</v>
      </c>
      <c r="E598" s="143"/>
      <c r="F598" s="143"/>
      <c r="G598" s="143"/>
      <c r="H598" s="144"/>
    </row>
    <row r="599" spans="1:8" ht="20.25" x14ac:dyDescent="0.25">
      <c r="A599" s="8"/>
      <c r="B599" s="9"/>
      <c r="C599" s="9"/>
      <c r="D599" s="9"/>
      <c r="E599" s="9"/>
      <c r="F599" s="9"/>
      <c r="G599" s="9"/>
      <c r="H599" s="5"/>
    </row>
    <row r="600" spans="1:8" ht="20.25" x14ac:dyDescent="0.25">
      <c r="A600" s="10"/>
      <c r="B600" s="11"/>
      <c r="C600" s="11"/>
      <c r="D600" s="11"/>
      <c r="E600" s="11"/>
      <c r="F600" s="11"/>
      <c r="G600" s="11"/>
      <c r="H600" s="6"/>
    </row>
    <row r="601" spans="1:8" ht="20.25" x14ac:dyDescent="0.25">
      <c r="A601" s="10"/>
      <c r="B601" s="11"/>
      <c r="C601" s="11"/>
      <c r="D601" s="11"/>
      <c r="E601" s="11"/>
      <c r="F601" s="11"/>
      <c r="G601" s="11"/>
      <c r="H601" s="6"/>
    </row>
    <row r="602" spans="1:8" ht="20.25" x14ac:dyDescent="0.25">
      <c r="A602" s="10"/>
      <c r="B602" s="11"/>
      <c r="C602" s="11"/>
      <c r="D602" s="11"/>
      <c r="E602" s="11"/>
      <c r="F602" s="11"/>
      <c r="G602" s="11"/>
      <c r="H602" s="6"/>
    </row>
    <row r="603" spans="1:8" ht="20.25" x14ac:dyDescent="0.25">
      <c r="A603" s="10"/>
      <c r="B603" s="11"/>
      <c r="C603" s="11"/>
      <c r="D603" s="11"/>
      <c r="E603" s="11"/>
      <c r="F603" s="11"/>
      <c r="G603" s="11"/>
      <c r="H603" s="6"/>
    </row>
    <row r="604" spans="1:8" ht="20.25" x14ac:dyDescent="0.25">
      <c r="A604" s="10"/>
      <c r="B604" s="11"/>
      <c r="C604" s="11"/>
      <c r="D604" s="11"/>
      <c r="E604" s="11"/>
      <c r="F604" s="11"/>
      <c r="G604" s="11"/>
      <c r="H604" s="6"/>
    </row>
    <row r="605" spans="1:8" ht="20.25" x14ac:dyDescent="0.25">
      <c r="A605" s="10"/>
      <c r="B605" s="11"/>
      <c r="C605" s="11"/>
      <c r="D605" s="11"/>
      <c r="E605" s="11"/>
      <c r="F605" s="11"/>
      <c r="G605" s="11"/>
      <c r="H605" s="6"/>
    </row>
    <row r="606" spans="1:8" ht="20.25" x14ac:dyDescent="0.25">
      <c r="A606" s="10"/>
      <c r="B606" s="11"/>
      <c r="C606" s="11"/>
      <c r="D606" s="11"/>
      <c r="E606" s="11"/>
      <c r="F606" s="11"/>
      <c r="G606" s="11"/>
      <c r="H606" s="6"/>
    </row>
    <row r="607" spans="1:8" ht="20.25" x14ac:dyDescent="0.25">
      <c r="A607" s="10"/>
      <c r="B607" s="11"/>
      <c r="C607" s="11"/>
      <c r="D607" s="11"/>
      <c r="E607" s="11"/>
      <c r="F607" s="11"/>
      <c r="G607" s="11"/>
      <c r="H607" s="6"/>
    </row>
    <row r="608" spans="1:8" ht="20.25" x14ac:dyDescent="0.25">
      <c r="A608" s="10"/>
      <c r="B608" s="11"/>
      <c r="C608" s="11"/>
      <c r="D608" s="11"/>
      <c r="E608" s="11"/>
      <c r="F608" s="11"/>
      <c r="G608" s="11"/>
      <c r="H608" s="6"/>
    </row>
    <row r="609" spans="1:8" ht="20.25" x14ac:dyDescent="0.25">
      <c r="A609" s="10"/>
      <c r="B609" s="11"/>
      <c r="C609" s="11"/>
      <c r="D609" s="11"/>
      <c r="E609" s="11"/>
      <c r="F609" s="11"/>
      <c r="G609" s="11"/>
      <c r="H609" s="6"/>
    </row>
    <row r="610" spans="1:8" ht="20.25" x14ac:dyDescent="0.25">
      <c r="A610" s="10"/>
      <c r="B610" s="11"/>
      <c r="C610" s="11"/>
      <c r="D610" s="11"/>
      <c r="E610" s="11"/>
      <c r="F610" s="11"/>
      <c r="G610" s="11"/>
      <c r="H610" s="6"/>
    </row>
    <row r="611" spans="1:8" ht="20.25" x14ac:dyDescent="0.25">
      <c r="A611" s="10"/>
      <c r="B611" s="11"/>
      <c r="C611" s="11"/>
      <c r="D611" s="11"/>
      <c r="E611" s="11"/>
      <c r="F611" s="11"/>
      <c r="G611" s="11"/>
      <c r="H611" s="6"/>
    </row>
    <row r="612" spans="1:8" ht="20.25" x14ac:dyDescent="0.25">
      <c r="A612" s="10"/>
      <c r="B612" s="11"/>
      <c r="C612" s="11"/>
      <c r="D612" s="11"/>
      <c r="E612" s="11"/>
      <c r="F612" s="11"/>
      <c r="G612" s="11"/>
      <c r="H612" s="6"/>
    </row>
    <row r="613" spans="1:8" ht="20.25" x14ac:dyDescent="0.25">
      <c r="A613" s="10"/>
      <c r="B613" s="11"/>
      <c r="C613" s="11"/>
      <c r="D613" s="11"/>
      <c r="E613" s="11"/>
      <c r="F613" s="11"/>
      <c r="G613" s="11"/>
      <c r="H613" s="6"/>
    </row>
    <row r="614" spans="1:8" ht="20.25" x14ac:dyDescent="0.25">
      <c r="A614" s="10"/>
      <c r="B614" s="11"/>
      <c r="C614" s="11"/>
      <c r="D614" s="11"/>
      <c r="E614" s="11"/>
      <c r="F614" s="11"/>
      <c r="G614" s="11"/>
      <c r="H614" s="6"/>
    </row>
    <row r="615" spans="1:8" ht="20.25" x14ac:dyDescent="0.25">
      <c r="A615" s="10"/>
      <c r="B615" s="11"/>
      <c r="C615" s="11"/>
      <c r="D615" s="11"/>
      <c r="E615" s="11"/>
      <c r="F615" s="11"/>
      <c r="G615" s="11"/>
      <c r="H615" s="6"/>
    </row>
    <row r="616" spans="1:8" ht="20.25" x14ac:dyDescent="0.25">
      <c r="A616" s="10"/>
      <c r="B616" s="11"/>
      <c r="C616" s="11"/>
      <c r="D616" s="11"/>
      <c r="E616" s="11"/>
      <c r="F616" s="11"/>
      <c r="G616" s="11"/>
      <c r="H616" s="6"/>
    </row>
    <row r="617" spans="1:8" ht="20.25" x14ac:dyDescent="0.25">
      <c r="A617" s="10"/>
      <c r="B617" s="11"/>
      <c r="C617" s="11"/>
      <c r="D617" s="11"/>
      <c r="E617" s="11"/>
      <c r="F617" s="11"/>
      <c r="G617" s="11"/>
      <c r="H617" s="6"/>
    </row>
    <row r="618" spans="1:8" ht="20.25" x14ac:dyDescent="0.25">
      <c r="A618" s="10"/>
      <c r="B618" s="11"/>
      <c r="C618" s="11"/>
      <c r="D618" s="11"/>
      <c r="E618" s="11"/>
      <c r="F618" s="11"/>
      <c r="G618" s="11"/>
      <c r="H618" s="6"/>
    </row>
    <row r="619" spans="1:8" ht="20.25" x14ac:dyDescent="0.25">
      <c r="A619" s="10"/>
      <c r="B619" s="11"/>
      <c r="C619" s="11"/>
      <c r="D619" s="11"/>
      <c r="E619" s="11"/>
      <c r="F619" s="11"/>
      <c r="G619" s="11"/>
      <c r="H619" s="6"/>
    </row>
    <row r="620" spans="1:8" ht="20.25" x14ac:dyDescent="0.25">
      <c r="A620" s="10"/>
      <c r="B620" s="11"/>
      <c r="C620" s="11"/>
      <c r="D620" s="11"/>
      <c r="E620" s="11"/>
      <c r="F620" s="11"/>
      <c r="G620" s="11"/>
      <c r="H620" s="6"/>
    </row>
    <row r="621" spans="1:8" ht="20.25" x14ac:dyDescent="0.25">
      <c r="A621" s="10"/>
      <c r="B621" s="11"/>
      <c r="C621" s="11"/>
      <c r="D621" s="11"/>
      <c r="E621" s="11"/>
      <c r="F621" s="11"/>
      <c r="G621" s="11"/>
      <c r="H621" s="6"/>
    </row>
    <row r="622" spans="1:8" ht="20.25" x14ac:dyDescent="0.25">
      <c r="A622" s="10"/>
      <c r="B622" s="11"/>
      <c r="C622" s="11"/>
      <c r="D622" s="11"/>
      <c r="E622" s="11"/>
      <c r="F622" s="11"/>
      <c r="G622" s="11"/>
      <c r="H622" s="6"/>
    </row>
    <row r="623" spans="1:8" ht="20.25" x14ac:dyDescent="0.25">
      <c r="A623" s="10"/>
      <c r="B623" s="11"/>
      <c r="C623" s="11"/>
      <c r="D623" s="11"/>
      <c r="E623" s="11"/>
      <c r="F623" s="11"/>
      <c r="G623" s="11"/>
      <c r="H623" s="6"/>
    </row>
    <row r="624" spans="1:8" ht="20.25" x14ac:dyDescent="0.25">
      <c r="A624" s="10"/>
      <c r="B624" s="11"/>
      <c r="C624" s="11"/>
      <c r="D624" s="11"/>
      <c r="E624" s="11"/>
      <c r="F624" s="11"/>
      <c r="G624" s="11"/>
      <c r="H624" s="6"/>
    </row>
    <row r="625" spans="1:8" ht="20.25" x14ac:dyDescent="0.25">
      <c r="A625" s="10"/>
      <c r="B625" s="11"/>
      <c r="C625" s="11"/>
      <c r="D625" s="11"/>
      <c r="E625" s="11"/>
      <c r="F625" s="11"/>
      <c r="G625" s="11"/>
      <c r="H625" s="6"/>
    </row>
    <row r="626" spans="1:8" ht="20.25" x14ac:dyDescent="0.25">
      <c r="A626" s="10"/>
      <c r="B626" s="11"/>
      <c r="C626" s="11"/>
      <c r="D626" s="11"/>
      <c r="E626" s="11"/>
      <c r="F626" s="11"/>
      <c r="G626" s="11"/>
      <c r="H626" s="6"/>
    </row>
    <row r="627" spans="1:8" ht="20.25" x14ac:dyDescent="0.25">
      <c r="A627" s="10"/>
      <c r="B627" s="11"/>
      <c r="C627" s="11"/>
      <c r="D627" s="11"/>
      <c r="E627" s="11"/>
      <c r="F627" s="11"/>
      <c r="G627" s="11"/>
      <c r="H627" s="6"/>
    </row>
    <row r="628" spans="1:8" ht="20.25" x14ac:dyDescent="0.25">
      <c r="A628" s="10"/>
      <c r="B628" s="11"/>
      <c r="C628" s="11"/>
      <c r="D628" s="11"/>
      <c r="E628" s="11"/>
      <c r="F628" s="11"/>
      <c r="G628" s="11"/>
      <c r="H628" s="6"/>
    </row>
    <row r="629" spans="1:8" ht="20.25" x14ac:dyDescent="0.25">
      <c r="A629" s="10"/>
      <c r="B629" s="11"/>
      <c r="C629" s="11"/>
      <c r="D629" s="11"/>
      <c r="E629" s="11"/>
      <c r="F629" s="11"/>
      <c r="G629" s="11"/>
      <c r="H629" s="6"/>
    </row>
    <row r="630" spans="1:8" ht="20.25" x14ac:dyDescent="0.25">
      <c r="A630" s="10"/>
      <c r="B630" s="11"/>
      <c r="C630" s="11"/>
      <c r="D630" s="11"/>
      <c r="E630" s="11"/>
      <c r="F630" s="11"/>
      <c r="G630" s="11"/>
      <c r="H630" s="6"/>
    </row>
    <row r="631" spans="1:8" ht="20.25" x14ac:dyDescent="0.25">
      <c r="A631" s="10"/>
      <c r="B631" s="11"/>
      <c r="C631" s="11"/>
      <c r="D631" s="11"/>
      <c r="E631" s="11"/>
      <c r="F631" s="11"/>
      <c r="G631" s="11"/>
      <c r="H631" s="6"/>
    </row>
    <row r="632" spans="1:8" ht="20.25" x14ac:dyDescent="0.25">
      <c r="A632" s="10"/>
      <c r="B632" s="11"/>
      <c r="C632" s="11"/>
      <c r="D632" s="11"/>
      <c r="E632" s="11"/>
      <c r="F632" s="11"/>
      <c r="G632" s="11"/>
      <c r="H632" s="6"/>
    </row>
    <row r="633" spans="1:8" ht="20.25" x14ac:dyDescent="0.25">
      <c r="A633" s="10"/>
      <c r="B633" s="11"/>
      <c r="C633" s="11"/>
      <c r="D633" s="11"/>
      <c r="E633" s="11"/>
      <c r="F633" s="11"/>
      <c r="G633" s="11"/>
      <c r="H633" s="6"/>
    </row>
    <row r="634" spans="1:8" ht="20.25" x14ac:dyDescent="0.25">
      <c r="A634" s="10"/>
      <c r="B634" s="11"/>
      <c r="C634" s="11"/>
      <c r="D634" s="11"/>
      <c r="E634" s="11"/>
      <c r="F634" s="11"/>
      <c r="G634" s="11"/>
      <c r="H634" s="6"/>
    </row>
    <row r="635" spans="1:8" ht="20.25" x14ac:dyDescent="0.25">
      <c r="A635" s="10"/>
      <c r="B635" s="11"/>
      <c r="C635" s="11"/>
      <c r="D635" s="11"/>
      <c r="E635" s="11"/>
      <c r="F635" s="11"/>
      <c r="G635" s="11"/>
      <c r="H635" s="6"/>
    </row>
    <row r="636" spans="1:8" ht="20.25" x14ac:dyDescent="0.25">
      <c r="A636" s="10"/>
      <c r="B636" s="11"/>
      <c r="C636" s="11"/>
      <c r="D636" s="11"/>
      <c r="E636" s="11"/>
      <c r="F636" s="11"/>
      <c r="G636" s="11"/>
      <c r="H636" s="6"/>
    </row>
    <row r="637" spans="1:8" ht="20.25" hidden="1" x14ac:dyDescent="0.25">
      <c r="A637" s="10"/>
      <c r="B637" s="11"/>
      <c r="C637" s="11"/>
      <c r="D637" s="11"/>
      <c r="E637" s="11"/>
      <c r="F637" s="11"/>
      <c r="G637" s="11"/>
      <c r="H637" s="6"/>
    </row>
    <row r="638" spans="1:8" ht="20.25" hidden="1" x14ac:dyDescent="0.25">
      <c r="A638" s="10"/>
      <c r="B638" s="11"/>
      <c r="C638" s="11"/>
      <c r="D638" s="11"/>
      <c r="E638" s="11"/>
      <c r="F638" s="11"/>
      <c r="G638" s="11"/>
      <c r="H638" s="6"/>
    </row>
    <row r="639" spans="1:8" ht="20.25" x14ac:dyDescent="0.25">
      <c r="A639" s="12"/>
      <c r="B639" s="13"/>
      <c r="C639" s="13"/>
      <c r="D639" s="13"/>
      <c r="E639" s="13"/>
      <c r="F639" s="13"/>
      <c r="G639" s="13"/>
      <c r="H639" s="7"/>
    </row>
    <row r="640" spans="1:8" ht="20.25" x14ac:dyDescent="0.25">
      <c r="A640" s="134" t="s">
        <v>165</v>
      </c>
      <c r="B640" s="134"/>
      <c r="C640" s="134"/>
      <c r="D640" s="134"/>
      <c r="E640" s="134"/>
      <c r="F640" s="134"/>
      <c r="G640" s="134"/>
      <c r="H640" s="134"/>
    </row>
    <row r="641" spans="1:8" ht="20.25" x14ac:dyDescent="0.25">
      <c r="A641" s="8"/>
      <c r="B641" s="9"/>
      <c r="C641" s="9"/>
      <c r="D641" s="9"/>
      <c r="E641" s="9"/>
      <c r="F641" s="9"/>
      <c r="G641" s="9"/>
      <c r="H641" s="5"/>
    </row>
    <row r="642" spans="1:8" ht="20.25" x14ac:dyDescent="0.25">
      <c r="A642" s="10"/>
      <c r="B642" s="11"/>
      <c r="C642" s="11"/>
      <c r="D642" s="11"/>
      <c r="E642" s="11"/>
      <c r="F642" s="11"/>
      <c r="G642" s="11"/>
      <c r="H642" s="6"/>
    </row>
    <row r="643" spans="1:8" ht="20.25" x14ac:dyDescent="0.25">
      <c r="A643" s="10"/>
      <c r="B643" s="11"/>
      <c r="C643" s="11"/>
      <c r="D643" s="11"/>
      <c r="E643" s="11"/>
      <c r="F643" s="11"/>
      <c r="G643" s="11"/>
      <c r="H643" s="6"/>
    </row>
    <row r="644" spans="1:8" ht="20.25" x14ac:dyDescent="0.25">
      <c r="A644" s="10"/>
      <c r="B644" s="11"/>
      <c r="C644" s="11"/>
      <c r="D644" s="11"/>
      <c r="E644" s="11"/>
      <c r="F644" s="11"/>
      <c r="G644" s="11"/>
      <c r="H644" s="6"/>
    </row>
    <row r="645" spans="1:8" ht="20.25" x14ac:dyDescent="0.25">
      <c r="A645" s="10"/>
      <c r="B645" s="11"/>
      <c r="C645" s="11"/>
      <c r="D645" s="11"/>
      <c r="E645" s="11"/>
      <c r="F645" s="11"/>
      <c r="G645" s="11"/>
      <c r="H645" s="6"/>
    </row>
    <row r="646" spans="1:8" ht="20.25" x14ac:dyDescent="0.25">
      <c r="A646" s="10"/>
      <c r="B646" s="11"/>
      <c r="C646" s="11"/>
      <c r="D646" s="11"/>
      <c r="E646" s="11"/>
      <c r="F646" s="11"/>
      <c r="G646" s="11"/>
      <c r="H646" s="6"/>
    </row>
    <row r="647" spans="1:8" ht="20.25" x14ac:dyDescent="0.25">
      <c r="A647" s="10"/>
      <c r="B647" s="11"/>
      <c r="C647" s="11"/>
      <c r="D647" s="11"/>
      <c r="E647" s="11"/>
      <c r="F647" s="11"/>
      <c r="G647" s="11"/>
      <c r="H647" s="6"/>
    </row>
    <row r="648" spans="1:8" ht="20.25" x14ac:dyDescent="0.25">
      <c r="A648" s="10"/>
      <c r="B648" s="11"/>
      <c r="C648" s="11"/>
      <c r="D648" s="11"/>
      <c r="E648" s="11"/>
      <c r="F648" s="11"/>
      <c r="G648" s="11"/>
      <c r="H648" s="6"/>
    </row>
    <row r="649" spans="1:8" ht="20.25" x14ac:dyDescent="0.25">
      <c r="A649" s="10"/>
      <c r="B649" s="11"/>
      <c r="C649" s="11"/>
      <c r="D649" s="11"/>
      <c r="E649" s="11"/>
      <c r="F649" s="11"/>
      <c r="G649" s="11"/>
      <c r="H649" s="6"/>
    </row>
    <row r="650" spans="1:8" ht="20.25" x14ac:dyDescent="0.25">
      <c r="A650" s="10"/>
      <c r="B650" s="11"/>
      <c r="C650" s="11"/>
      <c r="D650" s="11"/>
      <c r="E650" s="11"/>
      <c r="F650" s="11"/>
      <c r="G650" s="11"/>
      <c r="H650" s="6"/>
    </row>
    <row r="651" spans="1:8" ht="20.25" x14ac:dyDescent="0.25">
      <c r="A651" s="10"/>
      <c r="B651" s="11"/>
      <c r="C651" s="11"/>
      <c r="D651" s="11"/>
      <c r="E651" s="11"/>
      <c r="F651" s="11"/>
      <c r="G651" s="11"/>
      <c r="H651" s="6"/>
    </row>
    <row r="652" spans="1:8" ht="20.25" x14ac:dyDescent="0.25">
      <c r="A652" s="10"/>
      <c r="B652" s="11"/>
      <c r="C652" s="11"/>
      <c r="D652" s="11"/>
      <c r="E652" s="11"/>
      <c r="F652" s="11"/>
      <c r="G652" s="11"/>
      <c r="H652" s="6"/>
    </row>
    <row r="653" spans="1:8" ht="20.25" x14ac:dyDescent="0.25">
      <c r="A653" s="10"/>
      <c r="B653" s="11"/>
      <c r="C653" s="11"/>
      <c r="D653" s="11"/>
      <c r="E653" s="11"/>
      <c r="F653" s="11"/>
      <c r="G653" s="11"/>
      <c r="H653" s="6"/>
    </row>
    <row r="654" spans="1:8" ht="20.25" x14ac:dyDescent="0.25">
      <c r="A654" s="10"/>
      <c r="B654" s="11"/>
      <c r="C654" s="11"/>
      <c r="D654" s="11"/>
      <c r="E654" s="11"/>
      <c r="F654" s="11"/>
      <c r="G654" s="11"/>
      <c r="H654" s="6"/>
    </row>
    <row r="655" spans="1:8" ht="20.25" x14ac:dyDescent="0.25">
      <c r="A655" s="10"/>
      <c r="B655" s="11"/>
      <c r="C655" s="11"/>
      <c r="D655" s="11"/>
      <c r="E655" s="11"/>
      <c r="F655" s="11"/>
      <c r="G655" s="11"/>
      <c r="H655" s="6"/>
    </row>
    <row r="656" spans="1:8" ht="20.25" x14ac:dyDescent="0.25">
      <c r="A656" s="10"/>
      <c r="B656" s="11"/>
      <c r="C656" s="11"/>
      <c r="D656" s="11"/>
      <c r="E656" s="11"/>
      <c r="F656" s="11"/>
      <c r="G656" s="11"/>
      <c r="H656" s="6"/>
    </row>
    <row r="657" spans="1:8" ht="20.25" x14ac:dyDescent="0.25">
      <c r="A657" s="10"/>
      <c r="B657" s="11"/>
      <c r="C657" s="11"/>
      <c r="D657" s="11"/>
      <c r="E657" s="11"/>
      <c r="F657" s="11"/>
      <c r="G657" s="11"/>
      <c r="H657" s="6"/>
    </row>
    <row r="658" spans="1:8" ht="20.25" x14ac:dyDescent="0.25">
      <c r="A658" s="10"/>
      <c r="B658" s="11"/>
      <c r="C658" s="11"/>
      <c r="D658" s="11"/>
      <c r="E658" s="11"/>
      <c r="F658" s="11"/>
      <c r="G658" s="11"/>
      <c r="H658" s="6"/>
    </row>
    <row r="659" spans="1:8" ht="20.25" x14ac:dyDescent="0.25">
      <c r="A659" s="10"/>
      <c r="B659" s="11"/>
      <c r="C659" s="11"/>
      <c r="D659" s="11"/>
      <c r="E659" s="11"/>
      <c r="F659" s="11"/>
      <c r="G659" s="11"/>
      <c r="H659" s="6"/>
    </row>
    <row r="660" spans="1:8" ht="20.25" x14ac:dyDescent="0.25">
      <c r="A660" s="10"/>
      <c r="B660" s="11"/>
      <c r="C660" s="11"/>
      <c r="D660" s="11"/>
      <c r="E660" s="11"/>
      <c r="F660" s="11"/>
      <c r="G660" s="11"/>
      <c r="H660" s="6"/>
    </row>
    <row r="661" spans="1:8" ht="20.25" x14ac:dyDescent="0.25">
      <c r="A661" s="10"/>
      <c r="B661" s="11"/>
      <c r="C661" s="11"/>
      <c r="D661" s="11"/>
      <c r="E661" s="11"/>
      <c r="F661" s="11"/>
      <c r="G661" s="11"/>
      <c r="H661" s="6"/>
    </row>
    <row r="662" spans="1:8" ht="20.25" x14ac:dyDescent="0.25">
      <c r="A662" s="10"/>
      <c r="B662" s="11"/>
      <c r="C662" s="11"/>
      <c r="D662" s="11"/>
      <c r="E662" s="11"/>
      <c r="F662" s="11"/>
      <c r="G662" s="11"/>
      <c r="H662" s="6"/>
    </row>
    <row r="663" spans="1:8" ht="20.25" x14ac:dyDescent="0.25">
      <c r="A663" s="10"/>
      <c r="B663" s="11"/>
      <c r="C663" s="11"/>
      <c r="D663" s="11"/>
      <c r="E663" s="11"/>
      <c r="F663" s="11"/>
      <c r="G663" s="11"/>
      <c r="H663" s="6"/>
    </row>
    <row r="664" spans="1:8" ht="20.25" x14ac:dyDescent="0.25">
      <c r="A664" s="10"/>
      <c r="B664" s="11"/>
      <c r="C664" s="11"/>
      <c r="D664" s="11"/>
      <c r="E664" s="11"/>
      <c r="F664" s="11"/>
      <c r="G664" s="11"/>
      <c r="H664" s="6"/>
    </row>
    <row r="665" spans="1:8" ht="20.25" x14ac:dyDescent="0.25">
      <c r="A665" s="10"/>
      <c r="B665" s="11"/>
      <c r="C665" s="11"/>
      <c r="D665" s="11"/>
      <c r="E665" s="11"/>
      <c r="F665" s="11"/>
      <c r="G665" s="11"/>
      <c r="H665" s="6"/>
    </row>
    <row r="666" spans="1:8" ht="20.25" x14ac:dyDescent="0.25">
      <c r="A666" s="10"/>
      <c r="B666" s="11"/>
      <c r="C666" s="11"/>
      <c r="D666" s="11"/>
      <c r="E666" s="11"/>
      <c r="F666" s="11"/>
      <c r="G666" s="11"/>
      <c r="H666" s="6"/>
    </row>
    <row r="667" spans="1:8" ht="20.25" x14ac:dyDescent="0.25">
      <c r="A667" s="10"/>
      <c r="B667" s="11"/>
      <c r="C667" s="11"/>
      <c r="D667" s="11"/>
      <c r="E667" s="11"/>
      <c r="F667" s="11"/>
      <c r="G667" s="11"/>
      <c r="H667" s="6"/>
    </row>
    <row r="668" spans="1:8" ht="20.25" x14ac:dyDescent="0.25">
      <c r="A668" s="10"/>
      <c r="B668" s="11"/>
      <c r="C668" s="11"/>
      <c r="D668" s="11"/>
      <c r="E668" s="11"/>
      <c r="F668" s="11"/>
      <c r="G668" s="11"/>
      <c r="H668" s="6"/>
    </row>
    <row r="669" spans="1:8" ht="20.25" x14ac:dyDescent="0.25">
      <c r="A669" s="10"/>
      <c r="B669" s="11"/>
      <c r="C669" s="11"/>
      <c r="D669" s="11"/>
      <c r="E669" s="11"/>
      <c r="F669" s="11"/>
      <c r="G669" s="11"/>
      <c r="H669" s="6"/>
    </row>
    <row r="670" spans="1:8" ht="20.25" x14ac:dyDescent="0.25">
      <c r="A670" s="10"/>
      <c r="B670" s="11"/>
      <c r="C670" s="11"/>
      <c r="D670" s="11"/>
      <c r="E670" s="11"/>
      <c r="F670" s="11"/>
      <c r="G670" s="11"/>
      <c r="H670" s="6"/>
    </row>
    <row r="671" spans="1:8" ht="20.25" x14ac:dyDescent="0.25">
      <c r="A671" s="10"/>
      <c r="B671" s="11"/>
      <c r="C671" s="11"/>
      <c r="D671" s="11"/>
      <c r="E671" s="11"/>
      <c r="F671" s="11"/>
      <c r="G671" s="11"/>
      <c r="H671" s="6"/>
    </row>
    <row r="672" spans="1:8" ht="20.25" x14ac:dyDescent="0.25">
      <c r="A672" s="10"/>
      <c r="B672" s="11"/>
      <c r="C672" s="11"/>
      <c r="D672" s="11"/>
      <c r="E672" s="11"/>
      <c r="F672" s="11"/>
      <c r="G672" s="11"/>
      <c r="H672" s="6"/>
    </row>
    <row r="673" spans="1:8" ht="20.25" x14ac:dyDescent="0.25">
      <c r="A673" s="10"/>
      <c r="B673" s="11"/>
      <c r="C673" s="11"/>
      <c r="D673" s="11"/>
      <c r="E673" s="11"/>
      <c r="F673" s="11"/>
      <c r="G673" s="11"/>
      <c r="H673" s="6"/>
    </row>
    <row r="674" spans="1:8" ht="20.25" x14ac:dyDescent="0.25">
      <c r="A674" s="10"/>
      <c r="B674" s="11"/>
      <c r="C674" s="11"/>
      <c r="D674" s="11"/>
      <c r="E674" s="11"/>
      <c r="F674" s="11"/>
      <c r="G674" s="11"/>
      <c r="H674" s="6"/>
    </row>
    <row r="675" spans="1:8" ht="20.25" x14ac:dyDescent="0.25">
      <c r="A675" s="10"/>
      <c r="B675" s="11"/>
      <c r="C675" s="11"/>
      <c r="D675" s="11"/>
      <c r="E675" s="11"/>
      <c r="F675" s="11"/>
      <c r="G675" s="11"/>
      <c r="H675" s="6"/>
    </row>
    <row r="676" spans="1:8" ht="20.25" x14ac:dyDescent="0.25">
      <c r="A676" s="10"/>
      <c r="B676" s="11"/>
      <c r="C676" s="11"/>
      <c r="D676" s="11"/>
      <c r="E676" s="11"/>
      <c r="F676" s="11"/>
      <c r="G676" s="11"/>
      <c r="H676" s="6"/>
    </row>
    <row r="677" spans="1:8" ht="20.25" x14ac:dyDescent="0.25">
      <c r="A677" s="10"/>
      <c r="B677" s="11"/>
      <c r="C677" s="11"/>
      <c r="D677" s="11"/>
      <c r="E677" s="11"/>
      <c r="F677" s="11"/>
      <c r="G677" s="11"/>
      <c r="H677" s="6"/>
    </row>
    <row r="678" spans="1:8" ht="20.25" x14ac:dyDescent="0.25">
      <c r="A678" s="10"/>
      <c r="B678" s="11"/>
      <c r="C678" s="11"/>
      <c r="D678" s="11"/>
      <c r="E678" s="11"/>
      <c r="F678" s="11"/>
      <c r="G678" s="11"/>
      <c r="H678" s="6"/>
    </row>
    <row r="679" spans="1:8" ht="20.25" x14ac:dyDescent="0.25">
      <c r="A679" s="10"/>
      <c r="B679" s="11"/>
      <c r="C679" s="11"/>
      <c r="D679" s="11"/>
      <c r="E679" s="11"/>
      <c r="F679" s="11"/>
      <c r="G679" s="11"/>
      <c r="H679" s="6"/>
    </row>
    <row r="680" spans="1:8" ht="20.25" x14ac:dyDescent="0.25">
      <c r="A680" s="10"/>
      <c r="B680" s="11"/>
      <c r="C680" s="11"/>
      <c r="D680" s="11"/>
      <c r="E680" s="11"/>
      <c r="F680" s="11"/>
      <c r="G680" s="11"/>
      <c r="H680" s="6"/>
    </row>
    <row r="681" spans="1:8" ht="20.25" x14ac:dyDescent="0.25">
      <c r="A681" s="10"/>
      <c r="B681" s="11"/>
      <c r="C681" s="11"/>
      <c r="D681" s="11"/>
      <c r="E681" s="11"/>
      <c r="F681" s="11"/>
      <c r="G681" s="11"/>
      <c r="H681" s="6"/>
    </row>
    <row r="682" spans="1:8" ht="20.25" x14ac:dyDescent="0.25">
      <c r="A682" s="10"/>
      <c r="B682" s="11"/>
      <c r="C682" s="11"/>
      <c r="D682" s="11"/>
      <c r="E682" s="11"/>
      <c r="F682" s="11"/>
      <c r="G682" s="11"/>
      <c r="H682" s="6"/>
    </row>
    <row r="683" spans="1:8" ht="20.25" x14ac:dyDescent="0.25">
      <c r="A683" s="10"/>
      <c r="B683" s="11"/>
      <c r="C683" s="11"/>
      <c r="D683" s="11"/>
      <c r="E683" s="11"/>
      <c r="F683" s="11"/>
      <c r="G683" s="11"/>
      <c r="H683" s="6"/>
    </row>
    <row r="684" spans="1:8" ht="20.25" x14ac:dyDescent="0.25">
      <c r="A684" s="10"/>
      <c r="B684" s="11"/>
      <c r="C684" s="11"/>
      <c r="D684" s="11"/>
      <c r="E684" s="11"/>
      <c r="F684" s="11"/>
      <c r="G684" s="11"/>
      <c r="H684" s="6"/>
    </row>
    <row r="685" spans="1:8" ht="20.25" x14ac:dyDescent="0.25">
      <c r="A685" s="12"/>
      <c r="B685" s="13"/>
      <c r="C685" s="13"/>
      <c r="D685" s="13"/>
      <c r="E685" s="13"/>
      <c r="F685" s="13"/>
      <c r="G685" s="13"/>
      <c r="H685" s="7"/>
    </row>
    <row r="686" spans="1:8" ht="20.25" x14ac:dyDescent="0.25">
      <c r="A686" s="137" t="s">
        <v>77</v>
      </c>
      <c r="B686" s="138"/>
      <c r="C686" s="138"/>
      <c r="D686" s="138"/>
      <c r="E686" s="138"/>
      <c r="F686" s="138"/>
      <c r="G686" s="138"/>
      <c r="H686" s="139"/>
    </row>
    <row r="687" spans="1:8" ht="20.25" x14ac:dyDescent="0.25">
      <c r="A687" s="8"/>
      <c r="B687" s="9"/>
      <c r="C687" s="9"/>
      <c r="D687" s="9"/>
      <c r="E687" s="9"/>
      <c r="F687" s="9"/>
      <c r="G687" s="9"/>
      <c r="H687" s="5"/>
    </row>
    <row r="688" spans="1:8" ht="20.25" x14ac:dyDescent="0.25">
      <c r="A688" s="10"/>
      <c r="B688" s="11"/>
      <c r="C688" s="11"/>
      <c r="D688" s="11"/>
      <c r="E688" s="11"/>
      <c r="F688" s="11"/>
      <c r="G688" s="11"/>
      <c r="H688" s="6"/>
    </row>
    <row r="689" spans="1:8" ht="20.25" x14ac:dyDescent="0.25">
      <c r="A689" s="10"/>
      <c r="B689" s="11"/>
      <c r="C689" s="11"/>
      <c r="D689" s="11"/>
      <c r="E689" s="11"/>
      <c r="F689" s="11"/>
      <c r="G689" s="11"/>
      <c r="H689" s="6"/>
    </row>
    <row r="690" spans="1:8" ht="20.25" x14ac:dyDescent="0.25">
      <c r="A690" s="10"/>
      <c r="B690" s="11"/>
      <c r="C690" s="11"/>
      <c r="D690" s="11"/>
      <c r="E690" s="11"/>
      <c r="F690" s="11"/>
      <c r="G690" s="11"/>
      <c r="H690" s="6"/>
    </row>
    <row r="691" spans="1:8" ht="20.25" x14ac:dyDescent="0.25">
      <c r="A691" s="10"/>
      <c r="B691" s="11"/>
      <c r="C691" s="11"/>
      <c r="D691" s="11"/>
      <c r="E691" s="11"/>
      <c r="F691" s="11"/>
      <c r="G691" s="11"/>
      <c r="H691" s="6"/>
    </row>
    <row r="692" spans="1:8" ht="20.25" x14ac:dyDescent="0.25">
      <c r="A692" s="10"/>
      <c r="B692" s="11"/>
      <c r="C692" s="11"/>
      <c r="D692" s="11"/>
      <c r="E692" s="11"/>
      <c r="F692" s="11"/>
      <c r="G692" s="11"/>
      <c r="H692" s="6"/>
    </row>
    <row r="693" spans="1:8" ht="20.25" x14ac:dyDescent="0.25">
      <c r="A693" s="10"/>
      <c r="B693" s="11"/>
      <c r="C693" s="11"/>
      <c r="D693" s="11"/>
      <c r="E693" s="11"/>
      <c r="F693" s="11"/>
      <c r="G693" s="11"/>
      <c r="H693" s="6"/>
    </row>
    <row r="694" spans="1:8" ht="20.25" x14ac:dyDescent="0.25">
      <c r="A694" s="10"/>
      <c r="B694" s="11"/>
      <c r="C694" s="11"/>
      <c r="D694" s="11"/>
      <c r="E694" s="11"/>
      <c r="F694" s="11"/>
      <c r="G694" s="11"/>
      <c r="H694" s="6"/>
    </row>
    <row r="695" spans="1:8" ht="20.25" x14ac:dyDescent="0.25">
      <c r="A695" s="10"/>
      <c r="B695" s="11"/>
      <c r="C695" s="11"/>
      <c r="D695" s="11"/>
      <c r="E695" s="11"/>
      <c r="F695" s="11"/>
      <c r="G695" s="11"/>
      <c r="H695" s="6"/>
    </row>
    <row r="696" spans="1:8" ht="20.25" x14ac:dyDescent="0.25">
      <c r="A696" s="10"/>
      <c r="B696" s="11"/>
      <c r="C696" s="11"/>
      <c r="D696" s="11"/>
      <c r="E696" s="11"/>
      <c r="F696" s="11"/>
      <c r="G696" s="11"/>
      <c r="H696" s="6"/>
    </row>
    <row r="697" spans="1:8" ht="20.25" x14ac:dyDescent="0.25">
      <c r="A697" s="10"/>
      <c r="B697" s="11"/>
      <c r="C697" s="11"/>
      <c r="D697" s="11"/>
      <c r="E697" s="11"/>
      <c r="F697" s="11"/>
      <c r="G697" s="11"/>
      <c r="H697" s="6"/>
    </row>
    <row r="698" spans="1:8" ht="20.25" x14ac:dyDescent="0.25">
      <c r="A698" s="10"/>
      <c r="B698" s="11"/>
      <c r="C698" s="11"/>
      <c r="D698" s="11"/>
      <c r="E698" s="11"/>
      <c r="F698" s="11"/>
      <c r="G698" s="11"/>
      <c r="H698" s="6"/>
    </row>
    <row r="699" spans="1:8" ht="20.25" x14ac:dyDescent="0.25">
      <c r="A699" s="10"/>
      <c r="B699" s="11"/>
      <c r="C699" s="11"/>
      <c r="D699" s="11"/>
      <c r="E699" s="11"/>
      <c r="F699" s="11"/>
      <c r="G699" s="11"/>
      <c r="H699" s="6"/>
    </row>
    <row r="700" spans="1:8" ht="20.25" x14ac:dyDescent="0.25">
      <c r="A700" s="10"/>
      <c r="B700" s="11"/>
      <c r="C700" s="11"/>
      <c r="D700" s="11"/>
      <c r="E700" s="11"/>
      <c r="F700" s="11"/>
      <c r="G700" s="11"/>
      <c r="H700" s="6"/>
    </row>
    <row r="701" spans="1:8" ht="20.25" x14ac:dyDescent="0.25">
      <c r="A701" s="10"/>
      <c r="B701" s="11"/>
      <c r="C701" s="11"/>
      <c r="D701" s="11"/>
      <c r="E701" s="11"/>
      <c r="F701" s="11"/>
      <c r="G701" s="11"/>
      <c r="H701" s="6"/>
    </row>
    <row r="702" spans="1:8" ht="20.25" x14ac:dyDescent="0.25">
      <c r="A702" s="10"/>
      <c r="B702" s="11"/>
      <c r="C702" s="11"/>
      <c r="D702" s="11"/>
      <c r="E702" s="11"/>
      <c r="F702" s="11"/>
      <c r="G702" s="11"/>
      <c r="H702" s="6"/>
    </row>
    <row r="703" spans="1:8" ht="20.25" x14ac:dyDescent="0.25">
      <c r="A703" s="10"/>
      <c r="B703" s="11"/>
      <c r="C703" s="11"/>
      <c r="D703" s="11"/>
      <c r="E703" s="11"/>
      <c r="F703" s="11"/>
      <c r="G703" s="11"/>
      <c r="H703" s="6"/>
    </row>
    <row r="704" spans="1:8" ht="20.25" x14ac:dyDescent="0.25">
      <c r="A704" s="10"/>
      <c r="B704" s="11"/>
      <c r="C704" s="11"/>
      <c r="D704" s="11"/>
      <c r="E704" s="11"/>
      <c r="F704" s="11"/>
      <c r="G704" s="11"/>
      <c r="H704" s="6"/>
    </row>
    <row r="705" spans="1:8" ht="20.25" x14ac:dyDescent="0.25">
      <c r="A705" s="10"/>
      <c r="B705" s="11"/>
      <c r="C705" s="11"/>
      <c r="D705" s="11"/>
      <c r="E705" s="11"/>
      <c r="F705" s="11"/>
      <c r="G705" s="11"/>
      <c r="H705" s="6"/>
    </row>
    <row r="706" spans="1:8" ht="20.25" x14ac:dyDescent="0.25">
      <c r="A706" s="10"/>
      <c r="B706" s="11"/>
      <c r="C706" s="11"/>
      <c r="D706" s="11"/>
      <c r="E706" s="11"/>
      <c r="F706" s="11"/>
      <c r="G706" s="11"/>
      <c r="H706" s="6"/>
    </row>
    <row r="707" spans="1:8" ht="20.25" x14ac:dyDescent="0.25">
      <c r="A707" s="10"/>
      <c r="B707" s="11"/>
      <c r="C707" s="11"/>
      <c r="D707" s="11"/>
      <c r="E707" s="11"/>
      <c r="F707" s="11"/>
      <c r="G707" s="11"/>
      <c r="H707" s="6"/>
    </row>
    <row r="708" spans="1:8" ht="20.25" x14ac:dyDescent="0.25">
      <c r="A708" s="10"/>
      <c r="B708" s="11"/>
      <c r="C708" s="11"/>
      <c r="D708" s="11"/>
      <c r="E708" s="11"/>
      <c r="F708" s="11"/>
      <c r="G708" s="11"/>
      <c r="H708" s="6"/>
    </row>
    <row r="709" spans="1:8" ht="20.25" x14ac:dyDescent="0.25">
      <c r="A709" s="10"/>
      <c r="B709" s="11"/>
      <c r="C709" s="11"/>
      <c r="D709" s="11"/>
      <c r="E709" s="11"/>
      <c r="F709" s="11"/>
      <c r="G709" s="11"/>
      <c r="H709" s="6"/>
    </row>
    <row r="710" spans="1:8" ht="20.25" x14ac:dyDescent="0.25">
      <c r="A710" s="10"/>
      <c r="B710" s="11"/>
      <c r="C710" s="11"/>
      <c r="D710" s="11"/>
      <c r="E710" s="11"/>
      <c r="F710" s="11"/>
      <c r="G710" s="11"/>
      <c r="H710" s="6"/>
    </row>
    <row r="711" spans="1:8" ht="20.25" x14ac:dyDescent="0.25">
      <c r="A711" s="10"/>
      <c r="B711" s="11"/>
      <c r="C711" s="11"/>
      <c r="D711" s="11"/>
      <c r="E711" s="11"/>
      <c r="F711" s="11"/>
      <c r="G711" s="11"/>
      <c r="H711" s="6"/>
    </row>
    <row r="712" spans="1:8" ht="20.25" x14ac:dyDescent="0.25">
      <c r="A712" s="10"/>
      <c r="B712" s="11"/>
      <c r="C712" s="11"/>
      <c r="D712" s="11"/>
      <c r="E712" s="11"/>
      <c r="F712" s="11"/>
      <c r="G712" s="11"/>
      <c r="H712" s="6"/>
    </row>
    <row r="713" spans="1:8" ht="20.25" x14ac:dyDescent="0.25">
      <c r="A713" s="134" t="s">
        <v>24</v>
      </c>
      <c r="B713" s="134"/>
      <c r="C713" s="134"/>
      <c r="D713" s="134"/>
      <c r="E713" s="134"/>
      <c r="F713" s="134"/>
      <c r="G713" s="134"/>
      <c r="H713" s="134"/>
    </row>
    <row r="714" spans="1:8" ht="20.25" x14ac:dyDescent="0.25">
      <c r="A714" s="153" t="s">
        <v>78</v>
      </c>
      <c r="B714" s="154"/>
      <c r="C714" s="154"/>
      <c r="D714" s="154"/>
      <c r="E714" s="154"/>
      <c r="F714" s="154"/>
      <c r="G714" s="154"/>
      <c r="H714" s="155"/>
    </row>
    <row r="715" spans="1:8" ht="20.25" x14ac:dyDescent="0.25">
      <c r="A715" s="156" t="s">
        <v>79</v>
      </c>
      <c r="B715" s="157"/>
      <c r="C715" s="157"/>
      <c r="D715" s="157"/>
      <c r="E715" s="157"/>
      <c r="F715" s="157"/>
      <c r="G715" s="157"/>
      <c r="H715" s="158"/>
    </row>
    <row r="716" spans="1:8" ht="45" customHeight="1" x14ac:dyDescent="0.25">
      <c r="A716" s="156" t="s">
        <v>80</v>
      </c>
      <c r="B716" s="157"/>
      <c r="C716" s="157"/>
      <c r="D716" s="157"/>
      <c r="E716" s="157"/>
      <c r="F716" s="157"/>
      <c r="G716" s="157"/>
      <c r="H716" s="158"/>
    </row>
    <row r="717" spans="1:8" ht="42.75" customHeight="1" x14ac:dyDescent="0.25">
      <c r="A717" s="156" t="s">
        <v>81</v>
      </c>
      <c r="B717" s="157"/>
      <c r="C717" s="157"/>
      <c r="D717" s="157"/>
      <c r="E717" s="157"/>
      <c r="F717" s="157"/>
      <c r="G717" s="157"/>
      <c r="H717" s="158"/>
    </row>
    <row r="718" spans="1:8" ht="20.25" x14ac:dyDescent="0.25">
      <c r="A718" s="156" t="s">
        <v>82</v>
      </c>
      <c r="B718" s="157"/>
      <c r="C718" s="157"/>
      <c r="D718" s="157"/>
      <c r="E718" s="157"/>
      <c r="F718" s="157"/>
      <c r="G718" s="157"/>
      <c r="H718" s="158"/>
    </row>
    <row r="719" spans="1:8" ht="20.25" x14ac:dyDescent="0.25">
      <c r="A719" s="156" t="s">
        <v>83</v>
      </c>
      <c r="B719" s="157"/>
      <c r="C719" s="157"/>
      <c r="D719" s="157"/>
      <c r="E719" s="157"/>
      <c r="F719" s="157"/>
      <c r="G719" s="157"/>
      <c r="H719" s="158"/>
    </row>
    <row r="720" spans="1:8" ht="45" customHeight="1" x14ac:dyDescent="0.25">
      <c r="A720" s="156" t="s">
        <v>84</v>
      </c>
      <c r="B720" s="157"/>
      <c r="C720" s="157"/>
      <c r="D720" s="157"/>
      <c r="E720" s="157"/>
      <c r="F720" s="157"/>
      <c r="G720" s="157"/>
      <c r="H720" s="158"/>
    </row>
    <row r="721" spans="1:8" ht="45" customHeight="1" x14ac:dyDescent="0.25">
      <c r="A721" s="156" t="s">
        <v>85</v>
      </c>
      <c r="B721" s="157"/>
      <c r="C721" s="157"/>
      <c r="D721" s="157"/>
      <c r="E721" s="157"/>
      <c r="F721" s="157"/>
      <c r="G721" s="157"/>
      <c r="H721" s="158"/>
    </row>
    <row r="722" spans="1:8" ht="20.25" x14ac:dyDescent="0.25">
      <c r="A722" s="159" t="s">
        <v>86</v>
      </c>
      <c r="B722" s="160"/>
      <c r="C722" s="160"/>
      <c r="D722" s="160"/>
      <c r="E722" s="160"/>
      <c r="F722" s="160"/>
      <c r="G722" s="160"/>
      <c r="H722" s="161"/>
    </row>
    <row r="723" spans="1:8" ht="76.5" customHeight="1" x14ac:dyDescent="0.25">
      <c r="A723" s="145" t="s">
        <v>30</v>
      </c>
      <c r="B723" s="146"/>
      <c r="C723" s="147" t="s">
        <v>424</v>
      </c>
      <c r="D723" s="148"/>
      <c r="E723" s="145" t="s">
        <v>9</v>
      </c>
      <c r="F723" s="146"/>
      <c r="G723" s="151"/>
      <c r="H723" s="151"/>
    </row>
  </sheetData>
  <mergeCells count="797">
    <mergeCell ref="B591:H591"/>
    <mergeCell ref="J6:K6"/>
    <mergeCell ref="A489:B489"/>
    <mergeCell ref="A479:B479"/>
    <mergeCell ref="A480:B480"/>
    <mergeCell ref="C478:H479"/>
    <mergeCell ref="A462:B462"/>
    <mergeCell ref="A463:H463"/>
    <mergeCell ref="A464:B464"/>
    <mergeCell ref="A465:B465"/>
    <mergeCell ref="A466:B466"/>
    <mergeCell ref="A467:B467"/>
    <mergeCell ref="A468:B468"/>
    <mergeCell ref="A469:B469"/>
    <mergeCell ref="A470:B470"/>
    <mergeCell ref="A128:B128"/>
    <mergeCell ref="C128:D128"/>
    <mergeCell ref="E128:F128"/>
    <mergeCell ref="G128:H128"/>
    <mergeCell ref="A267:H267"/>
    <mergeCell ref="A268:H268"/>
    <mergeCell ref="C265:H265"/>
    <mergeCell ref="K114:L114"/>
    <mergeCell ref="A266:B266"/>
    <mergeCell ref="A518:H518"/>
    <mergeCell ref="A519:B519"/>
    <mergeCell ref="A520:B520"/>
    <mergeCell ref="A521:B521"/>
    <mergeCell ref="A455:B455"/>
    <mergeCell ref="M114:N114"/>
    <mergeCell ref="A258:H258"/>
    <mergeCell ref="A259:B259"/>
    <mergeCell ref="A260:B260"/>
    <mergeCell ref="A261:B261"/>
    <mergeCell ref="A262:B262"/>
    <mergeCell ref="A263:B263"/>
    <mergeCell ref="A264:B264"/>
    <mergeCell ref="A265:B265"/>
    <mergeCell ref="A249:H249"/>
    <mergeCell ref="A250:B250"/>
    <mergeCell ref="A251:B251"/>
    <mergeCell ref="A252:B252"/>
    <mergeCell ref="A253:B253"/>
    <mergeCell ref="A254:B254"/>
    <mergeCell ref="A255:B255"/>
    <mergeCell ref="A256:B256"/>
    <mergeCell ref="A257:B257"/>
    <mergeCell ref="A240:H240"/>
    <mergeCell ref="A526:B526"/>
    <mergeCell ref="A527:H527"/>
    <mergeCell ref="A528:B528"/>
    <mergeCell ref="A529:B529"/>
    <mergeCell ref="A530:B530"/>
    <mergeCell ref="A531:B531"/>
    <mergeCell ref="A532:B532"/>
    <mergeCell ref="A533:B533"/>
    <mergeCell ref="A534:B534"/>
    <mergeCell ref="A544:B544"/>
    <mergeCell ref="A535:B535"/>
    <mergeCell ref="A536:H536"/>
    <mergeCell ref="A537:B537"/>
    <mergeCell ref="A538:B538"/>
    <mergeCell ref="A539:B539"/>
    <mergeCell ref="A540:B540"/>
    <mergeCell ref="A541:B541"/>
    <mergeCell ref="A542:B542"/>
    <mergeCell ref="A543:B543"/>
    <mergeCell ref="A522:B522"/>
    <mergeCell ref="A523:B523"/>
    <mergeCell ref="A524:B524"/>
    <mergeCell ref="A525:B525"/>
    <mergeCell ref="A471:B471"/>
    <mergeCell ref="A481:H481"/>
    <mergeCell ref="A482:B482"/>
    <mergeCell ref="A483:B483"/>
    <mergeCell ref="A484:B484"/>
    <mergeCell ref="A485:B485"/>
    <mergeCell ref="A486:B486"/>
    <mergeCell ref="A487:B487"/>
    <mergeCell ref="A488:B488"/>
    <mergeCell ref="A472:H472"/>
    <mergeCell ref="A473:B473"/>
    <mergeCell ref="A474:B474"/>
    <mergeCell ref="A475:B475"/>
    <mergeCell ref="A476:B476"/>
    <mergeCell ref="A477:B477"/>
    <mergeCell ref="A478:B478"/>
    <mergeCell ref="A516:B516"/>
    <mergeCell ref="A517:B517"/>
    <mergeCell ref="A494:B494"/>
    <mergeCell ref="A495:B495"/>
    <mergeCell ref="A456:B456"/>
    <mergeCell ref="A457:B457"/>
    <mergeCell ref="A458:B458"/>
    <mergeCell ref="A459:B459"/>
    <mergeCell ref="A460:B460"/>
    <mergeCell ref="A461:B461"/>
    <mergeCell ref="A444:B444"/>
    <mergeCell ref="A445:H445"/>
    <mergeCell ref="A446:B446"/>
    <mergeCell ref="A447:B447"/>
    <mergeCell ref="A448:B448"/>
    <mergeCell ref="A449:B449"/>
    <mergeCell ref="A450:B450"/>
    <mergeCell ref="A451:B451"/>
    <mergeCell ref="A452:B452"/>
    <mergeCell ref="A453:B453"/>
    <mergeCell ref="A454:H454"/>
    <mergeCell ref="A439:B439"/>
    <mergeCell ref="A440:B440"/>
    <mergeCell ref="A441:B441"/>
    <mergeCell ref="A442:B442"/>
    <mergeCell ref="A443:B443"/>
    <mergeCell ref="A427:H427"/>
    <mergeCell ref="A428:B428"/>
    <mergeCell ref="A429:B429"/>
    <mergeCell ref="A430:B430"/>
    <mergeCell ref="A431:B431"/>
    <mergeCell ref="A432:B432"/>
    <mergeCell ref="A433:B433"/>
    <mergeCell ref="A434:B434"/>
    <mergeCell ref="A435:B435"/>
    <mergeCell ref="A421:B421"/>
    <mergeCell ref="A422:B422"/>
    <mergeCell ref="A423:B423"/>
    <mergeCell ref="A424:B424"/>
    <mergeCell ref="A425:B425"/>
    <mergeCell ref="A426:B426"/>
    <mergeCell ref="A436:H436"/>
    <mergeCell ref="A437:B437"/>
    <mergeCell ref="A438:B438"/>
    <mergeCell ref="A246:B246"/>
    <mergeCell ref="A247:B247"/>
    <mergeCell ref="A248:B248"/>
    <mergeCell ref="A231:H231"/>
    <mergeCell ref="A232:B232"/>
    <mergeCell ref="A233:B233"/>
    <mergeCell ref="A234:B234"/>
    <mergeCell ref="A235:B235"/>
    <mergeCell ref="A236:B236"/>
    <mergeCell ref="A237:B237"/>
    <mergeCell ref="A238:B238"/>
    <mergeCell ref="A239:B239"/>
    <mergeCell ref="A245:B245"/>
    <mergeCell ref="A241:B241"/>
    <mergeCell ref="A242:B242"/>
    <mergeCell ref="A243:B243"/>
    <mergeCell ref="A244:B244"/>
    <mergeCell ref="A222:H222"/>
    <mergeCell ref="A223:B223"/>
    <mergeCell ref="A224:B224"/>
    <mergeCell ref="A225:B225"/>
    <mergeCell ref="A226:B226"/>
    <mergeCell ref="A227:B227"/>
    <mergeCell ref="A228:B228"/>
    <mergeCell ref="A229:B229"/>
    <mergeCell ref="A230:B230"/>
    <mergeCell ref="A213:H213"/>
    <mergeCell ref="A214:B214"/>
    <mergeCell ref="A215:B215"/>
    <mergeCell ref="A216:B216"/>
    <mergeCell ref="A217:B217"/>
    <mergeCell ref="A218:B218"/>
    <mergeCell ref="A219:B219"/>
    <mergeCell ref="A220:B220"/>
    <mergeCell ref="A221:B221"/>
    <mergeCell ref="A195:H195"/>
    <mergeCell ref="A196:B196"/>
    <mergeCell ref="A197:B197"/>
    <mergeCell ref="A198:B198"/>
    <mergeCell ref="A199:B199"/>
    <mergeCell ref="A200:B200"/>
    <mergeCell ref="A201:B201"/>
    <mergeCell ref="A202:B202"/>
    <mergeCell ref="A203:B203"/>
    <mergeCell ref="C201:H202"/>
    <mergeCell ref="A204:H204"/>
    <mergeCell ref="A205:B205"/>
    <mergeCell ref="A206:B206"/>
    <mergeCell ref="A207:B207"/>
    <mergeCell ref="A208:B208"/>
    <mergeCell ref="A209:B209"/>
    <mergeCell ref="A210:B210"/>
    <mergeCell ref="A211:B211"/>
    <mergeCell ref="A212:B212"/>
    <mergeCell ref="A186:H186"/>
    <mergeCell ref="A187:B187"/>
    <mergeCell ref="A188:B188"/>
    <mergeCell ref="A189:B189"/>
    <mergeCell ref="A190:B190"/>
    <mergeCell ref="A191:B191"/>
    <mergeCell ref="A192:B192"/>
    <mergeCell ref="A193:B193"/>
    <mergeCell ref="A194:B194"/>
    <mergeCell ref="A547:B547"/>
    <mergeCell ref="A548:B548"/>
    <mergeCell ref="A549:B549"/>
    <mergeCell ref="A550:B550"/>
    <mergeCell ref="A551:B551"/>
    <mergeCell ref="A552:B552"/>
    <mergeCell ref="A553:B553"/>
    <mergeCell ref="C142:H142"/>
    <mergeCell ref="C148:H149"/>
    <mergeCell ref="A159:H159"/>
    <mergeCell ref="A160:B160"/>
    <mergeCell ref="A161:B161"/>
    <mergeCell ref="A162:B162"/>
    <mergeCell ref="A163:B163"/>
    <mergeCell ref="A164:B164"/>
    <mergeCell ref="A165:B165"/>
    <mergeCell ref="A166:B166"/>
    <mergeCell ref="A167:B167"/>
    <mergeCell ref="C165:H166"/>
    <mergeCell ref="A168:H168"/>
    <mergeCell ref="A169:B169"/>
    <mergeCell ref="A170:B170"/>
    <mergeCell ref="A152:B152"/>
    <mergeCell ref="A153:B153"/>
    <mergeCell ref="A154:B154"/>
    <mergeCell ref="A155:B155"/>
    <mergeCell ref="A156:B156"/>
    <mergeCell ref="A157:B157"/>
    <mergeCell ref="A158:B158"/>
    <mergeCell ref="A545:H545"/>
    <mergeCell ref="A546:B546"/>
    <mergeCell ref="A171:B171"/>
    <mergeCell ref="A172:B172"/>
    <mergeCell ref="A173:B173"/>
    <mergeCell ref="A174:B174"/>
    <mergeCell ref="A175:B175"/>
    <mergeCell ref="A176:B176"/>
    <mergeCell ref="A177:H177"/>
    <mergeCell ref="A178:B178"/>
    <mergeCell ref="A179:B179"/>
    <mergeCell ref="A180:B180"/>
    <mergeCell ref="A181:B181"/>
    <mergeCell ref="A182:B182"/>
    <mergeCell ref="A183:B183"/>
    <mergeCell ref="A184:B184"/>
    <mergeCell ref="A185:B185"/>
    <mergeCell ref="C406:H407"/>
    <mergeCell ref="C442:H443"/>
    <mergeCell ref="A134:H134"/>
    <mergeCell ref="A135:H135"/>
    <mergeCell ref="A136:H136"/>
    <mergeCell ref="A137:H137"/>
    <mergeCell ref="A139:H139"/>
    <mergeCell ref="A138:H138"/>
    <mergeCell ref="A140:H140"/>
    <mergeCell ref="A150:H150"/>
    <mergeCell ref="A151:B151"/>
    <mergeCell ref="A111:F111"/>
    <mergeCell ref="A132:H132"/>
    <mergeCell ref="E121:F121"/>
    <mergeCell ref="E122:F122"/>
    <mergeCell ref="E123:F123"/>
    <mergeCell ref="E124:F124"/>
    <mergeCell ref="A121:B121"/>
    <mergeCell ref="A122:B122"/>
    <mergeCell ref="A123:B123"/>
    <mergeCell ref="C121:D121"/>
    <mergeCell ref="A124:B124"/>
    <mergeCell ref="C122:D122"/>
    <mergeCell ref="G121:H121"/>
    <mergeCell ref="G122:H122"/>
    <mergeCell ref="G123:H123"/>
    <mergeCell ref="G124:H124"/>
    <mergeCell ref="C124:D124"/>
    <mergeCell ref="G126:H126"/>
    <mergeCell ref="A127:B127"/>
    <mergeCell ref="G127:H127"/>
    <mergeCell ref="A129:B129"/>
    <mergeCell ref="G129:H129"/>
    <mergeCell ref="A130:B130"/>
    <mergeCell ref="G130:H130"/>
    <mergeCell ref="A95:H95"/>
    <mergeCell ref="A96:C97"/>
    <mergeCell ref="C18:D18"/>
    <mergeCell ref="C19:D19"/>
    <mergeCell ref="C20:D20"/>
    <mergeCell ref="C21:D21"/>
    <mergeCell ref="C22:D22"/>
    <mergeCell ref="C24:H24"/>
    <mergeCell ref="C23:H23"/>
    <mergeCell ref="A71:B71"/>
    <mergeCell ref="A74:B74"/>
    <mergeCell ref="E81:F81"/>
    <mergeCell ref="A82:B82"/>
    <mergeCell ref="E82:F82"/>
    <mergeCell ref="A83:B83"/>
    <mergeCell ref="A45:B45"/>
    <mergeCell ref="A46:B46"/>
    <mergeCell ref="A47:B47"/>
    <mergeCell ref="D46:F46"/>
    <mergeCell ref="D45:F45"/>
    <mergeCell ref="D47:F47"/>
    <mergeCell ref="A48:B48"/>
    <mergeCell ref="D48:F48"/>
    <mergeCell ref="A57:B57"/>
    <mergeCell ref="A58:B58"/>
    <mergeCell ref="C55:F55"/>
    <mergeCell ref="C56:F56"/>
    <mergeCell ref="C57:F57"/>
    <mergeCell ref="C58:F58"/>
    <mergeCell ref="A143:B143"/>
    <mergeCell ref="A144:B144"/>
    <mergeCell ref="A145:B145"/>
    <mergeCell ref="A146:B146"/>
    <mergeCell ref="A79:H79"/>
    <mergeCell ref="A80:C81"/>
    <mergeCell ref="E80:F80"/>
    <mergeCell ref="G111:H111"/>
    <mergeCell ref="G67:H78"/>
    <mergeCell ref="A63:H63"/>
    <mergeCell ref="A66:B66"/>
    <mergeCell ref="A67:B67"/>
    <mergeCell ref="E66:F66"/>
    <mergeCell ref="E64:F64"/>
    <mergeCell ref="E65:F65"/>
    <mergeCell ref="A64:C65"/>
    <mergeCell ref="A73:B73"/>
    <mergeCell ref="E96:F96"/>
    <mergeCell ref="E97:F97"/>
    <mergeCell ref="A565:B565"/>
    <mergeCell ref="A566:B566"/>
    <mergeCell ref="G117:H117"/>
    <mergeCell ref="A141:H141"/>
    <mergeCell ref="A131:B131"/>
    <mergeCell ref="G131:H131"/>
    <mergeCell ref="A571:B571"/>
    <mergeCell ref="A125:H125"/>
    <mergeCell ref="A126:B126"/>
    <mergeCell ref="E126:F126"/>
    <mergeCell ref="A147:B147"/>
    <mergeCell ref="A148:B148"/>
    <mergeCell ref="A149:B149"/>
    <mergeCell ref="A142:B142"/>
    <mergeCell ref="C127:D127"/>
    <mergeCell ref="C131:D131"/>
    <mergeCell ref="A559:B559"/>
    <mergeCell ref="A561:B561"/>
    <mergeCell ref="A562:B562"/>
    <mergeCell ref="A557:B557"/>
    <mergeCell ref="A563:H563"/>
    <mergeCell ref="A564:B564"/>
    <mergeCell ref="A556:B556"/>
    <mergeCell ref="A554:H554"/>
    <mergeCell ref="G115:H115"/>
    <mergeCell ref="G119:H119"/>
    <mergeCell ref="A116:H116"/>
    <mergeCell ref="E113:F113"/>
    <mergeCell ref="A115:B115"/>
    <mergeCell ref="E114:F114"/>
    <mergeCell ref="G114:H114"/>
    <mergeCell ref="A1:H1"/>
    <mergeCell ref="A596:C596"/>
    <mergeCell ref="G27:H27"/>
    <mergeCell ref="G28:H28"/>
    <mergeCell ref="A37:H37"/>
    <mergeCell ref="A44:H44"/>
    <mergeCell ref="A49:H49"/>
    <mergeCell ref="A120:H120"/>
    <mergeCell ref="G118:H118"/>
    <mergeCell ref="G7:H7"/>
    <mergeCell ref="G47:H47"/>
    <mergeCell ref="G45:H45"/>
    <mergeCell ref="A25:H25"/>
    <mergeCell ref="G26:H26"/>
    <mergeCell ref="G20:H20"/>
    <mergeCell ref="G21:H21"/>
    <mergeCell ref="A9:A11"/>
    <mergeCell ref="G6:H6"/>
    <mergeCell ref="A5:H5"/>
    <mergeCell ref="A33:H33"/>
    <mergeCell ref="G30:H30"/>
    <mergeCell ref="G29:H29"/>
    <mergeCell ref="A13:H13"/>
    <mergeCell ref="C26:D26"/>
    <mergeCell ref="G723:H723"/>
    <mergeCell ref="A595:H595"/>
    <mergeCell ref="D597:H597"/>
    <mergeCell ref="A714:H714"/>
    <mergeCell ref="A720:H720"/>
    <mergeCell ref="A721:H721"/>
    <mergeCell ref="A722:H722"/>
    <mergeCell ref="A715:H715"/>
    <mergeCell ref="A716:H716"/>
    <mergeCell ref="A717:H717"/>
    <mergeCell ref="A718:H718"/>
    <mergeCell ref="A597:C597"/>
    <mergeCell ref="A713:H713"/>
    <mergeCell ref="A719:H719"/>
    <mergeCell ref="A686:H686"/>
    <mergeCell ref="D596:H596"/>
    <mergeCell ref="A598:C598"/>
    <mergeCell ref="D598:H598"/>
    <mergeCell ref="A640:H640"/>
    <mergeCell ref="E723:F723"/>
    <mergeCell ref="A723:B723"/>
    <mergeCell ref="C723:D723"/>
    <mergeCell ref="G14:H14"/>
    <mergeCell ref="G16:H16"/>
    <mergeCell ref="G17:H17"/>
    <mergeCell ref="G15:H15"/>
    <mergeCell ref="G18:H18"/>
    <mergeCell ref="G19:H19"/>
    <mergeCell ref="G46:H46"/>
    <mergeCell ref="G31:H31"/>
    <mergeCell ref="G22:H22"/>
    <mergeCell ref="G36:H36"/>
    <mergeCell ref="G35:H35"/>
    <mergeCell ref="E67:F78"/>
    <mergeCell ref="A567:B567"/>
    <mergeCell ref="A560:B560"/>
    <mergeCell ref="A558:B558"/>
    <mergeCell ref="E130:F130"/>
    <mergeCell ref="E127:F127"/>
    <mergeCell ref="C126:D126"/>
    <mergeCell ref="E129:F129"/>
    <mergeCell ref="A555:B555"/>
    <mergeCell ref="C129:D129"/>
    <mergeCell ref="E131:F131"/>
    <mergeCell ref="C130:D130"/>
    <mergeCell ref="A112:H112"/>
    <mergeCell ref="G113:H113"/>
    <mergeCell ref="B590:H590"/>
    <mergeCell ref="B583:H583"/>
    <mergeCell ref="B582:H582"/>
    <mergeCell ref="B586:H586"/>
    <mergeCell ref="B585:H585"/>
    <mergeCell ref="B584:H584"/>
    <mergeCell ref="B589:H589"/>
    <mergeCell ref="A568:B568"/>
    <mergeCell ref="A569:B569"/>
    <mergeCell ref="A570:B570"/>
    <mergeCell ref="A579:B579"/>
    <mergeCell ref="A580:B580"/>
    <mergeCell ref="A576:B576"/>
    <mergeCell ref="A577:B577"/>
    <mergeCell ref="A578:B578"/>
    <mergeCell ref="A572:H572"/>
    <mergeCell ref="A573:B573"/>
    <mergeCell ref="A574:B574"/>
    <mergeCell ref="A575:B575"/>
    <mergeCell ref="A581:H581"/>
    <mergeCell ref="E3:F3"/>
    <mergeCell ref="E4:F4"/>
    <mergeCell ref="E83:F94"/>
    <mergeCell ref="G83:H94"/>
    <mergeCell ref="A84:B84"/>
    <mergeCell ref="A85:B85"/>
    <mergeCell ref="A86:B86"/>
    <mergeCell ref="A87:B87"/>
    <mergeCell ref="A88:B88"/>
    <mergeCell ref="A89:B89"/>
    <mergeCell ref="A90:B90"/>
    <mergeCell ref="A91:B91"/>
    <mergeCell ref="A92:B92"/>
    <mergeCell ref="A93:B93"/>
    <mergeCell ref="A94:B94"/>
    <mergeCell ref="A68:B68"/>
    <mergeCell ref="C27:D27"/>
    <mergeCell ref="A75:B75"/>
    <mergeCell ref="A76:B76"/>
    <mergeCell ref="A77:B77"/>
    <mergeCell ref="A78:B78"/>
    <mergeCell ref="A69:B69"/>
    <mergeCell ref="A70:B70"/>
    <mergeCell ref="A72:B72"/>
    <mergeCell ref="G2:H2"/>
    <mergeCell ref="G3:H3"/>
    <mergeCell ref="G4:H4"/>
    <mergeCell ref="J2:K2"/>
    <mergeCell ref="A6:B6"/>
    <mergeCell ref="A7:B7"/>
    <mergeCell ref="A8:B8"/>
    <mergeCell ref="C6:D6"/>
    <mergeCell ref="A12:B12"/>
    <mergeCell ref="C7:D7"/>
    <mergeCell ref="E6:F6"/>
    <mergeCell ref="E7:F7"/>
    <mergeCell ref="C8:H8"/>
    <mergeCell ref="C9:H9"/>
    <mergeCell ref="C10:H10"/>
    <mergeCell ref="C11:H11"/>
    <mergeCell ref="C12:H12"/>
    <mergeCell ref="A2:B2"/>
    <mergeCell ref="A3:B3"/>
    <mergeCell ref="A4:B4"/>
    <mergeCell ref="C2:D2"/>
    <mergeCell ref="C3:D3"/>
    <mergeCell ref="C4:D4"/>
    <mergeCell ref="E2:F2"/>
    <mergeCell ref="E14:F14"/>
    <mergeCell ref="E15:F15"/>
    <mergeCell ref="E16:F16"/>
    <mergeCell ref="E17:F17"/>
    <mergeCell ref="E18:F18"/>
    <mergeCell ref="E19:F19"/>
    <mergeCell ref="A23:B23"/>
    <mergeCell ref="A24:B24"/>
    <mergeCell ref="E20:F20"/>
    <mergeCell ref="E21:F21"/>
    <mergeCell ref="E22:F22"/>
    <mergeCell ref="C14:D14"/>
    <mergeCell ref="C15:D15"/>
    <mergeCell ref="C16:D16"/>
    <mergeCell ref="C17:D17"/>
    <mergeCell ref="A14:B14"/>
    <mergeCell ref="A15:B15"/>
    <mergeCell ref="A16:B16"/>
    <mergeCell ref="A17:B17"/>
    <mergeCell ref="A18:B18"/>
    <mergeCell ref="A19:B19"/>
    <mergeCell ref="A20:B20"/>
    <mergeCell ref="A21:B21"/>
    <mergeCell ref="A22:B22"/>
    <mergeCell ref="A31:B31"/>
    <mergeCell ref="A32:B32"/>
    <mergeCell ref="E26:F26"/>
    <mergeCell ref="E27:F27"/>
    <mergeCell ref="E28:F28"/>
    <mergeCell ref="E29:F29"/>
    <mergeCell ref="E30:F30"/>
    <mergeCell ref="E31:F31"/>
    <mergeCell ref="C28:D28"/>
    <mergeCell ref="C29:D29"/>
    <mergeCell ref="C30:D30"/>
    <mergeCell ref="C31:D31"/>
    <mergeCell ref="C32:H32"/>
    <mergeCell ref="A28:B28"/>
    <mergeCell ref="A29:B29"/>
    <mergeCell ref="A30:B30"/>
    <mergeCell ref="A26:B26"/>
    <mergeCell ref="A27:B27"/>
    <mergeCell ref="A43:B43"/>
    <mergeCell ref="A38:B38"/>
    <mergeCell ref="A42:B42"/>
    <mergeCell ref="C42:E42"/>
    <mergeCell ref="F42:H42"/>
    <mergeCell ref="C43:H43"/>
    <mergeCell ref="E34:F34"/>
    <mergeCell ref="E35:F35"/>
    <mergeCell ref="E36:F36"/>
    <mergeCell ref="A34:B34"/>
    <mergeCell ref="A35:B35"/>
    <mergeCell ref="A36:B36"/>
    <mergeCell ref="C34:D34"/>
    <mergeCell ref="C35:D35"/>
    <mergeCell ref="C36:D36"/>
    <mergeCell ref="G34:H34"/>
    <mergeCell ref="J38:K38"/>
    <mergeCell ref="M38:N38"/>
    <mergeCell ref="C38:E38"/>
    <mergeCell ref="F38:H38"/>
    <mergeCell ref="C39:E39"/>
    <mergeCell ref="F39:H39"/>
    <mergeCell ref="F40:H40"/>
    <mergeCell ref="C40:E40"/>
    <mergeCell ref="A41:B41"/>
    <mergeCell ref="C41:E41"/>
    <mergeCell ref="F41:H41"/>
    <mergeCell ref="A39:B39"/>
    <mergeCell ref="A40:B40"/>
    <mergeCell ref="G48:H48"/>
    <mergeCell ref="A50:B50"/>
    <mergeCell ref="A52:B52"/>
    <mergeCell ref="A55:B55"/>
    <mergeCell ref="A56:B56"/>
    <mergeCell ref="A51:B51"/>
    <mergeCell ref="C50:H50"/>
    <mergeCell ref="C51:F51"/>
    <mergeCell ref="C52:F52"/>
    <mergeCell ref="C54:F54"/>
    <mergeCell ref="C53:F53"/>
    <mergeCell ref="A53:B54"/>
    <mergeCell ref="A98:B98"/>
    <mergeCell ref="E98:F98"/>
    <mergeCell ref="A99:B99"/>
    <mergeCell ref="E99:F110"/>
    <mergeCell ref="G99:H110"/>
    <mergeCell ref="A100:B100"/>
    <mergeCell ref="A101:B101"/>
    <mergeCell ref="A102:B102"/>
    <mergeCell ref="A103:B103"/>
    <mergeCell ref="A104:B104"/>
    <mergeCell ref="A105:B105"/>
    <mergeCell ref="A106:B106"/>
    <mergeCell ref="A107:B107"/>
    <mergeCell ref="A108:B108"/>
    <mergeCell ref="A109:B109"/>
    <mergeCell ref="A110:B110"/>
    <mergeCell ref="A113:B113"/>
    <mergeCell ref="C113:D113"/>
    <mergeCell ref="C114:D114"/>
    <mergeCell ref="C115:D115"/>
    <mergeCell ref="E115:F115"/>
    <mergeCell ref="A117:F117"/>
    <mergeCell ref="A118:F118"/>
    <mergeCell ref="A119:F119"/>
    <mergeCell ref="C123:D123"/>
    <mergeCell ref="A114:B114"/>
    <mergeCell ref="A274:H274"/>
    <mergeCell ref="A275:B275"/>
    <mergeCell ref="A276:B276"/>
    <mergeCell ref="A277:B277"/>
    <mergeCell ref="A278:B278"/>
    <mergeCell ref="A279:B279"/>
    <mergeCell ref="A280:B280"/>
    <mergeCell ref="C278:H279"/>
    <mergeCell ref="C280:H280"/>
    <mergeCell ref="A302:H302"/>
    <mergeCell ref="A303:B303"/>
    <mergeCell ref="A281:H281"/>
    <mergeCell ref="A282:B282"/>
    <mergeCell ref="A283:B283"/>
    <mergeCell ref="A284:B284"/>
    <mergeCell ref="A285:B285"/>
    <mergeCell ref="A286:B286"/>
    <mergeCell ref="A287:B287"/>
    <mergeCell ref="A288:H288"/>
    <mergeCell ref="A289:B289"/>
    <mergeCell ref="A295:H295"/>
    <mergeCell ref="A296:B296"/>
    <mergeCell ref="A297:B297"/>
    <mergeCell ref="A298:B298"/>
    <mergeCell ref="A299:B299"/>
    <mergeCell ref="A300:B300"/>
    <mergeCell ref="A301:B301"/>
    <mergeCell ref="A290:B290"/>
    <mergeCell ref="A291:B291"/>
    <mergeCell ref="A292:B292"/>
    <mergeCell ref="A293:B293"/>
    <mergeCell ref="A294:B294"/>
    <mergeCell ref="C290:H290"/>
    <mergeCell ref="A358:B358"/>
    <mergeCell ref="A359:B359"/>
    <mergeCell ref="A375:H375"/>
    <mergeCell ref="A420:B420"/>
    <mergeCell ref="A304:B304"/>
    <mergeCell ref="A305:B305"/>
    <mergeCell ref="A306:B306"/>
    <mergeCell ref="A307:B307"/>
    <mergeCell ref="A308:B308"/>
    <mergeCell ref="A348:B348"/>
    <mergeCell ref="A400:H400"/>
    <mergeCell ref="A409:H409"/>
    <mergeCell ref="A410:B410"/>
    <mergeCell ref="A411:B411"/>
    <mergeCell ref="A309:H309"/>
    <mergeCell ref="A310:B310"/>
    <mergeCell ref="A311:B311"/>
    <mergeCell ref="A312:B312"/>
    <mergeCell ref="A313:B313"/>
    <mergeCell ref="A314:B314"/>
    <mergeCell ref="A315:B315"/>
    <mergeCell ref="A316:H316"/>
    <mergeCell ref="A317:B317"/>
    <mergeCell ref="A318:B318"/>
    <mergeCell ref="A319:B319"/>
    <mergeCell ref="A320:B320"/>
    <mergeCell ref="A321:B321"/>
    <mergeCell ref="A322:B322"/>
    <mergeCell ref="C318:H318"/>
    <mergeCell ref="A350:B350"/>
    <mergeCell ref="A354:H354"/>
    <mergeCell ref="A355:B355"/>
    <mergeCell ref="A357:B357"/>
    <mergeCell ref="A332:B332"/>
    <mergeCell ref="A333:B333"/>
    <mergeCell ref="A334:B334"/>
    <mergeCell ref="A335:B335"/>
    <mergeCell ref="A336:B336"/>
    <mergeCell ref="A344:H344"/>
    <mergeCell ref="A345:B345"/>
    <mergeCell ref="A346:B346"/>
    <mergeCell ref="A347:B347"/>
    <mergeCell ref="A323:H323"/>
    <mergeCell ref="A324:B324"/>
    <mergeCell ref="A325:B325"/>
    <mergeCell ref="A326:B326"/>
    <mergeCell ref="A327:B327"/>
    <mergeCell ref="A328:B328"/>
    <mergeCell ref="A329:B329"/>
    <mergeCell ref="A330:H330"/>
    <mergeCell ref="A331:B331"/>
    <mergeCell ref="A515:B515"/>
    <mergeCell ref="A500:B500"/>
    <mergeCell ref="A501:B501"/>
    <mergeCell ref="A502:B502"/>
    <mergeCell ref="A503:B503"/>
    <mergeCell ref="A498:B498"/>
    <mergeCell ref="A514:B514"/>
    <mergeCell ref="A512:B512"/>
    <mergeCell ref="A505:B505"/>
    <mergeCell ref="A506:B506"/>
    <mergeCell ref="A507:B507"/>
    <mergeCell ref="A508:B508"/>
    <mergeCell ref="A509:B509"/>
    <mergeCell ref="A510:B510"/>
    <mergeCell ref="A511:H511"/>
    <mergeCell ref="A496:B496"/>
    <mergeCell ref="A504:H504"/>
    <mergeCell ref="A401:B401"/>
    <mergeCell ref="A402:B402"/>
    <mergeCell ref="A403:B403"/>
    <mergeCell ref="A404:B404"/>
    <mergeCell ref="A405:B405"/>
    <mergeCell ref="A406:B406"/>
    <mergeCell ref="A407:B407"/>
    <mergeCell ref="A408:B408"/>
    <mergeCell ref="A499:B499"/>
    <mergeCell ref="A490:H490"/>
    <mergeCell ref="A491:B491"/>
    <mergeCell ref="A492:B492"/>
    <mergeCell ref="A493:B493"/>
    <mergeCell ref="A417:B417"/>
    <mergeCell ref="A418:H418"/>
    <mergeCell ref="A412:B412"/>
    <mergeCell ref="A413:B413"/>
    <mergeCell ref="A414:B414"/>
    <mergeCell ref="A415:B415"/>
    <mergeCell ref="A416:B416"/>
    <mergeCell ref="A419:B419"/>
    <mergeCell ref="A497:H497"/>
    <mergeCell ref="A370:H370"/>
    <mergeCell ref="A371:B371"/>
    <mergeCell ref="A372:B372"/>
    <mergeCell ref="A373:B373"/>
    <mergeCell ref="A374:B374"/>
    <mergeCell ref="A390:B390"/>
    <mergeCell ref="A391:H391"/>
    <mergeCell ref="A399:B399"/>
    <mergeCell ref="A384:B384"/>
    <mergeCell ref="A385:B385"/>
    <mergeCell ref="A386:B386"/>
    <mergeCell ref="A387:B387"/>
    <mergeCell ref="A388:B388"/>
    <mergeCell ref="A389:B389"/>
    <mergeCell ref="C389:H390"/>
    <mergeCell ref="A376:H376"/>
    <mergeCell ref="A377:H377"/>
    <mergeCell ref="A378:H378"/>
    <mergeCell ref="A379:H379"/>
    <mergeCell ref="A380:H380"/>
    <mergeCell ref="A381:H381"/>
    <mergeCell ref="A382:H382"/>
    <mergeCell ref="A383:B383"/>
    <mergeCell ref="C383:H383"/>
    <mergeCell ref="J4:K4"/>
    <mergeCell ref="A269:H269"/>
    <mergeCell ref="A270:H270"/>
    <mergeCell ref="A271:H271"/>
    <mergeCell ref="A272:H272"/>
    <mergeCell ref="A273:H273"/>
    <mergeCell ref="B587:H587"/>
    <mergeCell ref="B588:H588"/>
    <mergeCell ref="A365:H365"/>
    <mergeCell ref="A366:B366"/>
    <mergeCell ref="A367:B367"/>
    <mergeCell ref="A368:B368"/>
    <mergeCell ref="A369:B369"/>
    <mergeCell ref="A337:H337"/>
    <mergeCell ref="A338:B338"/>
    <mergeCell ref="A339:B339"/>
    <mergeCell ref="A340:B340"/>
    <mergeCell ref="A341:B341"/>
    <mergeCell ref="A342:B342"/>
    <mergeCell ref="A343:B343"/>
    <mergeCell ref="A349:H349"/>
    <mergeCell ref="A351:B351"/>
    <mergeCell ref="A352:B352"/>
    <mergeCell ref="A353:B353"/>
    <mergeCell ref="A59:B60"/>
    <mergeCell ref="C59:F59"/>
    <mergeCell ref="C60:F60"/>
    <mergeCell ref="A61:B62"/>
    <mergeCell ref="C61:F61"/>
    <mergeCell ref="C62:F62"/>
    <mergeCell ref="B593:H593"/>
    <mergeCell ref="B594:H594"/>
    <mergeCell ref="B592:H592"/>
    <mergeCell ref="A356:B356"/>
    <mergeCell ref="C356:H356"/>
    <mergeCell ref="A360:H360"/>
    <mergeCell ref="A361:B361"/>
    <mergeCell ref="A362:B362"/>
    <mergeCell ref="A363:B363"/>
    <mergeCell ref="A364:B364"/>
    <mergeCell ref="A513:B513"/>
    <mergeCell ref="A392:B392"/>
    <mergeCell ref="A393:B393"/>
    <mergeCell ref="A394:B394"/>
    <mergeCell ref="A395:B395"/>
    <mergeCell ref="A396:B396"/>
    <mergeCell ref="A397:B397"/>
    <mergeCell ref="A398:B398"/>
  </mergeCells>
  <dataValidations count="7">
    <dataValidation type="list" allowBlank="1" showInputMessage="1" showErrorMessage="1" sqref="G6:H6" xr:uid="{00000000-0002-0000-0000-000000000000}">
      <formula1>"Mr. Suraj Khare,Mr. Gaurav Pawar,Mr.Vinayak,Mr.Manish,Mr.Vaibhav Gite,Miss Ankita Mohite"</formula1>
    </dataValidation>
    <dataValidation type="list" allowBlank="1" showInputMessage="1" showErrorMessage="1" sqref="G26:H26" xr:uid="{00000000-0002-0000-0000-000001000000}">
      <formula1>"Middle,Upper"</formula1>
    </dataValidation>
    <dataValidation type="list" allowBlank="1" showInputMessage="1" showErrorMessage="1" sqref="C115" xr:uid="{00000000-0002-0000-0000-000002000000}">
      <formula1>"300000,350000,400000,500000,600000,700000,800000,900000,1000000,1200000,1400000,1500000,1600000"</formula1>
    </dataValidation>
    <dataValidation type="list" allowBlank="1" showInputMessage="1" showErrorMessage="1" sqref="F133" xr:uid="{00000000-0002-0000-0000-000003000000}">
      <formula1>"Deck + Utility Area,Fungible area,Balcony Area,Chajja Area,Cornice Area,AP Area,WS Area"</formula1>
    </dataValidation>
    <dataValidation type="list" allowBlank="1" showInputMessage="1" showErrorMessage="1" sqref="C27:D27" xr:uid="{00000000-0002-0000-0000-000004000000}">
      <formula1>"Bitumen,Concrete"</formula1>
    </dataValidation>
    <dataValidation type="list" allowBlank="1" showInputMessage="1" showErrorMessage="1" sqref="C50:H50 G35:H35" xr:uid="{00000000-0002-0000-0000-000005000000}">
      <formula1>"Yes,No"</formula1>
    </dataValidation>
    <dataValidation type="list" allowBlank="1" showInputMessage="1" showErrorMessage="1" sqref="C133" xr:uid="{00000000-0002-0000-0000-000006000000}">
      <formula1>"Sale /         Rehab /           PAP,Sale / Mhada,Sale / Landowner"</formula1>
    </dataValidation>
  </dataValidations>
  <hyperlinks>
    <hyperlink ref="C23" r:id="rId1" xr:uid="{00000000-0004-0000-0000-000000000000}"/>
  </hyperlinks>
  <printOptions horizontalCentered="1"/>
  <pageMargins left="0.27559055118110237" right="0.27559055118110237" top="0.70866141732283472" bottom="0.47244094488188981" header="0.15748031496062992" footer="0.15748031496062992"/>
  <pageSetup paperSize="9" scale="69" fitToHeight="0" orientation="portrait" r:id="rId2"/>
  <headerFooter>
    <oddHeader>&amp;C&amp;25&amp;G</oddHeader>
    <oddFooter>&amp;L&amp;"Times New Roman,Bold"&amp;16Ref No: &amp;F&amp;R&amp;"Times New Roman,Bold"&amp;16&amp;P</oddFooter>
  </headerFooter>
  <rowBreaks count="3" manualBreakCount="3">
    <brk id="594" max="8" man="1"/>
    <brk id="639" max="16383" man="1"/>
    <brk id="68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7:N27"/>
  <sheetViews>
    <sheetView workbookViewId="0">
      <selection activeCell="G35" sqref="G35"/>
    </sheetView>
  </sheetViews>
  <sheetFormatPr defaultRowHeight="15" x14ac:dyDescent="0.25"/>
  <sheetData>
    <row r="17" spans="3:14" x14ac:dyDescent="0.25">
      <c r="D17" t="s">
        <v>368</v>
      </c>
      <c r="L17" t="s">
        <v>368</v>
      </c>
    </row>
    <row r="18" spans="3:14" x14ac:dyDescent="0.25">
      <c r="C18" t="s">
        <v>369</v>
      </c>
      <c r="D18">
        <v>17500000</v>
      </c>
      <c r="E18">
        <f>499</f>
        <v>499</v>
      </c>
      <c r="F18">
        <f>D18/E18</f>
        <v>35070.140280561121</v>
      </c>
      <c r="K18" t="s">
        <v>370</v>
      </c>
      <c r="L18">
        <v>25600000</v>
      </c>
      <c r="M18">
        <v>731</v>
      </c>
      <c r="N18">
        <f>L18/M18</f>
        <v>35020.519835841311</v>
      </c>
    </row>
    <row r="19" spans="3:14" x14ac:dyDescent="0.25">
      <c r="C19" t="s">
        <v>369</v>
      </c>
      <c r="D19">
        <v>16700000</v>
      </c>
      <c r="E19">
        <v>476.2</v>
      </c>
      <c r="F19">
        <f t="shared" ref="F19:F20" si="0">D19/E19</f>
        <v>35069.298614027721</v>
      </c>
      <c r="K19" t="s">
        <v>370</v>
      </c>
      <c r="L19">
        <v>23500000</v>
      </c>
      <c r="M19">
        <v>670.16</v>
      </c>
      <c r="N19">
        <f t="shared" ref="N19:N20" si="1">L19/M19</f>
        <v>35066.252835143845</v>
      </c>
    </row>
    <row r="20" spans="3:14" x14ac:dyDescent="0.25">
      <c r="C20" t="s">
        <v>369</v>
      </c>
      <c r="D20">
        <v>16800000</v>
      </c>
      <c r="E20">
        <v>481.36</v>
      </c>
      <c r="F20">
        <f t="shared" si="0"/>
        <v>34901.113511716801</v>
      </c>
      <c r="K20" t="s">
        <v>370</v>
      </c>
      <c r="L20">
        <v>26200000</v>
      </c>
      <c r="M20">
        <v>748.85</v>
      </c>
      <c r="N20">
        <f t="shared" si="1"/>
        <v>34986.980036055284</v>
      </c>
    </row>
    <row r="21" spans="3:14" x14ac:dyDescent="0.25">
      <c r="F21">
        <f>AVERAGE(F18,F19,F20)</f>
        <v>35013.51746876855</v>
      </c>
      <c r="N21">
        <f>AVERAGE(N18,N19,N20)</f>
        <v>35024.584235680144</v>
      </c>
    </row>
    <row r="25" spans="3:14" x14ac:dyDescent="0.25">
      <c r="D25">
        <v>15500000</v>
      </c>
      <c r="E25">
        <v>536</v>
      </c>
      <c r="F25">
        <f>D25/E25</f>
        <v>28917.910447761195</v>
      </c>
    </row>
    <row r="26" spans="3:14" x14ac:dyDescent="0.25">
      <c r="D26">
        <v>21100000</v>
      </c>
      <c r="E26">
        <v>736</v>
      </c>
      <c r="F26">
        <f>D26/E26</f>
        <v>28668.478260869564</v>
      </c>
    </row>
    <row r="27" spans="3:14" x14ac:dyDescent="0.25">
      <c r="D27">
        <v>34000000</v>
      </c>
      <c r="E27">
        <v>1000</v>
      </c>
      <c r="F27">
        <f>D27/E27</f>
        <v>34000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K55"/>
  <sheetViews>
    <sheetView zoomScale="70" zoomScaleNormal="70" workbookViewId="0">
      <selection activeCell="A4" sqref="A4:C5"/>
    </sheetView>
  </sheetViews>
  <sheetFormatPr defaultRowHeight="15" x14ac:dyDescent="0.25"/>
  <cols>
    <col min="1" max="1" width="23" customWidth="1"/>
    <col min="2" max="2" width="25.7109375" customWidth="1"/>
    <col min="3" max="3" width="17.7109375" customWidth="1"/>
    <col min="4" max="4" width="16" bestFit="1" customWidth="1"/>
    <col min="5" max="9" width="25.7109375" customWidth="1"/>
  </cols>
  <sheetData>
    <row r="3" spans="1:11" s="1" customFormat="1" ht="21" thickBot="1" x14ac:dyDescent="0.3">
      <c r="A3" s="134" t="s">
        <v>69</v>
      </c>
      <c r="B3" s="134"/>
      <c r="C3" s="134"/>
      <c r="D3" s="134"/>
      <c r="E3" s="134"/>
      <c r="F3" s="134"/>
      <c r="G3" s="134"/>
      <c r="H3" s="134"/>
      <c r="I3" s="134"/>
    </row>
    <row r="4" spans="1:11" s="1" customFormat="1" ht="20.25" customHeight="1" x14ac:dyDescent="0.3">
      <c r="A4" s="188">
        <v>1</v>
      </c>
      <c r="B4" s="188"/>
      <c r="C4" s="188"/>
      <c r="D4" s="189" t="s">
        <v>4</v>
      </c>
      <c r="E4" s="29" t="s">
        <v>118</v>
      </c>
      <c r="F4" s="170" t="s">
        <v>105</v>
      </c>
      <c r="G4" s="170"/>
      <c r="H4" s="29" t="s">
        <v>119</v>
      </c>
      <c r="I4" s="29" t="s">
        <v>120</v>
      </c>
      <c r="J4" s="14" t="str">
        <f ca="1">(IF(F7&gt;99%,"All work completed. Please provide OC.",IF(F7&gt;89.8%,"Plinth, RCC, Brick, Plaster, Flooring, Wooden, Plumbing, Electrification, etc., work Completed. Finishing work is in process.",IF(F7&lt;94%,(IF(C7=0,"Work not yet Started.",IF(E7=25%,"Piling work in process",IF(E7=50%,"Excavation work in process",IF(E7=100%,"Excavation work Completed. ","0")))&amp;(IF(C8=0%,"",IF(C8=K9,"Footing work is process",IF(C8=K10,"Footing work Completed",IF(C8=K11,"1st Basement Completed",IF(C8=K12,"1st &amp; 2nd Basement Completed",IF(C8=K13,"1st to 3rd Basement Completed",IF(C8=K14,"1st to 4th Basement Completed",IF(C8=K15,"Plinth work is process",IF(C8=K16,"Plinth work completed","0")))))))))))&amp;(IF(C9=(F5+H5+I5),", RCC Slab",IF(C9&gt;0,", RCC upto "&amp;C9&amp;" Slab",""))&amp;(IF(C10=I5,", Brickwork",IF(C10&gt;0,", Brickwork upto "&amp;C10&amp;" Floor",""))&amp;(IF(C11=I5,", Internal Plaster",IF(C11&gt;0,", Internal Plaster upto "&amp;C11&amp;" Floor",""))&amp;(IF(C12=I5,", External Plaster",IF(C12&gt;0,", External Plaster upto "&amp;C12&amp;" Floor",""))&amp;(IF(C13=I5,", External Plumbing, Elevation and Waterproofing",IF(C13&gt;0,", External Plumbing, Elevation and Waterproofing upto "&amp;C13&amp;" Floor",""))&amp;(IF(C14=I5,", Flooring &amp; Fitting",IF(C14&gt;0,", Flooring &amp; Fitting upto "&amp;C14&amp;" Floor",""))&amp;(IF(C15=I5,", Wooden Work",IF(C15&gt;0,", Wooden Work upto "&amp;C15&amp;" Floor",""))&amp;(IF(C16=I5,", Electrical &amp; Sanitary fittings",IF(C16&gt;0,", Electrical &amp; Sanitary fittings upto "&amp;C16&amp;" Floor",""))&amp;(IF(C17&gt;0,", Finishing upto "&amp;C17&amp;" Floor","")&amp;(IF(C9&gt;0.5," Completed",""))))))))))))))))</f>
        <v>Excavation work Completed. Plinth work completed</v>
      </c>
      <c r="K4" s="16"/>
    </row>
    <row r="5" spans="1:11" s="1" customFormat="1" ht="20.25" x14ac:dyDescent="0.3">
      <c r="A5" s="188"/>
      <c r="B5" s="188"/>
      <c r="C5" s="188"/>
      <c r="D5" s="189"/>
      <c r="E5" s="29">
        <v>3</v>
      </c>
      <c r="F5" s="170">
        <v>1</v>
      </c>
      <c r="G5" s="170"/>
      <c r="H5" s="29">
        <v>0</v>
      </c>
      <c r="I5" s="29">
        <f ca="1">--TRIM(RIGHT(SUBSTITUTE(LEFT(A4,_xlfn.AGGREGATE(16,6,FIND({0,1,2,3,4,5,6,7,8,9},A4,ROW(INDIRECT("1:"&amp;LEN(A4)))),1))," ",REPT(" ",LEN(A4))),LEN(A4)))</f>
        <v>1</v>
      </c>
      <c r="J5" s="15" t="s">
        <v>124</v>
      </c>
      <c r="K5" s="16"/>
    </row>
    <row r="6" spans="1:11" s="1" customFormat="1" ht="20.25" customHeight="1" x14ac:dyDescent="0.3">
      <c r="A6" s="114" t="s">
        <v>122</v>
      </c>
      <c r="B6" s="114"/>
      <c r="C6" s="114" t="s">
        <v>136</v>
      </c>
      <c r="D6" s="114"/>
      <c r="E6" s="30" t="s">
        <v>137</v>
      </c>
      <c r="F6" s="114" t="s">
        <v>123</v>
      </c>
      <c r="G6" s="114"/>
      <c r="H6" s="26" t="s">
        <v>121</v>
      </c>
      <c r="I6" s="26"/>
      <c r="J6" s="18" t="s">
        <v>138</v>
      </c>
      <c r="K6" s="17">
        <f ca="1">I5*25%</f>
        <v>0.25</v>
      </c>
    </row>
    <row r="7" spans="1:11" s="1" customFormat="1" ht="20.25" customHeight="1" x14ac:dyDescent="0.3">
      <c r="A7" s="115" t="s">
        <v>139</v>
      </c>
      <c r="B7" s="115"/>
      <c r="C7" s="170">
        <f ca="1">K8</f>
        <v>1</v>
      </c>
      <c r="D7" s="170"/>
      <c r="E7" s="28">
        <f ca="1">((100/I5)*C7)/100</f>
        <v>1</v>
      </c>
      <c r="F7" s="115">
        <f ca="1">(((C7/I5*10)+(C8/I5*25)+(25/(F5+H5+I5)*C9)+(5/(I5)*C10)+(2.5/(I5)*C11)+(2.5/(I5)*C12)+(5/I5*C13)+(2.5/I5*C14)+(2.5/I5*C15)+(5/I5*C16)+(10/I5*C17)+(5/I5*C18))/100)</f>
        <v>0.35</v>
      </c>
      <c r="G7" s="115"/>
      <c r="H7" s="115" t="str">
        <f ca="1">J4</f>
        <v>Excavation work Completed. Plinth work completed</v>
      </c>
      <c r="I7" s="115"/>
      <c r="J7" s="18" t="s">
        <v>125</v>
      </c>
      <c r="K7" s="22">
        <f ca="1">I5*50%</f>
        <v>0.5</v>
      </c>
    </row>
    <row r="8" spans="1:11" s="1" customFormat="1" ht="20.25" x14ac:dyDescent="0.3">
      <c r="A8" s="115" t="s">
        <v>106</v>
      </c>
      <c r="B8" s="115"/>
      <c r="C8" s="190">
        <f ca="1">K16</f>
        <v>1</v>
      </c>
      <c r="D8" s="170"/>
      <c r="E8" s="28">
        <f ca="1">((100/I5)*C8)/100</f>
        <v>1</v>
      </c>
      <c r="F8" s="115"/>
      <c r="G8" s="115"/>
      <c r="H8" s="115"/>
      <c r="I8" s="115"/>
      <c r="J8" s="18" t="s">
        <v>126</v>
      </c>
      <c r="K8" s="22">
        <f ca="1">I5</f>
        <v>1</v>
      </c>
    </row>
    <row r="9" spans="1:11" s="1" customFormat="1" ht="21" customHeight="1" x14ac:dyDescent="0.35">
      <c r="A9" s="115" t="s">
        <v>140</v>
      </c>
      <c r="B9" s="115"/>
      <c r="C9" s="170">
        <v>0</v>
      </c>
      <c r="D9" s="170"/>
      <c r="E9" s="28">
        <f ca="1">((100/(F5+H5+I5))*C9)/100</f>
        <v>0</v>
      </c>
      <c r="F9" s="115"/>
      <c r="G9" s="115"/>
      <c r="H9" s="115"/>
      <c r="I9" s="115"/>
      <c r="J9" s="18" t="s">
        <v>127</v>
      </c>
      <c r="K9" s="23">
        <f ca="1">(IF(E5&gt;1,(I5/(E5+2)),I5*0.2))</f>
        <v>0.2</v>
      </c>
    </row>
    <row r="10" spans="1:11" s="1" customFormat="1" ht="21" customHeight="1" x14ac:dyDescent="0.35">
      <c r="A10" s="115" t="s">
        <v>141</v>
      </c>
      <c r="B10" s="115"/>
      <c r="C10" s="170">
        <v>0</v>
      </c>
      <c r="D10" s="170"/>
      <c r="E10" s="28">
        <f ca="1">((100/I5)*C10)/100</f>
        <v>0</v>
      </c>
      <c r="F10" s="115"/>
      <c r="G10" s="115"/>
      <c r="H10" s="115"/>
      <c r="I10" s="115"/>
      <c r="J10" s="18" t="s">
        <v>128</v>
      </c>
      <c r="K10" s="23">
        <f ca="1">(IF(E5&gt;1,(I5/(E5+2)+K9),I5*0.2+K9))</f>
        <v>0.4</v>
      </c>
    </row>
    <row r="11" spans="1:11" s="1" customFormat="1" ht="21" customHeight="1" x14ac:dyDescent="0.35">
      <c r="A11" s="122" t="s">
        <v>142</v>
      </c>
      <c r="B11" s="123"/>
      <c r="C11" s="170">
        <v>0</v>
      </c>
      <c r="D11" s="170"/>
      <c r="E11" s="28">
        <f ca="1">((100/I5)*C11)/100</f>
        <v>0</v>
      </c>
      <c r="F11" s="115"/>
      <c r="G11" s="115"/>
      <c r="H11" s="115"/>
      <c r="I11" s="115"/>
      <c r="J11" s="18" t="s">
        <v>143</v>
      </c>
      <c r="K11" s="23">
        <f ca="1">(IF(E5&gt;1,(I5/(E5+2)+K10),0))</f>
        <v>0.60000000000000009</v>
      </c>
    </row>
    <row r="12" spans="1:11" s="1" customFormat="1" ht="21" customHeight="1" x14ac:dyDescent="0.35">
      <c r="A12" s="122" t="s">
        <v>174</v>
      </c>
      <c r="B12" s="123"/>
      <c r="C12" s="170">
        <v>0</v>
      </c>
      <c r="D12" s="170"/>
      <c r="E12" s="28">
        <f ca="1">((100/I5)*C12)/100</f>
        <v>0</v>
      </c>
      <c r="F12" s="115"/>
      <c r="G12" s="115"/>
      <c r="H12" s="115"/>
      <c r="I12" s="115"/>
      <c r="J12" s="18" t="s">
        <v>144</v>
      </c>
      <c r="K12" s="23">
        <f ca="1">(IF(E5&gt;2,(I5/(E5+2)+K11),0))</f>
        <v>0.8</v>
      </c>
    </row>
    <row r="13" spans="1:11" s="1" customFormat="1" ht="57.75" customHeight="1" x14ac:dyDescent="0.35">
      <c r="A13" s="122" t="s">
        <v>171</v>
      </c>
      <c r="B13" s="123"/>
      <c r="C13" s="170">
        <v>0</v>
      </c>
      <c r="D13" s="170"/>
      <c r="E13" s="28">
        <f ca="1">((100/(I5))*C13)/100</f>
        <v>0</v>
      </c>
      <c r="F13" s="115"/>
      <c r="G13" s="115"/>
      <c r="H13" s="115"/>
      <c r="I13" s="115"/>
      <c r="J13" s="18" t="s">
        <v>146</v>
      </c>
      <c r="K13" s="24">
        <f>(IF(E5&gt;3,(I5/(E5+2)+K12),0))</f>
        <v>0</v>
      </c>
    </row>
    <row r="14" spans="1:11" s="1" customFormat="1" ht="21" x14ac:dyDescent="0.35">
      <c r="A14" s="115" t="s">
        <v>145</v>
      </c>
      <c r="B14" s="115"/>
      <c r="C14" s="170">
        <v>0</v>
      </c>
      <c r="D14" s="170"/>
      <c r="E14" s="28">
        <f ca="1">((100/(I5))*C14)/100</f>
        <v>0</v>
      </c>
      <c r="F14" s="115"/>
      <c r="G14" s="115"/>
      <c r="H14" s="115"/>
      <c r="I14" s="115"/>
      <c r="J14" s="18" t="s">
        <v>147</v>
      </c>
      <c r="K14" s="23">
        <f>(IF(E5&gt;4,(I5/(E5+2)+K13),0))</f>
        <v>0</v>
      </c>
    </row>
    <row r="15" spans="1:11" s="1" customFormat="1" ht="21" customHeight="1" x14ac:dyDescent="0.35">
      <c r="A15" s="115" t="s">
        <v>173</v>
      </c>
      <c r="B15" s="115"/>
      <c r="C15" s="170">
        <v>0</v>
      </c>
      <c r="D15" s="170"/>
      <c r="E15" s="28">
        <f ca="1">((100/I5)*C15)/100</f>
        <v>0</v>
      </c>
      <c r="F15" s="115"/>
      <c r="G15" s="115"/>
      <c r="H15" s="115"/>
      <c r="I15" s="115"/>
      <c r="J15" s="18" t="s">
        <v>129</v>
      </c>
      <c r="K15" s="23">
        <f>(IF(E5=1,(I5/(E5+3)+K10),IF(E5=0,(I5*0.3+K10),IF(E5&gt;1,0))))</f>
        <v>0</v>
      </c>
    </row>
    <row r="16" spans="1:11" s="1" customFormat="1" ht="21.75" thickBot="1" x14ac:dyDescent="0.4">
      <c r="A16" s="115" t="s">
        <v>172</v>
      </c>
      <c r="B16" s="115"/>
      <c r="C16" s="170">
        <v>0</v>
      </c>
      <c r="D16" s="170"/>
      <c r="E16" s="28">
        <f ca="1">((100/I5)*C16)/100</f>
        <v>0</v>
      </c>
      <c r="F16" s="115"/>
      <c r="G16" s="115"/>
      <c r="H16" s="115"/>
      <c r="I16" s="115"/>
      <c r="J16" s="20" t="s">
        <v>130</v>
      </c>
      <c r="K16" s="25">
        <f ca="1">(IF(E5&gt;1.5,(I5/(E5+2)+K10+MAX(0,K11-K10)+MAX(0,K12-K11)+MAX(0,K13-K12)+MAX(0,K14-K13)+MAX(0,K15-K14)),IF(E5=1,(I5/(E5+3)+K15),IF(E5=0,I5*0.3+K15))))</f>
        <v>1</v>
      </c>
    </row>
    <row r="17" spans="1:9" s="1" customFormat="1" ht="20.25" x14ac:dyDescent="0.25">
      <c r="A17" s="115" t="s">
        <v>148</v>
      </c>
      <c r="B17" s="115"/>
      <c r="C17" s="170">
        <v>0</v>
      </c>
      <c r="D17" s="170"/>
      <c r="E17" s="28">
        <f ca="1">((100/(I5))*C17)/100</f>
        <v>0</v>
      </c>
      <c r="F17" s="115"/>
      <c r="G17" s="115"/>
      <c r="H17" s="115"/>
      <c r="I17" s="115"/>
    </row>
    <row r="18" spans="1:9" s="1" customFormat="1" ht="20.25" x14ac:dyDescent="0.25">
      <c r="A18" s="115" t="s">
        <v>149</v>
      </c>
      <c r="B18" s="115"/>
      <c r="C18" s="170">
        <v>0</v>
      </c>
      <c r="D18" s="170"/>
      <c r="E18" s="28">
        <f ca="1">((100/(I5))*C18)/100</f>
        <v>0</v>
      </c>
      <c r="F18" s="115"/>
      <c r="G18" s="115"/>
      <c r="H18" s="115"/>
      <c r="I18" s="115"/>
    </row>
    <row r="23" spans="1:9" x14ac:dyDescent="0.25">
      <c r="B23" s="191" t="s">
        <v>175</v>
      </c>
      <c r="C23" s="191"/>
      <c r="D23" s="191"/>
      <c r="E23" s="191"/>
      <c r="F23" s="191"/>
      <c r="G23" s="191"/>
    </row>
    <row r="24" spans="1:9" ht="14.45" customHeight="1" x14ac:dyDescent="0.25">
      <c r="B24" s="194" t="s">
        <v>176</v>
      </c>
      <c r="C24" s="194" t="s">
        <v>177</v>
      </c>
      <c r="D24" s="197" t="s">
        <v>178</v>
      </c>
      <c r="E24" s="198" t="s">
        <v>179</v>
      </c>
      <c r="F24" s="195" t="s">
        <v>180</v>
      </c>
      <c r="G24" s="194" t="s">
        <v>181</v>
      </c>
    </row>
    <row r="25" spans="1:9" x14ac:dyDescent="0.25">
      <c r="B25" s="194"/>
      <c r="C25" s="194"/>
      <c r="D25" s="197"/>
      <c r="E25" s="198"/>
      <c r="F25" s="195"/>
      <c r="G25" s="194"/>
    </row>
    <row r="26" spans="1:9" x14ac:dyDescent="0.25">
      <c r="B26" s="37" t="s">
        <v>182</v>
      </c>
      <c r="C26" s="38">
        <v>10</v>
      </c>
      <c r="D26" s="38">
        <v>1</v>
      </c>
      <c r="E26" s="39"/>
      <c r="F26" s="40">
        <f>((E26/D26)*0.05)*100</f>
        <v>0</v>
      </c>
      <c r="G26" s="40">
        <f t="shared" ref="G26:G37" si="0">((E26/D26)*(C26/100))*100</f>
        <v>0</v>
      </c>
    </row>
    <row r="27" spans="1:9" x14ac:dyDescent="0.25">
      <c r="B27" s="37" t="s">
        <v>183</v>
      </c>
      <c r="C27" s="39">
        <v>10</v>
      </c>
      <c r="D27" s="39">
        <v>1</v>
      </c>
      <c r="E27" s="39"/>
      <c r="F27" s="40">
        <f>((E27/D27)*0.05)*100</f>
        <v>0</v>
      </c>
      <c r="G27" s="40">
        <f t="shared" si="0"/>
        <v>0</v>
      </c>
    </row>
    <row r="28" spans="1:9" x14ac:dyDescent="0.25">
      <c r="B28" s="37" t="s">
        <v>184</v>
      </c>
      <c r="C28" s="39">
        <v>15</v>
      </c>
      <c r="D28" s="39">
        <v>1</v>
      </c>
      <c r="E28" s="39"/>
      <c r="F28" s="40">
        <f>((E28/D28)*0.15)*100</f>
        <v>0</v>
      </c>
      <c r="G28" s="40">
        <f t="shared" si="0"/>
        <v>0</v>
      </c>
    </row>
    <row r="29" spans="1:9" x14ac:dyDescent="0.25">
      <c r="B29" s="41" t="s">
        <v>185</v>
      </c>
      <c r="C29" s="39">
        <v>25</v>
      </c>
      <c r="D29" s="39">
        <v>40</v>
      </c>
      <c r="E29" s="39"/>
      <c r="F29" s="40">
        <f>((E29/D29)*0.25)*100</f>
        <v>0</v>
      </c>
      <c r="G29" s="40">
        <f t="shared" si="0"/>
        <v>0</v>
      </c>
    </row>
    <row r="30" spans="1:9" x14ac:dyDescent="0.25">
      <c r="B30" s="41" t="s">
        <v>186</v>
      </c>
      <c r="C30" s="39">
        <v>5</v>
      </c>
      <c r="D30" s="39">
        <v>39</v>
      </c>
      <c r="E30" s="39"/>
      <c r="F30" s="40">
        <f>((E30/D30)*0.05)*100</f>
        <v>0</v>
      </c>
      <c r="G30" s="40">
        <f t="shared" si="0"/>
        <v>0</v>
      </c>
    </row>
    <row r="31" spans="1:9" ht="30" x14ac:dyDescent="0.25">
      <c r="B31" s="41" t="s">
        <v>187</v>
      </c>
      <c r="C31" s="39">
        <v>2.5</v>
      </c>
      <c r="D31" s="39">
        <v>39</v>
      </c>
      <c r="E31" s="39"/>
      <c r="F31" s="40">
        <f>((E31/D31)*0.025)*100</f>
        <v>0</v>
      </c>
      <c r="G31" s="40">
        <f t="shared" si="0"/>
        <v>0</v>
      </c>
    </row>
    <row r="32" spans="1:9" ht="30" x14ac:dyDescent="0.25">
      <c r="B32" s="41" t="s">
        <v>188</v>
      </c>
      <c r="C32" s="39">
        <v>2.5</v>
      </c>
      <c r="D32" s="39">
        <v>39</v>
      </c>
      <c r="E32" s="39"/>
      <c r="F32" s="40">
        <f>((E32/D32)*0.025)*100</f>
        <v>0</v>
      </c>
      <c r="G32" s="40">
        <f t="shared" si="0"/>
        <v>0</v>
      </c>
    </row>
    <row r="33" spans="1:7" ht="45" x14ac:dyDescent="0.25">
      <c r="B33" s="42" t="s">
        <v>189</v>
      </c>
      <c r="C33" s="39">
        <v>5</v>
      </c>
      <c r="D33" s="39">
        <v>39</v>
      </c>
      <c r="E33" s="39"/>
      <c r="F33" s="40">
        <f>((E33/D33)*0.05)*100</f>
        <v>0</v>
      </c>
      <c r="G33" s="40">
        <f t="shared" si="0"/>
        <v>0</v>
      </c>
    </row>
    <row r="34" spans="1:7" ht="30" x14ac:dyDescent="0.25">
      <c r="B34" s="42" t="s">
        <v>190</v>
      </c>
      <c r="C34" s="39">
        <v>5</v>
      </c>
      <c r="D34" s="39">
        <v>39</v>
      </c>
      <c r="E34" s="39"/>
      <c r="F34" s="40">
        <f>((E34/D34)*0.1)*100</f>
        <v>0</v>
      </c>
      <c r="G34" s="40">
        <f t="shared" si="0"/>
        <v>0</v>
      </c>
    </row>
    <row r="35" spans="1:7" ht="30" x14ac:dyDescent="0.25">
      <c r="B35" s="42" t="s">
        <v>191</v>
      </c>
      <c r="C35" s="39">
        <v>5</v>
      </c>
      <c r="D35" s="39">
        <v>39</v>
      </c>
      <c r="E35" s="39"/>
      <c r="F35" s="40">
        <f>((E35/D35)*0.05)*100</f>
        <v>0</v>
      </c>
      <c r="G35" s="40">
        <f t="shared" si="0"/>
        <v>0</v>
      </c>
    </row>
    <row r="36" spans="1:7" ht="60" x14ac:dyDescent="0.25">
      <c r="B36" s="42" t="s">
        <v>192</v>
      </c>
      <c r="C36" s="39">
        <v>10</v>
      </c>
      <c r="D36" s="39">
        <v>39</v>
      </c>
      <c r="E36" s="39"/>
      <c r="F36" s="40">
        <f>((E36/D36)*0.1)*100</f>
        <v>0</v>
      </c>
      <c r="G36" s="40">
        <f t="shared" si="0"/>
        <v>0</v>
      </c>
    </row>
    <row r="37" spans="1:7" ht="45" x14ac:dyDescent="0.25">
      <c r="B37" s="42" t="s">
        <v>193</v>
      </c>
      <c r="C37" s="39">
        <v>5</v>
      </c>
      <c r="D37" s="39">
        <v>39</v>
      </c>
      <c r="E37" s="39"/>
      <c r="F37" s="40">
        <f>((E37/D37)*0.1)*100</f>
        <v>0</v>
      </c>
      <c r="G37" s="40">
        <f t="shared" si="0"/>
        <v>0</v>
      </c>
    </row>
    <row r="38" spans="1:7" ht="15.75" x14ac:dyDescent="0.25">
      <c r="B38" s="43" t="s">
        <v>194</v>
      </c>
      <c r="C38" s="44">
        <f>SUM(C26:C37)</f>
        <v>100</v>
      </c>
      <c r="D38" s="43"/>
      <c r="E38" s="43"/>
      <c r="F38" s="44">
        <f>SUM(F26:F37)</f>
        <v>0</v>
      </c>
      <c r="G38" s="44">
        <f>SUM(G26:G37)</f>
        <v>0</v>
      </c>
    </row>
    <row r="39" spans="1:7" x14ac:dyDescent="0.25">
      <c r="B39" s="195" t="s">
        <v>195</v>
      </c>
      <c r="C39" s="195"/>
      <c r="D39" s="195"/>
      <c r="E39" s="195"/>
      <c r="F39" s="195"/>
      <c r="G39" s="195"/>
    </row>
    <row r="40" spans="1:7" x14ac:dyDescent="0.25">
      <c r="B40" s="196" t="s">
        <v>196</v>
      </c>
      <c r="C40" s="196"/>
      <c r="D40" s="196"/>
      <c r="E40" s="196" t="s">
        <v>197</v>
      </c>
      <c r="F40" s="196"/>
      <c r="G40" s="196"/>
    </row>
    <row r="41" spans="1:7" x14ac:dyDescent="0.25">
      <c r="B41" s="192" t="s">
        <v>198</v>
      </c>
      <c r="C41" s="192"/>
      <c r="D41" s="192"/>
      <c r="E41" s="192" t="s">
        <v>199</v>
      </c>
      <c r="F41" s="192"/>
      <c r="G41" s="192"/>
    </row>
    <row r="42" spans="1:7" x14ac:dyDescent="0.25">
      <c r="B42" s="192" t="s">
        <v>200</v>
      </c>
      <c r="C42" s="192"/>
      <c r="D42" s="192"/>
      <c r="E42" s="192" t="s">
        <v>201</v>
      </c>
      <c r="F42" s="192"/>
      <c r="G42" s="192"/>
    </row>
    <row r="43" spans="1:7" x14ac:dyDescent="0.25">
      <c r="B43" s="193" t="s">
        <v>202</v>
      </c>
      <c r="C43" s="193"/>
      <c r="D43" s="193"/>
      <c r="E43" s="193" t="s">
        <v>203</v>
      </c>
      <c r="F43" s="193"/>
      <c r="G43" s="193"/>
    </row>
    <row r="45" spans="1:7" ht="15.75" thickBot="1" x14ac:dyDescent="0.3"/>
    <row r="46" spans="1:7" ht="17.25" thickTop="1" thickBot="1" x14ac:dyDescent="0.3">
      <c r="A46" s="45" t="s">
        <v>204</v>
      </c>
      <c r="B46" s="45" t="s">
        <v>176</v>
      </c>
      <c r="C46" s="46" t="s">
        <v>205</v>
      </c>
      <c r="D46" s="46" t="s">
        <v>206</v>
      </c>
      <c r="E46" s="46" t="s">
        <v>207</v>
      </c>
    </row>
    <row r="47" spans="1:7" ht="31.5" thickTop="1" thickBot="1" x14ac:dyDescent="0.3">
      <c r="A47" s="47">
        <v>1</v>
      </c>
      <c r="B47" s="48" t="s">
        <v>208</v>
      </c>
      <c r="C47" s="49">
        <v>0</v>
      </c>
      <c r="D47" s="50">
        <v>0.1</v>
      </c>
      <c r="E47" s="49">
        <v>0.1</v>
      </c>
    </row>
    <row r="48" spans="1:7" ht="31.5" thickTop="1" thickBot="1" x14ac:dyDescent="0.3">
      <c r="A48" s="47">
        <v>2</v>
      </c>
      <c r="B48" s="48" t="s">
        <v>209</v>
      </c>
      <c r="C48" s="49" t="s">
        <v>210</v>
      </c>
      <c r="D48" s="50" t="s">
        <v>211</v>
      </c>
      <c r="E48" s="49">
        <v>0.3</v>
      </c>
    </row>
    <row r="49" spans="1:5" ht="61.5" thickTop="1" thickBot="1" x14ac:dyDescent="0.3">
      <c r="A49" s="47">
        <v>3</v>
      </c>
      <c r="B49" s="48" t="s">
        <v>212</v>
      </c>
      <c r="C49" s="49" t="s">
        <v>213</v>
      </c>
      <c r="D49" s="50" t="s">
        <v>214</v>
      </c>
      <c r="E49" s="49">
        <v>0.45</v>
      </c>
    </row>
    <row r="50" spans="1:5" ht="76.5" thickTop="1" thickBot="1" x14ac:dyDescent="0.3">
      <c r="A50" s="47">
        <v>4</v>
      </c>
      <c r="B50" s="48" t="s">
        <v>215</v>
      </c>
      <c r="C50" s="49" t="s">
        <v>216</v>
      </c>
      <c r="D50" s="50" t="s">
        <v>217</v>
      </c>
      <c r="E50" s="49">
        <v>0.7</v>
      </c>
    </row>
    <row r="51" spans="1:5" ht="76.5" thickTop="1" thickBot="1" x14ac:dyDescent="0.3">
      <c r="A51" s="47">
        <v>5</v>
      </c>
      <c r="B51" s="48" t="s">
        <v>218</v>
      </c>
      <c r="C51" s="49" t="s">
        <v>219</v>
      </c>
      <c r="D51" s="50" t="s">
        <v>220</v>
      </c>
      <c r="E51" s="49">
        <v>0.75</v>
      </c>
    </row>
    <row r="52" spans="1:5" ht="76.5" thickTop="1" thickBot="1" x14ac:dyDescent="0.3">
      <c r="A52" s="47">
        <v>6</v>
      </c>
      <c r="B52" s="48" t="s">
        <v>221</v>
      </c>
      <c r="C52" s="49" t="s">
        <v>222</v>
      </c>
      <c r="D52" s="50" t="s">
        <v>223</v>
      </c>
      <c r="E52" s="49">
        <v>0.8</v>
      </c>
    </row>
    <row r="53" spans="1:5" ht="121.5" thickTop="1" thickBot="1" x14ac:dyDescent="0.3">
      <c r="A53" s="47">
        <v>7</v>
      </c>
      <c r="B53" s="48" t="s">
        <v>224</v>
      </c>
      <c r="C53" s="49" t="s">
        <v>225</v>
      </c>
      <c r="D53" s="50" t="s">
        <v>226</v>
      </c>
      <c r="E53" s="49">
        <v>0.85</v>
      </c>
    </row>
    <row r="54" spans="1:5" ht="211.5" thickTop="1" thickBot="1" x14ac:dyDescent="0.3">
      <c r="A54" s="47">
        <v>8</v>
      </c>
      <c r="B54" s="48" t="s">
        <v>227</v>
      </c>
      <c r="C54" s="49" t="s">
        <v>228</v>
      </c>
      <c r="D54" s="50" t="s">
        <v>229</v>
      </c>
      <c r="E54" s="49">
        <v>0.95</v>
      </c>
    </row>
    <row r="55" spans="1:5" ht="91.5" thickTop="1" thickBot="1" x14ac:dyDescent="0.3">
      <c r="A55" s="47">
        <v>9</v>
      </c>
      <c r="B55" s="48" t="s">
        <v>230</v>
      </c>
      <c r="C55" s="49" t="s">
        <v>231</v>
      </c>
      <c r="D55" s="50" t="s">
        <v>232</v>
      </c>
      <c r="E55" s="49">
        <v>1</v>
      </c>
    </row>
  </sheetData>
  <mergeCells count="50">
    <mergeCell ref="B42:D42"/>
    <mergeCell ref="E42:G42"/>
    <mergeCell ref="B43:D43"/>
    <mergeCell ref="E43:G43"/>
    <mergeCell ref="G24:G25"/>
    <mergeCell ref="B39:G39"/>
    <mergeCell ref="B40:D40"/>
    <mergeCell ref="E40:G40"/>
    <mergeCell ref="B41:D41"/>
    <mergeCell ref="E41:G41"/>
    <mergeCell ref="B24:B25"/>
    <mergeCell ref="C24:C25"/>
    <mergeCell ref="D24:D25"/>
    <mergeCell ref="E24:E25"/>
    <mergeCell ref="F24:F25"/>
    <mergeCell ref="A17:B17"/>
    <mergeCell ref="C17:D17"/>
    <mergeCell ref="A18:B18"/>
    <mergeCell ref="C18:D18"/>
    <mergeCell ref="B23:G23"/>
    <mergeCell ref="A14:B14"/>
    <mergeCell ref="C14:D14"/>
    <mergeCell ref="A15:B15"/>
    <mergeCell ref="C15:D15"/>
    <mergeCell ref="A16:B16"/>
    <mergeCell ref="C16:D16"/>
    <mergeCell ref="A7:B7"/>
    <mergeCell ref="C7:D7"/>
    <mergeCell ref="F7:G18"/>
    <mergeCell ref="H7:I18"/>
    <mergeCell ref="A8:B8"/>
    <mergeCell ref="C8:D8"/>
    <mergeCell ref="A9:B9"/>
    <mergeCell ref="C9:D9"/>
    <mergeCell ref="A10:B10"/>
    <mergeCell ref="C10:D10"/>
    <mergeCell ref="A11:B11"/>
    <mergeCell ref="C11:D11"/>
    <mergeCell ref="A12:B12"/>
    <mergeCell ref="C12:D12"/>
    <mergeCell ref="A13:B13"/>
    <mergeCell ref="C13:D13"/>
    <mergeCell ref="A6:B6"/>
    <mergeCell ref="C6:D6"/>
    <mergeCell ref="F6:G6"/>
    <mergeCell ref="A3:I3"/>
    <mergeCell ref="A4:C5"/>
    <mergeCell ref="D4:D5"/>
    <mergeCell ref="F4:G4"/>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25" workbookViewId="0">
      <selection activeCell="C37" sqref="C37"/>
    </sheetView>
  </sheetViews>
  <sheetFormatPr defaultRowHeight="15" x14ac:dyDescent="0.25"/>
  <cols>
    <col min="2" max="2" width="3" bestFit="1" customWidth="1"/>
    <col min="3" max="3" width="155.28515625" customWidth="1"/>
  </cols>
  <sheetData>
    <row r="2" spans="2:3" ht="30" x14ac:dyDescent="0.25">
      <c r="B2" s="39">
        <v>1</v>
      </c>
      <c r="C2" s="56" t="s">
        <v>251</v>
      </c>
    </row>
    <row r="3" spans="2:3" x14ac:dyDescent="0.25">
      <c r="B3" s="39">
        <v>2</v>
      </c>
      <c r="C3" s="57" t="s">
        <v>252</v>
      </c>
    </row>
    <row r="4" spans="2:3" x14ac:dyDescent="0.25">
      <c r="B4" s="39">
        <v>3</v>
      </c>
      <c r="C4" s="39" t="s">
        <v>253</v>
      </c>
    </row>
    <row r="5" spans="2:3" x14ac:dyDescent="0.25">
      <c r="B5" s="39">
        <v>4</v>
      </c>
      <c r="C5" s="57" t="s">
        <v>254</v>
      </c>
    </row>
    <row r="6" spans="2:3" x14ac:dyDescent="0.25">
      <c r="B6" s="39">
        <v>5</v>
      </c>
      <c r="C6" s="39" t="s">
        <v>255</v>
      </c>
    </row>
    <row r="7" spans="2:3" ht="30" x14ac:dyDescent="0.25">
      <c r="B7" s="39">
        <v>6</v>
      </c>
      <c r="C7" s="57" t="s">
        <v>256</v>
      </c>
    </row>
    <row r="8" spans="2:3" ht="75" x14ac:dyDescent="0.25">
      <c r="B8" s="39">
        <v>7</v>
      </c>
      <c r="C8" s="57" t="s">
        <v>257</v>
      </c>
    </row>
    <row r="9" spans="2:3" x14ac:dyDescent="0.25">
      <c r="B9" s="39">
        <v>8</v>
      </c>
      <c r="C9" s="39" t="s">
        <v>258</v>
      </c>
    </row>
    <row r="10" spans="2:3" x14ac:dyDescent="0.25">
      <c r="B10" s="39">
        <v>9</v>
      </c>
      <c r="C10" s="39" t="s">
        <v>259</v>
      </c>
    </row>
    <row r="11" spans="2:3" x14ac:dyDescent="0.25">
      <c r="B11" s="39">
        <v>10</v>
      </c>
      <c r="C11" s="39" t="s">
        <v>260</v>
      </c>
    </row>
    <row r="12" spans="2:3" x14ac:dyDescent="0.25">
      <c r="B12" s="39">
        <v>11</v>
      </c>
      <c r="C12" s="39" t="s">
        <v>261</v>
      </c>
    </row>
    <row r="13" spans="2:3" x14ac:dyDescent="0.25">
      <c r="B13" s="39">
        <v>12</v>
      </c>
      <c r="C13" s="39" t="s">
        <v>262</v>
      </c>
    </row>
    <row r="14" spans="2:3" x14ac:dyDescent="0.25">
      <c r="B14" s="39">
        <v>13</v>
      </c>
      <c r="C14" s="39" t="s">
        <v>263</v>
      </c>
    </row>
    <row r="15" spans="2:3" x14ac:dyDescent="0.25">
      <c r="B15" s="39">
        <v>14</v>
      </c>
      <c r="C15" s="39" t="s">
        <v>253</v>
      </c>
    </row>
    <row r="16" spans="2:3" x14ac:dyDescent="0.25">
      <c r="B16" s="39">
        <v>15</v>
      </c>
      <c r="C16" s="39" t="s">
        <v>245</v>
      </c>
    </row>
    <row r="17" spans="2:3" x14ac:dyDescent="0.25">
      <c r="B17" s="58">
        <v>16</v>
      </c>
      <c r="C17" s="59" t="s">
        <v>264</v>
      </c>
    </row>
    <row r="18" spans="2:3" x14ac:dyDescent="0.25">
      <c r="B18" s="60">
        <v>17</v>
      </c>
      <c r="C18" s="59" t="s">
        <v>265</v>
      </c>
    </row>
    <row r="19" spans="2:3" x14ac:dyDescent="0.25">
      <c r="B19" s="61">
        <v>18</v>
      </c>
      <c r="C19" s="39" t="s">
        <v>266</v>
      </c>
    </row>
    <row r="20" spans="2:3" x14ac:dyDescent="0.25">
      <c r="B20" s="60">
        <v>19</v>
      </c>
      <c r="C20" s="39" t="s">
        <v>267</v>
      </c>
    </row>
    <row r="21" spans="2:3" x14ac:dyDescent="0.25">
      <c r="B21" s="39">
        <v>20</v>
      </c>
      <c r="C21" s="39" t="s">
        <v>268</v>
      </c>
    </row>
    <row r="22" spans="2:3" x14ac:dyDescent="0.25">
      <c r="B22" s="60">
        <v>21</v>
      </c>
      <c r="C22" s="39" t="s">
        <v>266</v>
      </c>
    </row>
    <row r="23" spans="2:3" s="63" customFormat="1" ht="30" x14ac:dyDescent="0.25">
      <c r="B23" s="62">
        <v>22</v>
      </c>
      <c r="C23" s="56" t="s">
        <v>269</v>
      </c>
    </row>
    <row r="24" spans="2:3" s="63" customFormat="1" ht="30" x14ac:dyDescent="0.25">
      <c r="B24" s="64">
        <v>23</v>
      </c>
      <c r="C24" s="56" t="s">
        <v>270</v>
      </c>
    </row>
    <row r="25" spans="2:3" x14ac:dyDescent="0.25">
      <c r="B25" s="39">
        <v>24</v>
      </c>
      <c r="C25" s="39" t="s">
        <v>271</v>
      </c>
    </row>
    <row r="26" spans="2:3" x14ac:dyDescent="0.25">
      <c r="B26" s="60">
        <v>25</v>
      </c>
      <c r="C26" s="39" t="s">
        <v>272</v>
      </c>
    </row>
    <row r="27" spans="2:3" x14ac:dyDescent="0.25">
      <c r="B27" s="64">
        <v>26</v>
      </c>
      <c r="C27" s="39" t="s">
        <v>273</v>
      </c>
    </row>
    <row r="28" spans="2:3" x14ac:dyDescent="0.25">
      <c r="B28" s="60">
        <v>27</v>
      </c>
      <c r="C28" s="39" t="s">
        <v>274</v>
      </c>
    </row>
    <row r="29" spans="2:3" ht="60" x14ac:dyDescent="0.25">
      <c r="B29" s="65">
        <v>28</v>
      </c>
      <c r="C29" s="57" t="s">
        <v>275</v>
      </c>
    </row>
    <row r="30" spans="2:3" x14ac:dyDescent="0.25">
      <c r="B30" s="64">
        <v>29</v>
      </c>
      <c r="C30" s="39" t="s">
        <v>276</v>
      </c>
    </row>
    <row r="31" spans="2:3" ht="30" x14ac:dyDescent="0.25">
      <c r="B31" s="64">
        <v>30</v>
      </c>
      <c r="C31" s="57" t="s">
        <v>304</v>
      </c>
    </row>
    <row r="32" spans="2:3" x14ac:dyDescent="0.25">
      <c r="B32" s="64">
        <v>31</v>
      </c>
      <c r="C32" s="39" t="s">
        <v>305</v>
      </c>
    </row>
    <row r="33" spans="2:3" x14ac:dyDescent="0.25">
      <c r="B33" s="64">
        <v>32</v>
      </c>
      <c r="C33" s="39" t="s">
        <v>306</v>
      </c>
    </row>
    <row r="34" spans="2:3" ht="30" x14ac:dyDescent="0.25">
      <c r="B34" s="64">
        <v>33</v>
      </c>
      <c r="C34" s="59" t="s">
        <v>307</v>
      </c>
    </row>
    <row r="35" spans="2:3" x14ac:dyDescent="0.25">
      <c r="B35" s="64">
        <v>34</v>
      </c>
      <c r="C35" s="39"/>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heetViews>
  <sheetFormatPr defaultColWidth="9.140625" defaultRowHeight="15" x14ac:dyDescent="0.25"/>
  <cols>
    <col min="1" max="1" width="9.140625" style="66"/>
    <col min="2" max="2" width="12.28515625" style="66" customWidth="1"/>
    <col min="3" max="16384" width="9.140625" style="66"/>
  </cols>
  <sheetData>
    <row r="2" spans="1:12" x14ac:dyDescent="0.25">
      <c r="B2" s="67" t="s">
        <v>277</v>
      </c>
      <c r="C2" s="199"/>
      <c r="D2" s="199"/>
    </row>
    <row r="3" spans="1:12" x14ac:dyDescent="0.25">
      <c r="D3" s="68"/>
      <c r="E3" s="68"/>
      <c r="F3" s="68"/>
      <c r="G3" s="68"/>
      <c r="H3" s="68"/>
      <c r="I3" s="68"/>
    </row>
    <row r="4" spans="1:12" x14ac:dyDescent="0.25">
      <c r="A4" s="67" t="s">
        <v>278</v>
      </c>
      <c r="B4" s="55" t="s">
        <v>279</v>
      </c>
      <c r="C4" s="200" t="s">
        <v>280</v>
      </c>
      <c r="D4" s="200"/>
      <c r="E4" s="200"/>
      <c r="F4" s="55"/>
      <c r="G4" s="201" t="s">
        <v>281</v>
      </c>
      <c r="H4" s="201"/>
      <c r="I4" s="201"/>
      <c r="J4" s="202" t="s">
        <v>282</v>
      </c>
      <c r="K4" s="202"/>
      <c r="L4" s="202"/>
    </row>
    <row r="5" spans="1:12" x14ac:dyDescent="0.25">
      <c r="A5" s="67"/>
      <c r="B5" s="55"/>
      <c r="C5" s="55" t="s">
        <v>283</v>
      </c>
      <c r="D5" s="55" t="s">
        <v>284</v>
      </c>
      <c r="E5" s="55" t="s">
        <v>285</v>
      </c>
      <c r="F5" s="55"/>
      <c r="G5" s="55" t="s">
        <v>283</v>
      </c>
      <c r="H5" s="55" t="s">
        <v>284</v>
      </c>
      <c r="I5" s="55" t="s">
        <v>285</v>
      </c>
      <c r="J5" s="55" t="s">
        <v>283</v>
      </c>
      <c r="K5" s="55" t="s">
        <v>284</v>
      </c>
      <c r="L5" s="55" t="s">
        <v>285</v>
      </c>
    </row>
    <row r="6" spans="1:12" x14ac:dyDescent="0.25">
      <c r="B6" s="54" t="s">
        <v>286</v>
      </c>
      <c r="C6" s="54"/>
      <c r="D6" s="54"/>
      <c r="E6" s="54">
        <f>C6*D6</f>
        <v>0</v>
      </c>
      <c r="F6" s="54" t="s">
        <v>287</v>
      </c>
      <c r="G6" s="54"/>
      <c r="H6" s="54"/>
      <c r="I6" s="54">
        <f>G6*H6</f>
        <v>0</v>
      </c>
      <c r="J6" s="54"/>
      <c r="K6" s="54"/>
      <c r="L6" s="54">
        <f>J6*K6</f>
        <v>0</v>
      </c>
    </row>
    <row r="7" spans="1:12" x14ac:dyDescent="0.25">
      <c r="B7" s="54"/>
      <c r="C7" s="54"/>
      <c r="D7" s="54"/>
      <c r="E7" s="54">
        <f t="shared" ref="E7:E41" si="0">C7*D7</f>
        <v>0</v>
      </c>
      <c r="F7" s="54" t="s">
        <v>287</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288</v>
      </c>
      <c r="G9" s="54"/>
      <c r="H9" s="54"/>
      <c r="I9" s="54">
        <f t="shared" si="1"/>
        <v>0</v>
      </c>
      <c r="J9" s="54"/>
      <c r="K9" s="54"/>
      <c r="L9" s="54">
        <f t="shared" si="2"/>
        <v>0</v>
      </c>
    </row>
    <row r="10" spans="1:12" x14ac:dyDescent="0.25">
      <c r="B10" s="54" t="s">
        <v>289</v>
      </c>
      <c r="C10" s="54"/>
      <c r="D10" s="54"/>
      <c r="E10" s="54">
        <f t="shared" si="0"/>
        <v>0</v>
      </c>
      <c r="F10" s="54" t="s">
        <v>288</v>
      </c>
      <c r="G10" s="54"/>
      <c r="H10" s="54"/>
      <c r="I10" s="54">
        <f t="shared" si="1"/>
        <v>0</v>
      </c>
      <c r="J10" s="54"/>
      <c r="K10" s="54"/>
      <c r="L10" s="54">
        <f t="shared" si="2"/>
        <v>0</v>
      </c>
    </row>
    <row r="11" spans="1:12" x14ac:dyDescent="0.25">
      <c r="B11" s="54"/>
      <c r="C11" s="54"/>
      <c r="D11" s="54"/>
      <c r="E11" s="54">
        <f t="shared" si="0"/>
        <v>0</v>
      </c>
      <c r="F11" s="54" t="s">
        <v>290</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291</v>
      </c>
      <c r="C14" s="54"/>
      <c r="D14" s="54"/>
      <c r="E14" s="54">
        <f t="shared" si="0"/>
        <v>0</v>
      </c>
      <c r="F14" s="54" t="s">
        <v>288</v>
      </c>
      <c r="G14" s="54"/>
      <c r="H14" s="54"/>
      <c r="I14" s="54">
        <f t="shared" si="1"/>
        <v>0</v>
      </c>
      <c r="J14" s="54"/>
      <c r="K14" s="54"/>
      <c r="L14" s="54">
        <f t="shared" si="2"/>
        <v>0</v>
      </c>
    </row>
    <row r="15" spans="1:12" x14ac:dyDescent="0.25">
      <c r="B15" s="54"/>
      <c r="C15" s="54"/>
      <c r="D15" s="54"/>
      <c r="E15" s="54">
        <f t="shared" si="0"/>
        <v>0</v>
      </c>
      <c r="F15" s="54" t="s">
        <v>290</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292</v>
      </c>
      <c r="C18" s="54"/>
      <c r="D18" s="54"/>
      <c r="E18" s="54">
        <f t="shared" si="0"/>
        <v>0</v>
      </c>
      <c r="F18" s="54" t="s">
        <v>288</v>
      </c>
      <c r="G18" s="54"/>
      <c r="H18" s="54"/>
      <c r="I18" s="54">
        <f t="shared" si="1"/>
        <v>0</v>
      </c>
      <c r="J18" s="54"/>
      <c r="K18" s="54"/>
      <c r="L18" s="54">
        <f t="shared" si="2"/>
        <v>0</v>
      </c>
    </row>
    <row r="19" spans="2:12" x14ac:dyDescent="0.25">
      <c r="B19" s="54"/>
      <c r="C19" s="54"/>
      <c r="D19" s="54"/>
      <c r="E19" s="54">
        <f t="shared" si="0"/>
        <v>0</v>
      </c>
      <c r="F19" s="54" t="s">
        <v>290</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293</v>
      </c>
      <c r="C21" s="54"/>
      <c r="D21" s="54"/>
      <c r="E21" s="54">
        <f t="shared" si="0"/>
        <v>0</v>
      </c>
      <c r="F21" s="54" t="s">
        <v>288</v>
      </c>
      <c r="G21" s="54"/>
      <c r="H21" s="54"/>
      <c r="I21" s="54">
        <f t="shared" si="1"/>
        <v>0</v>
      </c>
      <c r="J21" s="54"/>
      <c r="K21" s="54"/>
      <c r="L21" s="54">
        <f t="shared" si="2"/>
        <v>0</v>
      </c>
    </row>
    <row r="22" spans="2:12" x14ac:dyDescent="0.25">
      <c r="B22" s="54"/>
      <c r="C22" s="54"/>
      <c r="D22" s="54"/>
      <c r="E22" s="54">
        <f t="shared" si="0"/>
        <v>0</v>
      </c>
      <c r="F22" s="54" t="s">
        <v>290</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294</v>
      </c>
      <c r="C24" s="54"/>
      <c r="D24" s="54"/>
      <c r="E24" s="54">
        <f t="shared" si="0"/>
        <v>0</v>
      </c>
      <c r="F24" s="54" t="s">
        <v>295</v>
      </c>
      <c r="G24" s="54"/>
      <c r="H24" s="54"/>
      <c r="I24" s="54">
        <f t="shared" si="1"/>
        <v>0</v>
      </c>
      <c r="J24" s="54"/>
      <c r="K24" s="54"/>
      <c r="L24" s="54">
        <f t="shared" si="2"/>
        <v>0</v>
      </c>
    </row>
    <row r="25" spans="2:12" x14ac:dyDescent="0.25">
      <c r="B25" s="54"/>
      <c r="C25" s="54"/>
      <c r="D25" s="54"/>
      <c r="E25" s="54">
        <f t="shared" si="0"/>
        <v>0</v>
      </c>
      <c r="F25" s="54" t="s">
        <v>295</v>
      </c>
      <c r="G25" s="54"/>
      <c r="H25" s="54"/>
      <c r="I25" s="54">
        <f t="shared" si="1"/>
        <v>0</v>
      </c>
      <c r="J25" s="54"/>
      <c r="K25" s="54"/>
      <c r="L25" s="54">
        <f t="shared" si="2"/>
        <v>0</v>
      </c>
    </row>
    <row r="26" spans="2:12" x14ac:dyDescent="0.25">
      <c r="B26" s="54"/>
      <c r="C26" s="54"/>
      <c r="D26" s="54"/>
      <c r="E26" s="54">
        <f t="shared" si="0"/>
        <v>0</v>
      </c>
      <c r="F26" s="54" t="s">
        <v>295</v>
      </c>
      <c r="G26" s="54"/>
      <c r="H26" s="54"/>
      <c r="I26" s="54">
        <f t="shared" si="1"/>
        <v>0</v>
      </c>
      <c r="J26" s="54"/>
      <c r="K26" s="54"/>
      <c r="L26" s="54">
        <f t="shared" si="2"/>
        <v>0</v>
      </c>
    </row>
    <row r="27" spans="2:12" x14ac:dyDescent="0.25">
      <c r="B27" s="54"/>
      <c r="C27" s="54"/>
      <c r="D27" s="54"/>
      <c r="E27" s="54">
        <f t="shared" si="0"/>
        <v>0</v>
      </c>
      <c r="F27" s="54" t="s">
        <v>295</v>
      </c>
      <c r="G27" s="54"/>
      <c r="H27" s="54"/>
      <c r="I27" s="54">
        <f t="shared" si="1"/>
        <v>0</v>
      </c>
      <c r="J27" s="54"/>
      <c r="K27" s="54"/>
      <c r="L27" s="54">
        <f t="shared" si="2"/>
        <v>0</v>
      </c>
    </row>
    <row r="28" spans="2:12" x14ac:dyDescent="0.25">
      <c r="B28" s="54" t="s">
        <v>296</v>
      </c>
      <c r="C28" s="54"/>
      <c r="D28" s="54"/>
      <c r="E28" s="54">
        <f t="shared" si="0"/>
        <v>0</v>
      </c>
      <c r="F28" s="54" t="s">
        <v>295</v>
      </c>
      <c r="G28" s="54"/>
      <c r="H28" s="54"/>
      <c r="I28" s="54">
        <f t="shared" si="1"/>
        <v>0</v>
      </c>
      <c r="J28" s="54"/>
      <c r="K28" s="54"/>
      <c r="L28" s="54">
        <f t="shared" si="2"/>
        <v>0</v>
      </c>
    </row>
    <row r="29" spans="2:12" x14ac:dyDescent="0.25">
      <c r="B29" s="54" t="s">
        <v>297</v>
      </c>
      <c r="C29" s="54"/>
      <c r="D29" s="54"/>
      <c r="E29" s="54">
        <f t="shared" si="0"/>
        <v>0</v>
      </c>
      <c r="F29" s="54" t="s">
        <v>295</v>
      </c>
      <c r="G29" s="54"/>
      <c r="H29" s="54"/>
      <c r="I29" s="54">
        <f t="shared" si="1"/>
        <v>0</v>
      </c>
      <c r="J29" s="54"/>
      <c r="K29" s="54"/>
      <c r="L29" s="54">
        <f t="shared" si="2"/>
        <v>0</v>
      </c>
    </row>
    <row r="30" spans="2:12" x14ac:dyDescent="0.25">
      <c r="B30" s="54" t="s">
        <v>298</v>
      </c>
      <c r="C30" s="54"/>
      <c r="D30" s="54"/>
      <c r="E30" s="54">
        <f t="shared" si="0"/>
        <v>0</v>
      </c>
      <c r="F30" s="54"/>
      <c r="G30" s="54"/>
      <c r="H30" s="54"/>
      <c r="I30" s="54">
        <f t="shared" si="1"/>
        <v>0</v>
      </c>
      <c r="J30" s="54"/>
      <c r="K30" s="54"/>
      <c r="L30" s="54">
        <f t="shared" si="2"/>
        <v>0</v>
      </c>
    </row>
    <row r="31" spans="2:12" x14ac:dyDescent="0.25">
      <c r="B31" s="54"/>
      <c r="C31" s="54"/>
      <c r="D31" s="54"/>
      <c r="E31" s="54">
        <f t="shared" si="0"/>
        <v>0</v>
      </c>
      <c r="F31" s="54"/>
      <c r="G31" s="54"/>
      <c r="H31" s="54"/>
      <c r="I31" s="54">
        <f t="shared" si="1"/>
        <v>0</v>
      </c>
      <c r="J31" s="54"/>
      <c r="K31" s="54"/>
      <c r="L31" s="54">
        <f t="shared" si="2"/>
        <v>0</v>
      </c>
    </row>
    <row r="32" spans="2:12" x14ac:dyDescent="0.25">
      <c r="B32" s="54"/>
      <c r="C32" s="54"/>
      <c r="D32" s="54"/>
      <c r="E32" s="54">
        <f t="shared" si="0"/>
        <v>0</v>
      </c>
      <c r="F32" s="54"/>
      <c r="G32" s="54"/>
      <c r="H32" s="54"/>
      <c r="I32" s="54">
        <f t="shared" si="1"/>
        <v>0</v>
      </c>
      <c r="J32" s="54"/>
      <c r="K32" s="54"/>
      <c r="L32" s="54">
        <f t="shared" si="2"/>
        <v>0</v>
      </c>
    </row>
    <row r="33" spans="2:12" x14ac:dyDescent="0.25">
      <c r="B33" s="54" t="s">
        <v>299</v>
      </c>
      <c r="C33" s="54"/>
      <c r="D33" s="54"/>
      <c r="E33" s="54">
        <f t="shared" si="0"/>
        <v>0</v>
      </c>
      <c r="F33" s="54"/>
      <c r="G33" s="54"/>
      <c r="H33" s="54"/>
      <c r="I33" s="54">
        <f t="shared" si="1"/>
        <v>0</v>
      </c>
      <c r="J33" s="54"/>
      <c r="K33" s="54"/>
      <c r="L33" s="54">
        <f t="shared" si="2"/>
        <v>0</v>
      </c>
    </row>
    <row r="34" spans="2:12" x14ac:dyDescent="0.25">
      <c r="B34" s="54" t="s">
        <v>300</v>
      </c>
      <c r="C34" s="54"/>
      <c r="D34" s="54"/>
      <c r="E34" s="54">
        <f t="shared" si="0"/>
        <v>0</v>
      </c>
      <c r="F34" s="54"/>
      <c r="G34" s="54"/>
      <c r="H34" s="54"/>
      <c r="I34" s="54">
        <f t="shared" si="1"/>
        <v>0</v>
      </c>
      <c r="J34" s="54"/>
      <c r="K34" s="54"/>
      <c r="L34" s="54">
        <f t="shared" si="2"/>
        <v>0</v>
      </c>
    </row>
    <row r="35" spans="2:12" x14ac:dyDescent="0.25">
      <c r="B35" s="54" t="s">
        <v>301</v>
      </c>
      <c r="C35" s="54"/>
      <c r="D35" s="54"/>
      <c r="E35" s="54">
        <f t="shared" si="0"/>
        <v>0</v>
      </c>
      <c r="F35" s="54"/>
      <c r="G35" s="54"/>
      <c r="H35" s="54"/>
      <c r="I35" s="54">
        <f t="shared" si="1"/>
        <v>0</v>
      </c>
      <c r="J35" s="54"/>
      <c r="K35" s="54"/>
      <c r="L35" s="54">
        <f t="shared" si="2"/>
        <v>0</v>
      </c>
    </row>
    <row r="36" spans="2:12" x14ac:dyDescent="0.25">
      <c r="B36" s="54" t="s">
        <v>302</v>
      </c>
      <c r="C36" s="54"/>
      <c r="D36" s="54"/>
      <c r="E36" s="54">
        <f t="shared" si="0"/>
        <v>0</v>
      </c>
      <c r="F36" s="54"/>
      <c r="G36" s="54"/>
      <c r="H36" s="54"/>
      <c r="I36" s="54">
        <f>G36*H36</f>
        <v>0</v>
      </c>
      <c r="J36" s="54"/>
      <c r="K36" s="54"/>
      <c r="L36" s="54">
        <f>J36*K36</f>
        <v>0</v>
      </c>
    </row>
    <row r="37" spans="2:12" x14ac:dyDescent="0.25">
      <c r="B37" s="54"/>
      <c r="C37" s="54"/>
      <c r="D37" s="54"/>
      <c r="E37" s="54">
        <f t="shared" si="0"/>
        <v>0</v>
      </c>
      <c r="F37" s="54"/>
      <c r="G37" s="54"/>
      <c r="H37" s="54"/>
      <c r="I37" s="54">
        <f t="shared" ref="I37:I38" si="3">G37*H37</f>
        <v>0</v>
      </c>
      <c r="J37" s="54"/>
      <c r="K37" s="54"/>
      <c r="L37" s="54">
        <f t="shared" ref="L37:L38" si="4">J37*K37</f>
        <v>0</v>
      </c>
    </row>
    <row r="38" spans="2:12" x14ac:dyDescent="0.25">
      <c r="B38" s="54" t="s">
        <v>303</v>
      </c>
      <c r="C38" s="54"/>
      <c r="D38" s="54"/>
      <c r="E38" s="54">
        <f t="shared" si="0"/>
        <v>0</v>
      </c>
      <c r="F38" s="54"/>
      <c r="G38" s="54"/>
      <c r="H38" s="54"/>
      <c r="I38" s="54">
        <f t="shared" si="3"/>
        <v>0</v>
      </c>
      <c r="J38" s="54"/>
      <c r="K38" s="54"/>
      <c r="L38" s="54">
        <f t="shared" si="4"/>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159</v>
      </c>
      <c r="C42" s="54"/>
      <c r="D42" s="54">
        <f>E42*10.764</f>
        <v>0</v>
      </c>
      <c r="E42" s="69">
        <f>SUM(E6:E41)</f>
        <v>0</v>
      </c>
      <c r="F42" s="54"/>
      <c r="G42" s="54"/>
      <c r="H42" s="54">
        <f>I42*10.764</f>
        <v>0</v>
      </c>
      <c r="I42" s="70">
        <f>SUM(I6:I41)</f>
        <v>0</v>
      </c>
      <c r="J42" s="54"/>
      <c r="K42" s="54">
        <f>L42*10.764</f>
        <v>0</v>
      </c>
      <c r="L42" s="71">
        <f>SUM(L6:L41)</f>
        <v>0</v>
      </c>
    </row>
    <row r="44" spans="2:12" x14ac:dyDescent="0.25">
      <c r="D44" s="66">
        <f>D42+H42</f>
        <v>0</v>
      </c>
      <c r="E44" s="6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Construction table</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2025-07-17T05:52:53Z</cp:lastPrinted>
  <dcterms:created xsi:type="dcterms:W3CDTF">2010-11-23T11:42:48Z</dcterms:created>
  <dcterms:modified xsi:type="dcterms:W3CDTF">2025-07-17T06:06:23Z</dcterms:modified>
</cp:coreProperties>
</file>