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VSJCV\Making\AXIS\2025-26\Godrej\2025-26\APF Old\July 2025\06-07-2025\"/>
    </mc:Choice>
  </mc:AlternateContent>
  <bookViews>
    <workbookView xWindow="0" yWindow="0" windowWidth="19200" windowHeight="6640"/>
  </bookViews>
  <sheets>
    <sheet name="Report" sheetId="3" r:id="rId1"/>
    <sheet name="Sheet1" sheetId="4" r:id="rId2"/>
  </sheets>
  <definedNames>
    <definedName name="_xlnm.Print_Area" localSheetId="0">Report!$A$1:$I$383</definedName>
  </definedNames>
  <calcPr calcId="162913"/>
</workbook>
</file>

<file path=xl/calcChain.xml><?xml version="1.0" encoding="utf-8"?>
<calcChain xmlns="http://schemas.openxmlformats.org/spreadsheetml/2006/main">
  <c r="C57" i="3" l="1"/>
  <c r="C58" i="3" s="1"/>
  <c r="C59" i="3" s="1"/>
  <c r="M63" i="3" l="1"/>
  <c r="K61" i="3"/>
  <c r="K60" i="3"/>
  <c r="K59" i="3"/>
  <c r="I52" i="3"/>
  <c r="E59" i="3" l="1"/>
  <c r="E65" i="3"/>
  <c r="E61" i="3"/>
  <c r="E57" i="3"/>
  <c r="E60" i="3"/>
  <c r="E56" i="3"/>
  <c r="E64" i="3"/>
  <c r="K56" i="3"/>
  <c r="K57" i="3" s="1"/>
  <c r="K62" i="3" s="1"/>
  <c r="K53" i="3"/>
  <c r="K55" i="3"/>
  <c r="C54" i="3" s="1"/>
  <c r="E63" i="3"/>
  <c r="K54" i="3"/>
  <c r="E62" i="3"/>
  <c r="E58" i="3" l="1"/>
  <c r="K58" i="3"/>
  <c r="K63" i="3" s="1"/>
  <c r="C55" i="3" s="1"/>
  <c r="E55" i="3" s="1"/>
  <c r="E54" i="3"/>
  <c r="I4" i="3"/>
  <c r="F54" i="3" l="1"/>
  <c r="H82" i="3" s="1"/>
  <c r="F167" i="3"/>
  <c r="F202" i="3"/>
  <c r="F201" i="3"/>
  <c r="F200" i="3"/>
  <c r="F199" i="3"/>
  <c r="F197" i="3"/>
  <c r="F196" i="3"/>
  <c r="F195" i="3"/>
  <c r="F194" i="3"/>
  <c r="F192" i="3"/>
  <c r="F191" i="3"/>
  <c r="F190" i="3"/>
  <c r="F189" i="3"/>
  <c r="F187" i="3"/>
  <c r="F186" i="3"/>
  <c r="F185" i="3"/>
  <c r="F184" i="3"/>
  <c r="F180" i="3"/>
  <c r="F179" i="3"/>
  <c r="F175" i="3"/>
  <c r="F174" i="3"/>
  <c r="F163" i="3"/>
  <c r="F162" i="3"/>
  <c r="F161" i="3"/>
  <c r="F160" i="3"/>
  <c r="F159" i="3"/>
  <c r="F158" i="3"/>
  <c r="F156" i="3"/>
  <c r="F155" i="3"/>
  <c r="F154" i="3"/>
  <c r="F153" i="3"/>
  <c r="F152" i="3"/>
  <c r="F151" i="3"/>
  <c r="F149" i="3"/>
  <c r="F148" i="3"/>
  <c r="F147" i="3"/>
  <c r="K147" i="3" s="1"/>
  <c r="F146" i="3"/>
  <c r="F145" i="3"/>
  <c r="F144" i="3"/>
  <c r="F142" i="3"/>
  <c r="F141" i="3"/>
  <c r="F140" i="3"/>
  <c r="F139" i="3"/>
  <c r="F138" i="3"/>
  <c r="F137" i="3"/>
  <c r="F132" i="3"/>
  <c r="F131" i="3"/>
  <c r="F130" i="3"/>
  <c r="F125" i="3"/>
  <c r="F124" i="3"/>
  <c r="F123" i="3"/>
  <c r="K121" i="3"/>
  <c r="H101" i="3" l="1"/>
  <c r="F104" i="3"/>
  <c r="J51" i="3"/>
  <c r="H54" i="3" s="1"/>
  <c r="F103" i="3"/>
  <c r="F100" i="3"/>
  <c r="H103" i="3"/>
  <c r="F101" i="3"/>
  <c r="H100" i="3"/>
  <c r="H104" i="3"/>
  <c r="K187" i="3"/>
  <c r="P123" i="3"/>
  <c r="K125" i="3"/>
  <c r="K124" i="3"/>
  <c r="K123" i="3"/>
  <c r="K188" i="3"/>
  <c r="P128" i="3"/>
  <c r="P125" i="3"/>
  <c r="P124" i="3"/>
  <c r="K127" i="3"/>
  <c r="K115" i="3"/>
  <c r="K126" i="3" l="1"/>
  <c r="P126" i="3"/>
  <c r="K189" i="3"/>
  <c r="I201" i="3"/>
  <c r="I202" i="3"/>
  <c r="I200" i="3"/>
  <c r="I199" i="3"/>
  <c r="I197" i="3"/>
  <c r="I196" i="3"/>
  <c r="I195" i="3"/>
  <c r="I194" i="3"/>
  <c r="I191" i="3"/>
  <c r="I192" i="3"/>
  <c r="I190" i="3"/>
  <c r="I189" i="3"/>
  <c r="I187" i="3"/>
  <c r="I186" i="3"/>
  <c r="I185" i="3"/>
  <c r="I184" i="3"/>
  <c r="I180" i="3"/>
  <c r="C180" i="3"/>
  <c r="C181" i="3" s="1"/>
  <c r="C182" i="3" s="1"/>
  <c r="I179" i="3"/>
  <c r="I174" i="3"/>
  <c r="I175" i="3"/>
  <c r="C175" i="3"/>
  <c r="C176" i="3" s="1"/>
  <c r="C177" i="3" s="1"/>
  <c r="G171" i="3"/>
  <c r="F171" i="3"/>
  <c r="I171" i="3" s="1"/>
  <c r="G170" i="3"/>
  <c r="F170" i="3"/>
  <c r="I170" i="3" s="1"/>
  <c r="G169" i="3"/>
  <c r="F169" i="3"/>
  <c r="I169" i="3" s="1"/>
  <c r="G168" i="3"/>
  <c r="F168" i="3"/>
  <c r="I167" i="3"/>
  <c r="I159" i="3"/>
  <c r="I163" i="3"/>
  <c r="I162" i="3"/>
  <c r="I161" i="3"/>
  <c r="I160" i="3"/>
  <c r="I158" i="3"/>
  <c r="I156" i="3"/>
  <c r="I155" i="3"/>
  <c r="I154" i="3"/>
  <c r="I153" i="3"/>
  <c r="I152" i="3"/>
  <c r="I151" i="3"/>
  <c r="I145" i="3"/>
  <c r="I149" i="3"/>
  <c r="I148" i="3"/>
  <c r="I147" i="3"/>
  <c r="I146" i="3"/>
  <c r="I144" i="3"/>
  <c r="I142" i="3"/>
  <c r="I141" i="3"/>
  <c r="I140" i="3"/>
  <c r="I138" i="3"/>
  <c r="I137" i="3"/>
  <c r="I132" i="3"/>
  <c r="I131" i="3"/>
  <c r="I139" i="3"/>
  <c r="N131" i="3"/>
  <c r="M131" i="3"/>
  <c r="C131" i="3"/>
  <c r="C132" i="3" s="1"/>
  <c r="C133" i="3" s="1"/>
  <c r="C134" i="3" s="1"/>
  <c r="C135" i="3" s="1"/>
  <c r="N130" i="3"/>
  <c r="M130" i="3"/>
  <c r="I130" i="3"/>
  <c r="N129" i="3"/>
  <c r="M129" i="3"/>
  <c r="I213" i="3"/>
  <c r="I212" i="3"/>
  <c r="I211" i="3"/>
  <c r="I210" i="3"/>
  <c r="I209" i="3"/>
  <c r="I208" i="3"/>
  <c r="I207" i="3"/>
  <c r="I206" i="3"/>
  <c r="I205" i="3"/>
  <c r="I204" i="3"/>
  <c r="A204" i="3"/>
  <c r="A205" i="3" s="1"/>
  <c r="A206" i="3" s="1"/>
  <c r="A207" i="3" s="1"/>
  <c r="A208" i="3" s="1"/>
  <c r="A209" i="3" s="1"/>
  <c r="A210" i="3" s="1"/>
  <c r="A211" i="3" s="1"/>
  <c r="A212" i="3" s="1"/>
  <c r="A213" i="3" s="1"/>
  <c r="N121" i="3"/>
  <c r="M121" i="3"/>
  <c r="P113" i="3"/>
  <c r="P110" i="3"/>
  <c r="P115" i="3" s="1"/>
  <c r="P109" i="3"/>
  <c r="P108" i="3"/>
  <c r="W137" i="3"/>
  <c r="W158" i="3"/>
  <c r="V144" i="3"/>
  <c r="V194" i="3"/>
  <c r="W151" i="3"/>
  <c r="V158" i="3"/>
  <c r="W199" i="3"/>
  <c r="W204" i="3"/>
  <c r="V204" i="3"/>
  <c r="V199" i="3"/>
  <c r="W194" i="3"/>
  <c r="W144" i="3"/>
  <c r="V189" i="3"/>
  <c r="V151" i="3"/>
  <c r="W184" i="3"/>
  <c r="W189" i="3"/>
  <c r="V184" i="3"/>
  <c r="V137" i="3"/>
  <c r="I101" i="3" l="1"/>
  <c r="P111" i="3"/>
  <c r="I104" i="3"/>
  <c r="I103" i="3"/>
  <c r="I168" i="3"/>
  <c r="I102" i="3" s="1"/>
  <c r="F102" i="3"/>
  <c r="H102" i="3"/>
  <c r="V200" i="3"/>
  <c r="U199" i="3"/>
  <c r="W200" i="3"/>
  <c r="W201" i="3" s="1"/>
  <c r="W202" i="3" s="1"/>
  <c r="U194" i="3"/>
  <c r="V195" i="3"/>
  <c r="W195" i="3"/>
  <c r="W196" i="3" s="1"/>
  <c r="W197" i="3" s="1"/>
  <c r="U189" i="3"/>
  <c r="V190" i="3"/>
  <c r="W190" i="3"/>
  <c r="W191" i="3" s="1"/>
  <c r="W192" i="3" s="1"/>
  <c r="W185" i="3"/>
  <c r="W186" i="3" s="1"/>
  <c r="W187" i="3" s="1"/>
  <c r="U184" i="3"/>
  <c r="V185" i="3"/>
  <c r="U158" i="3"/>
  <c r="V159" i="3"/>
  <c r="W159" i="3"/>
  <c r="W160" i="3" s="1"/>
  <c r="W161" i="3" s="1"/>
  <c r="W162" i="3" s="1"/>
  <c r="W163" i="3" s="1"/>
  <c r="W152" i="3"/>
  <c r="W153" i="3" s="1"/>
  <c r="W154" i="3" s="1"/>
  <c r="W155" i="3" s="1"/>
  <c r="W156" i="3" s="1"/>
  <c r="U151" i="3"/>
  <c r="V152" i="3"/>
  <c r="W145" i="3"/>
  <c r="W146" i="3" s="1"/>
  <c r="W147" i="3" s="1"/>
  <c r="W148" i="3" s="1"/>
  <c r="W149" i="3" s="1"/>
  <c r="V145" i="3"/>
  <c r="U144" i="3"/>
  <c r="U137" i="3"/>
  <c r="V138" i="3"/>
  <c r="W138" i="3"/>
  <c r="W139" i="3" s="1"/>
  <c r="W140" i="3" s="1"/>
  <c r="W141" i="3" s="1"/>
  <c r="W142" i="3" s="1"/>
  <c r="W205" i="3"/>
  <c r="W206" i="3" s="1"/>
  <c r="W207" i="3" s="1"/>
  <c r="W208" i="3" s="1"/>
  <c r="W209" i="3" s="1"/>
  <c r="W210" i="3" s="1"/>
  <c r="W211" i="3" s="1"/>
  <c r="W212" i="3" s="1"/>
  <c r="W213" i="3" s="1"/>
  <c r="V205" i="3"/>
  <c r="U204" i="3"/>
  <c r="N124" i="3"/>
  <c r="M124" i="3"/>
  <c r="N123" i="3"/>
  <c r="M123" i="3"/>
  <c r="N122" i="3"/>
  <c r="M122" i="3"/>
  <c r="G120" i="3"/>
  <c r="F120" i="3"/>
  <c r="G119" i="3"/>
  <c r="F119" i="3"/>
  <c r="G118" i="3"/>
  <c r="F118" i="3"/>
  <c r="G117" i="3"/>
  <c r="F117" i="3"/>
  <c r="G116" i="3"/>
  <c r="F116" i="3"/>
  <c r="G115" i="3"/>
  <c r="F115" i="3"/>
  <c r="G114" i="3"/>
  <c r="F114" i="3"/>
  <c r="F113" i="3"/>
  <c r="N120" i="3"/>
  <c r="M120" i="3"/>
  <c r="N119" i="3"/>
  <c r="M119" i="3"/>
  <c r="N118" i="3"/>
  <c r="M118" i="3"/>
  <c r="N117" i="3"/>
  <c r="M117" i="3"/>
  <c r="N116" i="3"/>
  <c r="M116" i="3"/>
  <c r="N115" i="3"/>
  <c r="M115" i="3"/>
  <c r="N114" i="3"/>
  <c r="M114" i="3"/>
  <c r="M113" i="3"/>
  <c r="H99" i="3" l="1"/>
  <c r="H105" i="3" s="1"/>
  <c r="F99" i="3"/>
  <c r="F105" i="3" s="1"/>
  <c r="U200" i="3"/>
  <c r="V201" i="3"/>
  <c r="U195" i="3"/>
  <c r="V196" i="3"/>
  <c r="U190" i="3"/>
  <c r="V191" i="3"/>
  <c r="U185" i="3"/>
  <c r="V186" i="3"/>
  <c r="U159" i="3"/>
  <c r="V160" i="3"/>
  <c r="U152" i="3"/>
  <c r="V153" i="3"/>
  <c r="U145" i="3"/>
  <c r="V146" i="3"/>
  <c r="V139" i="3"/>
  <c r="U138" i="3"/>
  <c r="V206" i="3"/>
  <c r="U205" i="3"/>
  <c r="K109" i="3"/>
  <c r="I120" i="3"/>
  <c r="I119" i="3"/>
  <c r="K118" i="3"/>
  <c r="I118" i="3"/>
  <c r="I117" i="3"/>
  <c r="I116" i="3"/>
  <c r="I115" i="3"/>
  <c r="I114" i="3"/>
  <c r="K113" i="3"/>
  <c r="I113" i="3"/>
  <c r="K108" i="3"/>
  <c r="H95" i="3"/>
  <c r="H94" i="3"/>
  <c r="I99" i="3" l="1"/>
  <c r="K114" i="3"/>
  <c r="V202" i="3"/>
  <c r="U202" i="3" s="1"/>
  <c r="U201" i="3"/>
  <c r="U196" i="3"/>
  <c r="V197" i="3"/>
  <c r="U197" i="3" s="1"/>
  <c r="U191" i="3"/>
  <c r="V192" i="3"/>
  <c r="U192" i="3" s="1"/>
  <c r="V187" i="3"/>
  <c r="U187" i="3" s="1"/>
  <c r="U186" i="3"/>
  <c r="V161" i="3"/>
  <c r="U160" i="3"/>
  <c r="U153" i="3"/>
  <c r="V154" i="3"/>
  <c r="U146" i="3"/>
  <c r="V147" i="3"/>
  <c r="U139" i="3"/>
  <c r="V140" i="3"/>
  <c r="V207" i="3"/>
  <c r="U206" i="3"/>
  <c r="H47" i="3"/>
  <c r="U161" i="3" l="1"/>
  <c r="V162" i="3"/>
  <c r="V155" i="3"/>
  <c r="U154" i="3"/>
  <c r="V148" i="3"/>
  <c r="U147" i="3"/>
  <c r="U140" i="3"/>
  <c r="V141" i="3"/>
  <c r="V208" i="3"/>
  <c r="U207" i="3"/>
  <c r="K78" i="3"/>
  <c r="K77" i="3"/>
  <c r="K76" i="3"/>
  <c r="I68" i="3"/>
  <c r="U162" i="3" l="1"/>
  <c r="V163" i="3"/>
  <c r="U163" i="3" s="1"/>
  <c r="U155" i="3"/>
  <c r="V156" i="3"/>
  <c r="U156" i="3" s="1"/>
  <c r="U148" i="3"/>
  <c r="V149" i="3"/>
  <c r="U149" i="3" s="1"/>
  <c r="V142" i="3"/>
  <c r="U142" i="3" s="1"/>
  <c r="U141" i="3"/>
  <c r="U208" i="3"/>
  <c r="V209" i="3"/>
  <c r="E81" i="3"/>
  <c r="K72" i="3"/>
  <c r="K73" i="3" s="1"/>
  <c r="K74" i="3" s="1"/>
  <c r="K75" i="3" s="1"/>
  <c r="E80" i="3"/>
  <c r="E78" i="3"/>
  <c r="E76" i="3"/>
  <c r="E74" i="3"/>
  <c r="E72" i="3"/>
  <c r="K70" i="3"/>
  <c r="E79" i="3"/>
  <c r="E75" i="3"/>
  <c r="E73" i="3"/>
  <c r="K71" i="3"/>
  <c r="C70" i="3" s="1"/>
  <c r="E70" i="3" s="1"/>
  <c r="K69" i="3"/>
  <c r="E77" i="3"/>
  <c r="U209" i="3" l="1"/>
  <c r="V210" i="3"/>
  <c r="K79" i="3"/>
  <c r="C71" i="3" s="1"/>
  <c r="E71" i="3" s="1"/>
  <c r="V211" i="3" l="1"/>
  <c r="U210" i="3"/>
  <c r="F70" i="3"/>
  <c r="J67" i="3" s="1"/>
  <c r="H70" i="3" s="1"/>
  <c r="V212" i="3" l="1"/>
  <c r="U211" i="3"/>
  <c r="A237" i="3"/>
  <c r="A238" i="3" s="1"/>
  <c r="A239" i="3" s="1"/>
  <c r="A240" i="3" s="1"/>
  <c r="A241" i="3" s="1"/>
  <c r="A242" i="3" s="1"/>
  <c r="A243" i="3" s="1"/>
  <c r="A244" i="3" s="1"/>
  <c r="A245" i="3" s="1"/>
  <c r="A246" i="3" s="1"/>
  <c r="A226" i="3"/>
  <c r="A227" i="3" s="1"/>
  <c r="A228" i="3" s="1"/>
  <c r="A229" i="3" s="1"/>
  <c r="A230" i="3" s="1"/>
  <c r="A231" i="3" s="1"/>
  <c r="A232" i="3" s="1"/>
  <c r="A233" i="3" s="1"/>
  <c r="A234" i="3" s="1"/>
  <c r="A235" i="3" s="1"/>
  <c r="A215" i="3"/>
  <c r="A216" i="3" s="1"/>
  <c r="A217" i="3" s="1"/>
  <c r="A218" i="3" s="1"/>
  <c r="A219" i="3" s="1"/>
  <c r="A220" i="3" s="1"/>
  <c r="A221" i="3" s="1"/>
  <c r="A222" i="3" s="1"/>
  <c r="A223" i="3" s="1"/>
  <c r="A224" i="3" s="1"/>
  <c r="C124" i="3"/>
  <c r="C125" i="3" s="1"/>
  <c r="C126" i="3" s="1"/>
  <c r="C127" i="3" s="1"/>
  <c r="C128" i="3" s="1"/>
  <c r="U212" i="3" l="1"/>
  <c r="V213" i="3"/>
  <c r="U213" i="3" s="1"/>
  <c r="E105" i="3"/>
  <c r="C105" i="3"/>
  <c r="E251" i="3" l="1"/>
  <c r="E250" i="3"/>
  <c r="H96" i="3"/>
  <c r="I246" i="3" l="1"/>
  <c r="I245" i="3"/>
  <c r="I244" i="3"/>
  <c r="I243" i="3"/>
  <c r="I242" i="3"/>
  <c r="I241" i="3"/>
  <c r="I240" i="3"/>
  <c r="I239" i="3"/>
  <c r="I238" i="3"/>
  <c r="I237" i="3"/>
  <c r="I235" i="3"/>
  <c r="I234" i="3"/>
  <c r="I233" i="3"/>
  <c r="I232" i="3"/>
  <c r="I231" i="3"/>
  <c r="I230" i="3"/>
  <c r="I229" i="3"/>
  <c r="I228" i="3"/>
  <c r="I227" i="3"/>
  <c r="I226" i="3"/>
  <c r="I224" i="3"/>
  <c r="I223" i="3"/>
  <c r="I222" i="3"/>
  <c r="I221" i="3"/>
  <c r="I220" i="3"/>
  <c r="I219" i="3"/>
  <c r="I218" i="3"/>
  <c r="I217" i="3"/>
  <c r="I216" i="3"/>
  <c r="I215" i="3"/>
  <c r="I124" i="3"/>
  <c r="I125" i="3"/>
  <c r="I123" i="3"/>
  <c r="W237" i="3"/>
  <c r="V215" i="3"/>
  <c r="W226" i="3"/>
  <c r="W215" i="3"/>
  <c r="V237" i="3"/>
  <c r="V226" i="3"/>
  <c r="I100" i="3" l="1"/>
  <c r="I105" i="3" s="1"/>
  <c r="U237" i="3"/>
  <c r="V238" i="3"/>
  <c r="W238" i="3"/>
  <c r="W239" i="3" s="1"/>
  <c r="W240" i="3" s="1"/>
  <c r="W241" i="3" s="1"/>
  <c r="W242" i="3" s="1"/>
  <c r="W243" i="3" s="1"/>
  <c r="W244" i="3" s="1"/>
  <c r="W245" i="3" s="1"/>
  <c r="W246" i="3" s="1"/>
  <c r="U226" i="3"/>
  <c r="V227" i="3"/>
  <c r="W227" i="3"/>
  <c r="W228" i="3" s="1"/>
  <c r="W229" i="3" s="1"/>
  <c r="W230" i="3" s="1"/>
  <c r="W231" i="3" s="1"/>
  <c r="W232" i="3" s="1"/>
  <c r="W233" i="3" s="1"/>
  <c r="W234" i="3" s="1"/>
  <c r="W235" i="3" s="1"/>
  <c r="W216" i="3"/>
  <c r="W217" i="3" s="1"/>
  <c r="W218" i="3" s="1"/>
  <c r="W219" i="3" s="1"/>
  <c r="W220" i="3" s="1"/>
  <c r="W221" i="3" s="1"/>
  <c r="W222" i="3" s="1"/>
  <c r="W223" i="3" s="1"/>
  <c r="W224" i="3" s="1"/>
  <c r="V216" i="3"/>
  <c r="U215" i="3"/>
  <c r="C237" i="3" l="1"/>
  <c r="C226" i="3"/>
  <c r="C215" i="3"/>
  <c r="U238" i="3"/>
  <c r="V239" i="3"/>
  <c r="U239" i="3" s="1"/>
  <c r="C239" i="3" s="1"/>
  <c r="U227" i="3"/>
  <c r="V228" i="3"/>
  <c r="U228" i="3" s="1"/>
  <c r="C228" i="3" s="1"/>
  <c r="V217" i="3"/>
  <c r="U216" i="3"/>
  <c r="C238" i="3" l="1"/>
  <c r="C227" i="3"/>
  <c r="C216" i="3"/>
  <c r="V240" i="3"/>
  <c r="U240" i="3" s="1"/>
  <c r="C240" i="3" s="1"/>
  <c r="V229" i="3"/>
  <c r="U229" i="3" s="1"/>
  <c r="C229" i="3" s="1"/>
  <c r="V218" i="3"/>
  <c r="U217" i="3"/>
  <c r="C217" i="3" l="1"/>
  <c r="V241" i="3"/>
  <c r="U241" i="3" s="1"/>
  <c r="C241" i="3" s="1"/>
  <c r="V230" i="3"/>
  <c r="U230" i="3" s="1"/>
  <c r="C230" i="3" s="1"/>
  <c r="V219" i="3"/>
  <c r="U218" i="3"/>
  <c r="C218" i="3" l="1"/>
  <c r="V242" i="3"/>
  <c r="U242" i="3" s="1"/>
  <c r="C242" i="3" s="1"/>
  <c r="V231" i="3"/>
  <c r="U231" i="3" s="1"/>
  <c r="C231" i="3" s="1"/>
  <c r="V220" i="3"/>
  <c r="U219" i="3"/>
  <c r="C219" i="3" l="1"/>
  <c r="V243" i="3"/>
  <c r="U243" i="3" s="1"/>
  <c r="C243" i="3" s="1"/>
  <c r="V232" i="3"/>
  <c r="U232" i="3" s="1"/>
  <c r="C232" i="3" s="1"/>
  <c r="V221" i="3"/>
  <c r="U220" i="3"/>
  <c r="C220" i="3" l="1"/>
  <c r="V244" i="3"/>
  <c r="U244" i="3" s="1"/>
  <c r="C244" i="3" s="1"/>
  <c r="V233" i="3"/>
  <c r="U233" i="3" s="1"/>
  <c r="C233" i="3" s="1"/>
  <c r="V222" i="3"/>
  <c r="U221" i="3"/>
  <c r="C221" i="3" l="1"/>
  <c r="V245" i="3"/>
  <c r="U245" i="3" s="1"/>
  <c r="C245" i="3" s="1"/>
  <c r="V234" i="3"/>
  <c r="U234" i="3" s="1"/>
  <c r="C234" i="3" s="1"/>
  <c r="V223" i="3"/>
  <c r="U222" i="3"/>
  <c r="C222" i="3" l="1"/>
  <c r="V246" i="3"/>
  <c r="V235" i="3"/>
  <c r="V224" i="3"/>
  <c r="U224" i="3" s="1"/>
  <c r="U223" i="3"/>
  <c r="C224" i="3" l="1"/>
  <c r="C223" i="3"/>
  <c r="U246" i="3"/>
  <c r="U235" i="3"/>
  <c r="C246" i="3" l="1"/>
  <c r="C235" i="3"/>
  <c r="E252" i="3"/>
</calcChain>
</file>

<file path=xl/comments1.xml><?xml version="1.0" encoding="utf-8"?>
<comments xmlns="http://schemas.openxmlformats.org/spreadsheetml/2006/main">
  <authors>
    <author>SACHIN</author>
  </authors>
  <commentList>
    <comment ref="H6" authorId="0" shapeId="0">
      <text>
        <r>
          <rPr>
            <b/>
            <sz val="20"/>
            <color indexed="81"/>
            <rFont val="Tahoma"/>
            <family val="2"/>
          </rPr>
          <t>Rushil Sanghvi or Fahad</t>
        </r>
        <r>
          <rPr>
            <sz val="20"/>
            <color indexed="81"/>
            <rFont val="Tahoma"/>
            <family val="2"/>
          </rPr>
          <t xml:space="preserve">
</t>
        </r>
      </text>
    </commen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6"/>
            <color indexed="81"/>
            <rFont val="Tahoma"/>
            <family val="2"/>
          </rPr>
          <t>Map Address</t>
        </r>
      </text>
    </comment>
    <comment ref="C17" authorId="0" shapeId="0">
      <text>
        <r>
          <rPr>
            <b/>
            <sz val="12"/>
            <color indexed="81"/>
            <rFont val="Tahoma"/>
            <family val="2"/>
          </rPr>
          <t>Maybe same as RERA Registration Validity or different</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A39" authorId="0" shapeId="0">
      <text>
        <r>
          <rPr>
            <b/>
            <sz val="16"/>
            <color indexed="81"/>
            <rFont val="Tahoma"/>
            <family val="2"/>
          </rPr>
          <t>As per Layout</t>
        </r>
      </text>
    </comment>
    <comment ref="H94" authorId="0" shapeId="0">
      <text>
        <r>
          <rPr>
            <b/>
            <sz val="16"/>
            <color indexed="81"/>
            <rFont val="Tahoma"/>
            <family val="2"/>
          </rPr>
          <t>Ready Recknor</t>
        </r>
      </text>
    </comment>
  </commentList>
</comments>
</file>

<file path=xl/sharedStrings.xml><?xml version="1.0" encoding="utf-8"?>
<sst xmlns="http://schemas.openxmlformats.org/spreadsheetml/2006/main" count="590" uniqueCount="279">
  <si>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</si>
  <si>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</si>
  <si>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</si>
  <si>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</si>
  <si>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</si>
  <si>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</si>
  <si>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</si>
  <si>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</si>
  <si>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</si>
  <si>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</si>
  <si>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</si>
  <si>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</si>
  <si>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</si>
  <si>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</si>
  <si>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</si>
  <si>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</si>
  <si>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</si>
  <si>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</si>
  <si>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</si>
  <si>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</si>
  <si>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</si>
  <si>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</si>
  <si>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</si>
  <si>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</si>
  <si>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</si>
  <si>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</si>
  <si>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</si>
  <si>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</si>
  <si>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</si>
  <si>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</si>
  <si>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</si>
  <si>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</si>
  <si>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</si>
  <si>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</si>
  <si>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</si>
  <si>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</si>
  <si>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</si>
  <si>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</si>
  <si>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</si>
  <si>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</si>
  <si>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</si>
  <si>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</si>
  <si>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</si>
  <si>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</si>
  <si>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</si>
  <si>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</si>
  <si>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</si>
  <si>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</si>
  <si>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</si>
  <si>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</si>
  <si>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</si>
  <si>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</si>
  <si>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</si>
  <si>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</si>
  <si>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</si>
  <si>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</si>
  <si>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</si>
  <si>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</si>
  <si>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</si>
  <si>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</si>
  <si>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</si>
  <si>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</si>
  <si>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</si>
  <si>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</si>
  <si>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</si>
  <si>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</si>
  <si>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</si>
  <si>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</si>
  <si>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</si>
  <si>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</si>
  <si>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</si>
  <si>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</si>
  <si>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</si>
  <si>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</si>
  <si>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</si>
  <si>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</si>
  <si>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</si>
  <si>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</si>
  <si>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</si>
  <si>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</si>
  <si>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</si>
  <si>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</si>
  <si>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</si>
  <si>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</si>
  <si>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</si>
  <si>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</si>
  <si>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</si>
  <si>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</si>
  <si>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</si>
  <si>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</si>
  <si>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</si>
  <si>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</si>
  <si>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</si>
  <si>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</si>
  <si>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</si>
  <si>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</si>
  <si>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</si>
  <si>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</si>
  <si>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</si>
  <si>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</si>
  <si>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</si>
  <si>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</si>
  <si>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</si>
  <si>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</si>
  <si>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</si>
  <si>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</si>
  <si>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</si>
  <si>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</si>
  <si>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</si>
  <si>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</si>
  <si>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</si>
  <si>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</si>
  <si>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</si>
  <si>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</si>
  <si>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</si>
  <si>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</si>
  <si>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</si>
  <si>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</si>
  <si>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</si>
  <si>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</si>
  <si>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</si>
  <si>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</si>
  <si>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</si>
  <si>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</si>
  <si>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</si>
  <si>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</si>
  <si>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</si>
  <si>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</si>
  <si>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</si>
  <si>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</si>
  <si>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</si>
  <si>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</si>
  <si>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</si>
  <si>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</si>
  <si>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</si>
  <si>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</si>
  <si>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</si>
  <si>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</si>
  <si>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</si>
  <si>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</si>
  <si>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</si>
  <si>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</si>
  <si>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</si>
  <si>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</si>
  <si>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</si>
  <si>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</si>
  <si>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</si>
  <si>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</si>
  <si>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</si>
  <si>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</si>
  <si>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</si>
  <si>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</si>
  <si>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</si>
  <si>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</si>
  <si>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</si>
  <si>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</si>
  <si>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</si>
  <si>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</si>
  <si>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2nd, 3rd, 4th, 6th, 8th, 7th, 9th Floor</t>
  </si>
  <si>
    <t>2nd to 5th Floor</t>
  </si>
  <si>
    <t>2nd &amp; 5th Floor</t>
  </si>
  <si>
    <t xml:space="preserve"> Building No.  = G + 20th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</si>
  <si>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</si>
  <si>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</si>
  <si>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</si>
  <si>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</si>
  <si>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</si>
  <si>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</si>
  <si>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</si>
  <si>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</si>
  <si>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</si>
  <si>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</si>
  <si>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</si>
  <si>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</si>
  <si>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</si>
  <si>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</si>
  <si>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</si>
  <si>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</si>
  <si>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</si>
  <si>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</si>
  <si>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</si>
  <si>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</si>
  <si>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</si>
  <si>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</si>
  <si>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</si>
  <si>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</si>
  <si>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</si>
  <si>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</si>
  <si>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</si>
  <si>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</si>
  <si>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Floor Rise Per Sq. Ft.
(on Carpet area)</t>
  </si>
  <si>
    <t>Middle/Upper</t>
  </si>
  <si>
    <t>Date &amp; Time of Site Visit</t>
  </si>
  <si>
    <t xml:space="preserve">Door &amp; Window Frames </t>
  </si>
  <si>
    <t>Ext.Plaster</t>
  </si>
  <si>
    <t>Plumb.&amp; Electri.</t>
  </si>
  <si>
    <t>Painting</t>
  </si>
  <si>
    <t>Residential + Commercial</t>
  </si>
  <si>
    <t>On Carpet area</t>
  </si>
  <si>
    <t xml:space="preserve">
Date:</t>
  </si>
  <si>
    <t>Location Link</t>
  </si>
  <si>
    <t xml:space="preserve">Layout </t>
  </si>
  <si>
    <t>D.D. Associates</t>
  </si>
  <si>
    <t>House 1st Floor, Lawrence &amp; Mayou, 276, Dr Dadabhai Naoroji Rd, Fort, Mumbai, Maharashtra 400001</t>
  </si>
  <si>
    <t>Thane Municipal Corporation</t>
  </si>
  <si>
    <t>P51700049421</t>
  </si>
  <si>
    <t>HDFC Bank
HDFC0000060</t>
  </si>
  <si>
    <t>As per RERA Site Flats = 306 &amp; 
Shop = 13</t>
  </si>
  <si>
    <t>Approved Layout &amp; Floor Plans, CC, RERA certificate</t>
  </si>
  <si>
    <t>Latitude, Longitude</t>
  </si>
  <si>
    <t>19.241102, 72.980251</t>
  </si>
  <si>
    <t>https://goo.gl/maps/XuzhC1QHuV2hGo3NA?coh=178572&amp;entry=tt</t>
  </si>
  <si>
    <t>7.7KM from Thane Railway Station
9KM from Kalva Railway Station</t>
  </si>
  <si>
    <t>0.100 KM from Brahmand Phase 3 Bus Stop</t>
  </si>
  <si>
    <t>About 1.8KM form Hiranandani Hospital</t>
  </si>
  <si>
    <t>About 1.4KM from New Saraswati English High School</t>
  </si>
  <si>
    <t>Dosti Desire Phase 2
(Dosti Eden Wing A &amp; B)</t>
  </si>
  <si>
    <t>Internal Road</t>
  </si>
  <si>
    <t>Bombay Chemicals</t>
  </si>
  <si>
    <t>Internal Road/ Brahmand Phase 4</t>
  </si>
  <si>
    <t>Open Plot</t>
  </si>
  <si>
    <t>Building No.1</t>
  </si>
  <si>
    <t>Sale/ Mhada</t>
  </si>
  <si>
    <t>S05/0136/17/TMC/TD-DP/TPS/4331/23
Date: 17/03/2023</t>
  </si>
  <si>
    <t>Building No. 1(A Wing) = 2B + Gr/Stilt + 4P + 5th to 23rd Floor
Building No. 1(B Wing) = 2B + Gr/Stilt + 4P + 5th to 22nd Floor</t>
  </si>
  <si>
    <t>Building No. 1 Wing A</t>
  </si>
  <si>
    <t>Building No. 1 Wing B</t>
  </si>
  <si>
    <t>BUILDING IMAGE</t>
  </si>
  <si>
    <t>Wing A</t>
  </si>
  <si>
    <t>1st &amp; 2nd Basement Floor For Parking, Pump Room &amp; Fire Tank</t>
  </si>
  <si>
    <t>Ground Floor For Commercial, Society Office, Entrance Lobby &amp; Meter Room</t>
  </si>
  <si>
    <t>Shop</t>
  </si>
  <si>
    <t>1st &amp; 2nd Podium Floor For Parking</t>
  </si>
  <si>
    <t>3BHK</t>
  </si>
  <si>
    <t>2BHK</t>
  </si>
  <si>
    <t>4th</t>
  </si>
  <si>
    <t>6th</t>
  </si>
  <si>
    <t>3rd Podium Floor For Residential &amp; Entrance Lobby</t>
  </si>
  <si>
    <t>Double Heighted Entrance Lobby</t>
  </si>
  <si>
    <t>4th Podium Floor For Residential &amp; Entrance Lobby</t>
  </si>
  <si>
    <t>Fitness Center</t>
  </si>
  <si>
    <t>Indoor Games</t>
  </si>
  <si>
    <t>Society Office</t>
  </si>
  <si>
    <t>5th to 7th, 9th to 12th, 14th to 16th Floor</t>
  </si>
  <si>
    <t>8th &amp; 13th Floor (Part Refuge Area)</t>
  </si>
  <si>
    <t>1BHK</t>
  </si>
  <si>
    <t>17th, 19th to 22nd Floor</t>
  </si>
  <si>
    <t>Wing B</t>
  </si>
  <si>
    <t>Sale</t>
  </si>
  <si>
    <t>Mhada</t>
  </si>
  <si>
    <t>Dosti Desire ­ Phase 2 , Plot Bearing / CTS / Survey / Final Plot No.:  85/7 at Thane (M Corp.), Thane, Thane</t>
  </si>
  <si>
    <t>Dosti Desire ­ Phase 2 (Dosti Eden), Survey No.85/7, Brahmand Road, Brahmand, at Kolshet, Thane, Maharashtra, Pin Code - 400067.</t>
  </si>
  <si>
    <t xml:space="preserve">Sale </t>
  </si>
  <si>
    <t>Flats</t>
  </si>
  <si>
    <t>Shops</t>
  </si>
  <si>
    <t>Shop = 13</t>
  </si>
  <si>
    <t>Sale Flats = 172
Rehab Flats = 24</t>
  </si>
  <si>
    <t>Pickle Ball Court, Reflexology Path, Zen Garden, Kids’ Play Area, Tree House, Sand Pit, Climbing Wall For Kids, Swimming Pool With Deck, Kids’ Pool, BBQ Area With Seating, Jacuzzi, Toddlers Play Area, Outdoor Gym, Multipurpose Lawn, Multipurpose Court, Lounge Seating With Gazebo, Picnic Corner, Mini Amphitheatre, Party Lawn, Pergolas, Garden Planting Area, Fitness Centre/ Gymnasium, Creche, Indoor Games, Multipurpose Hall, Spa, Steam Room, Multipurpose Open Terrace</t>
  </si>
  <si>
    <t>Brahmand, Thane West, Thane, Maharashtra- 400067.</t>
  </si>
  <si>
    <t>600000/-</t>
  </si>
  <si>
    <t>18th &amp; 23rd Floor (Part Refuge Area)</t>
  </si>
  <si>
    <t>18th Floor (Part Refuge Area)</t>
  </si>
  <si>
    <t>1. Approx. 0.300Km from Sakshi Mart.
2. Approx. 0.450KM from Cosmos Mall.</t>
  </si>
  <si>
    <t>Rate of Flat Per Sq. Ft. 
(on Carpet area)
Rate of Shop Per Sq. Ft. 
(on Carpet area)</t>
  </si>
  <si>
    <t>:
:</t>
  </si>
  <si>
    <t>15500/- to 16500/-
28000/-</t>
  </si>
  <si>
    <t>Mr.Security</t>
  </si>
  <si>
    <t>External Plaster</t>
  </si>
  <si>
    <t>External Plumbing, Elevation and Waterproofing</t>
  </si>
  <si>
    <t>Wooden Work</t>
  </si>
  <si>
    <t>Electrical &amp; Sanitary fittings</t>
  </si>
  <si>
    <t>Mr.Ajay Songare</t>
  </si>
  <si>
    <t>table updated 16/11/2024</t>
  </si>
  <si>
    <t>Building No. 1(A &amp; B Wing) = 2B + Gr/Stilt + 4P + 5th to 30th Floor</t>
  </si>
  <si>
    <t>Building No. 1(A &amp; B Wing) = 2B + Gr/Stilt + 1st to 4th Podium + 5th to 30th Floor</t>
  </si>
  <si>
    <t>Mr. Suraj Khare</t>
  </si>
  <si>
    <t>S05/0136/17/TMCB/TDD/0121/(P/C)/2024/Auto DCR
Date: 26/04/2024
Valid Up to: 
Building No.1 Wing A &amp; B = 1st &amp; 2nd Basement + Ground (Part) / Stilt (Part) + 1st to 2nd Podium Floor + 3rd &amp; 4th Floor/ podium (Part) + 5th to 20th Floor
S05/0136/17/TMCB/TDD/83
Date: 31/03/2025
Valid Up to: 
Building No.1 Wing A &amp; B = 21st to 30th floor</t>
  </si>
  <si>
    <t xml:space="preserve">1. Construction work is in process at the time of Visit.(Internal visit not allowed).
2. We considered  Saleable area as per our calculation.
3. We considered Carpet area as per Approved Plan.
4. We considered Gross carpet area = Net carpet + Enclose balcony + Balcony + Chajja Area.
5. We have considered rate by verifying it from market inquire.
6. Car parking is subjected to authentic documentation.
7. We have updated CC on 30/09/2024.
8. Construction work goes beyond approved no. of floor. Please provide revised approved plans.
9. We have updated CC on 25/06/2025.
</t>
  </si>
  <si>
    <t>04/07/2025   @11:53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</si>
</sst>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font>
    <font>
      <sz val="11"/>
      <color theme="1"/>
      <name val="Calibri"/>
      <family val="2"/>
      <scheme val="minor"/>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b/>
      <sz val="12"/>
      <color indexed="81"/>
      <name val="Tahoma"/>
      <family val="2"/>
    </font>
    <font>
      <u/>
      <sz val="11"/>
      <color theme="10"/>
      <name val="Calibri"/>
      <family val="2"/>
    </font>
    <font>
      <u/>
      <sz val="12"/>
      <color theme="10"/>
      <name val="Calibri"/>
      <family val="2"/>
    </font>
    <font>
      <sz val="12"/>
      <name val="Times New Roman"/>
      <family val="1"/>
    </font>
    <font>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2" fillId="0" borderId="0"/>
    <xf numFmtId="0" fontId="17" fillId="0" borderId="0" applyNumberFormat="0" applyFill="0" applyBorder="0" applyAlignment="0" applyProtection="0"/>
    <xf numFmtId="0" fontId="1" fillId="0" borderId="0"/>
  </cellStyleXfs>
  <cellXfs count="189">
    <xf numFmtId="0" fontId="0" fillId="0" borderId="0" xfId="0"/>
    <xf numFmtId="0" fontId="4" fillId="0" borderId="0" xfId="0" applyFont="1" applyAlignment="1">
      <alignment vertical="top"/>
    </xf>
    <xf numFmtId="0" fontId="5" fillId="0" borderId="1" xfId="0" applyFont="1" applyBorder="1" applyAlignment="1">
      <alignment horizontal="center" vertical="top" wrapText="1"/>
    </xf>
    <xf numFmtId="0" fontId="5" fillId="0" borderId="1" xfId="0" applyFont="1" applyBorder="1" applyAlignment="1">
      <alignment vertical="top"/>
    </xf>
    <xf numFmtId="0" fontId="5" fillId="0" borderId="10" xfId="0" applyFont="1" applyBorder="1" applyAlignment="1">
      <alignment vertical="top" wrapText="1"/>
    </xf>
    <xf numFmtId="0" fontId="5" fillId="4" borderId="2" xfId="0" applyFont="1" applyFill="1" applyBorder="1" applyAlignment="1">
      <alignment vertical="top" wrapText="1"/>
    </xf>
    <xf numFmtId="0" fontId="5" fillId="0" borderId="5" xfId="0" applyFont="1" applyBorder="1" applyAlignment="1">
      <alignment vertical="top" wrapText="1"/>
    </xf>
    <xf numFmtId="0" fontId="5" fillId="0" borderId="8" xfId="0" applyFont="1" applyBorder="1" applyAlignment="1">
      <alignment horizontal="center" vertical="top" wrapText="1"/>
    </xf>
    <xf numFmtId="0" fontId="5" fillId="0" borderId="6" xfId="0" applyFont="1" applyBorder="1" applyAlignment="1">
      <alignment vertical="top" wrapText="1"/>
    </xf>
    <xf numFmtId="0" fontId="3" fillId="0" borderId="1" xfId="0" applyFont="1" applyBorder="1" applyAlignment="1">
      <alignment horizontal="center" vertical="top" wrapText="1"/>
    </xf>
    <xf numFmtId="0" fontId="5" fillId="3" borderId="1" xfId="0" applyFont="1" applyFill="1" applyBorder="1" applyAlignment="1">
      <alignment horizontal="left" vertical="top"/>
    </xf>
    <xf numFmtId="0" fontId="4" fillId="3" borderId="0" xfId="0" applyFont="1" applyFill="1" applyAlignment="1">
      <alignment vertical="top"/>
    </xf>
    <xf numFmtId="0" fontId="5" fillId="0" borderId="1" xfId="0" applyFont="1" applyBorder="1" applyAlignment="1">
      <alignment horizontal="center" vertical="top"/>
    </xf>
    <xf numFmtId="0" fontId="3" fillId="0" borderId="1" xfId="0" applyFont="1" applyBorder="1" applyAlignment="1">
      <alignment vertical="top" wrapText="1"/>
    </xf>
    <xf numFmtId="0" fontId="4" fillId="0" borderId="0" xfId="0" applyFont="1" applyAlignment="1">
      <alignment horizontal="center" vertical="top"/>
    </xf>
    <xf numFmtId="0" fontId="5" fillId="4" borderId="1" xfId="0" applyFont="1" applyFill="1" applyBorder="1" applyAlignment="1">
      <alignment vertical="top"/>
    </xf>
    <xf numFmtId="0" fontId="5" fillId="0" borderId="6" xfId="0" applyFont="1" applyBorder="1" applyAlignment="1">
      <alignment horizontal="center" vertical="top" wrapText="1"/>
    </xf>
    <xf numFmtId="9" fontId="5" fillId="4" borderId="1" xfId="1" applyNumberFormat="1" applyFont="1" applyFill="1" applyBorder="1" applyAlignment="1" applyProtection="1">
      <alignment horizontal="center" vertical="center" wrapText="1"/>
      <protection hidden="1"/>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5" fillId="3" borderId="1" xfId="0" applyFont="1" applyFill="1" applyBorder="1" applyAlignment="1">
      <alignment horizontal="left" vertical="top" wrapText="1"/>
    </xf>
    <xf numFmtId="1" fontId="7" fillId="4" borderId="1" xfId="1" applyNumberFormat="1" applyFont="1" applyFill="1" applyBorder="1" applyAlignment="1">
      <alignment horizontal="center" vertical="center" wrapText="1"/>
    </xf>
    <xf numFmtId="0" fontId="5" fillId="0" borderId="1" xfId="0" applyFont="1" applyBorder="1" applyAlignment="1">
      <alignment vertical="top" wrapText="1"/>
    </xf>
    <xf numFmtId="0" fontId="5" fillId="4" borderId="1" xfId="0" applyFont="1" applyFill="1" applyBorder="1" applyAlignment="1">
      <alignment vertical="top" wrapText="1"/>
    </xf>
    <xf numFmtId="0" fontId="5" fillId="4" borderId="1" xfId="0" applyFont="1" applyFill="1" applyBorder="1" applyAlignment="1">
      <alignment horizontal="center" vertical="top" wrapText="1"/>
    </xf>
    <xf numFmtId="0" fontId="5" fillId="0" borderId="5" xfId="0" applyFont="1" applyBorder="1" applyAlignment="1">
      <alignment horizontal="center" vertical="top" wrapText="1"/>
    </xf>
    <xf numFmtId="0" fontId="5" fillId="4" borderId="11" xfId="0" applyFont="1" applyFill="1" applyBorder="1" applyAlignment="1">
      <alignment horizontal="center" vertical="top" wrapText="1"/>
    </xf>
    <xf numFmtId="0" fontId="5" fillId="4" borderId="13" xfId="0" applyFont="1" applyFill="1" applyBorder="1" applyAlignment="1">
      <alignment horizontal="center" vertical="top" wrapText="1"/>
    </xf>
    <xf numFmtId="0" fontId="5" fillId="0" borderId="8" xfId="0" applyFont="1" applyBorder="1" applyAlignment="1">
      <alignment vertical="top" wrapText="1"/>
    </xf>
    <xf numFmtId="0" fontId="5" fillId="4" borderId="7" xfId="0" applyFont="1" applyFill="1" applyBorder="1" applyAlignment="1">
      <alignment vertical="top" wrapText="1"/>
    </xf>
    <xf numFmtId="0" fontId="5" fillId="4" borderId="4" xfId="0" applyFont="1" applyFill="1" applyBorder="1" applyAlignment="1">
      <alignment vertical="top" wrapText="1"/>
    </xf>
    <xf numFmtId="0" fontId="5" fillId="4" borderId="12" xfId="0" applyFont="1" applyFill="1" applyBorder="1" applyAlignment="1">
      <alignment vertical="top" wrapText="1"/>
    </xf>
    <xf numFmtId="0" fontId="5" fillId="4" borderId="0" xfId="0" applyFont="1" applyFill="1" applyAlignment="1">
      <alignment vertical="top" wrapText="1"/>
    </xf>
    <xf numFmtId="1" fontId="6" fillId="0" borderId="6" xfId="1" applyNumberFormat="1" applyFont="1" applyBorder="1" applyAlignment="1">
      <alignment horizontal="center" vertical="top" wrapText="1"/>
    </xf>
    <xf numFmtId="9" fontId="6" fillId="0" borderId="8" xfId="1" applyNumberFormat="1" applyFont="1" applyBorder="1" applyAlignment="1">
      <alignment horizontal="center" vertical="center" wrapText="1"/>
    </xf>
    <xf numFmtId="0" fontId="4" fillId="0" borderId="16" xfId="1" applyFont="1" applyBorder="1" applyProtection="1">
      <protection hidden="1"/>
    </xf>
    <xf numFmtId="0" fontId="4" fillId="0" borderId="0" xfId="1" applyFont="1" applyProtection="1">
      <protection hidden="1"/>
    </xf>
    <xf numFmtId="0" fontId="4" fillId="0" borderId="17" xfId="1" applyFont="1" applyBorder="1" applyProtection="1">
      <protection hidden="1"/>
    </xf>
    <xf numFmtId="0" fontId="4"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8" xfId="0" applyFont="1" applyBorder="1" applyProtection="1">
      <protection hidden="1"/>
    </xf>
    <xf numFmtId="0" fontId="8" fillId="0" borderId="0" xfId="1" applyFont="1" applyAlignment="1">
      <alignment horizontal="center" vertical="center"/>
    </xf>
    <xf numFmtId="0" fontId="10" fillId="0" borderId="17" xfId="0" applyFont="1" applyBorder="1" applyProtection="1">
      <protection hidden="1"/>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5" fillId="2" borderId="1" xfId="0" applyFont="1" applyFill="1" applyBorder="1" applyAlignment="1">
      <alignment horizontal="center" vertical="top"/>
    </xf>
    <xf numFmtId="0" fontId="5" fillId="2" borderId="1" xfId="0" applyFont="1" applyFill="1" applyBorder="1" applyAlignment="1">
      <alignment vertical="top"/>
    </xf>
    <xf numFmtId="0" fontId="5" fillId="0" borderId="2" xfId="0" applyFont="1" applyBorder="1" applyAlignment="1">
      <alignment vertical="top" wrapText="1"/>
    </xf>
    <xf numFmtId="0" fontId="5"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top" wrapText="1"/>
    </xf>
    <xf numFmtId="1" fontId="7" fillId="4" borderId="1" xfId="1" applyNumberFormat="1" applyFont="1" applyFill="1" applyBorder="1" applyAlignment="1">
      <alignment horizontal="center" vertical="top" wrapText="1"/>
    </xf>
    <xf numFmtId="0" fontId="5" fillId="4" borderId="1" xfId="0" applyFont="1" applyFill="1" applyBorder="1" applyAlignment="1">
      <alignment horizontal="center" vertical="center" wrapText="1"/>
    </xf>
    <xf numFmtId="1" fontId="8" fillId="0" borderId="0" xfId="1" applyNumberFormat="1" applyFont="1" applyAlignment="1">
      <alignment horizontal="center" vertical="center"/>
    </xf>
    <xf numFmtId="1" fontId="5" fillId="4" borderId="1" xfId="1" applyNumberFormat="1" applyFont="1" applyFill="1" applyBorder="1" applyAlignment="1">
      <alignment horizontal="center" vertical="center" wrapText="1"/>
    </xf>
    <xf numFmtId="14" fontId="5" fillId="4" borderId="1" xfId="0" applyNumberFormat="1" applyFont="1" applyFill="1" applyBorder="1" applyAlignment="1">
      <alignment horizontal="left" vertical="top" wrapText="1"/>
    </xf>
    <xf numFmtId="0" fontId="20" fillId="0" borderId="0" xfId="0" applyFont="1" applyAlignment="1">
      <alignment vertical="top"/>
    </xf>
    <xf numFmtId="0" fontId="5" fillId="4" borderId="2" xfId="0" applyFont="1" applyFill="1" applyBorder="1" applyAlignment="1">
      <alignment horizontal="left" vertical="top" wrapText="1"/>
    </xf>
    <xf numFmtId="0" fontId="5" fillId="4" borderId="5" xfId="0" applyFont="1" applyFill="1" applyBorder="1" applyAlignment="1">
      <alignment horizontal="left" vertical="top" wrapText="1"/>
    </xf>
    <xf numFmtId="1" fontId="7" fillId="4" borderId="1" xfId="1" applyNumberFormat="1" applyFont="1" applyFill="1" applyBorder="1" applyAlignment="1">
      <alignment horizontal="center" vertical="center" wrapText="1"/>
    </xf>
    <xf numFmtId="1" fontId="7" fillId="4" borderId="2" xfId="1" applyNumberFormat="1" applyFont="1" applyFill="1" applyBorder="1" applyAlignment="1">
      <alignment horizontal="center" vertical="center" wrapText="1"/>
    </xf>
    <xf numFmtId="1" fontId="7"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7" fillId="4" borderId="7" xfId="1" applyNumberFormat="1" applyFont="1" applyFill="1" applyBorder="1" applyAlignment="1">
      <alignment horizontal="center" vertical="center" wrapText="1"/>
    </xf>
    <xf numFmtId="1" fontId="7" fillId="4" borderId="4" xfId="1" applyNumberFormat="1" applyFont="1" applyFill="1" applyBorder="1" applyAlignment="1">
      <alignment horizontal="center" vertical="center" wrapText="1"/>
    </xf>
    <xf numFmtId="1" fontId="7" fillId="4" borderId="11" xfId="1" applyNumberFormat="1" applyFont="1" applyFill="1" applyBorder="1" applyAlignment="1">
      <alignment horizontal="center" vertical="center" wrapText="1"/>
    </xf>
    <xf numFmtId="1" fontId="3" fillId="4" borderId="2" xfId="1" applyNumberFormat="1" applyFont="1" applyFill="1" applyBorder="1" applyAlignment="1">
      <alignment horizontal="center" vertical="center" wrapText="1"/>
    </xf>
    <xf numFmtId="1" fontId="3" fillId="4" borderId="3" xfId="1" applyNumberFormat="1" applyFont="1" applyFill="1" applyBorder="1" applyAlignment="1">
      <alignment horizontal="center" vertical="center" wrapText="1"/>
    </xf>
    <xf numFmtId="1" fontId="3" fillId="4" borderId="5"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7" fillId="4" borderId="3" xfId="1" applyNumberFormat="1" applyFont="1" applyFill="1" applyBorder="1" applyAlignment="1">
      <alignment horizontal="center" vertical="center" wrapText="1"/>
    </xf>
    <xf numFmtId="1" fontId="7" fillId="4" borderId="12" xfId="1" applyNumberFormat="1" applyFont="1" applyFill="1" applyBorder="1" applyAlignment="1">
      <alignment horizontal="center" vertical="center" wrapText="1"/>
    </xf>
    <xf numFmtId="1" fontId="7" fillId="4" borderId="0" xfId="1" applyNumberFormat="1" applyFont="1" applyFill="1" applyAlignment="1">
      <alignment horizontal="center" vertical="center" wrapText="1"/>
    </xf>
    <xf numFmtId="1" fontId="7" fillId="4" borderId="13" xfId="1" applyNumberFormat="1" applyFont="1" applyFill="1" applyBorder="1" applyAlignment="1">
      <alignment horizontal="center" vertical="center" wrapText="1"/>
    </xf>
    <xf numFmtId="1" fontId="7" fillId="4" borderId="14" xfId="1" applyNumberFormat="1" applyFont="1" applyFill="1" applyBorder="1" applyAlignment="1">
      <alignment horizontal="center" vertical="center" wrapText="1"/>
    </xf>
    <xf numFmtId="1" fontId="7" fillId="4" borderId="9" xfId="1" applyNumberFormat="1" applyFont="1" applyFill="1" applyBorder="1" applyAlignment="1">
      <alignment horizontal="center" vertical="center" wrapText="1"/>
    </xf>
    <xf numFmtId="1" fontId="7" fillId="4" borderId="15" xfId="1" applyNumberFormat="1" applyFont="1" applyFill="1" applyBorder="1" applyAlignment="1">
      <alignment horizontal="center" vertical="center" wrapText="1"/>
    </xf>
    <xf numFmtId="9" fontId="5" fillId="4" borderId="1" xfId="1" applyNumberFormat="1" applyFont="1" applyFill="1" applyBorder="1" applyAlignment="1" applyProtection="1">
      <alignment horizontal="center" vertical="center" wrapText="1"/>
      <protection hidden="1"/>
    </xf>
    <xf numFmtId="0" fontId="5" fillId="4" borderId="1" xfId="1" applyFont="1" applyFill="1" applyBorder="1" applyAlignment="1" applyProtection="1">
      <alignment horizontal="center" vertical="center" wrapText="1"/>
      <protection hidden="1"/>
    </xf>
    <xf numFmtId="0" fontId="3" fillId="2" borderId="2" xfId="0" applyFont="1" applyFill="1" applyBorder="1" applyAlignment="1">
      <alignment horizontal="center" vertical="top" wrapText="1"/>
    </xf>
    <xf numFmtId="0" fontId="3" fillId="2" borderId="3" xfId="0" applyFont="1" applyFill="1" applyBorder="1" applyAlignment="1">
      <alignment horizontal="center" vertical="top" wrapText="1"/>
    </xf>
    <xf numFmtId="0" fontId="3" fillId="2" borderId="11" xfId="0"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7" fillId="4" borderId="2" xfId="1" applyNumberFormat="1" applyFont="1" applyFill="1" applyBorder="1" applyAlignment="1">
      <alignment horizontal="center" vertical="top" wrapText="1"/>
    </xf>
    <xf numFmtId="1" fontId="7" fillId="4" borderId="5" xfId="1" applyNumberFormat="1" applyFont="1" applyFill="1" applyBorder="1" applyAlignment="1">
      <alignment horizontal="center" vertical="top" wrapText="1"/>
    </xf>
    <xf numFmtId="0" fontId="9" fillId="0" borderId="14" xfId="0" applyFont="1" applyBorder="1" applyAlignment="1">
      <alignment horizontal="center" vertical="center" wrapText="1"/>
    </xf>
    <xf numFmtId="0" fontId="9" fillId="0" borderId="9" xfId="0" applyFont="1" applyBorder="1" applyAlignment="1">
      <alignment horizontal="center" vertical="center" wrapText="1"/>
    </xf>
    <xf numFmtId="9" fontId="3" fillId="4" borderId="14" xfId="1" applyNumberFormat="1" applyFont="1" applyFill="1" applyBorder="1" applyAlignment="1" applyProtection="1">
      <alignment horizontal="center" vertical="center" wrapText="1"/>
      <protection hidden="1"/>
    </xf>
    <xf numFmtId="9" fontId="3" fillId="4" borderId="15" xfId="1" applyNumberFormat="1" applyFont="1" applyFill="1" applyBorder="1" applyAlignment="1" applyProtection="1">
      <alignment horizontal="center" vertical="center" wrapText="1"/>
      <protection hidden="1"/>
    </xf>
    <xf numFmtId="0" fontId="5" fillId="4" borderId="1" xfId="0" applyFont="1" applyFill="1" applyBorder="1" applyAlignment="1">
      <alignment horizontal="left" vertical="top" wrapText="1"/>
    </xf>
    <xf numFmtId="0" fontId="5" fillId="4" borderId="3" xfId="0" applyFont="1" applyFill="1" applyBorder="1" applyAlignment="1">
      <alignment horizontal="left" vertical="top" wrapText="1"/>
    </xf>
    <xf numFmtId="0" fontId="5" fillId="4" borderId="7" xfId="0" applyFont="1" applyFill="1" applyBorder="1" applyAlignment="1">
      <alignment horizontal="left" vertical="top" wrapText="1"/>
    </xf>
    <xf numFmtId="0" fontId="5" fillId="4" borderId="4" xfId="0" applyFont="1" applyFill="1" applyBorder="1" applyAlignment="1">
      <alignment horizontal="left" vertical="top" wrapText="1"/>
    </xf>
    <xf numFmtId="0" fontId="5" fillId="4" borderId="11" xfId="0" applyFont="1" applyFill="1" applyBorder="1" applyAlignment="1">
      <alignment horizontal="left" vertical="top" wrapText="1"/>
    </xf>
    <xf numFmtId="14" fontId="5" fillId="4" borderId="7" xfId="0" applyNumberFormat="1" applyFont="1" applyFill="1" applyBorder="1" applyAlignment="1">
      <alignment horizontal="left" vertical="top" wrapText="1"/>
    </xf>
    <xf numFmtId="14" fontId="5" fillId="4" borderId="4" xfId="0" applyNumberFormat="1" applyFont="1" applyFill="1" applyBorder="1" applyAlignment="1">
      <alignment horizontal="left" vertical="top" wrapText="1"/>
    </xf>
    <xf numFmtId="14" fontId="5" fillId="4" borderId="11" xfId="0" applyNumberFormat="1" applyFont="1" applyFill="1" applyBorder="1" applyAlignment="1">
      <alignment horizontal="left" vertical="top" wrapText="1"/>
    </xf>
    <xf numFmtId="0" fontId="18" fillId="4" borderId="2" xfId="2" applyFont="1" applyFill="1" applyBorder="1" applyAlignment="1">
      <alignment horizontal="left" vertical="top" wrapText="1"/>
    </xf>
    <xf numFmtId="0" fontId="19" fillId="4" borderId="3" xfId="0" applyFont="1" applyFill="1" applyBorder="1" applyAlignment="1">
      <alignment horizontal="left" vertical="top" wrapText="1"/>
    </xf>
    <xf numFmtId="17" fontId="5" fillId="4" borderId="2" xfId="0" applyNumberFormat="1" applyFont="1" applyFill="1" applyBorder="1" applyAlignment="1">
      <alignment horizontal="left" vertical="top" wrapText="1"/>
    </xf>
    <xf numFmtId="14" fontId="5" fillId="4" borderId="1" xfId="0" applyNumberFormat="1" applyFont="1" applyFill="1" applyBorder="1" applyAlignment="1">
      <alignment horizontal="left" vertical="top" wrapText="1"/>
    </xf>
    <xf numFmtId="1" fontId="5" fillId="4" borderId="1" xfId="1" applyNumberFormat="1" applyFont="1" applyFill="1" applyBorder="1" applyAlignment="1" applyProtection="1">
      <alignment horizontal="center" vertical="center" wrapText="1"/>
      <protection hidden="1"/>
    </xf>
    <xf numFmtId="0" fontId="3"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4" borderId="1" xfId="0" applyFont="1" applyFill="1" applyBorder="1" applyAlignment="1">
      <alignment horizontal="center" vertical="top" wrapText="1"/>
    </xf>
    <xf numFmtId="9" fontId="3" fillId="4" borderId="7" xfId="1" applyNumberFormat="1" applyFont="1" applyFill="1" applyBorder="1" applyAlignment="1" applyProtection="1">
      <alignment horizontal="left" vertical="top" wrapText="1"/>
      <protection hidden="1"/>
    </xf>
    <xf numFmtId="9" fontId="3" fillId="4" borderId="4" xfId="1" applyNumberFormat="1" applyFont="1" applyFill="1" applyBorder="1" applyAlignment="1" applyProtection="1">
      <alignment horizontal="left" vertical="top" wrapText="1"/>
      <protection hidden="1"/>
    </xf>
    <xf numFmtId="9" fontId="3" fillId="4" borderId="11" xfId="1" applyNumberFormat="1" applyFont="1" applyFill="1" applyBorder="1" applyAlignment="1" applyProtection="1">
      <alignment horizontal="left" vertical="top" wrapText="1"/>
      <protection hidden="1"/>
    </xf>
    <xf numFmtId="9" fontId="3" fillId="4" borderId="14" xfId="1" applyNumberFormat="1" applyFont="1" applyFill="1" applyBorder="1" applyAlignment="1" applyProtection="1">
      <alignment horizontal="left" vertical="top" wrapText="1"/>
      <protection hidden="1"/>
    </xf>
    <xf numFmtId="9" fontId="3" fillId="4" borderId="9" xfId="1" applyNumberFormat="1" applyFont="1" applyFill="1" applyBorder="1" applyAlignment="1" applyProtection="1">
      <alignment horizontal="left" vertical="top" wrapText="1"/>
      <protection hidden="1"/>
    </xf>
    <xf numFmtId="9" fontId="3" fillId="4" borderId="15" xfId="1" applyNumberFormat="1" applyFont="1" applyFill="1" applyBorder="1" applyAlignment="1" applyProtection="1">
      <alignment horizontal="left" vertical="top" wrapText="1"/>
      <protection hidden="1"/>
    </xf>
    <xf numFmtId="9" fontId="3" fillId="4" borderId="1" xfId="1" applyNumberFormat="1" applyFont="1" applyFill="1" applyBorder="1" applyAlignment="1" applyProtection="1">
      <alignment horizontal="center" vertical="center" wrapText="1"/>
      <protection hidden="1"/>
    </xf>
    <xf numFmtId="0" fontId="3" fillId="2" borderId="2" xfId="0" applyFont="1" applyFill="1" applyBorder="1" applyAlignment="1">
      <alignment horizontal="center" vertical="top"/>
    </xf>
    <xf numFmtId="0" fontId="3" fillId="2" borderId="3" xfId="0" applyFont="1" applyFill="1" applyBorder="1" applyAlignment="1">
      <alignment horizontal="center" vertical="top"/>
    </xf>
    <xf numFmtId="0" fontId="3" fillId="2" borderId="5" xfId="0" applyFont="1" applyFill="1" applyBorder="1" applyAlignment="1">
      <alignment horizontal="center" vertical="top"/>
    </xf>
    <xf numFmtId="0" fontId="3" fillId="4" borderId="7" xfId="1" applyFont="1" applyFill="1" applyBorder="1" applyAlignment="1" applyProtection="1">
      <alignment horizontal="left" vertical="top" wrapText="1"/>
      <protection hidden="1"/>
    </xf>
    <xf numFmtId="0" fontId="3" fillId="4" borderId="4" xfId="1" applyFont="1" applyFill="1" applyBorder="1" applyAlignment="1" applyProtection="1">
      <alignment horizontal="left" vertical="top" wrapText="1"/>
      <protection hidden="1"/>
    </xf>
    <xf numFmtId="0" fontId="3" fillId="4" borderId="11" xfId="1" applyFont="1" applyFill="1" applyBorder="1" applyAlignment="1" applyProtection="1">
      <alignment horizontal="left" vertical="top" wrapText="1"/>
      <protection hidden="1"/>
    </xf>
    <xf numFmtId="0" fontId="3" fillId="4" borderId="14" xfId="1" applyFont="1" applyFill="1" applyBorder="1" applyAlignment="1" applyProtection="1">
      <alignment horizontal="left" vertical="top" wrapText="1"/>
      <protection hidden="1"/>
    </xf>
    <xf numFmtId="0" fontId="3" fillId="4" borderId="9" xfId="1" applyFont="1" applyFill="1" applyBorder="1" applyAlignment="1" applyProtection="1">
      <alignment horizontal="left" vertical="top" wrapText="1"/>
      <protection hidden="1"/>
    </xf>
    <xf numFmtId="0" fontId="3" fillId="4" borderId="15" xfId="1" applyFont="1" applyFill="1" applyBorder="1" applyAlignment="1" applyProtection="1">
      <alignment horizontal="left" vertical="top" wrapText="1"/>
      <protection hidden="1"/>
    </xf>
    <xf numFmtId="9" fontId="3" fillId="4" borderId="6" xfId="1" applyNumberFormat="1" applyFont="1" applyFill="1" applyBorder="1" applyAlignment="1" applyProtection="1">
      <alignment horizontal="center" vertical="center" wrapText="1"/>
      <protection hidden="1"/>
    </xf>
    <xf numFmtId="9" fontId="3" fillId="4" borderId="8" xfId="1" applyNumberFormat="1" applyFont="1" applyFill="1" applyBorder="1" applyAlignment="1" applyProtection="1">
      <alignment horizontal="center" vertical="center" wrapText="1"/>
      <protection hidden="1"/>
    </xf>
    <xf numFmtId="0" fontId="5" fillId="4" borderId="2" xfId="1" applyFont="1" applyFill="1" applyBorder="1" applyAlignment="1" applyProtection="1">
      <alignment horizontal="center" vertical="center" wrapText="1"/>
      <protection hidden="1"/>
    </xf>
    <xf numFmtId="0" fontId="5" fillId="4" borderId="5" xfId="1" applyFont="1" applyFill="1" applyBorder="1" applyAlignment="1" applyProtection="1">
      <alignment horizontal="center" vertical="center" wrapText="1"/>
      <protection hidden="1"/>
    </xf>
    <xf numFmtId="0" fontId="5" fillId="2" borderId="2" xfId="0" applyFont="1" applyFill="1" applyBorder="1" applyAlignment="1">
      <alignment horizontal="center" vertical="top"/>
    </xf>
    <xf numFmtId="0" fontId="5" fillId="2" borderId="5" xfId="0" applyFont="1" applyFill="1" applyBorder="1" applyAlignment="1">
      <alignment horizontal="center" vertical="top"/>
    </xf>
    <xf numFmtId="9" fontId="5" fillId="4" borderId="2" xfId="1" applyNumberFormat="1" applyFont="1" applyFill="1" applyBorder="1" applyAlignment="1" applyProtection="1">
      <alignment horizontal="center" vertical="center" wrapText="1"/>
      <protection hidden="1"/>
    </xf>
    <xf numFmtId="9" fontId="5" fillId="4" borderId="5" xfId="1" applyNumberFormat="1" applyFont="1" applyFill="1" applyBorder="1" applyAlignment="1" applyProtection="1">
      <alignment horizontal="center" vertical="center" wrapText="1"/>
      <protection hidden="1"/>
    </xf>
    <xf numFmtId="0" fontId="3" fillId="2" borderId="1" xfId="0" applyFont="1" applyFill="1" applyBorder="1" applyAlignment="1">
      <alignment horizontal="center" vertical="top"/>
    </xf>
    <xf numFmtId="0" fontId="5" fillId="0" borderId="1" xfId="0" applyFont="1" applyBorder="1" applyAlignment="1">
      <alignment horizontal="left" vertical="top" wrapText="1"/>
    </xf>
    <xf numFmtId="0" fontId="5" fillId="4" borderId="1" xfId="0" applyFont="1" applyFill="1" applyBorder="1" applyAlignment="1">
      <alignment horizontal="left" vertical="top"/>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5" xfId="0" applyFont="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5" fillId="4" borderId="2" xfId="0" applyFont="1" applyFill="1" applyBorder="1" applyAlignment="1">
      <alignment horizontal="center" vertical="top" wrapText="1"/>
    </xf>
    <xf numFmtId="0" fontId="5" fillId="4" borderId="5" xfId="0" applyFont="1" applyFill="1" applyBorder="1" applyAlignment="1">
      <alignment horizontal="center" vertical="top" wrapText="1"/>
    </xf>
    <xf numFmtId="0" fontId="3" fillId="2" borderId="8" xfId="0" applyFont="1" applyFill="1" applyBorder="1" applyAlignment="1">
      <alignment horizontal="center" vertical="top"/>
    </xf>
    <xf numFmtId="0" fontId="3" fillId="2" borderId="5" xfId="0" applyFont="1" applyFill="1" applyBorder="1" applyAlignment="1">
      <alignment horizontal="center" vertical="top" wrapText="1"/>
    </xf>
    <xf numFmtId="0" fontId="3" fillId="2" borderId="7" xfId="0" applyFont="1" applyFill="1" applyBorder="1" applyAlignment="1">
      <alignment horizontal="center" vertical="top" wrapText="1"/>
    </xf>
    <xf numFmtId="0" fontId="3" fillId="2" borderId="4" xfId="0" applyFont="1" applyFill="1" applyBorder="1" applyAlignment="1">
      <alignment horizontal="center" vertical="top" wrapText="1"/>
    </xf>
    <xf numFmtId="2" fontId="5" fillId="4" borderId="1" xfId="0" applyNumberFormat="1" applyFont="1" applyFill="1" applyBorder="1" applyAlignment="1">
      <alignment horizontal="left" vertical="top" wrapText="1"/>
    </xf>
    <xf numFmtId="0" fontId="5" fillId="0" borderId="8" xfId="0" applyFont="1" applyBorder="1" applyAlignment="1">
      <alignment vertical="top" wrapText="1"/>
    </xf>
    <xf numFmtId="0" fontId="5" fillId="4" borderId="8" xfId="0" applyFont="1" applyFill="1" applyBorder="1" applyAlignment="1">
      <alignment horizontal="left" vertical="top" wrapText="1"/>
    </xf>
    <xf numFmtId="0" fontId="5" fillId="0" borderId="1" xfId="0" applyFont="1" applyBorder="1" applyAlignment="1">
      <alignment vertical="top" wrapText="1"/>
    </xf>
    <xf numFmtId="0" fontId="5" fillId="4" borderId="1" xfId="0" applyFont="1" applyFill="1" applyBorder="1" applyAlignment="1">
      <alignment vertical="top" wrapText="1"/>
    </xf>
    <xf numFmtId="0" fontId="3" fillId="0" borderId="1" xfId="0" applyFont="1" applyBorder="1" applyAlignment="1">
      <alignment horizontal="left" vertical="top" wrapText="1"/>
    </xf>
    <xf numFmtId="0" fontId="3" fillId="2" borderId="1" xfId="0" applyFont="1" applyFill="1" applyBorder="1" applyAlignment="1">
      <alignment horizontal="left" vertical="top"/>
    </xf>
    <xf numFmtId="0" fontId="5" fillId="0" borderId="7" xfId="0" applyFont="1" applyBorder="1" applyAlignment="1">
      <alignment horizontal="left" vertical="top" wrapText="1"/>
    </xf>
    <xf numFmtId="0" fontId="5" fillId="0" borderId="4" xfId="0" applyFont="1" applyBorder="1" applyAlignment="1">
      <alignment horizontal="lef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0" xfId="0" applyFont="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9" xfId="0" applyFont="1" applyBorder="1" applyAlignment="1">
      <alignment horizontal="left" vertical="top" wrapText="1"/>
    </xf>
    <xf numFmtId="0" fontId="5" fillId="0" borderId="15" xfId="0" applyFont="1" applyBorder="1" applyAlignment="1">
      <alignment horizontal="left" vertical="top" wrapText="1"/>
    </xf>
    <xf numFmtId="0" fontId="5" fillId="0" borderId="6" xfId="0" applyFont="1" applyBorder="1" applyAlignment="1">
      <alignment horizontal="left" vertical="top" wrapText="1"/>
    </xf>
    <xf numFmtId="2" fontId="5" fillId="4" borderId="2" xfId="0" applyNumberFormat="1" applyFont="1" applyFill="1" applyBorder="1" applyAlignment="1">
      <alignment horizontal="left" vertical="top" wrapText="1"/>
    </xf>
    <xf numFmtId="2" fontId="5" fillId="4" borderId="5" xfId="0" applyNumberFormat="1" applyFont="1" applyFill="1" applyBorder="1" applyAlignment="1">
      <alignment horizontal="left" vertical="top" wrapText="1"/>
    </xf>
    <xf numFmtId="0" fontId="3" fillId="0" borderId="2" xfId="0" applyFont="1" applyBorder="1" applyAlignment="1">
      <alignment horizontal="center" vertical="top" wrapText="1"/>
    </xf>
    <xf numFmtId="0" fontId="3" fillId="0" borderId="5" xfId="0" applyFont="1" applyBorder="1" applyAlignment="1">
      <alignment horizontal="center" vertical="top" wrapText="1"/>
    </xf>
    <xf numFmtId="0" fontId="3" fillId="0" borderId="3" xfId="0" applyFont="1" applyBorder="1" applyAlignment="1">
      <alignment horizontal="center" vertical="top" wrapText="1"/>
    </xf>
    <xf numFmtId="0" fontId="5" fillId="2" borderId="1" xfId="0" applyFont="1" applyFill="1" applyBorder="1" applyAlignment="1">
      <alignment horizontal="center" vertical="top"/>
    </xf>
    <xf numFmtId="0" fontId="5" fillId="3" borderId="1" xfId="0" applyFont="1" applyFill="1" applyBorder="1" applyAlignment="1">
      <alignment horizontal="left" vertical="top" wrapText="1"/>
    </xf>
    <xf numFmtId="0" fontId="5" fillId="0" borderId="1" xfId="0" applyFont="1" applyBorder="1" applyAlignment="1">
      <alignment horizontal="left" vertical="top"/>
    </xf>
    <xf numFmtId="0" fontId="5" fillId="3" borderId="2" xfId="0" applyFont="1" applyFill="1" applyBorder="1" applyAlignment="1">
      <alignment horizontal="left" vertical="top"/>
    </xf>
    <xf numFmtId="0" fontId="5" fillId="3" borderId="5" xfId="0" applyFont="1" applyFill="1" applyBorder="1" applyAlignment="1">
      <alignment horizontal="left" vertical="top"/>
    </xf>
    <xf numFmtId="0" fontId="5" fillId="4" borderId="2" xfId="0" applyFont="1" applyFill="1" applyBorder="1" applyAlignment="1">
      <alignment horizontal="left" vertical="top"/>
    </xf>
    <xf numFmtId="0" fontId="5" fillId="4" borderId="5" xfId="0" applyFont="1" applyFill="1" applyBorder="1" applyAlignment="1">
      <alignment horizontal="left" vertical="top"/>
    </xf>
    <xf numFmtId="1" fontId="6" fillId="0" borderId="1" xfId="1" applyNumberFormat="1" applyFont="1" applyBorder="1" applyAlignment="1">
      <alignment horizontal="center" vertical="top" wrapText="1"/>
    </xf>
    <xf numFmtId="9" fontId="5" fillId="4" borderId="7" xfId="1" applyNumberFormat="1" applyFont="1" applyFill="1" applyBorder="1" applyAlignment="1" applyProtection="1">
      <alignment horizontal="center" vertical="center" wrapText="1"/>
      <protection hidden="1"/>
    </xf>
    <xf numFmtId="9" fontId="5" fillId="4" borderId="11" xfId="1" applyNumberFormat="1" applyFont="1" applyFill="1" applyBorder="1" applyAlignment="1" applyProtection="1">
      <alignment horizontal="center" vertical="center" wrapText="1"/>
      <protection hidden="1"/>
    </xf>
    <xf numFmtId="9" fontId="5" fillId="4" borderId="12" xfId="1" applyNumberFormat="1" applyFont="1" applyFill="1" applyBorder="1" applyAlignment="1" applyProtection="1">
      <alignment horizontal="center" vertical="center" wrapText="1"/>
      <protection hidden="1"/>
    </xf>
    <xf numFmtId="9" fontId="5" fillId="4" borderId="13" xfId="1" applyNumberFormat="1" applyFont="1" applyFill="1" applyBorder="1" applyAlignment="1" applyProtection="1">
      <alignment horizontal="center" vertical="center" wrapText="1"/>
      <protection hidden="1"/>
    </xf>
    <xf numFmtId="9" fontId="5" fillId="4" borderId="14" xfId="1" applyNumberFormat="1" applyFont="1" applyFill="1" applyBorder="1" applyAlignment="1" applyProtection="1">
      <alignment horizontal="center" vertical="center" wrapText="1"/>
      <protection hidden="1"/>
    </xf>
    <xf numFmtId="9" fontId="5" fillId="4" borderId="15"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pplyProtection="1">
      <alignment horizontal="center" vertical="center" wrapText="1"/>
      <protection hidden="1"/>
    </xf>
    <xf numFmtId="1" fontId="5" fillId="4" borderId="5" xfId="1" applyNumberFormat="1" applyFont="1" applyFill="1" applyBorder="1" applyAlignment="1" applyProtection="1">
      <alignment horizontal="center" vertical="center" wrapText="1"/>
      <protection hidden="1"/>
    </xf>
  </cellXfs>
  <cellStyles count="4">
    <cellStyle name="Hyperlink" xfId="2" builtinId="8"/>
    <cellStyle name="Normal" xfId="0" builtinId="0"/>
    <cellStyle name="Normal 3" xfId="1"/>
    <cellStyle name="Normal 3 2" xfId="3"/>
  </cellStyles>
  <dxfs count="0"/>
  <tableStyles count="0" defaultTableStyle="TableStyleMedium9" defaultPivotStyle="PivotStyleLight16"/>
  <colors>
    <mruColors>
      <color rgb="FFD60093"/>
      <color rgb="FFCC0066"/>
      <color rgb="FFFCF56A"/>
      <color rgb="FFFFFF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9</xdr:col>
      <xdr:colOff>1132114</xdr:colOff>
      <xdr:row>84</xdr:row>
      <xdr:rowOff>581024</xdr:rowOff>
    </xdr:from>
    <xdr:to>
      <xdr:col>16</xdr:col>
      <xdr:colOff>455718</xdr:colOff>
      <xdr:row>98</xdr:row>
      <xdr:rowOff>87975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523889" y="31137224"/>
          <a:ext cx="5600579" cy="2735927"/>
        </a:xfrm>
        <a:prstGeom prst="rect">
          <a:avLst/>
        </a:prstGeom>
      </xdr:spPr>
    </xdr:pic>
    <xdr:clientData/>
  </xdr:twoCellAnchor>
  <xdr:twoCellAnchor editAs="oneCell">
    <xdr:from>
      <xdr:col>17</xdr:col>
      <xdr:colOff>554181</xdr:colOff>
      <xdr:row>110</xdr:row>
      <xdr:rowOff>207817</xdr:rowOff>
    </xdr:from>
    <xdr:to>
      <xdr:col>29</xdr:col>
      <xdr:colOff>135272</xdr:colOff>
      <xdr:row>142</xdr:row>
      <xdr:rowOff>256379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8755590" y="36593317"/>
          <a:ext cx="5400000" cy="8361290"/>
        </a:xfrm>
        <a:prstGeom prst="rect">
          <a:avLst/>
        </a:prstGeom>
      </xdr:spPr>
    </xdr:pic>
    <xdr:clientData/>
  </xdr:twoCellAnchor>
  <xdr:twoCellAnchor editAs="oneCell">
    <xdr:from>
      <xdr:col>0</xdr:col>
      <xdr:colOff>1952625</xdr:colOff>
      <xdr:row>300</xdr:row>
      <xdr:rowOff>104776</xdr:rowOff>
    </xdr:from>
    <xdr:to>
      <xdr:col>7</xdr:col>
      <xdr:colOff>1298400</xdr:colOff>
      <xdr:row>320</xdr:row>
      <xdr:rowOff>18615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952625" y="71932801"/>
          <a:ext cx="6480000" cy="5057337"/>
        </a:xfrm>
        <a:prstGeom prst="rect">
          <a:avLst/>
        </a:prstGeom>
        <a:ln>
          <a:solidFill>
            <a:schemeClr val="tx1"/>
          </a:solidFill>
        </a:ln>
      </xdr:spPr>
    </xdr:pic>
    <xdr:clientData/>
  </xdr:twoCellAnchor>
  <xdr:twoCellAnchor editAs="oneCell">
    <xdr:from>
      <xdr:col>4</xdr:col>
      <xdr:colOff>199278</xdr:colOff>
      <xdr:row>320</xdr:row>
      <xdr:rowOff>119905</xdr:rowOff>
    </xdr:from>
    <xdr:to>
      <xdr:col>5</xdr:col>
      <xdr:colOff>1629528</xdr:colOff>
      <xdr:row>334</xdr:row>
      <xdr:rowOff>149413</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792631" y="83162964"/>
          <a:ext cx="3327779" cy="3690096"/>
        </a:xfrm>
        <a:prstGeom prst="rect">
          <a:avLst/>
        </a:prstGeom>
        <a:ln>
          <a:solidFill>
            <a:schemeClr val="tx1"/>
          </a:solidFill>
        </a:ln>
      </xdr:spPr>
    </xdr:pic>
    <xdr:clientData/>
  </xdr:twoCellAnchor>
  <xdr:twoCellAnchor editAs="oneCell">
    <xdr:from>
      <xdr:col>2</xdr:col>
      <xdr:colOff>149679</xdr:colOff>
      <xdr:row>338</xdr:row>
      <xdr:rowOff>198665</xdr:rowOff>
    </xdr:from>
    <xdr:to>
      <xdr:col>7</xdr:col>
      <xdr:colOff>911679</xdr:colOff>
      <xdr:row>353</xdr:row>
      <xdr:rowOff>230061</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313215" y="89257415"/>
          <a:ext cx="5728607" cy="3909431"/>
        </a:xfrm>
        <a:prstGeom prst="rect">
          <a:avLst/>
        </a:prstGeom>
        <a:ln>
          <a:solidFill>
            <a:sysClr val="windowText" lastClr="000000"/>
          </a:solidFill>
        </a:ln>
      </xdr:spPr>
    </xdr:pic>
    <xdr:clientData/>
  </xdr:twoCellAnchor>
  <xdr:twoCellAnchor editAs="oneCell">
    <xdr:from>
      <xdr:col>9</xdr:col>
      <xdr:colOff>95250</xdr:colOff>
      <xdr:row>17</xdr:row>
      <xdr:rowOff>76200</xdr:rowOff>
    </xdr:from>
    <xdr:to>
      <xdr:col>12</xdr:col>
      <xdr:colOff>542389</xdr:colOff>
      <xdr:row>19</xdr:row>
      <xdr:rowOff>114167</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a:stretch>
          <a:fillRect/>
        </a:stretch>
      </xdr:blipFill>
      <xdr:spPr>
        <a:xfrm>
          <a:off x="10487025" y="8467725"/>
          <a:ext cx="4285714" cy="1066667"/>
        </a:xfrm>
        <a:prstGeom prst="rect">
          <a:avLst/>
        </a:prstGeom>
      </xdr:spPr>
    </xdr:pic>
    <xdr:clientData/>
  </xdr:twoCellAnchor>
  <xdr:twoCellAnchor>
    <xdr:from>
      <xdr:col>2</xdr:col>
      <xdr:colOff>68036</xdr:colOff>
      <xdr:row>354</xdr:row>
      <xdr:rowOff>97775</xdr:rowOff>
    </xdr:from>
    <xdr:to>
      <xdr:col>7</xdr:col>
      <xdr:colOff>1035986</xdr:colOff>
      <xdr:row>371</xdr:row>
      <xdr:rowOff>64721</xdr:rowOff>
    </xdr:to>
    <xdr:grpSp>
      <xdr:nvGrpSpPr>
        <xdr:cNvPr id="17" name="Group 16"/>
        <xdr:cNvGrpSpPr/>
      </xdr:nvGrpSpPr>
      <xdr:grpSpPr>
        <a:xfrm>
          <a:off x="2339095" y="92030834"/>
          <a:ext cx="6189891" cy="4411946"/>
          <a:chOff x="2258786" y="93687704"/>
          <a:chExt cx="5934557" cy="4362054"/>
        </a:xfrm>
      </xdr:grpSpPr>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2258786" y="93687704"/>
            <a:ext cx="5934557" cy="4362054"/>
          </a:xfrm>
          <a:prstGeom prst="rect">
            <a:avLst/>
          </a:prstGeom>
          <a:ln>
            <a:solidFill>
              <a:sysClr val="windowText" lastClr="000000"/>
            </a:solidFill>
          </a:ln>
        </xdr:spPr>
      </xdr:pic>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a:off x="3777343" y="95856879"/>
            <a:ext cx="1123950" cy="210910"/>
          </a:xfrm>
          <a:prstGeom prst="line">
            <a:avLst/>
          </a:prstGeom>
          <a:ln w="76200">
            <a:solidFill>
              <a:srgbClr val="CC0066"/>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000-000014000000}"/>
              </a:ext>
            </a:extLst>
          </xdr:cNvPr>
          <xdr:cNvCxnSpPr/>
        </xdr:nvCxnSpPr>
        <xdr:spPr>
          <a:xfrm flipV="1">
            <a:off x="3777343" y="95186046"/>
            <a:ext cx="885825" cy="680358"/>
          </a:xfrm>
          <a:prstGeom prst="line">
            <a:avLst/>
          </a:prstGeom>
          <a:ln w="76200">
            <a:solidFill>
              <a:srgbClr val="CC0066"/>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000-000017000000}"/>
              </a:ext>
            </a:extLst>
          </xdr:cNvPr>
          <xdr:cNvCxnSpPr/>
        </xdr:nvCxnSpPr>
        <xdr:spPr>
          <a:xfrm flipH="1" flipV="1">
            <a:off x="4672693" y="95157471"/>
            <a:ext cx="257176" cy="910319"/>
          </a:xfrm>
          <a:prstGeom prst="line">
            <a:avLst/>
          </a:prstGeom>
          <a:ln w="76200">
            <a:solidFill>
              <a:srgbClr val="CC006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1104900</xdr:colOff>
      <xdr:row>305</xdr:row>
      <xdr:rowOff>38100</xdr:rowOff>
    </xdr:from>
    <xdr:to>
      <xdr:col>5</xdr:col>
      <xdr:colOff>1028700</xdr:colOff>
      <xdr:row>310</xdr:row>
      <xdr:rowOff>142875</xdr:rowOff>
    </xdr:to>
    <xdr:sp macro="" textlink="">
      <xdr:nvSpPr>
        <xdr:cNvPr id="27" name="Rectangle 26">
          <a:extLst>
            <a:ext uri="{FF2B5EF4-FFF2-40B4-BE49-F238E27FC236}">
              <a16:creationId xmlns:a16="http://schemas.microsoft.com/office/drawing/2014/main" id="{00000000-0008-0000-0000-00001B000000}"/>
            </a:ext>
          </a:extLst>
        </xdr:cNvPr>
        <xdr:cNvSpPr/>
      </xdr:nvSpPr>
      <xdr:spPr>
        <a:xfrm>
          <a:off x="3267075" y="72456675"/>
          <a:ext cx="2990850" cy="1390650"/>
        </a:xfrm>
        <a:prstGeom prst="rect">
          <a:avLst/>
        </a:prstGeom>
        <a:noFill/>
        <a:ln w="76200">
          <a:solidFill>
            <a:srgbClr val="D600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1400175</xdr:colOff>
      <xdr:row>305</xdr:row>
      <xdr:rowOff>38100</xdr:rowOff>
    </xdr:from>
    <xdr:to>
      <xdr:col>4</xdr:col>
      <xdr:colOff>1400175</xdr:colOff>
      <xdr:row>310</xdr:row>
      <xdr:rowOff>142875</xdr:rowOff>
    </xdr:to>
    <xdr:cxnSp macro="">
      <xdr:nvCxnSpPr>
        <xdr:cNvPr id="29" name="Straight Connector 28">
          <a:extLst>
            <a:ext uri="{FF2B5EF4-FFF2-40B4-BE49-F238E27FC236}">
              <a16:creationId xmlns:a16="http://schemas.microsoft.com/office/drawing/2014/main" id="{00000000-0008-0000-0000-00001D000000}"/>
            </a:ext>
          </a:extLst>
        </xdr:cNvPr>
        <xdr:cNvCxnSpPr/>
      </xdr:nvCxnSpPr>
      <xdr:spPr>
        <a:xfrm>
          <a:off x="4819650" y="72456675"/>
          <a:ext cx="0" cy="1390650"/>
        </a:xfrm>
        <a:prstGeom prst="line">
          <a:avLst/>
        </a:prstGeom>
        <a:ln w="76200">
          <a:solidFill>
            <a:srgbClr val="D60093"/>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247650</xdr:colOff>
      <xdr:row>303</xdr:row>
      <xdr:rowOff>152400</xdr:rowOff>
    </xdr:from>
    <xdr:ext cx="722442" cy="311496"/>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3667125" y="72056625"/>
          <a:ext cx="722442" cy="311496"/>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A</a:t>
          </a:r>
        </a:p>
      </xdr:txBody>
    </xdr:sp>
    <xdr:clientData/>
  </xdr:oneCellAnchor>
  <xdr:oneCellAnchor>
    <xdr:from>
      <xdr:col>4</xdr:col>
      <xdr:colOff>1724025</xdr:colOff>
      <xdr:row>303</xdr:row>
      <xdr:rowOff>123825</xdr:rowOff>
    </xdr:from>
    <xdr:ext cx="722442" cy="311496"/>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5143500" y="72028050"/>
          <a:ext cx="722442" cy="311496"/>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B</a:t>
          </a:r>
        </a:p>
      </xdr:txBody>
    </xdr:sp>
    <xdr:clientData/>
  </xdr:oneCellAnchor>
  <xdr:twoCellAnchor editAs="oneCell">
    <xdr:from>
      <xdr:col>9</xdr:col>
      <xdr:colOff>435402</xdr:colOff>
      <xdr:row>43</xdr:row>
      <xdr:rowOff>997323</xdr:rowOff>
    </xdr:from>
    <xdr:to>
      <xdr:col>14</xdr:col>
      <xdr:colOff>194422</xdr:colOff>
      <xdr:row>46</xdr:row>
      <xdr:rowOff>2645802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8"/>
        <a:stretch>
          <a:fillRect/>
        </a:stretch>
      </xdr:blipFill>
      <xdr:spPr>
        <a:xfrm>
          <a:off x="10845667" y="21033441"/>
          <a:ext cx="4801667" cy="3655932"/>
        </a:xfrm>
        <a:prstGeom prst="rect">
          <a:avLst/>
        </a:prstGeom>
      </xdr:spPr>
    </xdr:pic>
    <xdr:clientData/>
  </xdr:twoCellAnchor>
  <xdr:twoCellAnchor>
    <xdr:from>
      <xdr:col>0</xdr:col>
      <xdr:colOff>1098176</xdr:colOff>
      <xdr:row>252</xdr:row>
      <xdr:rowOff>224118</xdr:rowOff>
    </xdr:from>
    <xdr:to>
      <xdr:col>8</xdr:col>
      <xdr:colOff>202359</xdr:colOff>
      <xdr:row>283</xdr:row>
      <xdr:rowOff>218067</xdr:rowOff>
    </xdr:to>
    <xdr:grpSp>
      <xdr:nvGrpSpPr>
        <xdr:cNvPr id="6" name="Group 5"/>
        <xdr:cNvGrpSpPr/>
      </xdr:nvGrpSpPr>
      <xdr:grpSpPr>
        <a:xfrm>
          <a:off x="1098176" y="68363353"/>
          <a:ext cx="8307948" cy="8099538"/>
          <a:chOff x="1098176" y="68363353"/>
          <a:chExt cx="8307948" cy="8099538"/>
        </a:xfrm>
      </xdr:grpSpPr>
      <xdr:pic>
        <xdr:nvPicPr>
          <xdr:cNvPr id="24" name="Picture 2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5360341" y="73942891"/>
            <a:ext cx="1888032" cy="252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0"/>
          <a:stretch>
            <a:fillRect/>
          </a:stretch>
        </xdr:blipFill>
        <xdr:spPr>
          <a:xfrm>
            <a:off x="1098176" y="68363353"/>
            <a:ext cx="4045783" cy="5400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255927" y="73942891"/>
            <a:ext cx="1888032" cy="252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2"/>
          <a:stretch>
            <a:fillRect/>
          </a:stretch>
        </xdr:blipFill>
        <xdr:spPr>
          <a:xfrm>
            <a:off x="5360341" y="68363353"/>
            <a:ext cx="4045783" cy="54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22</xdr:col>
      <xdr:colOff>207924</xdr:colOff>
      <xdr:row>40</xdr:row>
      <xdr:rowOff>75286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09600" y="381000"/>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XuzhC1QHuV2hGo3NA?coh=178572&amp;entry=tt"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83"/>
  <sheetViews>
    <sheetView tabSelected="1" view="pageBreakPreview" zoomScale="85" zoomScaleNormal="85" zoomScaleSheetLayoutView="85" zoomScalePageLayoutView="85" workbookViewId="0">
      <selection activeCell="E4" sqref="E4:F4"/>
    </sheetView>
  </sheetViews>
  <sheetFormatPr defaultColWidth="9.1796875" defaultRowHeight="17.149999999999999" customHeight="1" x14ac:dyDescent="0.35"/>
  <cols>
    <col min="1" max="1" width="31.1796875" style="1" customWidth="1"/>
    <col min="2" max="2" width="1.26953125" style="1" customWidth="1"/>
    <col min="3" max="3" width="17.453125" style="1" customWidth="1"/>
    <col min="4" max="4" width="1.453125" style="14" customWidth="1"/>
    <col min="5" max="6" width="27.1796875" style="1" customWidth="1"/>
    <col min="7" max="7" width="1.453125" style="1" customWidth="1"/>
    <col min="8" max="8" width="24.453125" style="1" customWidth="1"/>
    <col min="9" max="9" width="24.453125" style="14" customWidth="1"/>
    <col min="10" max="10" width="33.81640625" style="1" customWidth="1"/>
    <col min="11" max="11" width="14.54296875" style="1" bestFit="1" customWidth="1"/>
    <col min="12" max="20" width="9.1796875" style="1"/>
    <col min="21" max="23" width="0" style="1" hidden="1" customWidth="1"/>
    <col min="24" max="26" width="9.1796875" style="1"/>
    <col min="27" max="27" width="7.81640625" style="1" customWidth="1"/>
    <col min="28" max="16384" width="9.1796875" style="1"/>
  </cols>
  <sheetData>
    <row r="1" spans="1:9" ht="20.5" x14ac:dyDescent="0.35">
      <c r="A1" s="120" t="s">
        <v>41</v>
      </c>
      <c r="B1" s="121"/>
      <c r="C1" s="121"/>
      <c r="D1" s="121"/>
      <c r="E1" s="121"/>
      <c r="F1" s="121"/>
      <c r="G1" s="121"/>
      <c r="H1" s="121"/>
      <c r="I1" s="122"/>
    </row>
    <row r="2" spans="1:9" ht="42" customHeight="1" x14ac:dyDescent="0.35">
      <c r="A2" s="152" t="s">
        <v>11</v>
      </c>
      <c r="B2" s="152"/>
      <c r="C2" s="152"/>
      <c r="D2" s="4" t="s">
        <v>4</v>
      </c>
      <c r="E2" s="153" t="s">
        <v>95</v>
      </c>
      <c r="F2" s="153"/>
      <c r="G2" s="138" t="s">
        <v>15</v>
      </c>
      <c r="H2" s="138"/>
      <c r="I2" s="56">
        <v>45840</v>
      </c>
    </row>
    <row r="3" spans="1:9" ht="42.75" customHeight="1" x14ac:dyDescent="0.35">
      <c r="A3" s="140" t="s">
        <v>42</v>
      </c>
      <c r="B3" s="141"/>
      <c r="C3" s="142"/>
      <c r="D3" s="22" t="s">
        <v>4</v>
      </c>
      <c r="E3" s="143" t="s">
        <v>216</v>
      </c>
      <c r="F3" s="144"/>
      <c r="G3" s="138" t="s">
        <v>192</v>
      </c>
      <c r="H3" s="138"/>
      <c r="I3" s="56" t="s">
        <v>278</v>
      </c>
    </row>
    <row r="4" spans="1:9" ht="43.5" customHeight="1" x14ac:dyDescent="0.35">
      <c r="A4" s="140" t="s">
        <v>39</v>
      </c>
      <c r="B4" s="141"/>
      <c r="C4" s="142"/>
      <c r="D4" s="28" t="s">
        <v>4</v>
      </c>
      <c r="E4" s="58" t="s">
        <v>266</v>
      </c>
      <c r="F4" s="59"/>
      <c r="G4" s="138" t="s">
        <v>36</v>
      </c>
      <c r="H4" s="138"/>
      <c r="I4" s="19" t="str">
        <f ca="1">TEXT(TODAY(),"DD/MM/YYYY")</f>
        <v>06/07/2025</v>
      </c>
    </row>
    <row r="5" spans="1:9" ht="20.5" x14ac:dyDescent="0.35">
      <c r="A5" s="137" t="s">
        <v>43</v>
      </c>
      <c r="B5" s="137"/>
      <c r="C5" s="137"/>
      <c r="D5" s="137"/>
      <c r="E5" s="137"/>
      <c r="F5" s="137"/>
      <c r="G5" s="137"/>
      <c r="H5" s="137"/>
      <c r="I5" s="147"/>
    </row>
    <row r="6" spans="1:9" ht="43.5" customHeight="1" x14ac:dyDescent="0.35">
      <c r="A6" s="154" t="s">
        <v>32</v>
      </c>
      <c r="B6" s="154"/>
      <c r="C6" s="154"/>
      <c r="D6" s="2" t="s">
        <v>4</v>
      </c>
      <c r="E6" s="23" t="s">
        <v>107</v>
      </c>
      <c r="F6" s="22" t="s">
        <v>38</v>
      </c>
      <c r="G6" s="2" t="s">
        <v>4</v>
      </c>
      <c r="H6" s="97" t="s">
        <v>275</v>
      </c>
      <c r="I6" s="97"/>
    </row>
    <row r="7" spans="1:9" ht="23.25" customHeight="1" x14ac:dyDescent="0.35">
      <c r="A7" s="154" t="s">
        <v>45</v>
      </c>
      <c r="B7" s="154"/>
      <c r="C7" s="154"/>
      <c r="D7" s="2" t="s">
        <v>4</v>
      </c>
      <c r="E7" s="5" t="s">
        <v>202</v>
      </c>
      <c r="F7" s="22" t="s">
        <v>46</v>
      </c>
      <c r="G7" s="2" t="s">
        <v>4</v>
      </c>
      <c r="H7" s="58" t="s">
        <v>202</v>
      </c>
      <c r="I7" s="59"/>
    </row>
    <row r="8" spans="1:9" ht="45" customHeight="1" x14ac:dyDescent="0.35">
      <c r="A8" s="154" t="s">
        <v>47</v>
      </c>
      <c r="B8" s="154"/>
      <c r="C8" s="154"/>
      <c r="D8" s="2" t="s">
        <v>4</v>
      </c>
      <c r="E8" s="155" t="s">
        <v>203</v>
      </c>
      <c r="F8" s="155"/>
      <c r="G8" s="155"/>
      <c r="H8" s="155"/>
      <c r="I8" s="155"/>
    </row>
    <row r="9" spans="1:9" ht="45" customHeight="1" x14ac:dyDescent="0.35">
      <c r="A9" s="138" t="s">
        <v>180</v>
      </c>
      <c r="B9" s="22" t="s">
        <v>4</v>
      </c>
      <c r="C9" s="22" t="s">
        <v>44</v>
      </c>
      <c r="D9" s="2" t="s">
        <v>4</v>
      </c>
      <c r="E9" s="58" t="s">
        <v>250</v>
      </c>
      <c r="F9" s="98"/>
      <c r="G9" s="98"/>
      <c r="H9" s="98"/>
      <c r="I9" s="59"/>
    </row>
    <row r="10" spans="1:9" ht="51" customHeight="1" x14ac:dyDescent="0.35">
      <c r="A10" s="138"/>
      <c r="B10" s="22" t="s">
        <v>4</v>
      </c>
      <c r="C10" s="22" t="s">
        <v>14</v>
      </c>
      <c r="D10" s="2" t="s">
        <v>4</v>
      </c>
      <c r="E10" s="58" t="s">
        <v>251</v>
      </c>
      <c r="F10" s="98"/>
      <c r="G10" s="98"/>
      <c r="H10" s="98"/>
      <c r="I10" s="59"/>
    </row>
    <row r="11" spans="1:9" ht="42" customHeight="1" x14ac:dyDescent="0.35">
      <c r="A11" s="138"/>
      <c r="B11" s="22" t="s">
        <v>4</v>
      </c>
      <c r="C11" s="22" t="s">
        <v>5</v>
      </c>
      <c r="D11" s="2" t="s">
        <v>4</v>
      </c>
      <c r="E11" s="58" t="s">
        <v>258</v>
      </c>
      <c r="F11" s="98"/>
      <c r="G11" s="98"/>
      <c r="H11" s="98"/>
      <c r="I11" s="59"/>
    </row>
    <row r="12" spans="1:9" ht="20.5" x14ac:dyDescent="0.35">
      <c r="A12" s="138" t="s">
        <v>37</v>
      </c>
      <c r="B12" s="138"/>
      <c r="C12" s="138"/>
      <c r="D12" s="2" t="s">
        <v>4</v>
      </c>
      <c r="E12" s="97" t="s">
        <v>208</v>
      </c>
      <c r="F12" s="97"/>
      <c r="G12" s="97"/>
      <c r="H12" s="97"/>
      <c r="I12" s="97"/>
    </row>
    <row r="13" spans="1:9" ht="20.149999999999999" customHeight="1" x14ac:dyDescent="0.35">
      <c r="A13" s="137" t="s">
        <v>48</v>
      </c>
      <c r="B13" s="137"/>
      <c r="C13" s="137"/>
      <c r="D13" s="137"/>
      <c r="E13" s="137"/>
      <c r="F13" s="137"/>
      <c r="G13" s="137"/>
      <c r="H13" s="137"/>
      <c r="I13" s="137"/>
    </row>
    <row r="14" spans="1:9" ht="61.5" x14ac:dyDescent="0.35">
      <c r="A14" s="22" t="s">
        <v>30</v>
      </c>
      <c r="B14" s="2" t="s">
        <v>4</v>
      </c>
      <c r="C14" s="99" t="s">
        <v>96</v>
      </c>
      <c r="D14" s="100"/>
      <c r="E14" s="101"/>
      <c r="F14" s="18" t="s">
        <v>49</v>
      </c>
      <c r="G14" s="2" t="s">
        <v>4</v>
      </c>
      <c r="H14" s="97" t="s">
        <v>204</v>
      </c>
      <c r="I14" s="97"/>
    </row>
    <row r="15" spans="1:9" ht="41" x14ac:dyDescent="0.35">
      <c r="A15" s="22" t="s">
        <v>50</v>
      </c>
      <c r="B15" s="2" t="s">
        <v>4</v>
      </c>
      <c r="C15" s="99" t="s">
        <v>205</v>
      </c>
      <c r="D15" s="100"/>
      <c r="E15" s="101"/>
      <c r="F15" s="22" t="s">
        <v>51</v>
      </c>
      <c r="G15" s="2" t="s">
        <v>4</v>
      </c>
      <c r="H15" s="108">
        <v>46630</v>
      </c>
      <c r="I15" s="97"/>
    </row>
    <row r="16" spans="1:9" ht="41" x14ac:dyDescent="0.35">
      <c r="A16" s="49" t="s">
        <v>52</v>
      </c>
      <c r="B16" s="2" t="s">
        <v>4</v>
      </c>
      <c r="C16" s="102">
        <v>44965</v>
      </c>
      <c r="D16" s="100"/>
      <c r="E16" s="101"/>
      <c r="F16" s="22" t="s">
        <v>53</v>
      </c>
      <c r="G16" s="2" t="s">
        <v>4</v>
      </c>
      <c r="H16" s="107">
        <v>44965</v>
      </c>
      <c r="I16" s="59"/>
    </row>
    <row r="17" spans="1:9" ht="61.5" x14ac:dyDescent="0.35">
      <c r="A17" s="49" t="s">
        <v>54</v>
      </c>
      <c r="B17" s="2" t="s">
        <v>4</v>
      </c>
      <c r="C17" s="102">
        <v>46630</v>
      </c>
      <c r="D17" s="103"/>
      <c r="E17" s="104"/>
      <c r="F17" s="22" t="s">
        <v>55</v>
      </c>
      <c r="G17" s="2" t="s">
        <v>4</v>
      </c>
      <c r="H17" s="58" t="s">
        <v>206</v>
      </c>
      <c r="I17" s="59"/>
    </row>
    <row r="18" spans="1:9" ht="41" x14ac:dyDescent="0.35">
      <c r="A18" s="49" t="s">
        <v>56</v>
      </c>
      <c r="B18" s="2" t="s">
        <v>4</v>
      </c>
      <c r="C18" s="99" t="s">
        <v>197</v>
      </c>
      <c r="D18" s="100"/>
      <c r="E18" s="101"/>
      <c r="F18" s="22" t="s">
        <v>110</v>
      </c>
      <c r="G18" s="2" t="s">
        <v>4</v>
      </c>
      <c r="H18" s="97">
        <v>6980</v>
      </c>
      <c r="I18" s="97"/>
    </row>
    <row r="19" spans="1:9" ht="41" x14ac:dyDescent="0.35">
      <c r="A19" s="22" t="s">
        <v>57</v>
      </c>
      <c r="B19" s="2" t="s">
        <v>4</v>
      </c>
      <c r="C19" s="99">
        <v>1.1000000000000001</v>
      </c>
      <c r="D19" s="100"/>
      <c r="E19" s="101"/>
      <c r="F19" s="22" t="s">
        <v>109</v>
      </c>
      <c r="G19" s="2" t="s">
        <v>4</v>
      </c>
      <c r="H19" s="97">
        <v>19161.740000000002</v>
      </c>
      <c r="I19" s="97"/>
    </row>
    <row r="20" spans="1:9" ht="41" x14ac:dyDescent="0.35">
      <c r="A20" s="22" t="s">
        <v>108</v>
      </c>
      <c r="B20" s="2" t="s">
        <v>4</v>
      </c>
      <c r="C20" s="99">
        <v>6534</v>
      </c>
      <c r="D20" s="100"/>
      <c r="E20" s="101"/>
      <c r="F20" s="6" t="s">
        <v>58</v>
      </c>
      <c r="G20" s="2" t="s">
        <v>4</v>
      </c>
      <c r="H20" s="58" t="s">
        <v>207</v>
      </c>
      <c r="I20" s="59"/>
    </row>
    <row r="21" spans="1:9" ht="41" x14ac:dyDescent="0.35">
      <c r="A21" s="22" t="s">
        <v>59</v>
      </c>
      <c r="B21" s="2" t="s">
        <v>4</v>
      </c>
      <c r="C21" s="99" t="s">
        <v>256</v>
      </c>
      <c r="D21" s="100"/>
      <c r="E21" s="101"/>
      <c r="F21" s="22" t="s">
        <v>60</v>
      </c>
      <c r="G21" s="2" t="s">
        <v>4</v>
      </c>
      <c r="H21" s="97" t="s">
        <v>255</v>
      </c>
      <c r="I21" s="97"/>
    </row>
    <row r="22" spans="1:9" ht="20.5" x14ac:dyDescent="0.35">
      <c r="A22" s="49" t="s">
        <v>209</v>
      </c>
      <c r="B22" s="2" t="s">
        <v>4</v>
      </c>
      <c r="C22" s="58" t="s">
        <v>210</v>
      </c>
      <c r="D22" s="98"/>
      <c r="E22" s="98"/>
      <c r="F22" s="98"/>
      <c r="G22" s="98"/>
      <c r="H22" s="98"/>
      <c r="I22" s="98"/>
    </row>
    <row r="23" spans="1:9" ht="20.5" x14ac:dyDescent="0.35">
      <c r="A23" s="49" t="s">
        <v>200</v>
      </c>
      <c r="B23" s="2" t="s">
        <v>4</v>
      </c>
      <c r="C23" s="105" t="s">
        <v>211</v>
      </c>
      <c r="D23" s="106"/>
      <c r="E23" s="106"/>
      <c r="F23" s="106"/>
      <c r="G23" s="106"/>
      <c r="H23" s="106"/>
      <c r="I23" s="106"/>
    </row>
    <row r="24" spans="1:9" ht="108" customHeight="1" x14ac:dyDescent="0.35">
      <c r="A24" s="49" t="s">
        <v>28</v>
      </c>
      <c r="B24" s="2" t="s">
        <v>4</v>
      </c>
      <c r="C24" s="97" t="s">
        <v>257</v>
      </c>
      <c r="D24" s="97"/>
      <c r="E24" s="97"/>
      <c r="F24" s="97"/>
      <c r="G24" s="97"/>
      <c r="H24" s="97"/>
      <c r="I24" s="97"/>
    </row>
    <row r="25" spans="1:9" ht="24" customHeight="1" x14ac:dyDescent="0.35">
      <c r="A25" s="120" t="s">
        <v>23</v>
      </c>
      <c r="B25" s="121"/>
      <c r="C25" s="121"/>
      <c r="D25" s="121"/>
      <c r="E25" s="121"/>
      <c r="F25" s="121"/>
      <c r="G25" s="121"/>
      <c r="H25" s="121"/>
      <c r="I25" s="122"/>
    </row>
    <row r="26" spans="1:9" ht="20.5" x14ac:dyDescent="0.35">
      <c r="A26" s="22" t="s">
        <v>29</v>
      </c>
      <c r="B26" s="2" t="s">
        <v>4</v>
      </c>
      <c r="C26" s="97" t="s">
        <v>97</v>
      </c>
      <c r="D26" s="97"/>
      <c r="E26" s="97"/>
      <c r="F26" s="22" t="s">
        <v>16</v>
      </c>
      <c r="G26" s="2" t="s">
        <v>4</v>
      </c>
      <c r="H26" s="97" t="s">
        <v>191</v>
      </c>
      <c r="I26" s="97"/>
    </row>
    <row r="27" spans="1:9" ht="20.5" x14ac:dyDescent="0.35">
      <c r="A27" s="22" t="s">
        <v>17</v>
      </c>
      <c r="B27" s="2" t="s">
        <v>4</v>
      </c>
      <c r="C27" s="97" t="s">
        <v>113</v>
      </c>
      <c r="D27" s="97"/>
      <c r="E27" s="97"/>
      <c r="F27" s="22" t="s">
        <v>181</v>
      </c>
      <c r="G27" s="2" t="s">
        <v>4</v>
      </c>
      <c r="H27" s="97" t="s">
        <v>179</v>
      </c>
      <c r="I27" s="97"/>
    </row>
    <row r="28" spans="1:9" ht="41" x14ac:dyDescent="0.35">
      <c r="A28" s="22" t="s">
        <v>26</v>
      </c>
      <c r="B28" s="2" t="s">
        <v>4</v>
      </c>
      <c r="C28" s="97" t="s">
        <v>112</v>
      </c>
      <c r="D28" s="97"/>
      <c r="E28" s="97"/>
      <c r="F28" s="22" t="s">
        <v>19</v>
      </c>
      <c r="G28" s="2" t="s">
        <v>4</v>
      </c>
      <c r="H28" s="97" t="s">
        <v>213</v>
      </c>
      <c r="I28" s="97"/>
    </row>
    <row r="29" spans="1:9" ht="43.5" customHeight="1" x14ac:dyDescent="0.35">
      <c r="A29" s="49" t="s">
        <v>133</v>
      </c>
      <c r="B29" s="2" t="s">
        <v>4</v>
      </c>
      <c r="C29" s="97" t="s">
        <v>215</v>
      </c>
      <c r="D29" s="97"/>
      <c r="E29" s="97"/>
      <c r="F29" s="22" t="s">
        <v>134</v>
      </c>
      <c r="G29" s="2" t="s">
        <v>4</v>
      </c>
      <c r="H29" s="58" t="s">
        <v>214</v>
      </c>
      <c r="I29" s="59"/>
    </row>
    <row r="30" spans="1:9" ht="84" customHeight="1" x14ac:dyDescent="0.35">
      <c r="A30" s="22" t="s">
        <v>20</v>
      </c>
      <c r="B30" s="2" t="s">
        <v>4</v>
      </c>
      <c r="C30" s="97" t="s">
        <v>262</v>
      </c>
      <c r="D30" s="97"/>
      <c r="E30" s="97"/>
      <c r="F30" s="22" t="s">
        <v>18</v>
      </c>
      <c r="G30" s="2" t="s">
        <v>4</v>
      </c>
      <c r="H30" s="97" t="s">
        <v>212</v>
      </c>
      <c r="I30" s="97"/>
    </row>
    <row r="31" spans="1:9" ht="21.75" customHeight="1" x14ac:dyDescent="0.35">
      <c r="A31" s="49" t="s">
        <v>139</v>
      </c>
      <c r="B31" s="2" t="s">
        <v>4</v>
      </c>
      <c r="C31" s="97" t="s">
        <v>140</v>
      </c>
      <c r="D31" s="97"/>
      <c r="E31" s="97"/>
      <c r="F31" s="22" t="s">
        <v>141</v>
      </c>
      <c r="G31" s="2" t="s">
        <v>4</v>
      </c>
      <c r="H31" s="58" t="s">
        <v>140</v>
      </c>
      <c r="I31" s="59"/>
    </row>
    <row r="32" spans="1:9" ht="21.75" customHeight="1" x14ac:dyDescent="0.35">
      <c r="A32" s="49" t="s">
        <v>142</v>
      </c>
      <c r="B32" s="2" t="s">
        <v>4</v>
      </c>
      <c r="C32" s="58" t="s">
        <v>140</v>
      </c>
      <c r="D32" s="98"/>
      <c r="E32" s="98"/>
      <c r="F32" s="98"/>
      <c r="G32" s="98"/>
      <c r="H32" s="98"/>
      <c r="I32" s="59"/>
    </row>
    <row r="33" spans="1:9" ht="20.5" x14ac:dyDescent="0.35">
      <c r="A33" s="86" t="s">
        <v>40</v>
      </c>
      <c r="B33" s="87"/>
      <c r="C33" s="87"/>
      <c r="D33" s="87"/>
      <c r="E33" s="87"/>
      <c r="F33" s="87"/>
      <c r="G33" s="87"/>
      <c r="H33" s="87"/>
      <c r="I33" s="148"/>
    </row>
    <row r="34" spans="1:9" ht="41" x14ac:dyDescent="0.35">
      <c r="A34" s="140" t="s">
        <v>21</v>
      </c>
      <c r="B34" s="141"/>
      <c r="C34" s="142"/>
      <c r="D34" s="2" t="s">
        <v>4</v>
      </c>
      <c r="E34" s="23" t="s">
        <v>114</v>
      </c>
      <c r="F34" s="22" t="s">
        <v>22</v>
      </c>
      <c r="G34" s="7" t="s">
        <v>4</v>
      </c>
      <c r="H34" s="58" t="s">
        <v>115</v>
      </c>
      <c r="I34" s="59"/>
    </row>
    <row r="35" spans="1:9" ht="41" x14ac:dyDescent="0.35">
      <c r="A35" s="140" t="s">
        <v>25</v>
      </c>
      <c r="B35" s="141"/>
      <c r="C35" s="142"/>
      <c r="D35" s="2" t="s">
        <v>4</v>
      </c>
      <c r="E35" s="23" t="s">
        <v>115</v>
      </c>
      <c r="F35" s="8" t="s">
        <v>35</v>
      </c>
      <c r="G35" s="2" t="s">
        <v>4</v>
      </c>
      <c r="H35" s="58" t="s">
        <v>115</v>
      </c>
      <c r="I35" s="59"/>
    </row>
    <row r="36" spans="1:9" ht="41" x14ac:dyDescent="0.35">
      <c r="A36" s="140" t="s">
        <v>34</v>
      </c>
      <c r="B36" s="141"/>
      <c r="C36" s="142"/>
      <c r="D36" s="2" t="s">
        <v>4</v>
      </c>
      <c r="E36" s="5" t="s">
        <v>116</v>
      </c>
      <c r="F36" s="22" t="s">
        <v>24</v>
      </c>
      <c r="G36" s="25" t="s">
        <v>4</v>
      </c>
      <c r="H36" s="58" t="s">
        <v>117</v>
      </c>
      <c r="I36" s="59"/>
    </row>
    <row r="37" spans="1:9" ht="20.5" x14ac:dyDescent="0.35">
      <c r="A37" s="120" t="s">
        <v>0</v>
      </c>
      <c r="B37" s="121"/>
      <c r="C37" s="121"/>
      <c r="D37" s="121"/>
      <c r="E37" s="121"/>
      <c r="F37" s="121"/>
      <c r="G37" s="121"/>
      <c r="H37" s="121"/>
      <c r="I37" s="122"/>
    </row>
    <row r="38" spans="1:9" ht="20.5" x14ac:dyDescent="0.35">
      <c r="A38" s="170" t="s">
        <v>0</v>
      </c>
      <c r="B38" s="172"/>
      <c r="C38" s="171"/>
      <c r="D38" s="2" t="s">
        <v>4</v>
      </c>
      <c r="E38" s="9" t="s">
        <v>1</v>
      </c>
      <c r="F38" s="9" t="s">
        <v>6</v>
      </c>
      <c r="G38" s="170" t="s">
        <v>2</v>
      </c>
      <c r="H38" s="171"/>
      <c r="I38" s="9" t="s">
        <v>3</v>
      </c>
    </row>
    <row r="39" spans="1:9" ht="20.25" customHeight="1" x14ac:dyDescent="0.35">
      <c r="A39" s="140" t="s">
        <v>7</v>
      </c>
      <c r="B39" s="141"/>
      <c r="C39" s="142"/>
      <c r="D39" s="2" t="s">
        <v>4</v>
      </c>
      <c r="E39" s="24" t="s">
        <v>217</v>
      </c>
      <c r="F39" s="24" t="s">
        <v>217</v>
      </c>
      <c r="G39" s="145" t="s">
        <v>217</v>
      </c>
      <c r="H39" s="146"/>
      <c r="I39" s="24" t="s">
        <v>217</v>
      </c>
    </row>
    <row r="40" spans="1:9" ht="45" customHeight="1" x14ac:dyDescent="0.35">
      <c r="A40" s="140" t="s">
        <v>8</v>
      </c>
      <c r="B40" s="141"/>
      <c r="C40" s="142"/>
      <c r="D40" s="2" t="s">
        <v>4</v>
      </c>
      <c r="E40" s="53" t="s">
        <v>220</v>
      </c>
      <c r="F40" s="53" t="s">
        <v>220</v>
      </c>
      <c r="G40" s="145" t="s">
        <v>219</v>
      </c>
      <c r="H40" s="146"/>
      <c r="I40" s="24" t="s">
        <v>218</v>
      </c>
    </row>
    <row r="41" spans="1:9" ht="20.25" customHeight="1" x14ac:dyDescent="0.35">
      <c r="A41" s="140" t="s">
        <v>12</v>
      </c>
      <c r="B41" s="141"/>
      <c r="C41" s="142"/>
      <c r="D41" s="2" t="s">
        <v>4</v>
      </c>
      <c r="E41" s="19" t="s">
        <v>112</v>
      </c>
      <c r="F41" s="22" t="s">
        <v>13</v>
      </c>
      <c r="G41" s="2" t="s">
        <v>4</v>
      </c>
      <c r="H41" s="58" t="s">
        <v>111</v>
      </c>
      <c r="I41" s="59"/>
    </row>
    <row r="42" spans="1:9" ht="20.5" x14ac:dyDescent="0.35">
      <c r="A42" s="120" t="s">
        <v>61</v>
      </c>
      <c r="B42" s="121"/>
      <c r="C42" s="121"/>
      <c r="D42" s="121"/>
      <c r="E42" s="121"/>
      <c r="F42" s="121"/>
      <c r="G42" s="121"/>
      <c r="H42" s="121"/>
      <c r="I42" s="122"/>
    </row>
    <row r="43" spans="1:9" ht="21" customHeight="1" x14ac:dyDescent="0.35">
      <c r="A43" s="110" t="s">
        <v>62</v>
      </c>
      <c r="B43" s="110"/>
      <c r="C43" s="110" t="s">
        <v>63</v>
      </c>
      <c r="D43" s="110"/>
      <c r="E43" s="110" t="s">
        <v>178</v>
      </c>
      <c r="F43" s="110"/>
      <c r="G43" s="110"/>
      <c r="H43" s="110" t="s">
        <v>64</v>
      </c>
      <c r="I43" s="110"/>
    </row>
    <row r="44" spans="1:9" ht="95.25" customHeight="1" x14ac:dyDescent="0.35">
      <c r="A44" s="111" t="s">
        <v>221</v>
      </c>
      <c r="B44" s="111"/>
      <c r="C44" s="112" t="s">
        <v>222</v>
      </c>
      <c r="D44" s="112"/>
      <c r="E44" s="97" t="s">
        <v>273</v>
      </c>
      <c r="F44" s="97"/>
      <c r="G44" s="97"/>
      <c r="H44" s="97" t="s">
        <v>224</v>
      </c>
      <c r="I44" s="97"/>
    </row>
    <row r="45" spans="1:9" ht="20.5" x14ac:dyDescent="0.35">
      <c r="A45" s="137" t="s">
        <v>65</v>
      </c>
      <c r="B45" s="137"/>
      <c r="C45" s="137"/>
      <c r="D45" s="137"/>
      <c r="E45" s="137"/>
      <c r="F45" s="137"/>
      <c r="G45" s="137"/>
      <c r="H45" s="137"/>
      <c r="I45" s="137"/>
    </row>
    <row r="46" spans="1:9" ht="42.75" customHeight="1" x14ac:dyDescent="0.35">
      <c r="A46" s="18" t="s">
        <v>66</v>
      </c>
      <c r="B46" s="18" t="s">
        <v>4</v>
      </c>
      <c r="C46" s="97" t="s">
        <v>112</v>
      </c>
      <c r="D46" s="97"/>
      <c r="E46" s="97"/>
      <c r="F46" s="18" t="s">
        <v>67</v>
      </c>
      <c r="G46" s="18" t="s">
        <v>4</v>
      </c>
      <c r="H46" s="97" t="s">
        <v>223</v>
      </c>
      <c r="I46" s="97"/>
    </row>
    <row r="47" spans="1:9" ht="318" customHeight="1" x14ac:dyDescent="0.35">
      <c r="A47" s="18" t="s">
        <v>98</v>
      </c>
      <c r="B47" s="18" t="s">
        <v>4</v>
      </c>
      <c r="C47" s="97" t="s">
        <v>276</v>
      </c>
      <c r="D47" s="97"/>
      <c r="E47" s="97"/>
      <c r="F47" s="18" t="s">
        <v>68</v>
      </c>
      <c r="G47" s="18" t="s">
        <v>4</v>
      </c>
      <c r="H47" s="97" t="str">
        <f>H46</f>
        <v>S05/0136/17/TMC/TD-DP/TPS/4331/23
Date: 17/03/2023</v>
      </c>
      <c r="I47" s="97"/>
    </row>
    <row r="48" spans="1:9" ht="46.5" customHeight="1" x14ac:dyDescent="0.35">
      <c r="A48" s="18" t="s">
        <v>69</v>
      </c>
      <c r="B48" s="18" t="s">
        <v>4</v>
      </c>
      <c r="C48" s="97" t="s">
        <v>199</v>
      </c>
      <c r="D48" s="97"/>
      <c r="E48" s="97"/>
      <c r="F48" s="18" t="s">
        <v>70</v>
      </c>
      <c r="G48" s="18" t="s">
        <v>4</v>
      </c>
      <c r="H48" s="97" t="s">
        <v>199</v>
      </c>
      <c r="I48" s="97"/>
    </row>
    <row r="49" spans="1:13" ht="45" customHeight="1" x14ac:dyDescent="0.35">
      <c r="A49" s="18" t="s">
        <v>71</v>
      </c>
      <c r="B49" s="18" t="s">
        <v>4</v>
      </c>
      <c r="C49" s="97" t="s">
        <v>111</v>
      </c>
      <c r="D49" s="97"/>
      <c r="E49" s="97"/>
      <c r="F49" s="18" t="s">
        <v>72</v>
      </c>
      <c r="G49" s="18" t="s">
        <v>4</v>
      </c>
      <c r="H49" s="97"/>
      <c r="I49" s="97"/>
    </row>
    <row r="50" spans="1:13" ht="21" thickBot="1" x14ac:dyDescent="0.4">
      <c r="A50" s="120" t="s">
        <v>73</v>
      </c>
      <c r="B50" s="121"/>
      <c r="C50" s="121"/>
      <c r="D50" s="121"/>
      <c r="E50" s="121"/>
      <c r="F50" s="121"/>
      <c r="G50" s="121"/>
      <c r="H50" s="121"/>
      <c r="I50" s="122"/>
      <c r="J50" s="57" t="s">
        <v>272</v>
      </c>
    </row>
    <row r="51" spans="1:13" ht="20.5" x14ac:dyDescent="0.45">
      <c r="A51" s="123" t="s">
        <v>274</v>
      </c>
      <c r="B51" s="124"/>
      <c r="C51" s="125"/>
      <c r="D51" s="129" t="s">
        <v>4</v>
      </c>
      <c r="E51" s="50" t="s">
        <v>143</v>
      </c>
      <c r="F51" s="131" t="s">
        <v>130</v>
      </c>
      <c r="G51" s="132"/>
      <c r="H51" s="50" t="s">
        <v>144</v>
      </c>
      <c r="I51" s="50" t="s">
        <v>145</v>
      </c>
      <c r="J51" s="35" t="str">
        <f ca="1">(IF(F54&gt;99%,"All work completed. Please provide OC.",IF(F54&gt;89.8%,"Plinth, RCC, Brick, Plaster, Flooring, Wooden, Plumbing, Electrification, etc., work Completed. Finishing work is in process.",IF(F54&lt;94%,(IF(C54=0,"Work not yet Started.",IF(E54=25%,"Piling work in process",IF(E54=50%,"Excavation work in process",IF(E54=100%,"Excavation work Completed. ","0")))&amp;(IF(C55=0%,"",IF(C55=K56,"Footing work is process",IF(C55=K57,"Footing work Completed",IF(C55=K58,"1st Basement Completed",IF(C55=K59,"1st &amp; 2nd Basement Completed",IF(C55=K60,"1st to 3rd Basement Completed",IF(C55=K61,"1st to 4th Basement Completed",IF(C55=K62,"Plinth work is process",IF(C55=K63,"Plinth work completed","0")))))))))))&amp;(IF(C56=(F52+H52+I52),", RCC Slab",IF(C56&gt;0,", RCC upto "&amp;C56&amp;" Slab",""))&amp;(IF(C57=I52,", Brickwork",IF(C57&gt;0,", Brickwork upto "&amp;C57&amp;" Floor",""))&amp;(IF(C58=I52,", Internal Plaster",IF(C58&gt;0,", Internal Plaster upto "&amp;C58&amp;" Floor",""))&amp;(IF(C59=I52,", External Plaster",IF(C59&gt;0,", External Plaster upto "&amp;C59&amp;" Floor",""))&amp;(IF(C60=I52,", External Plumbing, Elevation and Waterproofing",IF(C60&gt;0,", External Plumbing, Elevation and Waterproofing upto "&amp;C60&amp;" Floor",""))&amp;(IF(C61=I52,", Flooring &amp; Fitting",IF(C61&gt;0,", Flooring &amp; Fitting upto "&amp;C61&amp;" Floor",""))&amp;(IF(C62=I52,", Wooden Work",IF(C62&gt;0,", Wooden Work upto "&amp;C62&amp;" Floor",""))&amp;(IF(C63=I52,", Electrical &amp; Sanitary fittings",IF(C63&gt;0,", Electrical &amp; Sanitary fittings upto "&amp;C63&amp;" Floor",""))&amp;(IF(C64&gt;0,", Finishing upto "&amp;C64&amp;" Floor","")&amp;(IF(C56&gt;0.5," Completed",""))))))))))))))))</f>
        <v>Excavation work Completed. Plinth work completed, RCC upto 29 Slab, Brickwork upto 28 Floor, Internal Plaster upto 22.4 Floor, External Plaster upto 22.4 Floor Completed</v>
      </c>
      <c r="K51" s="37"/>
    </row>
    <row r="52" spans="1:13" ht="45" customHeight="1" x14ac:dyDescent="0.45">
      <c r="A52" s="126"/>
      <c r="B52" s="127"/>
      <c r="C52" s="128"/>
      <c r="D52" s="130"/>
      <c r="E52" s="50">
        <v>2</v>
      </c>
      <c r="F52" s="131">
        <v>1</v>
      </c>
      <c r="G52" s="132"/>
      <c r="H52" s="50">
        <v>0</v>
      </c>
      <c r="I52" s="50">
        <f ca="1">--TRIM(RIGHT(SUBSTITUTE(LEFT(A51,_xlfn.AGGREGATE(16,6,FIND({0,1,2,3,4,5,6,7,8,9},A51,ROW(INDIRECT("1:"&amp;LEN(A51)))),1))," ",REPT(" ",LEN(A51))),LEN(A51)))</f>
        <v>30</v>
      </c>
      <c r="J52" s="36" t="s">
        <v>149</v>
      </c>
      <c r="K52" s="37"/>
    </row>
    <row r="53" spans="1:13" ht="45" customHeight="1" x14ac:dyDescent="0.45">
      <c r="A53" s="133" t="s">
        <v>147</v>
      </c>
      <c r="B53" s="134"/>
      <c r="C53" s="133" t="s">
        <v>162</v>
      </c>
      <c r="D53" s="134"/>
      <c r="E53" s="47" t="s">
        <v>163</v>
      </c>
      <c r="F53" s="133" t="s">
        <v>148</v>
      </c>
      <c r="G53" s="134"/>
      <c r="H53" s="48" t="s">
        <v>146</v>
      </c>
      <c r="I53" s="48"/>
      <c r="J53" s="39" t="s">
        <v>164</v>
      </c>
      <c r="K53" s="38">
        <f ca="1">I52*25%</f>
        <v>7.5</v>
      </c>
    </row>
    <row r="54" spans="1:13" ht="20.5" x14ac:dyDescent="0.45">
      <c r="A54" s="135" t="s">
        <v>165</v>
      </c>
      <c r="B54" s="136"/>
      <c r="C54" s="131">
        <f ca="1">K55</f>
        <v>30</v>
      </c>
      <c r="D54" s="132"/>
      <c r="E54" s="17">
        <f ca="1">((100/I52)*C54)/100</f>
        <v>1</v>
      </c>
      <c r="F54" s="181">
        <f ca="1">(((C54/I52*5)+(C55/I52*20)+(25/(F52+H52+I52)*C56)+(5/(I52)*C57)+(2.5/(I52)*C58)+(2.5/(I52)*C59)+(5/I52*C60)+(10/I52*C61)+(2.5/I52*C62)+(2.5/I52*C63)+(10/I52*C64)+(10/I52*C65))/100)</f>
        <v>0.56787096774193546</v>
      </c>
      <c r="G54" s="182"/>
      <c r="H54" s="181" t="str">
        <f ca="1">J51</f>
        <v>Excavation work Completed. Plinth work completed, RCC upto 29 Slab, Brickwork upto 28 Floor, Internal Plaster upto 22.4 Floor, External Plaster upto 22.4 Floor Completed</v>
      </c>
      <c r="I54" s="182"/>
      <c r="J54" s="39" t="s">
        <v>150</v>
      </c>
      <c r="K54" s="43">
        <f ca="1">I52*50%</f>
        <v>15</v>
      </c>
    </row>
    <row r="55" spans="1:13" ht="20.5" x14ac:dyDescent="0.45">
      <c r="A55" s="135" t="s">
        <v>131</v>
      </c>
      <c r="B55" s="136"/>
      <c r="C55" s="187">
        <f ca="1">K63</f>
        <v>30</v>
      </c>
      <c r="D55" s="188"/>
      <c r="E55" s="17">
        <f ca="1">((100/I52)*C55)/100</f>
        <v>1</v>
      </c>
      <c r="F55" s="183"/>
      <c r="G55" s="184"/>
      <c r="H55" s="183"/>
      <c r="I55" s="184"/>
      <c r="J55" s="39" t="s">
        <v>151</v>
      </c>
      <c r="K55" s="43">
        <f ca="1">I52</f>
        <v>30</v>
      </c>
    </row>
    <row r="56" spans="1:13" ht="21" x14ac:dyDescent="0.5">
      <c r="A56" s="135" t="s">
        <v>166</v>
      </c>
      <c r="B56" s="136"/>
      <c r="C56" s="131">
        <v>29</v>
      </c>
      <c r="D56" s="132"/>
      <c r="E56" s="17">
        <f ca="1">((100/(F52+H52+I52))*C56)/100</f>
        <v>0.93548387096774188</v>
      </c>
      <c r="F56" s="183"/>
      <c r="G56" s="184"/>
      <c r="H56" s="183"/>
      <c r="I56" s="184"/>
      <c r="J56" s="39" t="s">
        <v>152</v>
      </c>
      <c r="K56" s="44">
        <f ca="1">(IF(E52&gt;1,(I52/(E52+2)),I52/4))</f>
        <v>7.5</v>
      </c>
    </row>
    <row r="57" spans="1:13" ht="21" x14ac:dyDescent="0.5">
      <c r="A57" s="135" t="s">
        <v>167</v>
      </c>
      <c r="B57" s="136"/>
      <c r="C57" s="131">
        <f>C56-F52</f>
        <v>28</v>
      </c>
      <c r="D57" s="132"/>
      <c r="E57" s="17">
        <f ca="1">((100/I52)*C57)/100</f>
        <v>0.93333333333333346</v>
      </c>
      <c r="F57" s="183"/>
      <c r="G57" s="184"/>
      <c r="H57" s="183"/>
      <c r="I57" s="184"/>
      <c r="J57" s="39" t="s">
        <v>153</v>
      </c>
      <c r="K57" s="44">
        <f ca="1">(IF(E52&gt;1,(I52/(E52+2)+K56),I52/4+K56))</f>
        <v>15</v>
      </c>
    </row>
    <row r="58" spans="1:13" ht="21" x14ac:dyDescent="0.5">
      <c r="A58" s="135" t="s">
        <v>168</v>
      </c>
      <c r="B58" s="136"/>
      <c r="C58" s="187">
        <f>C57*0.8</f>
        <v>22.400000000000002</v>
      </c>
      <c r="D58" s="188"/>
      <c r="E58" s="17">
        <f ca="1">((100/I52)*C58)/100</f>
        <v>0.7466666666666667</v>
      </c>
      <c r="F58" s="183"/>
      <c r="G58" s="184"/>
      <c r="H58" s="183"/>
      <c r="I58" s="184"/>
      <c r="J58" s="39" t="s">
        <v>169</v>
      </c>
      <c r="K58" s="44">
        <f ca="1">(IF(E52&gt;1,(I52/(E52+2)+K57),0))</f>
        <v>22.5</v>
      </c>
    </row>
    <row r="59" spans="1:13" ht="21" x14ac:dyDescent="0.5">
      <c r="A59" s="135" t="s">
        <v>267</v>
      </c>
      <c r="B59" s="136"/>
      <c r="C59" s="187">
        <f>C58</f>
        <v>22.400000000000002</v>
      </c>
      <c r="D59" s="188"/>
      <c r="E59" s="17">
        <f ca="1">((100/I52)*C59)/100</f>
        <v>0.7466666666666667</v>
      </c>
      <c r="F59" s="183"/>
      <c r="G59" s="184"/>
      <c r="H59" s="183"/>
      <c r="I59" s="184"/>
      <c r="J59" s="39" t="s">
        <v>170</v>
      </c>
      <c r="K59" s="44">
        <f>(IF(E52&gt;2,(I52/(E52+2)+K58),0))</f>
        <v>0</v>
      </c>
    </row>
    <row r="60" spans="1:13" ht="60.75" customHeight="1" x14ac:dyDescent="0.5">
      <c r="A60" s="135" t="s">
        <v>268</v>
      </c>
      <c r="B60" s="136"/>
      <c r="C60" s="131">
        <v>0</v>
      </c>
      <c r="D60" s="132"/>
      <c r="E60" s="17">
        <f ca="1">((100/(I52))*C60)/100</f>
        <v>0</v>
      </c>
      <c r="F60" s="183"/>
      <c r="G60" s="184"/>
      <c r="H60" s="183"/>
      <c r="I60" s="184"/>
      <c r="J60" s="39" t="s">
        <v>172</v>
      </c>
      <c r="K60" s="45">
        <f>(IF(E52&gt;3,(I52/(E52+2)+K59),0))</f>
        <v>0</v>
      </c>
    </row>
    <row r="61" spans="1:13" ht="21" x14ac:dyDescent="0.5">
      <c r="A61" s="135" t="s">
        <v>171</v>
      </c>
      <c r="B61" s="136"/>
      <c r="C61" s="131">
        <v>0</v>
      </c>
      <c r="D61" s="132"/>
      <c r="E61" s="17">
        <f ca="1">((100/(I52))*C61)/100</f>
        <v>0</v>
      </c>
      <c r="F61" s="183"/>
      <c r="G61" s="184"/>
      <c r="H61" s="183"/>
      <c r="I61" s="184"/>
      <c r="J61" s="39" t="s">
        <v>173</v>
      </c>
      <c r="K61" s="44">
        <f>(IF(E52&gt;4,(I52/(E52+2)+K60),0))</f>
        <v>0</v>
      </c>
    </row>
    <row r="62" spans="1:13" ht="21" x14ac:dyDescent="0.5">
      <c r="A62" s="135" t="s">
        <v>269</v>
      </c>
      <c r="B62" s="136"/>
      <c r="C62" s="131">
        <v>0</v>
      </c>
      <c r="D62" s="132"/>
      <c r="E62" s="17">
        <f ca="1">((100/I52)*C62)/100</f>
        <v>0</v>
      </c>
      <c r="F62" s="183"/>
      <c r="G62" s="184"/>
      <c r="H62" s="183"/>
      <c r="I62" s="184"/>
      <c r="J62" s="39" t="s">
        <v>154</v>
      </c>
      <c r="K62" s="44">
        <f>(IF(E52=1,(I52/(E52+3)+K57),IF(E52=0,(I52/4+K57),IF(E52&gt;1,0))))</f>
        <v>0</v>
      </c>
    </row>
    <row r="63" spans="1:13" ht="39" customHeight="1" thickBot="1" x14ac:dyDescent="0.55000000000000004">
      <c r="A63" s="135" t="s">
        <v>270</v>
      </c>
      <c r="B63" s="136"/>
      <c r="C63" s="131">
        <v>0</v>
      </c>
      <c r="D63" s="132"/>
      <c r="E63" s="17">
        <f ca="1">((100/I52)*C63)/100</f>
        <v>0</v>
      </c>
      <c r="F63" s="183"/>
      <c r="G63" s="184"/>
      <c r="H63" s="183"/>
      <c r="I63" s="184"/>
      <c r="J63" s="41" t="s">
        <v>155</v>
      </c>
      <c r="K63" s="46">
        <f ca="1">(IF(E52&gt;1.5,(I52/(E52+2)+K56+MAX(0,K57-K56)+MAX(0,K58-K57)+MAX(0,K59-K58)+MAX(0,K60-K59)+MAX(0,K61-K60)),IF(E52=1,(I52/(E52+3)+K62),IF(E52=0,I52/4+K62))))</f>
        <v>30</v>
      </c>
      <c r="M63" s="1" t="e">
        <f>(IF(D51&gt;1.5,(H51/(D51+2)+J56+MAX(0,J57-J56)+MAX(0,J58-J57)+MAX(0,J59-J58)+MAX(0,J60-J59)+MAX(0,J61-J60)),IF(D51=1,(H51/(D51+3)+J61),IF(D51=0,H51*0.3+J61))))</f>
        <v>#VALUE!</v>
      </c>
    </row>
    <row r="64" spans="1:13" ht="20.5" x14ac:dyDescent="0.35">
      <c r="A64" s="135" t="s">
        <v>174</v>
      </c>
      <c r="B64" s="136"/>
      <c r="C64" s="131">
        <v>0</v>
      </c>
      <c r="D64" s="132"/>
      <c r="E64" s="17">
        <f ca="1">((100/(I52))*C64)/100</f>
        <v>0</v>
      </c>
      <c r="F64" s="183"/>
      <c r="G64" s="184"/>
      <c r="H64" s="183"/>
      <c r="I64" s="184"/>
    </row>
    <row r="65" spans="1:11" ht="20.5" x14ac:dyDescent="0.35">
      <c r="A65" s="135" t="s">
        <v>175</v>
      </c>
      <c r="B65" s="136"/>
      <c r="C65" s="131">
        <v>0</v>
      </c>
      <c r="D65" s="132"/>
      <c r="E65" s="17">
        <f ca="1">((100/(I52))*C65)/100</f>
        <v>0</v>
      </c>
      <c r="F65" s="185"/>
      <c r="G65" s="186"/>
      <c r="H65" s="185"/>
      <c r="I65" s="186"/>
    </row>
    <row r="66" spans="1:11" ht="21" hidden="1" thickBot="1" x14ac:dyDescent="0.4">
      <c r="A66" s="137" t="s">
        <v>73</v>
      </c>
      <c r="B66" s="137"/>
      <c r="C66" s="137"/>
      <c r="D66" s="137"/>
      <c r="E66" s="137"/>
      <c r="F66" s="137"/>
      <c r="G66" s="137"/>
      <c r="H66" s="137"/>
      <c r="I66" s="137"/>
    </row>
    <row r="67" spans="1:11" ht="20.25" hidden="1" customHeight="1" x14ac:dyDescent="0.45">
      <c r="A67" s="113" t="s">
        <v>161</v>
      </c>
      <c r="B67" s="114"/>
      <c r="C67" s="115"/>
      <c r="D67" s="119" t="s">
        <v>4</v>
      </c>
      <c r="E67" s="50" t="s">
        <v>143</v>
      </c>
      <c r="F67" s="85" t="s">
        <v>130</v>
      </c>
      <c r="G67" s="85"/>
      <c r="H67" s="50" t="s">
        <v>144</v>
      </c>
      <c r="I67" s="50" t="s">
        <v>145</v>
      </c>
      <c r="J67" s="35" t="str">
        <f ca="1">(IF(F70&gt;99%,"All work completed. Please provide OC.",IF(F70&gt;89.8%,"Plinth, RCC, Brick, Plaster, Flooring, Painting work Completed. Finishing work is in process.",IF(F70&lt;94%,(IF(C70=0,"Work not yet Started.",IF(E70=25%,"Piling work in process",IF(E70=50%,"Excavation work in process",IF(E70=100%,"Excavation work Completed. ","0")))&amp;(IF(C71=0%,"",IF(C71=K72,"Footing work is process",IF(C71=K73,"Footing work Completed",IF(C71=K74,"1st Basement Completed",IF(C71=K75,"1st &amp; 2nd Basement Completed",IF(C71=K76,"1st to 3rd Basement Completed",IF(C71=K77,"1st to 4th Basement Completed",IF(C71=K78,"Plinth work is process",IF(C71=K79,"Plinth work completed","0")))))))))))&amp;(IF(C72=(F68+H68+I68),", RCC Slab",IF(C72&gt;0,", RCC upto "&amp;C72&amp;" Slab",""))&amp;(IF(C73=I68,", Brickwork",IF(C73&gt;0,", Brickwork upto "&amp;C73&amp;" Floor",""))&amp;(IF(C74=I68,", Door &amp; Window Frame",IF(C74&gt;0,", Door &amp; Window Frame work upto "&amp;C74&amp;" Floor",""))&amp;(IF(C75=I68,", Internal Plaster",IF(C75&gt;0,", Internal Plaster upto "&amp;C75&amp;" Floor",""))&amp;(IF(C76=I68,", External Plaster",IF(C76&gt;0,", External Plaster upto "&amp;C76&amp;" Floor",""))&amp;(IF(C77=I68,", Plumbing &amp; Electric work",IF(C77&gt;0,", Plumbing &amp; Electric work upto "&amp;C77&amp;" Floor",""))&amp;(IF(C78=I68,", Flooring",IF(C78&gt;0,", Flooring upto "&amp;C78&amp;" Floor",""))&amp;(IF(C79=I68,", Painting",IF(C79&gt;0,", Painting upto "&amp;C79&amp;" Floor",""))&amp;(IF(C80&gt;0,", Finishing upto "&amp;C80&amp;" Floor","")&amp;(IF(C72&gt;0.5," Completed",""))))))))))))))))</f>
        <v>Excavation work Completed. Plinth work completed</v>
      </c>
      <c r="K67" s="37"/>
    </row>
    <row r="68" spans="1:11" ht="20.5" hidden="1" x14ac:dyDescent="0.45">
      <c r="A68" s="116"/>
      <c r="B68" s="117"/>
      <c r="C68" s="118"/>
      <c r="D68" s="119"/>
      <c r="E68" s="50">
        <v>3</v>
      </c>
      <c r="F68" s="85">
        <v>1</v>
      </c>
      <c r="G68" s="85"/>
      <c r="H68" s="50">
        <v>0</v>
      </c>
      <c r="I68" s="50">
        <f ca="1">--TRIM(RIGHT(SUBSTITUTE(LEFT(A67,_xlfn.AGGREGATE(16,6,FIND({0,1,2,3,4,5,6,7,8,9},A67,ROW(INDIRECT("1:"&amp;LEN(A67)))),1))," ",REPT(" ",LEN(A67))),LEN(A67)))</f>
        <v>20</v>
      </c>
      <c r="J68" s="36" t="s">
        <v>149</v>
      </c>
      <c r="K68" s="37"/>
    </row>
    <row r="69" spans="1:11" ht="20.25" hidden="1" customHeight="1" x14ac:dyDescent="0.45">
      <c r="A69" s="173" t="s">
        <v>147</v>
      </c>
      <c r="B69" s="173"/>
      <c r="C69" s="173" t="s">
        <v>162</v>
      </c>
      <c r="D69" s="173"/>
      <c r="E69" s="47" t="s">
        <v>163</v>
      </c>
      <c r="F69" s="173" t="s">
        <v>148</v>
      </c>
      <c r="G69" s="173"/>
      <c r="H69" s="48" t="s">
        <v>146</v>
      </c>
      <c r="I69" s="48"/>
      <c r="J69" s="39" t="s">
        <v>164</v>
      </c>
      <c r="K69" s="38">
        <f ca="1">I68*25%</f>
        <v>5</v>
      </c>
    </row>
    <row r="70" spans="1:11" ht="20.25" hidden="1" customHeight="1" x14ac:dyDescent="0.45">
      <c r="A70" s="84" t="s">
        <v>165</v>
      </c>
      <c r="B70" s="84"/>
      <c r="C70" s="85">
        <f ca="1">K71</f>
        <v>20</v>
      </c>
      <c r="D70" s="85"/>
      <c r="E70" s="17">
        <f ca="1">((100/I68)*C70)/100</f>
        <v>1</v>
      </c>
      <c r="F70" s="84">
        <f ca="1">(((C70/I68*5)+(C71/I68*15)+(40/(F68+H68+I68)*C72)+(10/(I68)*C73)+(5/(I68)*C74)+(2.5/(I68)*C75)+(2.5/I68*C76)+(5/I68*C77)+(2.5/I68*C78)+(2.5/I68*C79)+(5/I68*C80)+(5/I68*C81))/100)</f>
        <v>0.2</v>
      </c>
      <c r="G70" s="84"/>
      <c r="H70" s="84" t="str">
        <f ca="1">J67</f>
        <v>Excavation work Completed. Plinth work completed</v>
      </c>
      <c r="I70" s="84"/>
      <c r="J70" s="39" t="s">
        <v>150</v>
      </c>
      <c r="K70" s="43">
        <f ca="1">I68*50%</f>
        <v>10</v>
      </c>
    </row>
    <row r="71" spans="1:11" ht="20.5" hidden="1" x14ac:dyDescent="0.45">
      <c r="A71" s="84" t="s">
        <v>131</v>
      </c>
      <c r="B71" s="84"/>
      <c r="C71" s="109">
        <f ca="1">K79</f>
        <v>20</v>
      </c>
      <c r="D71" s="85"/>
      <c r="E71" s="17">
        <f ca="1">((100/I68)*C71)/100</f>
        <v>1</v>
      </c>
      <c r="F71" s="84"/>
      <c r="G71" s="84"/>
      <c r="H71" s="84"/>
      <c r="I71" s="84"/>
      <c r="J71" s="39" t="s">
        <v>151</v>
      </c>
      <c r="K71" s="43">
        <f ca="1">I68</f>
        <v>20</v>
      </c>
    </row>
    <row r="72" spans="1:11" ht="21" hidden="1" customHeight="1" x14ac:dyDescent="0.5">
      <c r="A72" s="84" t="s">
        <v>166</v>
      </c>
      <c r="B72" s="84"/>
      <c r="C72" s="85">
        <v>0</v>
      </c>
      <c r="D72" s="85"/>
      <c r="E72" s="17">
        <f ca="1">((100/(F68+H68+I68))*C72)/100</f>
        <v>0</v>
      </c>
      <c r="F72" s="84"/>
      <c r="G72" s="84"/>
      <c r="H72" s="84"/>
      <c r="I72" s="84"/>
      <c r="J72" s="39" t="s">
        <v>152</v>
      </c>
      <c r="K72" s="44">
        <f ca="1">(IF(E68&gt;1,(I68/(E68+2)),I68/4))</f>
        <v>4</v>
      </c>
    </row>
    <row r="73" spans="1:11" ht="21" hidden="1" customHeight="1" x14ac:dyDescent="0.5">
      <c r="A73" s="84" t="s">
        <v>167</v>
      </c>
      <c r="B73" s="84"/>
      <c r="C73" s="85">
        <v>0</v>
      </c>
      <c r="D73" s="85"/>
      <c r="E73" s="17">
        <f ca="1">((100/I68)*C73)/100</f>
        <v>0</v>
      </c>
      <c r="F73" s="84"/>
      <c r="G73" s="84"/>
      <c r="H73" s="84"/>
      <c r="I73" s="84"/>
      <c r="J73" s="39" t="s">
        <v>153</v>
      </c>
      <c r="K73" s="44">
        <f ca="1">(IF(E68&gt;1,(I68/(E68+2)+K72),I68/4+K72))</f>
        <v>8</v>
      </c>
    </row>
    <row r="74" spans="1:11" ht="21" hidden="1" customHeight="1" x14ac:dyDescent="0.5">
      <c r="A74" s="84" t="s">
        <v>193</v>
      </c>
      <c r="B74" s="84"/>
      <c r="C74" s="85">
        <v>0</v>
      </c>
      <c r="D74" s="85"/>
      <c r="E74" s="17">
        <f ca="1">((100/I68)*C74)/100</f>
        <v>0</v>
      </c>
      <c r="F74" s="84"/>
      <c r="G74" s="84"/>
      <c r="H74" s="84"/>
      <c r="I74" s="84"/>
      <c r="J74" s="39" t="s">
        <v>169</v>
      </c>
      <c r="K74" s="44">
        <f ca="1">(IF(E68&gt;1,(I68/(E68+2)+K73),0))</f>
        <v>12</v>
      </c>
    </row>
    <row r="75" spans="1:11" ht="21" hidden="1" customHeight="1" x14ac:dyDescent="0.5">
      <c r="A75" s="84" t="s">
        <v>168</v>
      </c>
      <c r="B75" s="84"/>
      <c r="C75" s="85">
        <v>0</v>
      </c>
      <c r="D75" s="85"/>
      <c r="E75" s="17">
        <f ca="1">((100/I68)*C75)/100</f>
        <v>0</v>
      </c>
      <c r="F75" s="84"/>
      <c r="G75" s="84"/>
      <c r="H75" s="84"/>
      <c r="I75" s="84"/>
      <c r="J75" s="39" t="s">
        <v>170</v>
      </c>
      <c r="K75" s="44">
        <f ca="1">(IF(E68&gt;2,(I68/(E68+2)+K74),0))</f>
        <v>16</v>
      </c>
    </row>
    <row r="76" spans="1:11" ht="21" hidden="1" customHeight="1" x14ac:dyDescent="0.5">
      <c r="A76" s="84" t="s">
        <v>194</v>
      </c>
      <c r="B76" s="84"/>
      <c r="C76" s="85">
        <v>0</v>
      </c>
      <c r="D76" s="85"/>
      <c r="E76" s="17">
        <f ca="1">((100/(I68))*C76)/100</f>
        <v>0</v>
      </c>
      <c r="F76" s="84"/>
      <c r="G76" s="84"/>
      <c r="H76" s="84"/>
      <c r="I76" s="84"/>
      <c r="J76" s="39" t="s">
        <v>172</v>
      </c>
      <c r="K76" s="45">
        <f>(IF(E68&gt;3,(I68/(E68+2)+K75),0))</f>
        <v>0</v>
      </c>
    </row>
    <row r="77" spans="1:11" ht="21" hidden="1" customHeight="1" x14ac:dyDescent="0.5">
      <c r="A77" s="84" t="s">
        <v>195</v>
      </c>
      <c r="B77" s="84"/>
      <c r="C77" s="85">
        <v>0</v>
      </c>
      <c r="D77" s="85"/>
      <c r="E77" s="17">
        <f ca="1">((100/(I68))*C77)/100</f>
        <v>0</v>
      </c>
      <c r="F77" s="84"/>
      <c r="G77" s="84"/>
      <c r="H77" s="84"/>
      <c r="I77" s="84"/>
      <c r="J77" s="39" t="s">
        <v>173</v>
      </c>
      <c r="K77" s="44">
        <f>(IF(E68&gt;4,(I68/(E68+2)+K76),0))</f>
        <v>0</v>
      </c>
    </row>
    <row r="78" spans="1:11" ht="21" hidden="1" customHeight="1" x14ac:dyDescent="0.5">
      <c r="A78" s="84" t="s">
        <v>171</v>
      </c>
      <c r="B78" s="84"/>
      <c r="C78" s="85">
        <v>0</v>
      </c>
      <c r="D78" s="85"/>
      <c r="E78" s="17">
        <f ca="1">((100/I68)*C78)/100</f>
        <v>0</v>
      </c>
      <c r="F78" s="84"/>
      <c r="G78" s="84"/>
      <c r="H78" s="84"/>
      <c r="I78" s="84"/>
      <c r="J78" s="39" t="s">
        <v>154</v>
      </c>
      <c r="K78" s="44">
        <f>(IF(E68=1,(I68/(E68+3)+K73),IF(E68=0,(I68/4+K73),IF(E68&gt;1,0))))</f>
        <v>0</v>
      </c>
    </row>
    <row r="79" spans="1:11" ht="21.5" hidden="1" thickBot="1" x14ac:dyDescent="0.55000000000000004">
      <c r="A79" s="84" t="s">
        <v>196</v>
      </c>
      <c r="B79" s="84"/>
      <c r="C79" s="85">
        <v>0</v>
      </c>
      <c r="D79" s="85"/>
      <c r="E79" s="17">
        <f ca="1">((100/I68)*C79)/100</f>
        <v>0</v>
      </c>
      <c r="F79" s="84"/>
      <c r="G79" s="84"/>
      <c r="H79" s="84"/>
      <c r="I79" s="84"/>
      <c r="J79" s="41" t="s">
        <v>155</v>
      </c>
      <c r="K79" s="46">
        <f ca="1">(IF(E68&gt;1.5,(I68/(E68+2)+K73+MAX(0,K74-K73)+MAX(0,K75-K74)+MAX(0,K76-K75)+MAX(0,K77-K76)+MAX(0,K78-K77)),IF(E68=1,(I68/(E68+3)+K78),IF(E68=0,I68/4+K78))))</f>
        <v>20</v>
      </c>
    </row>
    <row r="80" spans="1:11" ht="20.5" hidden="1" x14ac:dyDescent="0.35">
      <c r="A80" s="84" t="s">
        <v>174</v>
      </c>
      <c r="B80" s="84"/>
      <c r="C80" s="85">
        <v>0</v>
      </c>
      <c r="D80" s="85"/>
      <c r="E80" s="17">
        <f ca="1">((100/(I68))*C80)/100</f>
        <v>0</v>
      </c>
      <c r="F80" s="84"/>
      <c r="G80" s="84"/>
      <c r="H80" s="84"/>
      <c r="I80" s="84"/>
    </row>
    <row r="81" spans="1:12" ht="20.5" hidden="1" x14ac:dyDescent="0.35">
      <c r="A81" s="84" t="s">
        <v>175</v>
      </c>
      <c r="B81" s="84"/>
      <c r="C81" s="85">
        <v>0</v>
      </c>
      <c r="D81" s="85"/>
      <c r="E81" s="17">
        <f ca="1">((100/(I68))*C81)/100</f>
        <v>0</v>
      </c>
      <c r="F81" s="84"/>
      <c r="G81" s="84"/>
      <c r="H81" s="84"/>
      <c r="I81" s="84"/>
    </row>
    <row r="82" spans="1:12" ht="36.75" customHeight="1" x14ac:dyDescent="0.45">
      <c r="A82" s="93" t="s">
        <v>156</v>
      </c>
      <c r="B82" s="94"/>
      <c r="C82" s="94"/>
      <c r="D82" s="94"/>
      <c r="E82" s="94"/>
      <c r="F82" s="94"/>
      <c r="G82" s="94"/>
      <c r="H82" s="95">
        <f ca="1">AVERAGE(F54)</f>
        <v>0.56787096774193546</v>
      </c>
      <c r="I82" s="96"/>
      <c r="J82" s="39"/>
      <c r="K82" s="40"/>
      <c r="L82" s="40"/>
    </row>
    <row r="83" spans="1:12" ht="20.5" x14ac:dyDescent="0.35">
      <c r="A83" s="120" t="s">
        <v>77</v>
      </c>
      <c r="B83" s="121"/>
      <c r="C83" s="121"/>
      <c r="D83" s="121"/>
      <c r="E83" s="121"/>
      <c r="F83" s="121"/>
      <c r="G83" s="121"/>
      <c r="H83" s="121"/>
      <c r="I83" s="122"/>
    </row>
    <row r="84" spans="1:12" ht="41" x14ac:dyDescent="0.35">
      <c r="A84" s="138" t="s">
        <v>78</v>
      </c>
      <c r="B84" s="138"/>
      <c r="C84" s="138"/>
      <c r="D84" s="3" t="s">
        <v>4</v>
      </c>
      <c r="E84" s="15" t="s">
        <v>135</v>
      </c>
      <c r="F84" s="22" t="s">
        <v>176</v>
      </c>
      <c r="G84" s="3" t="s">
        <v>4</v>
      </c>
      <c r="H84" s="139" t="s">
        <v>198</v>
      </c>
      <c r="I84" s="139"/>
    </row>
    <row r="85" spans="1:12" ht="86.25" customHeight="1" x14ac:dyDescent="0.35">
      <c r="A85" s="138" t="s">
        <v>263</v>
      </c>
      <c r="B85" s="138"/>
      <c r="C85" s="138"/>
      <c r="D85" s="2" t="s">
        <v>264</v>
      </c>
      <c r="E85" s="19" t="s">
        <v>265</v>
      </c>
      <c r="F85" s="22" t="s">
        <v>190</v>
      </c>
      <c r="G85" s="2" t="s">
        <v>4</v>
      </c>
      <c r="H85" s="97" t="s">
        <v>177</v>
      </c>
      <c r="I85" s="97"/>
    </row>
    <row r="86" spans="1:12" ht="26.25" customHeight="1" x14ac:dyDescent="0.35">
      <c r="A86" s="175" t="s">
        <v>81</v>
      </c>
      <c r="B86" s="175"/>
      <c r="C86" s="175"/>
      <c r="D86" s="3" t="s">
        <v>4</v>
      </c>
      <c r="E86" s="19" t="s">
        <v>259</v>
      </c>
      <c r="F86" s="3" t="s">
        <v>129</v>
      </c>
      <c r="G86" s="3" t="s">
        <v>4</v>
      </c>
      <c r="H86" s="178" t="s">
        <v>136</v>
      </c>
      <c r="I86" s="179"/>
    </row>
    <row r="87" spans="1:12" ht="20.5" hidden="1" x14ac:dyDescent="0.35">
      <c r="A87" s="138" t="s">
        <v>119</v>
      </c>
      <c r="B87" s="138"/>
      <c r="C87" s="138"/>
      <c r="D87" s="2" t="s">
        <v>4</v>
      </c>
      <c r="E87" s="19" t="s">
        <v>120</v>
      </c>
      <c r="F87" s="22" t="s">
        <v>121</v>
      </c>
      <c r="G87" s="2" t="s">
        <v>4</v>
      </c>
      <c r="H87" s="97" t="s">
        <v>99</v>
      </c>
      <c r="I87" s="97"/>
    </row>
    <row r="88" spans="1:12" ht="61.5" hidden="1" x14ac:dyDescent="0.35">
      <c r="A88" s="138" t="s">
        <v>122</v>
      </c>
      <c r="B88" s="138"/>
      <c r="C88" s="138"/>
      <c r="D88" s="2" t="s">
        <v>4</v>
      </c>
      <c r="E88" s="19" t="s">
        <v>123</v>
      </c>
      <c r="F88" s="22" t="s">
        <v>124</v>
      </c>
      <c r="G88" s="2" t="s">
        <v>4</v>
      </c>
      <c r="H88" s="97" t="s">
        <v>125</v>
      </c>
      <c r="I88" s="97"/>
    </row>
    <row r="89" spans="1:12" ht="20.5" hidden="1" x14ac:dyDescent="0.35">
      <c r="A89" s="138" t="s">
        <v>80</v>
      </c>
      <c r="B89" s="138"/>
      <c r="C89" s="138"/>
      <c r="D89" s="2" t="s">
        <v>4</v>
      </c>
      <c r="E89" s="19" t="s">
        <v>101</v>
      </c>
      <c r="F89" s="22" t="s">
        <v>79</v>
      </c>
      <c r="G89" s="2" t="s">
        <v>4</v>
      </c>
      <c r="H89" s="58" t="s">
        <v>101</v>
      </c>
      <c r="I89" s="59"/>
    </row>
    <row r="90" spans="1:12" ht="20.5" hidden="1" x14ac:dyDescent="0.35">
      <c r="A90" s="138" t="s">
        <v>126</v>
      </c>
      <c r="B90" s="138"/>
      <c r="C90" s="138"/>
      <c r="D90" s="2" t="s">
        <v>4</v>
      </c>
      <c r="E90" s="19" t="s">
        <v>100</v>
      </c>
      <c r="F90" s="22" t="s">
        <v>81</v>
      </c>
      <c r="G90" s="2" t="s">
        <v>4</v>
      </c>
      <c r="H90" s="97" t="s">
        <v>118</v>
      </c>
      <c r="I90" s="97"/>
    </row>
    <row r="91" spans="1:12" ht="20.5" hidden="1" x14ac:dyDescent="0.35">
      <c r="A91" s="138" t="s">
        <v>127</v>
      </c>
      <c r="B91" s="138"/>
      <c r="C91" s="138"/>
      <c r="D91" s="2" t="s">
        <v>4</v>
      </c>
      <c r="E91" s="20" t="s">
        <v>111</v>
      </c>
      <c r="F91" s="22" t="s">
        <v>128</v>
      </c>
      <c r="G91" s="2" t="s">
        <v>4</v>
      </c>
      <c r="H91" s="174" t="s">
        <v>111</v>
      </c>
      <c r="I91" s="174"/>
    </row>
    <row r="92" spans="1:12" ht="18" hidden="1" customHeight="1" x14ac:dyDescent="0.35">
      <c r="A92" s="175" t="s">
        <v>129</v>
      </c>
      <c r="B92" s="175"/>
      <c r="C92" s="175"/>
      <c r="D92" s="3" t="s">
        <v>4</v>
      </c>
      <c r="E92" s="10"/>
      <c r="F92" s="3" t="s">
        <v>129</v>
      </c>
      <c r="G92" s="3" t="s">
        <v>4</v>
      </c>
      <c r="H92" s="176" t="s">
        <v>111</v>
      </c>
      <c r="I92" s="177"/>
    </row>
    <row r="93" spans="1:12" ht="20.5" x14ac:dyDescent="0.35">
      <c r="A93" s="120" t="s">
        <v>76</v>
      </c>
      <c r="B93" s="121"/>
      <c r="C93" s="121"/>
      <c r="D93" s="121"/>
      <c r="E93" s="121"/>
      <c r="F93" s="121"/>
      <c r="G93" s="121"/>
      <c r="H93" s="121"/>
      <c r="I93" s="122"/>
    </row>
    <row r="94" spans="1:12" ht="20.5" x14ac:dyDescent="0.35">
      <c r="A94" s="140" t="s">
        <v>9</v>
      </c>
      <c r="B94" s="141"/>
      <c r="C94" s="141"/>
      <c r="D94" s="141"/>
      <c r="E94" s="141"/>
      <c r="F94" s="142"/>
      <c r="G94" s="2" t="s">
        <v>4</v>
      </c>
      <c r="H94" s="168">
        <f>18500/10.764</f>
        <v>1718.6919360832405</v>
      </c>
      <c r="I94" s="169"/>
    </row>
    <row r="95" spans="1:12" ht="20.5" x14ac:dyDescent="0.35">
      <c r="A95" s="140" t="s">
        <v>31</v>
      </c>
      <c r="B95" s="141"/>
      <c r="C95" s="141"/>
      <c r="D95" s="141"/>
      <c r="E95" s="141"/>
      <c r="F95" s="142"/>
      <c r="G95" s="2" t="s">
        <v>4</v>
      </c>
      <c r="H95" s="151">
        <f>94600/10.764</f>
        <v>8788.5544407283542</v>
      </c>
      <c r="I95" s="151"/>
    </row>
    <row r="96" spans="1:12" ht="20.5" x14ac:dyDescent="0.35">
      <c r="A96" s="140" t="s">
        <v>137</v>
      </c>
      <c r="B96" s="141"/>
      <c r="C96" s="141"/>
      <c r="D96" s="141"/>
      <c r="E96" s="141"/>
      <c r="F96" s="142"/>
      <c r="G96" s="2" t="s">
        <v>4</v>
      </c>
      <c r="H96" s="151">
        <f>H94*0.8</f>
        <v>1374.9535488665924</v>
      </c>
      <c r="I96" s="151"/>
    </row>
    <row r="97" spans="1:151 16227:16384" ht="20.5" x14ac:dyDescent="0.35">
      <c r="A97" s="149" t="s">
        <v>85</v>
      </c>
      <c r="B97" s="150"/>
      <c r="C97" s="150"/>
      <c r="D97" s="150"/>
      <c r="E97" s="150"/>
      <c r="F97" s="150"/>
      <c r="G97" s="150"/>
      <c r="H97" s="150"/>
      <c r="I97" s="88"/>
    </row>
    <row r="98" spans="1:151 16227:16384" s="11" customFormat="1" ht="40" x14ac:dyDescent="0.35">
      <c r="A98" s="89" t="s">
        <v>186</v>
      </c>
      <c r="B98" s="90"/>
      <c r="C98" s="89" t="s">
        <v>187</v>
      </c>
      <c r="D98" s="90"/>
      <c r="E98" s="51" t="s">
        <v>188</v>
      </c>
      <c r="F98" s="89" t="s">
        <v>185</v>
      </c>
      <c r="G98" s="90"/>
      <c r="H98" s="51" t="s">
        <v>184</v>
      </c>
      <c r="I98" s="51" t="s">
        <v>183</v>
      </c>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c r="XFD98" s="1"/>
    </row>
    <row r="99" spans="1:151 16227:16384" s="11" customFormat="1" ht="20.5" x14ac:dyDescent="0.35">
      <c r="A99" s="91" t="s">
        <v>225</v>
      </c>
      <c r="B99" s="92"/>
      <c r="C99" s="91" t="s">
        <v>252</v>
      </c>
      <c r="D99" s="92"/>
      <c r="E99" s="52" t="s">
        <v>254</v>
      </c>
      <c r="F99" s="91">
        <f>COUNT(F113:F120)</f>
        <v>8</v>
      </c>
      <c r="G99" s="92"/>
      <c r="H99" s="52">
        <f>SUM(F113:F120)</f>
        <v>3216.8213999999998</v>
      </c>
      <c r="I99" s="52">
        <f>SUM(I113:I120)</f>
        <v>4825.2321000000002</v>
      </c>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1" customFormat="1" ht="20.5" x14ac:dyDescent="0.35">
      <c r="A100" s="91" t="s">
        <v>225</v>
      </c>
      <c r="B100" s="92"/>
      <c r="C100" s="91" t="s">
        <v>248</v>
      </c>
      <c r="D100" s="92"/>
      <c r="E100" s="52" t="s">
        <v>253</v>
      </c>
      <c r="F100" s="91">
        <f>COUNT(F123:F125)+COUNT(F130:F132)+COUNT(F137:F140,F142)*10+COUNT(F144:F147,F149)*2+COUNT(F151:F156)*5+COUNT(F158:F163)*2</f>
        <v>108</v>
      </c>
      <c r="G100" s="92"/>
      <c r="H100" s="52">
        <f>SUM(F123:F125)+SUM(F130:F132)+SUM(F137:F140,F142)*10+SUM(F144:F147,F149)*2+SUM(F151:F156)*5+SUM(F158:F163)*2</f>
        <v>86736.3082326</v>
      </c>
      <c r="I100" s="52">
        <f>SUM(I123:I125)+SUM(I130:I132)+SUM(I137:I140,I142)*10+SUM(I144:I147,I149)*2+SUM(I151:I156)*5+SUM(I158:I163)*2</f>
        <v>130104.46234890002</v>
      </c>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5" x14ac:dyDescent="0.35">
      <c r="A101" s="91" t="s">
        <v>225</v>
      </c>
      <c r="B101" s="92"/>
      <c r="C101" s="91" t="s">
        <v>249</v>
      </c>
      <c r="D101" s="92"/>
      <c r="E101" s="52" t="s">
        <v>253</v>
      </c>
      <c r="F101" s="91">
        <f>COUNT(F141)*10+COUNT(F148)*2</f>
        <v>12</v>
      </c>
      <c r="G101" s="92"/>
      <c r="H101" s="52">
        <f>SUM(F141)*10+SUM(F148)*2</f>
        <v>7235.0484336</v>
      </c>
      <c r="I101" s="52">
        <f>SUM(I141)*10+SUM(I148)*2</f>
        <v>10852.572650399999</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0.5" x14ac:dyDescent="0.35">
      <c r="A102" s="91" t="s">
        <v>226</v>
      </c>
      <c r="B102" s="92"/>
      <c r="C102" s="91" t="s">
        <v>252</v>
      </c>
      <c r="D102" s="92"/>
      <c r="E102" s="52" t="s">
        <v>254</v>
      </c>
      <c r="F102" s="91">
        <f>COUNT(F167:F171)</f>
        <v>5</v>
      </c>
      <c r="G102" s="92"/>
      <c r="H102" s="52">
        <f>SUM(F167:F171)</f>
        <v>2307.0481199999999</v>
      </c>
      <c r="I102" s="52">
        <f>SUM(I167:I171)</f>
        <v>3460.5721800000001</v>
      </c>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1" customFormat="1" ht="20.5" x14ac:dyDescent="0.35">
      <c r="A103" s="91" t="s">
        <v>226</v>
      </c>
      <c r="B103" s="92"/>
      <c r="C103" s="91" t="s">
        <v>248</v>
      </c>
      <c r="D103" s="92"/>
      <c r="E103" s="52" t="s">
        <v>253</v>
      </c>
      <c r="F103" s="91">
        <f>COUNT(F174:F175)+COUNT(F179:F180)+COUNT(F184:F186)*10+COUNT(F189:F191)*2+COUNT(F194:F197)*5+COUNT(F199:F202)</f>
        <v>64</v>
      </c>
      <c r="G103" s="92"/>
      <c r="H103" s="52">
        <f>SUM(F174:F175)+SUM(F179:F180)+SUM(F184:F186)*10+SUM(F189:F191)*2+SUM(F194:F197)*5+SUM(F199:F202)</f>
        <v>55871.028532800003</v>
      </c>
      <c r="I103" s="52">
        <f>SUM(I174:I175)+SUM(I179:I180)+SUM(I184:I186)*10+SUM(I189:I191)*2+SUM(I194:I197)*5+SUM(I199:I202)</f>
        <v>83806.54279919999</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s="11" customFormat="1" ht="20.5" x14ac:dyDescent="0.35">
      <c r="A104" s="91" t="s">
        <v>226</v>
      </c>
      <c r="B104" s="92"/>
      <c r="C104" s="91" t="s">
        <v>249</v>
      </c>
      <c r="D104" s="92"/>
      <c r="E104" s="52" t="s">
        <v>253</v>
      </c>
      <c r="F104" s="91">
        <f>COUNT(F187)*10+COUNT(F192)*2</f>
        <v>12</v>
      </c>
      <c r="G104" s="92"/>
      <c r="H104" s="52">
        <f>SUM(F187)*10+SUM(F192)*2</f>
        <v>7235.0484336</v>
      </c>
      <c r="I104" s="52">
        <f>SUM(I187)*10+SUM(I192)*2</f>
        <v>10852.572650399999</v>
      </c>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1" customFormat="1" ht="20.5" x14ac:dyDescent="0.35">
      <c r="A105" s="89" t="s">
        <v>189</v>
      </c>
      <c r="B105" s="90"/>
      <c r="C105" s="89">
        <f>SUM(C100:D103)</f>
        <v>0</v>
      </c>
      <c r="D105" s="90"/>
      <c r="E105" s="51">
        <f>SUM(E100:E103)</f>
        <v>0</v>
      </c>
      <c r="F105" s="89">
        <f>SUM(F99:F104)</f>
        <v>209</v>
      </c>
      <c r="G105" s="90"/>
      <c r="H105" s="51">
        <f>SUM(H99:H104)</f>
        <v>162601.30315260001</v>
      </c>
      <c r="I105" s="51">
        <f>SUM(I99:I104)</f>
        <v>243901.95472889999</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ht="20.5" x14ac:dyDescent="0.35">
      <c r="A106" s="86" t="s">
        <v>182</v>
      </c>
      <c r="B106" s="87"/>
      <c r="C106" s="87"/>
      <c r="D106" s="87"/>
      <c r="E106" s="87"/>
      <c r="F106" s="87"/>
      <c r="G106" s="87"/>
      <c r="H106" s="87"/>
      <c r="I106" s="88"/>
    </row>
    <row r="107" spans="1:151 16227:16384" ht="44.25" customHeight="1" x14ac:dyDescent="0.35">
      <c r="A107" s="180" t="s">
        <v>106</v>
      </c>
      <c r="B107" s="180"/>
      <c r="C107" s="180" t="s">
        <v>102</v>
      </c>
      <c r="D107" s="180"/>
      <c r="E107" s="180" t="s">
        <v>103</v>
      </c>
      <c r="F107" s="180" t="s">
        <v>104</v>
      </c>
      <c r="G107" s="180"/>
      <c r="H107" s="180" t="s">
        <v>105</v>
      </c>
      <c r="I107" s="33" t="s">
        <v>157</v>
      </c>
      <c r="K107" s="1" t="s">
        <v>236</v>
      </c>
      <c r="P107" s="1" t="s">
        <v>235</v>
      </c>
    </row>
    <row r="108" spans="1:151 16227:16384" s="11" customFormat="1" ht="20.5" x14ac:dyDescent="0.35">
      <c r="A108" s="180"/>
      <c r="B108" s="180"/>
      <c r="C108" s="180"/>
      <c r="D108" s="180"/>
      <c r="E108" s="180"/>
      <c r="F108" s="180"/>
      <c r="G108" s="180"/>
      <c r="H108" s="180"/>
      <c r="I108" s="34">
        <v>0.5</v>
      </c>
      <c r="J108" s="1"/>
      <c r="K108" s="1">
        <f>1.55*1.55+3.2*5.11+4.05*2.25+1.9*3.4+3.05*3.11+1.48*2.35+1.38*2.35+3.15*4.26+3*3+1.25*1.25+4.25*1.05</f>
        <v>78.977500000000006</v>
      </c>
      <c r="L108" s="1"/>
      <c r="M108" s="1"/>
      <c r="N108" s="1"/>
      <c r="O108" s="1"/>
      <c r="P108" s="1">
        <f>3.15*5.11+2.28*2.95+2.75*2.95+3.05*3.05+2.4*0.6+2.13*1.27+2.13*1.27+5.2*0.91+1.27*0.6</f>
        <v>52.581699999999998</v>
      </c>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5" x14ac:dyDescent="0.35">
      <c r="A109" s="63" t="s">
        <v>221</v>
      </c>
      <c r="B109" s="64"/>
      <c r="C109" s="64"/>
      <c r="D109" s="64"/>
      <c r="E109" s="64"/>
      <c r="F109" s="64"/>
      <c r="G109" s="64"/>
      <c r="H109" s="64"/>
      <c r="I109" s="76"/>
      <c r="J109" s="1"/>
      <c r="K109" s="1">
        <f>3.2*1.5</f>
        <v>4.8000000000000007</v>
      </c>
      <c r="L109" s="1"/>
      <c r="M109" s="1"/>
      <c r="N109" s="1"/>
      <c r="O109" s="1"/>
      <c r="P109" s="1">
        <f>3.15*1.2</f>
        <v>3.78</v>
      </c>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0.5" x14ac:dyDescent="0.35">
      <c r="A110" s="63" t="s">
        <v>228</v>
      </c>
      <c r="B110" s="64"/>
      <c r="C110" s="64"/>
      <c r="D110" s="64"/>
      <c r="E110" s="64"/>
      <c r="F110" s="64"/>
      <c r="G110" s="64"/>
      <c r="H110" s="64"/>
      <c r="I110" s="76"/>
      <c r="J110" s="1"/>
      <c r="K110" s="1"/>
      <c r="L110" s="1"/>
      <c r="M110" s="1"/>
      <c r="N110" s="1"/>
      <c r="O110" s="1"/>
      <c r="P110" s="1">
        <f>0.75*(2.28+2.75+3.05)</f>
        <v>6.0599999999999987</v>
      </c>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0.5" x14ac:dyDescent="0.35">
      <c r="A111" s="63" t="s">
        <v>229</v>
      </c>
      <c r="B111" s="64"/>
      <c r="C111" s="64"/>
      <c r="D111" s="64"/>
      <c r="E111" s="64"/>
      <c r="F111" s="64"/>
      <c r="G111" s="64"/>
      <c r="H111" s="64"/>
      <c r="I111" s="76"/>
      <c r="J111" s="1"/>
      <c r="K111" s="1"/>
      <c r="L111" s="1"/>
      <c r="M111" s="1"/>
      <c r="N111" s="1"/>
      <c r="O111" s="1"/>
      <c r="P111" s="1">
        <f>P108+P109</f>
        <v>56.361699999999999</v>
      </c>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5" x14ac:dyDescent="0.35">
      <c r="A112" s="63" t="s">
        <v>230</v>
      </c>
      <c r="B112" s="64"/>
      <c r="C112" s="64"/>
      <c r="D112" s="64"/>
      <c r="E112" s="64"/>
      <c r="F112" s="64"/>
      <c r="G112" s="64"/>
      <c r="H112" s="64"/>
      <c r="I112" s="76"/>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customHeight="1" x14ac:dyDescent="0.35">
      <c r="A113" s="60" t="s">
        <v>248</v>
      </c>
      <c r="B113" s="60"/>
      <c r="C113" s="60">
        <v>1</v>
      </c>
      <c r="D113" s="60"/>
      <c r="E113" s="21" t="s">
        <v>231</v>
      </c>
      <c r="F113" s="61">
        <f>(45.16)*(10.764)</f>
        <v>486.10223999999994</v>
      </c>
      <c r="G113" s="62"/>
      <c r="H113" s="21">
        <v>0</v>
      </c>
      <c r="I113" s="21">
        <f>F113*(($I$108)+1)+H113</f>
        <v>729.15335999999991</v>
      </c>
      <c r="J113" s="1"/>
      <c r="K113" s="1">
        <f>0.75*(3.05+3.15)</f>
        <v>4.6499999999999995</v>
      </c>
      <c r="L113" s="1"/>
      <c r="M113" s="61">
        <f>(45.16)*(10.764)</f>
        <v>486.10223999999994</v>
      </c>
      <c r="N113" s="62"/>
      <c r="O113" s="1"/>
      <c r="P113" s="1">
        <f>57.07+3.36</f>
        <v>60.43</v>
      </c>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customHeight="1" x14ac:dyDescent="0.35">
      <c r="A114" s="60" t="s">
        <v>248</v>
      </c>
      <c r="B114" s="60"/>
      <c r="C114" s="60">
        <v>2</v>
      </c>
      <c r="D114" s="60"/>
      <c r="E114" s="21" t="s">
        <v>231</v>
      </c>
      <c r="F114" s="61">
        <f>(53.45)*(10.764)</f>
        <v>575.33579999999995</v>
      </c>
      <c r="G114" s="62">
        <f>(53.45)*(10.764)</f>
        <v>575.33579999999995</v>
      </c>
      <c r="H114" s="21">
        <v>0</v>
      </c>
      <c r="I114" s="21">
        <f t="shared" ref="I114:I120" si="0">F114*(($I$108)+1)+H114</f>
        <v>863.00369999999998</v>
      </c>
      <c r="J114" s="1"/>
      <c r="K114" s="1">
        <f>K108+K109+K113</f>
        <v>88.427500000000009</v>
      </c>
      <c r="L114" s="1"/>
      <c r="M114" s="61">
        <f>(53.45)*(10.764)</f>
        <v>575.33579999999995</v>
      </c>
      <c r="N114" s="62">
        <f>(53.45)*(10.764)</f>
        <v>575.33579999999995</v>
      </c>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customHeight="1" x14ac:dyDescent="0.35">
      <c r="A115" s="60" t="s">
        <v>248</v>
      </c>
      <c r="B115" s="60"/>
      <c r="C115" s="60">
        <v>3</v>
      </c>
      <c r="D115" s="60"/>
      <c r="E115" s="21" t="s">
        <v>231</v>
      </c>
      <c r="F115" s="61">
        <f>(21.86)*(10.764)</f>
        <v>235.30103999999997</v>
      </c>
      <c r="G115" s="62">
        <f>(21.86)*(10.764)</f>
        <v>235.30103999999997</v>
      </c>
      <c r="H115" s="21">
        <v>0</v>
      </c>
      <c r="I115" s="21">
        <f t="shared" si="0"/>
        <v>352.95155999999997</v>
      </c>
      <c r="J115" s="1"/>
      <c r="K115" s="1">
        <f>3.15*5.04+1.2*1.5+1.8*1.65+0.8*1.32</f>
        <v>21.701999999999998</v>
      </c>
      <c r="L115" s="1"/>
      <c r="M115" s="61">
        <f>(21.86)*(10.764)</f>
        <v>235.30103999999997</v>
      </c>
      <c r="N115" s="62">
        <f>(21.86)*(10.764)</f>
        <v>235.30103999999997</v>
      </c>
      <c r="O115" s="1"/>
      <c r="P115" s="1">
        <f>57.07+P110</f>
        <v>63.129999999999995</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customHeight="1" x14ac:dyDescent="0.35">
      <c r="A116" s="60" t="s">
        <v>248</v>
      </c>
      <c r="B116" s="60"/>
      <c r="C116" s="60">
        <v>4</v>
      </c>
      <c r="D116" s="60"/>
      <c r="E116" s="21" t="s">
        <v>231</v>
      </c>
      <c r="F116" s="61">
        <f>(44.75)*(10.764)</f>
        <v>481.68899999999996</v>
      </c>
      <c r="G116" s="62">
        <f>(44.75)*(10.764)</f>
        <v>481.68899999999996</v>
      </c>
      <c r="H116" s="21">
        <v>0</v>
      </c>
      <c r="I116" s="21">
        <f t="shared" si="0"/>
        <v>722.5335</v>
      </c>
      <c r="J116" s="1"/>
      <c r="K116" s="1"/>
      <c r="L116" s="1"/>
      <c r="M116" s="61">
        <f>(44.75)*(10.764)</f>
        <v>481.68899999999996</v>
      </c>
      <c r="N116" s="62">
        <f>(44.75)*(10.764)</f>
        <v>481.68899999999996</v>
      </c>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customHeight="1" x14ac:dyDescent="0.35">
      <c r="A117" s="60" t="s">
        <v>248</v>
      </c>
      <c r="B117" s="60"/>
      <c r="C117" s="60">
        <v>5</v>
      </c>
      <c r="D117" s="60"/>
      <c r="E117" s="21" t="s">
        <v>231</v>
      </c>
      <c r="F117" s="61">
        <f>(30.28)*(10.764)</f>
        <v>325.93392</v>
      </c>
      <c r="G117" s="62">
        <f>(30.28)*(10.764)</f>
        <v>325.93392</v>
      </c>
      <c r="H117" s="21">
        <v>0</v>
      </c>
      <c r="I117" s="21">
        <f t="shared" si="0"/>
        <v>488.90088000000003</v>
      </c>
      <c r="J117" s="1"/>
      <c r="K117" s="1"/>
      <c r="L117" s="1"/>
      <c r="M117" s="61">
        <f>(30.28)*(10.764)</f>
        <v>325.93392</v>
      </c>
      <c r="N117" s="62">
        <f>(30.28)*(10.764)</f>
        <v>325.93392</v>
      </c>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customHeight="1" x14ac:dyDescent="0.35">
      <c r="A118" s="60" t="s">
        <v>248</v>
      </c>
      <c r="B118" s="60"/>
      <c r="C118" s="60">
        <v>6</v>
      </c>
      <c r="D118" s="60"/>
      <c r="E118" s="21" t="s">
        <v>231</v>
      </c>
      <c r="F118" s="61">
        <f>(31.37)*(10.764)</f>
        <v>337.66667999999999</v>
      </c>
      <c r="G118" s="62">
        <f>(31.37)*(10.764)</f>
        <v>337.66667999999999</v>
      </c>
      <c r="H118" s="21">
        <v>0</v>
      </c>
      <c r="I118" s="21">
        <f t="shared" si="0"/>
        <v>506.50001999999995</v>
      </c>
      <c r="J118" s="1"/>
      <c r="K118" s="1">
        <f>82.52+4.32+2.62</f>
        <v>89.460000000000008</v>
      </c>
      <c r="L118" s="1"/>
      <c r="M118" s="61">
        <f>(31.37)*(10.764)</f>
        <v>337.66667999999999</v>
      </c>
      <c r="N118" s="62">
        <f>(31.37)*(10.764)</f>
        <v>337.66667999999999</v>
      </c>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customHeight="1" x14ac:dyDescent="0.35">
      <c r="A119" s="60" t="s">
        <v>248</v>
      </c>
      <c r="B119" s="60"/>
      <c r="C119" s="60">
        <v>7</v>
      </c>
      <c r="D119" s="60"/>
      <c r="E119" s="21" t="s">
        <v>231</v>
      </c>
      <c r="F119" s="61">
        <f>(46.71)*(10.764)</f>
        <v>502.78643999999997</v>
      </c>
      <c r="G119" s="62">
        <f>(46.71)*(10.764)</f>
        <v>502.78643999999997</v>
      </c>
      <c r="H119" s="21">
        <v>0</v>
      </c>
      <c r="I119" s="21">
        <f t="shared" si="0"/>
        <v>754.17966000000001</v>
      </c>
      <c r="J119" s="1"/>
      <c r="K119" s="1"/>
      <c r="L119" s="1"/>
      <c r="M119" s="61">
        <f>(46.71)*(10.764)</f>
        <v>502.78643999999997</v>
      </c>
      <c r="N119" s="62">
        <f>(46.71)*(10.764)</f>
        <v>502.78643999999997</v>
      </c>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customHeight="1" x14ac:dyDescent="0.35">
      <c r="A120" s="60" t="s">
        <v>248</v>
      </c>
      <c r="B120" s="60"/>
      <c r="C120" s="60">
        <v>8</v>
      </c>
      <c r="D120" s="60"/>
      <c r="E120" s="21" t="s">
        <v>231</v>
      </c>
      <c r="F120" s="61">
        <f>(25.27)*(10.764)</f>
        <v>272.00628</v>
      </c>
      <c r="G120" s="62">
        <f>(25.27)*(10.764)</f>
        <v>272.00628</v>
      </c>
      <c r="H120" s="21">
        <v>0</v>
      </c>
      <c r="I120" s="21">
        <f t="shared" si="0"/>
        <v>408.00941999999998</v>
      </c>
      <c r="J120" s="1"/>
      <c r="K120" s="1"/>
      <c r="L120" s="1"/>
      <c r="M120" s="61">
        <f>(25.27)*(10.764)</f>
        <v>272.00628</v>
      </c>
      <c r="N120" s="62">
        <f>(25.27)*(10.764)</f>
        <v>272.00628</v>
      </c>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5" x14ac:dyDescent="0.35">
      <c r="A121" s="63" t="s">
        <v>232</v>
      </c>
      <c r="B121" s="64"/>
      <c r="C121" s="64"/>
      <c r="D121" s="64"/>
      <c r="E121" s="64"/>
      <c r="F121" s="64"/>
      <c r="G121" s="64"/>
      <c r="H121" s="64"/>
      <c r="I121" s="76"/>
      <c r="J121" s="1"/>
      <c r="K121" s="61">
        <f>10.764</f>
        <v>10.763999999999999</v>
      </c>
      <c r="L121" s="62"/>
      <c r="M121" s="61">
        <f>(88.26+0.75*(3.05+2.8))*(10.764)</f>
        <v>997.25769000000003</v>
      </c>
      <c r="N121" s="62">
        <f>(88.26+0.75*(3.05+2.8))*(10.764)</f>
        <v>997.25769000000003</v>
      </c>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5" x14ac:dyDescent="0.35">
      <c r="A122" s="63" t="s">
        <v>237</v>
      </c>
      <c r="B122" s="64"/>
      <c r="C122" s="64"/>
      <c r="D122" s="64"/>
      <c r="E122" s="64"/>
      <c r="F122" s="64"/>
      <c r="G122" s="64"/>
      <c r="H122" s="64"/>
      <c r="I122" s="76"/>
      <c r="J122" s="1"/>
      <c r="K122" s="1"/>
      <c r="L122" s="1"/>
      <c r="M122" s="61">
        <f>(88.26+0.75*(3.05+2.8))*(10.764)</f>
        <v>997.25769000000003</v>
      </c>
      <c r="N122" s="62">
        <f>(88.26+0.75*(3.05+2.8))*(10.764)</f>
        <v>997.25769000000003</v>
      </c>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5" x14ac:dyDescent="0.35">
      <c r="A123" s="60" t="s">
        <v>248</v>
      </c>
      <c r="B123" s="60"/>
      <c r="C123" s="60">
        <v>1</v>
      </c>
      <c r="D123" s="60"/>
      <c r="E123" s="21" t="s">
        <v>233</v>
      </c>
      <c r="F123" s="61">
        <f>(1.45*1.59+3*5.58+1.35*3+2.8*3.99+2*(1.35*2.51)+3.05*4.32+3.75*2.9+1.5*2.35+2.85*2.35+1.15*1.8+5.5*1.05+1.8*3.05+0.75*(2.8+3.05))*(10.764)</f>
        <v>1001.487942</v>
      </c>
      <c r="G123" s="62"/>
      <c r="H123" s="21">
        <v>0</v>
      </c>
      <c r="I123" s="21">
        <f>F123*(($I$108)+1)+H123</f>
        <v>1502.2319130000001</v>
      </c>
      <c r="J123" s="1"/>
      <c r="K123" s="1">
        <f>1.45*1.59+3*5.58+1.35*3+2.8*3.99+2*(1.35*2.51)+3.05*4.32+3.75*2.9+1.5*2.35+2.85*2.35+1.15*1.8+5.5*1.05</f>
        <v>83.163000000000011</v>
      </c>
      <c r="L123" s="1"/>
      <c r="M123" s="61">
        <f>(61.87+0.75*(3.05+2.66+2.18))*(10.764)</f>
        <v>729.66464999999994</v>
      </c>
      <c r="N123" s="62">
        <f>(61.87+0.75*(3.05+2.66+2.18))*(10.764)</f>
        <v>729.66464999999994</v>
      </c>
      <c r="O123" s="1"/>
      <c r="P123" s="1">
        <f>3.15*5.87+1.25*3.19+2.18*2.75+2.65*2.75+3.05*3.78+1.25*0.91+2.03*1.27+1.23*0.75+1.22*2.18+4.4*0.91</f>
        <v>58.591199999999994</v>
      </c>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5" x14ac:dyDescent="0.35">
      <c r="A124" s="60" t="s">
        <v>248</v>
      </c>
      <c r="B124" s="60"/>
      <c r="C124" s="60">
        <f>C123+1</f>
        <v>2</v>
      </c>
      <c r="D124" s="60"/>
      <c r="E124" s="21" t="s">
        <v>234</v>
      </c>
      <c r="F124" s="61">
        <f>(3.15*5.87+1.25*3.19+2.18*2.75+2.65*2.75+3.05*3.78+2.03*1.27+1.23*0.75+1.22*2.18+4.4*0.91+3.15*1.2+0.75*(2.18+2.66+3.05))*(10.764)</f>
        <v>722.81551679999984</v>
      </c>
      <c r="G124" s="62"/>
      <c r="H124" s="21">
        <v>0</v>
      </c>
      <c r="I124" s="21">
        <f t="shared" ref="I124:I224" si="1">F124*(($I$108)+1)+H124</f>
        <v>1084.2232751999998</v>
      </c>
      <c r="J124" s="1"/>
      <c r="K124" s="1">
        <f>1.8*3.05</f>
        <v>5.49</v>
      </c>
      <c r="L124" s="1"/>
      <c r="M124" s="61">
        <f>(61.87+0.75*(3.05+2.66+2.18))*(10.764)</f>
        <v>729.66464999999994</v>
      </c>
      <c r="N124" s="62">
        <f>(61.87+0.75*(3.05+2.66+2.18))*(10.764)</f>
        <v>729.66464999999994</v>
      </c>
      <c r="O124" s="1"/>
      <c r="P124" s="1">
        <f>3.15*1.2</f>
        <v>3.78</v>
      </c>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5" x14ac:dyDescent="0.35">
      <c r="A125" s="60" t="s">
        <v>248</v>
      </c>
      <c r="B125" s="60"/>
      <c r="C125" s="60">
        <f t="shared" ref="C125:C128" si="2">C124+1</f>
        <v>3</v>
      </c>
      <c r="D125" s="60"/>
      <c r="E125" s="21" t="s">
        <v>234</v>
      </c>
      <c r="F125" s="61">
        <f>(3.15*5.87+1.25*3.19+2.18*2.75+2.65*2.75+3.05*3.78+2.03*1.27+1.23*0.75+1.22*2.18+4.4*0.91+3.15*1.2+0.75*(2.18+2.66+3.05))*(10.764)</f>
        <v>722.81551679999984</v>
      </c>
      <c r="G125" s="62"/>
      <c r="H125" s="21">
        <v>0</v>
      </c>
      <c r="I125" s="21">
        <f t="shared" si="1"/>
        <v>1084.2232751999998</v>
      </c>
      <c r="J125" s="1"/>
      <c r="K125" s="1">
        <f>0.75*(2.8+3.05)</f>
        <v>4.3874999999999993</v>
      </c>
      <c r="L125" s="1"/>
      <c r="M125" s="1"/>
      <c r="N125" s="1"/>
      <c r="O125" s="1"/>
      <c r="P125" s="1">
        <f>0.75*(2.18+2.65+3.05)</f>
        <v>5.91</v>
      </c>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customHeight="1" x14ac:dyDescent="0.35">
      <c r="A126" s="60" t="s">
        <v>248</v>
      </c>
      <c r="B126" s="60"/>
      <c r="C126" s="60">
        <f t="shared" si="2"/>
        <v>4</v>
      </c>
      <c r="D126" s="60"/>
      <c r="E126" s="21" t="s">
        <v>111</v>
      </c>
      <c r="F126" s="69" t="s">
        <v>238</v>
      </c>
      <c r="G126" s="70"/>
      <c r="H126" s="70"/>
      <c r="I126" s="71"/>
      <c r="J126" s="1"/>
      <c r="K126" s="1">
        <f>K123+K124+K125</f>
        <v>93.040500000000009</v>
      </c>
      <c r="L126" s="1"/>
      <c r="M126" s="1"/>
      <c r="N126" s="1"/>
      <c r="O126" s="1"/>
      <c r="P126" s="1">
        <f>P123+P124+P125</f>
        <v>68.281199999999998</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customHeight="1" x14ac:dyDescent="0.35">
      <c r="A127" s="60" t="s">
        <v>248</v>
      </c>
      <c r="B127" s="60"/>
      <c r="C127" s="60">
        <f t="shared" si="2"/>
        <v>5</v>
      </c>
      <c r="D127" s="60"/>
      <c r="E127" s="21" t="s">
        <v>111</v>
      </c>
      <c r="F127" s="78"/>
      <c r="G127" s="79"/>
      <c r="H127" s="79"/>
      <c r="I127" s="80"/>
      <c r="J127" s="1"/>
      <c r="K127" s="1">
        <f>88.26+5.29</f>
        <v>93.550000000000011</v>
      </c>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customHeight="1" x14ac:dyDescent="0.35">
      <c r="A128" s="60" t="s">
        <v>248</v>
      </c>
      <c r="B128" s="60"/>
      <c r="C128" s="60">
        <f t="shared" si="2"/>
        <v>6</v>
      </c>
      <c r="D128" s="60"/>
      <c r="E128" s="21" t="s">
        <v>111</v>
      </c>
      <c r="F128" s="81"/>
      <c r="G128" s="82"/>
      <c r="H128" s="82"/>
      <c r="I128" s="83"/>
      <c r="J128" s="1"/>
      <c r="K128" s="1"/>
      <c r="L128" s="1"/>
      <c r="M128" s="1"/>
      <c r="N128" s="1"/>
      <c r="O128" s="1"/>
      <c r="P128" s="1">
        <f>61.87+3.36</f>
        <v>65.23</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5" x14ac:dyDescent="0.35">
      <c r="A129" s="63" t="s">
        <v>239</v>
      </c>
      <c r="B129" s="64"/>
      <c r="C129" s="64"/>
      <c r="D129" s="64"/>
      <c r="E129" s="64"/>
      <c r="F129" s="64"/>
      <c r="G129" s="64"/>
      <c r="H129" s="64"/>
      <c r="I129" s="76"/>
      <c r="J129" s="1"/>
      <c r="K129" s="1"/>
      <c r="L129" s="1"/>
      <c r="M129" s="61">
        <f>(88.26+0.75*(3.05+2.8))*(10.764)</f>
        <v>997.25769000000003</v>
      </c>
      <c r="N129" s="62">
        <f>(88.26+0.75*(3.05+2.8))*(10.764)</f>
        <v>997.25769000000003</v>
      </c>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5" x14ac:dyDescent="0.35">
      <c r="A130" s="60" t="s">
        <v>248</v>
      </c>
      <c r="B130" s="60"/>
      <c r="C130" s="60">
        <v>1</v>
      </c>
      <c r="D130" s="60"/>
      <c r="E130" s="21" t="s">
        <v>233</v>
      </c>
      <c r="F130" s="61">
        <f>(1.45*1.59+3*5.58+1.35*3+2.8*3.99+2*(1.35*2.51)+3.05*4.32+3.75*2.9+1.5*2.35+2.85*2.35+1.15*1.8+5.5*1.05+1.8*3.05+0.75*(2.8+3.05))*(10.764)</f>
        <v>1001.487942</v>
      </c>
      <c r="G130" s="62"/>
      <c r="H130" s="21">
        <v>0</v>
      </c>
      <c r="I130" s="21">
        <f>F130*(($I$108)+1)+H130</f>
        <v>1502.2319130000001</v>
      </c>
      <c r="J130" s="1"/>
      <c r="K130" s="1"/>
      <c r="L130" s="1"/>
      <c r="M130" s="61">
        <f>(61.87+0.75*(3.05+2.66+2.18))*(10.764)</f>
        <v>729.66464999999994</v>
      </c>
      <c r="N130" s="62">
        <f>(61.87+0.75*(3.05+2.66+2.18))*(10.764)</f>
        <v>729.66464999999994</v>
      </c>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5" x14ac:dyDescent="0.35">
      <c r="A131" s="60" t="s">
        <v>248</v>
      </c>
      <c r="B131" s="60"/>
      <c r="C131" s="60">
        <f>C130+1</f>
        <v>2</v>
      </c>
      <c r="D131" s="60"/>
      <c r="E131" s="21" t="s">
        <v>234</v>
      </c>
      <c r="F131" s="61">
        <f>(3.15*5.87+1.25*3.19+2.18*2.75+2.65*2.75+3.05*3.78+2.03*1.27+1.23*0.75+1.22*2.18+4.4*0.91+3.15*1.2+0.75*(2.18+2.66+3.05))*(10.764)</f>
        <v>722.81551679999984</v>
      </c>
      <c r="G131" s="62"/>
      <c r="H131" s="21">
        <v>0</v>
      </c>
      <c r="I131" s="21">
        <f t="shared" ref="I131:I132" si="3">F131*(($I$108)+1)+H131</f>
        <v>1084.2232751999998</v>
      </c>
      <c r="J131" s="1"/>
      <c r="K131" s="1"/>
      <c r="L131" s="1"/>
      <c r="M131" s="61">
        <f>(61.87+0.75*(3.05+2.66+2.18))*(10.764)</f>
        <v>729.66464999999994</v>
      </c>
      <c r="N131" s="62">
        <f>(61.87+0.75*(3.05+2.66+2.18))*(10.764)</f>
        <v>729.66464999999994</v>
      </c>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5" x14ac:dyDescent="0.35">
      <c r="A132" s="60" t="s">
        <v>248</v>
      </c>
      <c r="B132" s="60"/>
      <c r="C132" s="60">
        <f t="shared" ref="C132:C135" si="4">C131+1</f>
        <v>3</v>
      </c>
      <c r="D132" s="60"/>
      <c r="E132" s="21" t="s">
        <v>234</v>
      </c>
      <c r="F132" s="61">
        <f>(3.15*5.87+1.25*3.19+2.18*2.75+2.65*2.75+3.05*3.78+2.03*1.27+1.23*0.75+1.22*2.18+4.4*0.91+3.15*1.2+0.75*(2.18+2.66+3.05))*(10.764)</f>
        <v>722.81551679999984</v>
      </c>
      <c r="G132" s="62"/>
      <c r="H132" s="21">
        <v>0</v>
      </c>
      <c r="I132" s="21">
        <f t="shared" si="3"/>
        <v>1084.2232751999998</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customHeight="1" x14ac:dyDescent="0.35">
      <c r="A133" s="60" t="s">
        <v>248</v>
      </c>
      <c r="B133" s="60"/>
      <c r="C133" s="60">
        <f t="shared" si="4"/>
        <v>4</v>
      </c>
      <c r="D133" s="60"/>
      <c r="E133" s="21" t="s">
        <v>111</v>
      </c>
      <c r="F133" s="69" t="s">
        <v>240</v>
      </c>
      <c r="G133" s="70"/>
      <c r="H133" s="70"/>
      <c r="I133" s="7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35">
      <c r="A134" s="60" t="s">
        <v>248</v>
      </c>
      <c r="B134" s="60"/>
      <c r="C134" s="60">
        <f t="shared" si="4"/>
        <v>5</v>
      </c>
      <c r="D134" s="60"/>
      <c r="E134" s="21" t="s">
        <v>111</v>
      </c>
      <c r="F134" s="69" t="s">
        <v>241</v>
      </c>
      <c r="G134" s="70"/>
      <c r="H134" s="70" t="s">
        <v>241</v>
      </c>
      <c r="I134" s="7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35">
      <c r="A135" s="60" t="s">
        <v>248</v>
      </c>
      <c r="B135" s="60"/>
      <c r="C135" s="60">
        <f t="shared" si="4"/>
        <v>6</v>
      </c>
      <c r="D135" s="60"/>
      <c r="E135" s="21" t="s">
        <v>111</v>
      </c>
      <c r="F135" s="69" t="s">
        <v>242</v>
      </c>
      <c r="G135" s="70"/>
      <c r="H135" s="70"/>
      <c r="I135" s="7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5" x14ac:dyDescent="0.35">
      <c r="A136" s="63" t="s">
        <v>243</v>
      </c>
      <c r="B136" s="64"/>
      <c r="C136" s="64"/>
      <c r="D136" s="64"/>
      <c r="E136" s="64"/>
      <c r="F136" s="64"/>
      <c r="G136" s="64"/>
      <c r="H136" s="64"/>
      <c r="I136" s="65"/>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35">
      <c r="A137" s="60" t="s">
        <v>248</v>
      </c>
      <c r="B137" s="60"/>
      <c r="C137" s="61">
        <v>1</v>
      </c>
      <c r="D137" s="62"/>
      <c r="E137" s="21" t="s">
        <v>233</v>
      </c>
      <c r="F137" s="61">
        <f>(1.55*1.59+3.2*5.58+1.45*1.95+2.9*3.99+1.35*2.51+1.48*2.51+3.15*4.42+3.75*3+1.5*2.35+2.95*2.35+1.05*1.3+4*1.05+1.8*3.2+0.75*(2.9+3.15))*(10.764)</f>
        <v>1004.4458892</v>
      </c>
      <c r="G137" s="62"/>
      <c r="H137" s="21">
        <v>0</v>
      </c>
      <c r="I137" s="21">
        <f t="shared" ref="I137:I142" si="5">F137*(($I$108)+1)+H137</f>
        <v>1506.6688337999999</v>
      </c>
      <c r="J137" s="1"/>
      <c r="K137" s="1"/>
      <c r="L137" s="1"/>
      <c r="M137" s="1"/>
      <c r="N137" s="1"/>
      <c r="O137" s="1"/>
      <c r="P137" s="1"/>
      <c r="Q137" s="1"/>
      <c r="R137" s="1"/>
      <c r="S137" s="1"/>
      <c r="T137" s="1"/>
      <c r="U137" s="42" t="str">
        <f t="shared" ref="U137:U142" ca="1" si="6">V137&amp;""&amp;",..,"&amp;""&amp;W137</f>
        <v>501,..,1601</v>
      </c>
      <c r="V137" s="42">
        <f ca="1">(SUMPRODUCT(MID(0&amp;(LEFT(A136,SUM(LEN(A136)-LEN(SUBSTITUTE(A136,{"0","1","2","3"},""))))), LARGE(INDEX(ISNUMBER(--MID((LEFT(A136,SUM(LEN(A136)-LEN(SUBSTITUTE(A136,{"0","1","2","3"},""))))), ROW(INDIRECT("1:"&amp;LEN((LEFT(A136,SUM(LEN(A136)-LEN(SUBSTITUTE(A136,{"0","1","2","3"},"")))))))), 1)) * ROW(INDIRECT("1:"&amp;LEN((LEFT(A136,SUM(LEN(A136)-LEN(SUBSTITUTE(A136,{"0","1","2","3"},"")))))))), 0), ROW(INDIRECT("1:"&amp;LEN((LEFT(A136,SUM(LEN(A136)-LEN(SUBSTITUTE(A136,{"0","1","2","3"},"")))))))))+1, 1) * 10^ROW(INDIRECT("1:"&amp;LEN((LEFT(A136,SUM(LEN(A136)-LEN(SUBSTITUTE(A136,{"0","1","2","3"},""))))))))/10))*100+1</f>
        <v>501</v>
      </c>
      <c r="W137" s="42">
        <f ca="1">(SUMPRODUCT(MID(0&amp;(--TRIM(RIGHT(SUBSTITUTE(LEFT(A136,_xlfn.AGGREGATE(16,6,FIND({0,1,2,3,4,5,6,7,8,9},A136,ROW(INDIRECT("1:"&amp;LEN(A136)))),1))," ",REPT(" ",LEN(A136))),LEN(A136)))), LARGE(INDEX(ISNUMBER(--MID((--TRIM(RIGHT(SUBSTITUTE(LEFT(A136,_xlfn.AGGREGATE(16,6,FIND({0,1,2,3,4,5,6,7,8,9},A136,ROW(INDIRECT("1:"&amp;LEN(A136)))),1))," ",REPT(" ",LEN(A136))),LEN(A136)))), ROW(INDIRECT("1:"&amp;LEN((--TRIM(RIGHT(SUBSTITUTE(LEFT(A136,_xlfn.AGGREGATE(16,6,FIND({0,1,2,3,4,5,6,7,8,9},A136,ROW(INDIRECT("1:"&amp;LEN(A136)))),1))," ",REPT(" ",LEN(A136))),LEN(A136))))))), 1)) * ROW(INDIRECT("1:"&amp;LEN((--TRIM(RIGHT(SUBSTITUTE(LEFT(A136,_xlfn.AGGREGATE(16,6,FIND({0,1,2,3,4,5,6,7,8,9},A136,ROW(INDIRECT("1:"&amp;LEN(A136)))),1))," ",REPT(" ",LEN(A136))),LEN(A136))))))), 0), ROW(INDIRECT("1:"&amp;LEN((--TRIM(RIGHT(SUBSTITUTE(LEFT(A136,_xlfn.AGGREGATE(16,6,FIND({0,1,2,3,4,5,6,7,8,9},A136,ROW(INDIRECT("1:"&amp;LEN(A136)))),1))," ",REPT(" ",LEN(A136))),LEN(A136))))))))+1, 1) * 10^ROW(INDIRECT("1:"&amp;LEN((--TRIM(RIGHT(SUBSTITUTE(LEFT(A136,_xlfn.AGGREGATE(16,6,FIND({0,1,2,3,4,5,6,7,8,9},A136,ROW(INDIRECT("1:"&amp;LEN(A136)))),1))," ",REPT(" ",LEN(A136))),LEN(A136)))))))/10))*100+1</f>
        <v>1601</v>
      </c>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35">
      <c r="A138" s="60" t="s">
        <v>248</v>
      </c>
      <c r="B138" s="60"/>
      <c r="C138" s="61">
        <v>2</v>
      </c>
      <c r="D138" s="62"/>
      <c r="E138" s="21" t="s">
        <v>234</v>
      </c>
      <c r="F138" s="61">
        <f>(3.15*5.87+1.25*3.19+2.28*2.75+2.75*2.75+3.05*3.78+2.13*1.27+1.23*0.75+1.22*2.18+4.4*0.91+3.15*1.2+0.75*(2.28+2.75+3.05))*(10.764)</f>
        <v>731.63661479999985</v>
      </c>
      <c r="G138" s="62"/>
      <c r="H138" s="21">
        <v>0</v>
      </c>
      <c r="I138" s="21">
        <f t="shared" si="5"/>
        <v>1097.4549221999998</v>
      </c>
      <c r="J138" s="1"/>
      <c r="K138" s="1"/>
      <c r="L138" s="1"/>
      <c r="M138" s="1"/>
      <c r="N138" s="1"/>
      <c r="O138" s="1"/>
      <c r="P138" s="1"/>
      <c r="Q138" s="1"/>
      <c r="R138" s="1"/>
      <c r="S138" s="1"/>
      <c r="T138" s="1"/>
      <c r="U138" s="42" t="str">
        <f t="shared" ca="1" si="6"/>
        <v>502,..,1602</v>
      </c>
      <c r="V138" s="42">
        <f ca="1">V137+1</f>
        <v>502</v>
      </c>
      <c r="W138" s="42">
        <f ca="1">W137+1</f>
        <v>1602</v>
      </c>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35">
      <c r="A139" s="60" t="s">
        <v>248</v>
      </c>
      <c r="B139" s="60"/>
      <c r="C139" s="61">
        <v>3</v>
      </c>
      <c r="D139" s="62"/>
      <c r="E139" s="21" t="s">
        <v>234</v>
      </c>
      <c r="F139" s="61">
        <f>(3.15*5.87+1.25*3.19+2.18*2.75+2.65*2.75+3.05*3.78+2.03*1.27+1.23*0.75+1.22*2.18+4.4*0.91+3.15*1.2+0.75*(2.18+2.66+3.05))*(10.764)</f>
        <v>722.81551679999984</v>
      </c>
      <c r="G139" s="62"/>
      <c r="H139" s="21">
        <v>0</v>
      </c>
      <c r="I139" s="21">
        <f t="shared" si="5"/>
        <v>1084.2232751999998</v>
      </c>
      <c r="J139" s="1"/>
      <c r="K139" s="1"/>
      <c r="L139" s="1"/>
      <c r="M139" s="1"/>
      <c r="N139" s="1"/>
      <c r="O139" s="1"/>
      <c r="P139" s="1"/>
      <c r="Q139" s="1"/>
      <c r="R139" s="1"/>
      <c r="S139" s="1"/>
      <c r="T139" s="1"/>
      <c r="U139" s="42" t="str">
        <f t="shared" ca="1" si="6"/>
        <v>503,..,1603</v>
      </c>
      <c r="V139" s="42">
        <f t="shared" ref="V139:W139" ca="1" si="7">V138+1</f>
        <v>503</v>
      </c>
      <c r="W139" s="42">
        <f t="shared" ca="1" si="7"/>
        <v>1603</v>
      </c>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35">
      <c r="A140" s="60" t="s">
        <v>248</v>
      </c>
      <c r="B140" s="60"/>
      <c r="C140" s="61">
        <v>4</v>
      </c>
      <c r="D140" s="62"/>
      <c r="E140" s="21" t="s">
        <v>234</v>
      </c>
      <c r="F140" s="61">
        <f>(3.15*5.11+2.28*2.95+2.75*2.95+3.05*3.705+2.4*0.5+2.13*1.27+1.27*0.6+2.13*1.27+5.7*0.91+3.15*1.2+0.75*(2.28+2.75+3.05))*(10.764)</f>
        <v>695.72521979999999</v>
      </c>
      <c r="G140" s="62"/>
      <c r="H140" s="21">
        <v>0</v>
      </c>
      <c r="I140" s="21">
        <f t="shared" si="5"/>
        <v>1043.5878296999999</v>
      </c>
      <c r="J140" s="1"/>
      <c r="K140" s="1"/>
      <c r="L140" s="1"/>
      <c r="M140" s="1"/>
      <c r="N140" s="1"/>
      <c r="O140" s="1"/>
      <c r="P140" s="1"/>
      <c r="Q140" s="1"/>
      <c r="R140" s="1"/>
      <c r="S140" s="1"/>
      <c r="T140" s="1"/>
      <c r="U140" s="42" t="str">
        <f t="shared" ca="1" si="6"/>
        <v>504,..,1604</v>
      </c>
      <c r="V140" s="42">
        <f t="shared" ref="V140:W140" ca="1" si="8">V139+1</f>
        <v>504</v>
      </c>
      <c r="W140" s="42">
        <f t="shared" ca="1" si="8"/>
        <v>1604</v>
      </c>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35">
      <c r="A141" s="60" t="s">
        <v>249</v>
      </c>
      <c r="B141" s="60"/>
      <c r="C141" s="61">
        <v>5</v>
      </c>
      <c r="D141" s="62"/>
      <c r="E141" s="21" t="s">
        <v>234</v>
      </c>
      <c r="F141" s="61">
        <f>(3.15*4.08+2.28*2.95+2.75*2.95+3.05*3.05+2.13*1.27+2.13*1.27+5.7*0.91+0.75*(3.15+2.28+2.75+3.05))*(10.764)</f>
        <v>602.92070279999996</v>
      </c>
      <c r="G141" s="62"/>
      <c r="H141" s="21">
        <v>0</v>
      </c>
      <c r="I141" s="21">
        <f t="shared" si="5"/>
        <v>904.38105419999988</v>
      </c>
      <c r="J141" s="1"/>
      <c r="K141" s="1"/>
      <c r="L141" s="1"/>
      <c r="M141" s="1"/>
      <c r="N141" s="1"/>
      <c r="O141" s="1"/>
      <c r="P141" s="1"/>
      <c r="Q141" s="1"/>
      <c r="R141" s="1"/>
      <c r="S141" s="1"/>
      <c r="T141" s="1"/>
      <c r="U141" s="42" t="str">
        <f t="shared" ca="1" si="6"/>
        <v>505,..,1605</v>
      </c>
      <c r="V141" s="42">
        <f t="shared" ref="V141:W141" ca="1" si="9">V140+1</f>
        <v>505</v>
      </c>
      <c r="W141" s="42">
        <f t="shared" ca="1" si="9"/>
        <v>1605</v>
      </c>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35">
      <c r="A142" s="60" t="s">
        <v>248</v>
      </c>
      <c r="B142" s="60"/>
      <c r="C142" s="61">
        <v>6</v>
      </c>
      <c r="D142" s="62"/>
      <c r="E142" s="21" t="s">
        <v>233</v>
      </c>
      <c r="F142" s="61">
        <f>(1.55*1.55+3.2*5.11+1.9*3.4+3.05*3.11+1.38*2.35+1.48*2.35+3.15*4.26+3*3+1.25*2.15+4.05*2.25+5*1.05+1.5*3.2+0.75*(3.05+3.15))*(10.764)</f>
        <v>972.41976</v>
      </c>
      <c r="G142" s="62"/>
      <c r="H142" s="21">
        <v>0</v>
      </c>
      <c r="I142" s="21">
        <f t="shared" si="5"/>
        <v>1458.6296400000001</v>
      </c>
      <c r="J142" s="1"/>
      <c r="K142" s="1"/>
      <c r="L142" s="1"/>
      <c r="M142" s="1"/>
      <c r="N142" s="1"/>
      <c r="O142" s="1"/>
      <c r="P142" s="1"/>
      <c r="Q142" s="1"/>
      <c r="R142" s="1"/>
      <c r="S142" s="1"/>
      <c r="T142" s="1"/>
      <c r="U142" s="42" t="str">
        <f t="shared" ca="1" si="6"/>
        <v>506,..,1606</v>
      </c>
      <c r="V142" s="42">
        <f t="shared" ref="V142:W142" ca="1" si="10">V141+1</f>
        <v>506</v>
      </c>
      <c r="W142" s="42">
        <f t="shared" ca="1" si="10"/>
        <v>1606</v>
      </c>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5" x14ac:dyDescent="0.35">
      <c r="A143" s="63" t="s">
        <v>244</v>
      </c>
      <c r="B143" s="64"/>
      <c r="C143" s="64"/>
      <c r="D143" s="64"/>
      <c r="E143" s="64"/>
      <c r="F143" s="64"/>
      <c r="G143" s="64"/>
      <c r="H143" s="64"/>
      <c r="I143" s="65"/>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35">
      <c r="A144" s="60" t="s">
        <v>248</v>
      </c>
      <c r="B144" s="60"/>
      <c r="C144" s="61">
        <v>1</v>
      </c>
      <c r="D144" s="62"/>
      <c r="E144" s="21" t="s">
        <v>233</v>
      </c>
      <c r="F144" s="61">
        <f>(1.55*1.59+3.2*5.58+1.45*1.95+2.9*3.99+1.35*2.51+1.48*2.51+3.15*4.42+3.75*3+1.5*2.35+2.95*2.35+1.05*1.3+4*1.05+1.8*3.2+0.75*(2.9+3.15))*(10.764)</f>
        <v>1004.4458892</v>
      </c>
      <c r="G144" s="62"/>
      <c r="H144" s="21">
        <v>0</v>
      </c>
      <c r="I144" s="21">
        <f t="shared" ref="I144:I149" si="11">F144*(($I$108)+1)+H144</f>
        <v>1506.6688337999999</v>
      </c>
      <c r="J144" s="1"/>
      <c r="K144" s="1"/>
      <c r="L144" s="1"/>
      <c r="M144" s="1"/>
      <c r="N144" s="1"/>
      <c r="O144" s="1"/>
      <c r="P144" s="1"/>
      <c r="Q144" s="1"/>
      <c r="R144" s="1"/>
      <c r="S144" s="1"/>
      <c r="T144" s="1"/>
      <c r="U144" s="42" t="str">
        <f t="shared" ref="U144:U149" ca="1" si="12">V144&amp;""&amp;",..,"&amp;""&amp;W144</f>
        <v>801,..,1301</v>
      </c>
      <c r="V144" s="42">
        <f ca="1">(SUMPRODUCT(MID(0&amp;(LEFT(A143,SUM(LEN(A143)-LEN(SUBSTITUTE(A143,{"0","1","2","3"},""))))), LARGE(INDEX(ISNUMBER(--MID((LEFT(A143,SUM(LEN(A143)-LEN(SUBSTITUTE(A143,{"0","1","2","3"},""))))), ROW(INDIRECT("1:"&amp;LEN((LEFT(A143,SUM(LEN(A143)-LEN(SUBSTITUTE(A143,{"0","1","2","3"},"")))))))), 1)) * ROW(INDIRECT("1:"&amp;LEN((LEFT(A143,SUM(LEN(A143)-LEN(SUBSTITUTE(A143,{"0","1","2","3"},"")))))))), 0), ROW(INDIRECT("1:"&amp;LEN((LEFT(A143,SUM(LEN(A143)-LEN(SUBSTITUTE(A143,{"0","1","2","3"},"")))))))))+1, 1) * 10^ROW(INDIRECT("1:"&amp;LEN((LEFT(A143,SUM(LEN(A143)-LEN(SUBSTITUTE(A143,{"0","1","2","3"},""))))))))/10))*100+1</f>
        <v>801</v>
      </c>
      <c r="W144" s="42">
        <f ca="1">(SUMPRODUCT(MID(0&amp;(--TRIM(RIGHT(SUBSTITUTE(LEFT(A143,_xlfn.AGGREGATE(16,6,FIND({0,1,2,3,4,5,6,7,8,9},A143,ROW(INDIRECT("1:"&amp;LEN(A143)))),1))," ",REPT(" ",LEN(A143))),LEN(A143)))), LARGE(INDEX(ISNUMBER(--MID((--TRIM(RIGHT(SUBSTITUTE(LEFT(A143,_xlfn.AGGREGATE(16,6,FIND({0,1,2,3,4,5,6,7,8,9},A143,ROW(INDIRECT("1:"&amp;LEN(A143)))),1))," ",REPT(" ",LEN(A143))),LEN(A143)))), ROW(INDIRECT("1:"&amp;LEN((--TRIM(RIGHT(SUBSTITUTE(LEFT(A143,_xlfn.AGGREGATE(16,6,FIND({0,1,2,3,4,5,6,7,8,9},A143,ROW(INDIRECT("1:"&amp;LEN(A143)))),1))," ",REPT(" ",LEN(A143))),LEN(A143))))))), 1)) * ROW(INDIRECT("1:"&amp;LEN((--TRIM(RIGHT(SUBSTITUTE(LEFT(A143,_xlfn.AGGREGATE(16,6,FIND({0,1,2,3,4,5,6,7,8,9},A143,ROW(INDIRECT("1:"&amp;LEN(A143)))),1))," ",REPT(" ",LEN(A143))),LEN(A143))))))), 0), ROW(INDIRECT("1:"&amp;LEN((--TRIM(RIGHT(SUBSTITUTE(LEFT(A143,_xlfn.AGGREGATE(16,6,FIND({0,1,2,3,4,5,6,7,8,9},A143,ROW(INDIRECT("1:"&amp;LEN(A143)))),1))," ",REPT(" ",LEN(A143))),LEN(A143))))))))+1, 1) * 10^ROW(INDIRECT("1:"&amp;LEN((--TRIM(RIGHT(SUBSTITUTE(LEFT(A143,_xlfn.AGGREGATE(16,6,FIND({0,1,2,3,4,5,6,7,8,9},A143,ROW(INDIRECT("1:"&amp;LEN(A143)))),1))," ",REPT(" ",LEN(A143))),LEN(A143)))))))/10))*100+1</f>
        <v>1301</v>
      </c>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35">
      <c r="A145" s="60" t="s">
        <v>248</v>
      </c>
      <c r="B145" s="60"/>
      <c r="C145" s="61">
        <v>2</v>
      </c>
      <c r="D145" s="62"/>
      <c r="E145" s="21" t="s">
        <v>245</v>
      </c>
      <c r="F145" s="61">
        <f>(3.15*5.87+1.35*3.19+2.28*2.75+2.75*2.75+1.22*2.18+3*0.91+3.15*1.2+0.75*(2.28+2.75))*(10.764)</f>
        <v>533.58870239999987</v>
      </c>
      <c r="G145" s="62"/>
      <c r="H145" s="21">
        <v>0</v>
      </c>
      <c r="I145" s="21">
        <f t="shared" si="11"/>
        <v>800.38305359999981</v>
      </c>
      <c r="J145" s="1"/>
      <c r="K145" s="1"/>
      <c r="L145" s="1"/>
      <c r="M145" s="1"/>
      <c r="N145" s="1"/>
      <c r="O145" s="1"/>
      <c r="P145" s="1"/>
      <c r="Q145" s="1"/>
      <c r="R145" s="1"/>
      <c r="S145" s="1"/>
      <c r="T145" s="1"/>
      <c r="U145" s="42" t="str">
        <f t="shared" ca="1" si="12"/>
        <v>802,..,1302</v>
      </c>
      <c r="V145" s="42">
        <f ca="1">V144+1</f>
        <v>802</v>
      </c>
      <c r="W145" s="42">
        <f ca="1">W144+1</f>
        <v>1302</v>
      </c>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35">
      <c r="A146" s="60" t="s">
        <v>248</v>
      </c>
      <c r="B146" s="60"/>
      <c r="C146" s="61">
        <v>3</v>
      </c>
      <c r="D146" s="62"/>
      <c r="E146" s="21" t="s">
        <v>234</v>
      </c>
      <c r="F146" s="61">
        <f>(3.15*5.87+1.25*3.19+2.18*2.75+2.65*2.75+3.05*3.78+2.03*1.27+1.23*0.75+1.22*2.18+4.4*0.91+3.15*1.2+0.75*(2.18+2.66+3.05))*(10.764)</f>
        <v>722.81551679999984</v>
      </c>
      <c r="G146" s="62"/>
      <c r="H146" s="21">
        <v>0</v>
      </c>
      <c r="I146" s="21">
        <f t="shared" si="11"/>
        <v>1084.2232751999998</v>
      </c>
      <c r="J146" s="1"/>
      <c r="K146" s="1"/>
      <c r="L146" s="1"/>
      <c r="M146" s="1"/>
      <c r="N146" s="1"/>
      <c r="O146" s="1"/>
      <c r="P146" s="1"/>
      <c r="Q146" s="1"/>
      <c r="R146" s="1"/>
      <c r="S146" s="1"/>
      <c r="T146" s="1"/>
      <c r="U146" s="42" t="str">
        <f t="shared" ca="1" si="12"/>
        <v>803,..,1303</v>
      </c>
      <c r="V146" s="42">
        <f t="shared" ref="V146:W146" ca="1" si="13">V145+1</f>
        <v>803</v>
      </c>
      <c r="W146" s="42">
        <f t="shared" ca="1" si="13"/>
        <v>1303</v>
      </c>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35">
      <c r="A147" s="60" t="s">
        <v>248</v>
      </c>
      <c r="B147" s="60"/>
      <c r="C147" s="61">
        <v>4</v>
      </c>
      <c r="D147" s="62"/>
      <c r="E147" s="21" t="s">
        <v>234</v>
      </c>
      <c r="F147" s="61">
        <f>(3.15*5.11+2.28*2.95+2.75*2.95+3.05*3.705+2.4*0.5+2.13*1.27+1.27*0.6+2.13*1.27+5.7*0.91+3.15*1.2+0.75*(2.28+2.75+3.05))*(10.764)</f>
        <v>695.72521979999999</v>
      </c>
      <c r="G147" s="62"/>
      <c r="H147" s="21">
        <v>0</v>
      </c>
      <c r="I147" s="21">
        <f t="shared" si="11"/>
        <v>1043.5878296999999</v>
      </c>
      <c r="J147" s="1"/>
      <c r="K147" s="1">
        <f>10500000/F147</f>
        <v>15092.165270389987</v>
      </c>
      <c r="L147" s="1"/>
      <c r="M147" s="1"/>
      <c r="N147" s="1"/>
      <c r="O147" s="1"/>
      <c r="P147" s="1"/>
      <c r="Q147" s="1"/>
      <c r="R147" s="1"/>
      <c r="S147" s="1"/>
      <c r="T147" s="1"/>
      <c r="U147" s="42" t="str">
        <f t="shared" ca="1" si="12"/>
        <v>804,..,1304</v>
      </c>
      <c r="V147" s="42">
        <f t="shared" ref="V147:W147" ca="1" si="14">V146+1</f>
        <v>804</v>
      </c>
      <c r="W147" s="42">
        <f t="shared" ca="1" si="14"/>
        <v>1304</v>
      </c>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35">
      <c r="A148" s="60" t="s">
        <v>249</v>
      </c>
      <c r="B148" s="60"/>
      <c r="C148" s="61">
        <v>5</v>
      </c>
      <c r="D148" s="62"/>
      <c r="E148" s="21" t="s">
        <v>234</v>
      </c>
      <c r="F148" s="61">
        <f>(3.15*4.08+2.28*2.95+2.75*2.95+3.05*3.05+2.13*1.27+2.13*1.27+5.7*0.91+0.75*(3.15+2.28+2.75+3.05))*(10.764)</f>
        <v>602.92070279999996</v>
      </c>
      <c r="G148" s="62"/>
      <c r="H148" s="21">
        <v>0</v>
      </c>
      <c r="I148" s="21">
        <f t="shared" si="11"/>
        <v>904.38105419999988</v>
      </c>
      <c r="J148" s="1"/>
      <c r="K148" s="1"/>
      <c r="L148" s="1"/>
      <c r="M148" s="1"/>
      <c r="N148" s="1"/>
      <c r="O148" s="1"/>
      <c r="P148" s="1"/>
      <c r="Q148" s="1"/>
      <c r="R148" s="1"/>
      <c r="S148" s="1"/>
      <c r="T148" s="1"/>
      <c r="U148" s="42" t="str">
        <f t="shared" ca="1" si="12"/>
        <v>805,..,1305</v>
      </c>
      <c r="V148" s="42">
        <f t="shared" ref="V148:W148" ca="1" si="15">V147+1</f>
        <v>805</v>
      </c>
      <c r="W148" s="42">
        <f t="shared" ca="1" si="15"/>
        <v>1305</v>
      </c>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35">
      <c r="A149" s="60" t="s">
        <v>248</v>
      </c>
      <c r="B149" s="60"/>
      <c r="C149" s="61">
        <v>6</v>
      </c>
      <c r="D149" s="62"/>
      <c r="E149" s="21" t="s">
        <v>233</v>
      </c>
      <c r="F149" s="61">
        <f>(1.55*1.55+3.2*5.11+1.9*3.4+3.05*3.11+1.38*2.35+1.48*2.35+3.15*4.26+3*3+1.25*2.15+4.05*2.25+5*1.05+1.5*3.2+0.75*(3.05+3.15))*(10.764)</f>
        <v>972.41976</v>
      </c>
      <c r="G149" s="62"/>
      <c r="H149" s="21">
        <v>0</v>
      </c>
      <c r="I149" s="21">
        <f t="shared" si="11"/>
        <v>1458.6296400000001</v>
      </c>
      <c r="J149" s="1"/>
      <c r="K149" s="1"/>
      <c r="L149" s="1"/>
      <c r="M149" s="1"/>
      <c r="N149" s="1"/>
      <c r="O149" s="1"/>
      <c r="P149" s="1"/>
      <c r="Q149" s="1"/>
      <c r="R149" s="1"/>
      <c r="S149" s="1"/>
      <c r="T149" s="1"/>
      <c r="U149" s="42" t="str">
        <f t="shared" ca="1" si="12"/>
        <v>806,..,1306</v>
      </c>
      <c r="V149" s="42">
        <f t="shared" ref="V149:W149" ca="1" si="16">V148+1</f>
        <v>806</v>
      </c>
      <c r="W149" s="42">
        <f t="shared" ca="1" si="16"/>
        <v>1306</v>
      </c>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5" x14ac:dyDescent="0.35">
      <c r="A150" s="63" t="s">
        <v>246</v>
      </c>
      <c r="B150" s="64"/>
      <c r="C150" s="64"/>
      <c r="D150" s="64"/>
      <c r="E150" s="64"/>
      <c r="F150" s="64"/>
      <c r="G150" s="64"/>
      <c r="H150" s="64"/>
      <c r="I150" s="65"/>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35">
      <c r="A151" s="60" t="s">
        <v>248</v>
      </c>
      <c r="B151" s="60"/>
      <c r="C151" s="61">
        <v>1</v>
      </c>
      <c r="D151" s="62"/>
      <c r="E151" s="21" t="s">
        <v>233</v>
      </c>
      <c r="F151" s="61">
        <f>(1.55*1.59+3.2*5.58+1.45*1.95+2.9*3.99+1.35*2.51+1.48*2.51+3.15*4.42+3.75*3+1.5*2.35+2.95*2.35+1.05*1.3+4*1.05+1.8*3.2+0.75*(2.9+3.15))*(10.764)</f>
        <v>1004.4458892</v>
      </c>
      <c r="G151" s="62"/>
      <c r="H151" s="21">
        <v>0</v>
      </c>
      <c r="I151" s="21">
        <f t="shared" ref="I151:I156" si="17">F151*(($I$108)+1)+H151</f>
        <v>1506.6688337999999</v>
      </c>
      <c r="J151" s="1"/>
      <c r="K151" s="1"/>
      <c r="L151" s="1"/>
      <c r="M151" s="1"/>
      <c r="N151" s="1"/>
      <c r="O151" s="1"/>
      <c r="P151" s="1"/>
      <c r="Q151" s="1"/>
      <c r="R151" s="1"/>
      <c r="S151" s="1"/>
      <c r="T151" s="1"/>
      <c r="U151" s="42" t="str">
        <f t="shared" ref="U151:U156" ca="1" si="18">V151&amp;""&amp;",..,"&amp;""&amp;W151</f>
        <v>1701,..,2201</v>
      </c>
      <c r="V151" s="42">
        <f ca="1">(SUMPRODUCT(MID(0&amp;(LEFT(A150,SUM(LEN(A150)-LEN(SUBSTITUTE(A150,{"0","1","2","3"},""))))), LARGE(INDEX(ISNUMBER(--MID((LEFT(A150,SUM(LEN(A150)-LEN(SUBSTITUTE(A150,{"0","1","2","3"},""))))), ROW(INDIRECT("1:"&amp;LEN((LEFT(A150,SUM(LEN(A150)-LEN(SUBSTITUTE(A150,{"0","1","2","3"},"")))))))), 1)) * ROW(INDIRECT("1:"&amp;LEN((LEFT(A150,SUM(LEN(A150)-LEN(SUBSTITUTE(A150,{"0","1","2","3"},"")))))))), 0), ROW(INDIRECT("1:"&amp;LEN((LEFT(A150,SUM(LEN(A150)-LEN(SUBSTITUTE(A150,{"0","1","2","3"},"")))))))))+1, 1) * 10^ROW(INDIRECT("1:"&amp;LEN((LEFT(A150,SUM(LEN(A150)-LEN(SUBSTITUTE(A150,{"0","1","2","3"},""))))))))/10))*100+1</f>
        <v>1701</v>
      </c>
      <c r="W151" s="42">
        <f ca="1">(SUMPRODUCT(MID(0&amp;(--TRIM(RIGHT(SUBSTITUTE(LEFT(A150,_xlfn.AGGREGATE(16,6,FIND({0,1,2,3,4,5,6,7,8,9},A150,ROW(INDIRECT("1:"&amp;LEN(A150)))),1)),"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",LEN(A150))),LEN(A150)))))))/10))*100+1</f>
        <v>2201</v>
      </c>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35">
      <c r="A152" s="60" t="s">
        <v>248</v>
      </c>
      <c r="B152" s="60"/>
      <c r="C152" s="61">
        <v>2</v>
      </c>
      <c r="D152" s="62"/>
      <c r="E152" s="21" t="s">
        <v>234</v>
      </c>
      <c r="F152" s="61">
        <f>(3.15*5.87+1.25*3.19+2.28*2.75+2.75*2.75+3.05*3.78+2.13*1.27+1.23*0.75+1.22*2.18+4.4*0.91+3.15*1.2+0.75*(2.28+2.75+3.05))*(10.764)</f>
        <v>731.63661479999985</v>
      </c>
      <c r="G152" s="62"/>
      <c r="H152" s="21">
        <v>0</v>
      </c>
      <c r="I152" s="21">
        <f t="shared" si="17"/>
        <v>1097.4549221999998</v>
      </c>
      <c r="J152" s="1"/>
      <c r="K152" s="1"/>
      <c r="L152" s="1"/>
      <c r="M152" s="1"/>
      <c r="N152" s="1"/>
      <c r="O152" s="1"/>
      <c r="P152" s="1"/>
      <c r="Q152" s="1"/>
      <c r="R152" s="1"/>
      <c r="S152" s="1"/>
      <c r="T152" s="1"/>
      <c r="U152" s="42" t="str">
        <f t="shared" ca="1" si="18"/>
        <v>1702,..,2202</v>
      </c>
      <c r="V152" s="42">
        <f ca="1">V151+1</f>
        <v>1702</v>
      </c>
      <c r="W152" s="42">
        <f ca="1">W151+1</f>
        <v>2202</v>
      </c>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35">
      <c r="A153" s="60" t="s">
        <v>248</v>
      </c>
      <c r="B153" s="60"/>
      <c r="C153" s="61">
        <v>3</v>
      </c>
      <c r="D153" s="62"/>
      <c r="E153" s="21" t="s">
        <v>234</v>
      </c>
      <c r="F153" s="61">
        <f>(3.15*5.87+1.25*3.19+2.18*2.75+2.65*2.75+3.05*3.78+2.03*1.27+1.23*0.75+1.22*2.18+4.4*0.91+3.15*1.2+0.75*(2.18+2.66+3.05))*(10.764)</f>
        <v>722.81551679999984</v>
      </c>
      <c r="G153" s="62"/>
      <c r="H153" s="21">
        <v>0</v>
      </c>
      <c r="I153" s="21">
        <f t="shared" si="17"/>
        <v>1084.2232751999998</v>
      </c>
      <c r="J153" s="1"/>
      <c r="K153" s="1"/>
      <c r="L153" s="1"/>
      <c r="M153" s="1"/>
      <c r="N153" s="1"/>
      <c r="O153" s="1"/>
      <c r="P153" s="1"/>
      <c r="Q153" s="1"/>
      <c r="R153" s="1"/>
      <c r="S153" s="1"/>
      <c r="T153" s="1"/>
      <c r="U153" s="42" t="str">
        <f t="shared" ca="1" si="18"/>
        <v>1703,..,2203</v>
      </c>
      <c r="V153" s="42">
        <f t="shared" ref="V153:W153" ca="1" si="19">V152+1</f>
        <v>1703</v>
      </c>
      <c r="W153" s="42">
        <f t="shared" ca="1" si="19"/>
        <v>2203</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35">
      <c r="A154" s="60" t="s">
        <v>248</v>
      </c>
      <c r="B154" s="60"/>
      <c r="C154" s="61">
        <v>4</v>
      </c>
      <c r="D154" s="62"/>
      <c r="E154" s="21" t="s">
        <v>234</v>
      </c>
      <c r="F154" s="61">
        <f>(3.15*5.11+2.28*2.95+2.75*2.95+3.05*3.705+2.4*0.5+2.13*1.27+1.27*0.6+2.13*1.27+5.7*0.91+3.15*1.2+0.75*(2.28+2.75+3.05))*(10.764)</f>
        <v>695.72521979999999</v>
      </c>
      <c r="G154" s="62"/>
      <c r="H154" s="21">
        <v>0</v>
      </c>
      <c r="I154" s="21">
        <f t="shared" si="17"/>
        <v>1043.5878296999999</v>
      </c>
      <c r="J154" s="1"/>
      <c r="K154" s="1"/>
      <c r="L154" s="1"/>
      <c r="M154" s="1"/>
      <c r="N154" s="1"/>
      <c r="O154" s="1"/>
      <c r="P154" s="1"/>
      <c r="Q154" s="1"/>
      <c r="R154" s="1"/>
      <c r="S154" s="1"/>
      <c r="T154" s="1"/>
      <c r="U154" s="42" t="str">
        <f t="shared" ca="1" si="18"/>
        <v>1704,..,2204</v>
      </c>
      <c r="V154" s="42">
        <f t="shared" ref="V154:W154" ca="1" si="20">V153+1</f>
        <v>1704</v>
      </c>
      <c r="W154" s="42">
        <f t="shared" ca="1" si="20"/>
        <v>2204</v>
      </c>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35">
      <c r="A155" s="60" t="s">
        <v>248</v>
      </c>
      <c r="B155" s="60"/>
      <c r="C155" s="61">
        <v>5</v>
      </c>
      <c r="D155" s="62"/>
      <c r="E155" s="21" t="s">
        <v>234</v>
      </c>
      <c r="F155" s="61">
        <f>(3.15*4.08+2.28*2.95+2.75*2.95+3.05*3.05+2.13*1.27+2.13*1.27+5.7*0.91+0.75*(3.15+2.28+2.75+3.05))*(10.764)</f>
        <v>602.92070279999996</v>
      </c>
      <c r="G155" s="62"/>
      <c r="H155" s="21">
        <v>0</v>
      </c>
      <c r="I155" s="21">
        <f t="shared" si="17"/>
        <v>904.38105419999988</v>
      </c>
      <c r="J155" s="1"/>
      <c r="K155" s="1"/>
      <c r="L155" s="1"/>
      <c r="M155" s="1"/>
      <c r="N155" s="1"/>
      <c r="O155" s="1"/>
      <c r="P155" s="1"/>
      <c r="Q155" s="1"/>
      <c r="R155" s="1"/>
      <c r="S155" s="1"/>
      <c r="T155" s="1"/>
      <c r="U155" s="42" t="str">
        <f t="shared" ca="1" si="18"/>
        <v>1705,..,2205</v>
      </c>
      <c r="V155" s="42">
        <f t="shared" ref="V155:W155" ca="1" si="21">V154+1</f>
        <v>1705</v>
      </c>
      <c r="W155" s="42">
        <f t="shared" ca="1" si="21"/>
        <v>2205</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5">
      <c r="A156" s="60" t="s">
        <v>248</v>
      </c>
      <c r="B156" s="60"/>
      <c r="C156" s="61">
        <v>6</v>
      </c>
      <c r="D156" s="62"/>
      <c r="E156" s="21" t="s">
        <v>233</v>
      </c>
      <c r="F156" s="61">
        <f>(1.55*1.55+3.2*5.11+1.9*3.4+3.05*3.11+1.38*2.35+1.48*2.35+3.15*4.26+3*3+1.25*2.15+4.05*2.25+5*1.05+1.5*3.2+0.75*(3.05+3.15))*(10.764)</f>
        <v>972.41976</v>
      </c>
      <c r="G156" s="62"/>
      <c r="H156" s="21">
        <v>0</v>
      </c>
      <c r="I156" s="21">
        <f t="shared" si="17"/>
        <v>1458.6296400000001</v>
      </c>
      <c r="J156" s="1"/>
      <c r="K156" s="1"/>
      <c r="L156" s="1"/>
      <c r="M156" s="1"/>
      <c r="N156" s="1"/>
      <c r="O156" s="1"/>
      <c r="P156" s="1"/>
      <c r="Q156" s="1"/>
      <c r="R156" s="1"/>
      <c r="S156" s="1"/>
      <c r="T156" s="1"/>
      <c r="U156" s="42" t="str">
        <f t="shared" ca="1" si="18"/>
        <v>1706,..,2206</v>
      </c>
      <c r="V156" s="42">
        <f t="shared" ref="V156:W156" ca="1" si="22">V155+1</f>
        <v>1706</v>
      </c>
      <c r="W156" s="42">
        <f t="shared" ca="1" si="22"/>
        <v>2206</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5" x14ac:dyDescent="0.35">
      <c r="A157" s="63" t="s">
        <v>260</v>
      </c>
      <c r="B157" s="64"/>
      <c r="C157" s="64"/>
      <c r="D157" s="64"/>
      <c r="E157" s="64"/>
      <c r="F157" s="64"/>
      <c r="G157" s="64"/>
      <c r="H157" s="64"/>
      <c r="I157" s="65"/>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35">
      <c r="A158" s="60" t="s">
        <v>248</v>
      </c>
      <c r="B158" s="60"/>
      <c r="C158" s="61">
        <v>1</v>
      </c>
      <c r="D158" s="62"/>
      <c r="E158" s="21" t="s">
        <v>233</v>
      </c>
      <c r="F158" s="61">
        <f>(1.55*1.59+3.2*5.58+1.45*1.95+2.9*3.99+1.35*2.51+1.48*2.51+3.15*4.42+3.75*3+1.5*2.35+2.95*2.35+1.05*1.3+4*1.05+1.8*3.2+0.75*(2.9+3.15))*(10.764)</f>
        <v>1004.4458892</v>
      </c>
      <c r="G158" s="62"/>
      <c r="H158" s="21">
        <v>0</v>
      </c>
      <c r="I158" s="21">
        <f t="shared" ref="I158:I163" si="23">F158*(($I$108)+1)+H158</f>
        <v>1506.6688337999999</v>
      </c>
      <c r="J158" s="1"/>
      <c r="K158" s="1"/>
      <c r="L158" s="1"/>
      <c r="M158" s="1"/>
      <c r="N158" s="1"/>
      <c r="O158" s="1"/>
      <c r="P158" s="1"/>
      <c r="Q158" s="1"/>
      <c r="R158" s="1"/>
      <c r="S158" s="1"/>
      <c r="T158" s="1"/>
      <c r="U158" s="42" t="str">
        <f t="shared" ref="U158:U163" ca="1" si="24">V158&amp;""&amp;",..,"&amp;""&amp;W158</f>
        <v>1801,..,2301</v>
      </c>
      <c r="V158" s="42">
        <f ca="1">(SUMPRODUCT(MID(0&amp;(LEFT(A157,SUM(LEN(A157)-LEN(SUBSTITUTE(A157,{"0","1","2","3"},""))))), LARGE(INDEX(ISNUMBER(--MID((LEFT(A157,SUM(LEN(A157)-LEN(SUBSTITUTE(A157,{"0","1","2","3"},""))))), ROW(INDIRECT("1:"&amp;LEN((LEFT(A157,SUM(LEN(A157)-LEN(SUBSTITUTE(A157,{"0","1","2","3"},"")))))))), 1)) * ROW(INDIRECT("1:"&amp;LEN((LEFT(A157,SUM(LEN(A157)-LEN(SUBSTITUTE(A157,{"0","1","2","3"},"")))))))), 0), ROW(INDIRECT("1:"&amp;LEN((LEFT(A157,SUM(LEN(A157)-LEN(SUBSTITUTE(A157,{"0","1","2","3"},"")))))))))+1, 1) * 10^ROW(INDIRECT("1:"&amp;LEN((LEFT(A157,SUM(LEN(A157)-LEN(SUBSTITUTE(A157,{"0","1","2","3"},""))))))))/10))*100+1</f>
        <v>1801</v>
      </c>
      <c r="W158" s="42">
        <f ca="1">(SUMPRODUCT(MID(0&amp;(--TRIM(RIGHT(SUBSTITUTE(LEFT(A157,_xlfn.AGGREGATE(16,6,FIND({0,1,2,3,4,5,6,7,8,9},A157,ROW(INDIRECT("1:"&amp;LEN(A157)))),1)),"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",LEN(A157))),LEN(A157)))))))/10))*100+1</f>
        <v>2301</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35">
      <c r="A159" s="60" t="s">
        <v>248</v>
      </c>
      <c r="B159" s="60"/>
      <c r="C159" s="61">
        <v>2</v>
      </c>
      <c r="D159" s="62"/>
      <c r="E159" s="21" t="s">
        <v>245</v>
      </c>
      <c r="F159" s="61">
        <f>(3.15*5.87+1.35*3.19+2.28*2.75+2.75*2.75+1.22*2.18+3*0.91+3.15*1.2+0.75*(2.28+2.75))*(10.764)</f>
        <v>533.58870239999987</v>
      </c>
      <c r="G159" s="62"/>
      <c r="H159" s="21">
        <v>0</v>
      </c>
      <c r="I159" s="21">
        <f t="shared" si="23"/>
        <v>800.38305359999981</v>
      </c>
      <c r="J159" s="1"/>
      <c r="K159" s="1"/>
      <c r="L159" s="1"/>
      <c r="M159" s="1"/>
      <c r="N159" s="1"/>
      <c r="O159" s="1"/>
      <c r="P159" s="1"/>
      <c r="Q159" s="1"/>
      <c r="R159" s="1"/>
      <c r="S159" s="1"/>
      <c r="T159" s="1"/>
      <c r="U159" s="42" t="str">
        <f t="shared" ca="1" si="24"/>
        <v>1802,..,2302</v>
      </c>
      <c r="V159" s="42">
        <f ca="1">V158+1</f>
        <v>1802</v>
      </c>
      <c r="W159" s="42">
        <f ca="1">W158+1</f>
        <v>2302</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35">
      <c r="A160" s="60" t="s">
        <v>248</v>
      </c>
      <c r="B160" s="60"/>
      <c r="C160" s="61">
        <v>3</v>
      </c>
      <c r="D160" s="62"/>
      <c r="E160" s="21" t="s">
        <v>234</v>
      </c>
      <c r="F160" s="61">
        <f>(3.15*5.87+1.25*3.19+2.18*2.75+2.65*2.75+3.05*3.78+2.03*1.27+1.23*0.75+1.22*2.18+4.4*0.91+3.15*1.2+0.75*(2.18+2.66+3.05))*(10.764)</f>
        <v>722.81551679999984</v>
      </c>
      <c r="G160" s="62"/>
      <c r="H160" s="21">
        <v>0</v>
      </c>
      <c r="I160" s="21">
        <f t="shared" si="23"/>
        <v>1084.2232751999998</v>
      </c>
      <c r="J160" s="1"/>
      <c r="K160" s="1"/>
      <c r="L160" s="1"/>
      <c r="M160" s="1"/>
      <c r="N160" s="1"/>
      <c r="O160" s="1"/>
      <c r="P160" s="1"/>
      <c r="Q160" s="1"/>
      <c r="R160" s="1"/>
      <c r="S160" s="1"/>
      <c r="T160" s="1"/>
      <c r="U160" s="42" t="str">
        <f t="shared" ca="1" si="24"/>
        <v>1803,..,2303</v>
      </c>
      <c r="V160" s="42">
        <f t="shared" ref="V160:W160" ca="1" si="25">V159+1</f>
        <v>1803</v>
      </c>
      <c r="W160" s="42">
        <f t="shared" ca="1" si="25"/>
        <v>2303</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35">
      <c r="A161" s="60" t="s">
        <v>248</v>
      </c>
      <c r="B161" s="60"/>
      <c r="C161" s="61">
        <v>4</v>
      </c>
      <c r="D161" s="62"/>
      <c r="E161" s="21" t="s">
        <v>234</v>
      </c>
      <c r="F161" s="61">
        <f>(3.15*5.11+2.28*2.95+2.75*2.95+3.05*3.705+2.4*0.5+2.13*1.27+1.27*0.6+2.13*1.27+5.7*0.91+3.15*1.2+0.75*(2.28+2.75+3.05))*(10.764)</f>
        <v>695.72521979999999</v>
      </c>
      <c r="G161" s="62"/>
      <c r="H161" s="21">
        <v>0</v>
      </c>
      <c r="I161" s="21">
        <f t="shared" si="23"/>
        <v>1043.5878296999999</v>
      </c>
      <c r="J161" s="1"/>
      <c r="K161" s="1"/>
      <c r="L161" s="1"/>
      <c r="M161" s="1"/>
      <c r="N161" s="1"/>
      <c r="O161" s="1"/>
      <c r="P161" s="1"/>
      <c r="Q161" s="1"/>
      <c r="R161" s="1"/>
      <c r="S161" s="1"/>
      <c r="T161" s="1"/>
      <c r="U161" s="42" t="str">
        <f t="shared" ca="1" si="24"/>
        <v>1804,..,2304</v>
      </c>
      <c r="V161" s="42">
        <f t="shared" ref="V161:W161" ca="1" si="26">V160+1</f>
        <v>1804</v>
      </c>
      <c r="W161" s="42">
        <f t="shared" ca="1" si="26"/>
        <v>2304</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35">
      <c r="A162" s="60" t="s">
        <v>248</v>
      </c>
      <c r="B162" s="60"/>
      <c r="C162" s="61">
        <v>5</v>
      </c>
      <c r="D162" s="62"/>
      <c r="E162" s="21" t="s">
        <v>234</v>
      </c>
      <c r="F162" s="61">
        <f>(3.15*4.08+2.28*2.95+2.75*2.95+3.05*3.05+2.13*1.27+2.13*1.27+5.7*0.91+0.75*(3.15+2.28+2.75+3.05))*(10.764)</f>
        <v>602.92070279999996</v>
      </c>
      <c r="G162" s="62"/>
      <c r="H162" s="21">
        <v>0</v>
      </c>
      <c r="I162" s="21">
        <f t="shared" si="23"/>
        <v>904.38105419999988</v>
      </c>
      <c r="J162" s="1"/>
      <c r="K162" s="1"/>
      <c r="L162" s="1"/>
      <c r="M162" s="1"/>
      <c r="N162" s="1"/>
      <c r="O162" s="1"/>
      <c r="P162" s="1"/>
      <c r="Q162" s="1"/>
      <c r="R162" s="1"/>
      <c r="S162" s="1"/>
      <c r="T162" s="1"/>
      <c r="U162" s="42" t="str">
        <f t="shared" ca="1" si="24"/>
        <v>1805,..,2305</v>
      </c>
      <c r="V162" s="42">
        <f t="shared" ref="V162:W162" ca="1" si="27">V161+1</f>
        <v>1805</v>
      </c>
      <c r="W162" s="42">
        <f t="shared" ca="1" si="27"/>
        <v>2305</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35">
      <c r="A163" s="60" t="s">
        <v>248</v>
      </c>
      <c r="B163" s="60"/>
      <c r="C163" s="61">
        <v>6</v>
      </c>
      <c r="D163" s="62"/>
      <c r="E163" s="21" t="s">
        <v>233</v>
      </c>
      <c r="F163" s="61">
        <f>(1.55*1.55+3.2*5.11+1.9*3.4+3.05*3.11+1.38*2.35+1.48*2.35+3.15*4.26+3*3+1.25*2.15+4.05*2.25+5*1.05+1.5*3.2+0.75*(3.05+3.15))*(10.764)</f>
        <v>972.41976</v>
      </c>
      <c r="G163" s="62"/>
      <c r="H163" s="21">
        <v>0</v>
      </c>
      <c r="I163" s="21">
        <f t="shared" si="23"/>
        <v>1458.6296400000001</v>
      </c>
      <c r="J163" s="1"/>
      <c r="K163" s="1"/>
      <c r="L163" s="1"/>
      <c r="M163" s="1"/>
      <c r="N163" s="1"/>
      <c r="O163" s="1"/>
      <c r="P163" s="1"/>
      <c r="Q163" s="1"/>
      <c r="R163" s="1"/>
      <c r="S163" s="1"/>
      <c r="T163" s="1"/>
      <c r="U163" s="42" t="str">
        <f t="shared" ca="1" si="24"/>
        <v>1806,..,2306</v>
      </c>
      <c r="V163" s="42">
        <f t="shared" ref="V163:W163" ca="1" si="28">V162+1</f>
        <v>1806</v>
      </c>
      <c r="W163" s="42">
        <f t="shared" ca="1" si="28"/>
        <v>2306</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5" x14ac:dyDescent="0.35">
      <c r="A164" s="63" t="s">
        <v>247</v>
      </c>
      <c r="B164" s="64"/>
      <c r="C164" s="64"/>
      <c r="D164" s="64"/>
      <c r="E164" s="64"/>
      <c r="F164" s="64"/>
      <c r="G164" s="64"/>
      <c r="H164" s="64"/>
      <c r="I164" s="76"/>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5" x14ac:dyDescent="0.35">
      <c r="A165" s="63" t="s">
        <v>229</v>
      </c>
      <c r="B165" s="64"/>
      <c r="C165" s="64"/>
      <c r="D165" s="64"/>
      <c r="E165" s="64"/>
      <c r="F165" s="64"/>
      <c r="G165" s="64"/>
      <c r="H165" s="64"/>
      <c r="I165" s="76"/>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5" x14ac:dyDescent="0.35">
      <c r="A166" s="63" t="s">
        <v>230</v>
      </c>
      <c r="B166" s="64"/>
      <c r="C166" s="64"/>
      <c r="D166" s="64"/>
      <c r="E166" s="64"/>
      <c r="F166" s="64"/>
      <c r="G166" s="64"/>
      <c r="H166" s="64"/>
      <c r="I166" s="76"/>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5">
      <c r="A167" s="60" t="s">
        <v>248</v>
      </c>
      <c r="B167" s="60"/>
      <c r="C167" s="60">
        <v>9</v>
      </c>
      <c r="D167" s="60"/>
      <c r="E167" s="21" t="s">
        <v>231</v>
      </c>
      <c r="F167" s="61">
        <f>((23.36)*(10.764))</f>
        <v>251.44703999999999</v>
      </c>
      <c r="G167" s="62"/>
      <c r="H167" s="21">
        <v>0</v>
      </c>
      <c r="I167" s="21">
        <f>F167*(($I$108)+1)+H167</f>
        <v>377.17055999999997</v>
      </c>
      <c r="J167" s="1"/>
      <c r="K167" s="1"/>
      <c r="L167" s="1"/>
      <c r="M167" s="1"/>
      <c r="N167" s="1"/>
      <c r="O167" s="54"/>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35">
      <c r="A168" s="60" t="s">
        <v>248</v>
      </c>
      <c r="B168" s="60"/>
      <c r="C168" s="60">
        <v>10</v>
      </c>
      <c r="D168" s="60"/>
      <c r="E168" s="21" t="s">
        <v>231</v>
      </c>
      <c r="F168" s="61">
        <f>(47.71)*(10.764)</f>
        <v>513.55043999999998</v>
      </c>
      <c r="G168" s="62">
        <f>(47.71)*(10.764)</f>
        <v>513.55043999999998</v>
      </c>
      <c r="H168" s="21">
        <v>0</v>
      </c>
      <c r="I168" s="21">
        <f t="shared" ref="I168:I171" si="29">F168*(($I$108)+1)+H168</f>
        <v>770.32565999999997</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5">
      <c r="A169" s="60" t="s">
        <v>248</v>
      </c>
      <c r="B169" s="60"/>
      <c r="C169" s="60">
        <v>11</v>
      </c>
      <c r="D169" s="60"/>
      <c r="E169" s="21" t="s">
        <v>231</v>
      </c>
      <c r="F169" s="61">
        <f>(30.55)*(10.764)</f>
        <v>328.84019999999998</v>
      </c>
      <c r="G169" s="62">
        <f>(30.55)*(10.764)</f>
        <v>328.84019999999998</v>
      </c>
      <c r="H169" s="21">
        <v>0</v>
      </c>
      <c r="I169" s="21">
        <f t="shared" si="29"/>
        <v>493.26029999999997</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5">
      <c r="A170" s="60" t="s">
        <v>248</v>
      </c>
      <c r="B170" s="60"/>
      <c r="C170" s="60">
        <v>12</v>
      </c>
      <c r="D170" s="60"/>
      <c r="E170" s="21" t="s">
        <v>231</v>
      </c>
      <c r="F170" s="61">
        <f>(59.86)*(10.764)</f>
        <v>644.33303999999998</v>
      </c>
      <c r="G170" s="62">
        <f>(59.86)*(10.764)</f>
        <v>644.33303999999998</v>
      </c>
      <c r="H170" s="21">
        <v>0</v>
      </c>
      <c r="I170" s="21">
        <f t="shared" si="29"/>
        <v>966.49955999999997</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5">
      <c r="A171" s="60" t="s">
        <v>248</v>
      </c>
      <c r="B171" s="60"/>
      <c r="C171" s="60">
        <v>13</v>
      </c>
      <c r="D171" s="60"/>
      <c r="E171" s="21" t="s">
        <v>231</v>
      </c>
      <c r="F171" s="61">
        <f>(52.85)*(10.764)</f>
        <v>568.87739999999997</v>
      </c>
      <c r="G171" s="62">
        <f>(52.85)*(10.764)</f>
        <v>568.87739999999997</v>
      </c>
      <c r="H171" s="21">
        <v>0</v>
      </c>
      <c r="I171" s="21">
        <f t="shared" si="29"/>
        <v>853.31610000000001</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5" x14ac:dyDescent="0.35">
      <c r="A172" s="63" t="s">
        <v>232</v>
      </c>
      <c r="B172" s="64"/>
      <c r="C172" s="64"/>
      <c r="D172" s="64"/>
      <c r="E172" s="64"/>
      <c r="F172" s="64"/>
      <c r="G172" s="64"/>
      <c r="H172" s="64"/>
      <c r="I172" s="76"/>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5" x14ac:dyDescent="0.35">
      <c r="A173" s="63" t="s">
        <v>237</v>
      </c>
      <c r="B173" s="64"/>
      <c r="C173" s="64"/>
      <c r="D173" s="64"/>
      <c r="E173" s="64"/>
      <c r="F173" s="64"/>
      <c r="G173" s="64"/>
      <c r="H173" s="64"/>
      <c r="I173" s="76"/>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5">
      <c r="A174" s="60" t="s">
        <v>248</v>
      </c>
      <c r="B174" s="60"/>
      <c r="C174" s="60">
        <v>1</v>
      </c>
      <c r="D174" s="60"/>
      <c r="E174" s="21" t="s">
        <v>234</v>
      </c>
      <c r="F174" s="61">
        <f>(3.15*5.87+1.25*3.19+2.18*2.75+2.65*2.75+2.95*3.78+2.03*1.27+1.18*0.75+1.22*2.18+4.4*0.91+3.15*1.2+0.75*(2.18+2.65+2.95))*(10.764)</f>
        <v>717.45504479999988</v>
      </c>
      <c r="G174" s="62"/>
      <c r="H174" s="21">
        <v>0</v>
      </c>
      <c r="I174" s="21">
        <f>F174*(($I$108)+1)+H174</f>
        <v>1076.1825671999998</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35">
      <c r="A175" s="60" t="s">
        <v>248</v>
      </c>
      <c r="B175" s="60"/>
      <c r="C175" s="60">
        <f>C174+1</f>
        <v>2</v>
      </c>
      <c r="D175" s="60"/>
      <c r="E175" s="21" t="s">
        <v>233</v>
      </c>
      <c r="F175" s="61">
        <f>(1.55*1.64+3.1*5.58+1.45*3+2.8*3.99+1.35*2.51+1.48*2.51+3.05*4.32+3.75*2.9+1.5*2.35+2.95*2.35+1.05*1.3+5.4*1.05+1.8*3.1+0.75*(2.8+3.05))*(10.764)</f>
        <v>1011.5608932</v>
      </c>
      <c r="G175" s="62"/>
      <c r="H175" s="21">
        <v>0</v>
      </c>
      <c r="I175" s="21">
        <f t="shared" ref="I175" si="30">F175*(($I$108)+1)+H175</f>
        <v>1517.3413398</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5">
      <c r="A176" s="60" t="s">
        <v>248</v>
      </c>
      <c r="B176" s="60"/>
      <c r="C176" s="60">
        <f t="shared" ref="C176:C177" si="31">C175+1</f>
        <v>3</v>
      </c>
      <c r="D176" s="60"/>
      <c r="E176" s="21" t="s">
        <v>111</v>
      </c>
      <c r="F176" s="69" t="s">
        <v>238</v>
      </c>
      <c r="G176" s="70"/>
      <c r="H176" s="70"/>
      <c r="I176" s="7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5">
      <c r="A177" s="60" t="s">
        <v>248</v>
      </c>
      <c r="B177" s="60"/>
      <c r="C177" s="60">
        <f t="shared" si="31"/>
        <v>4</v>
      </c>
      <c r="D177" s="60"/>
      <c r="E177" s="21" t="s">
        <v>111</v>
      </c>
      <c r="F177" s="61" t="s">
        <v>238</v>
      </c>
      <c r="G177" s="77"/>
      <c r="H177" s="77"/>
      <c r="I177" s="6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5" x14ac:dyDescent="0.35">
      <c r="A178" s="63" t="s">
        <v>239</v>
      </c>
      <c r="B178" s="64"/>
      <c r="C178" s="64"/>
      <c r="D178" s="64"/>
      <c r="E178" s="64"/>
      <c r="F178" s="75"/>
      <c r="G178" s="75"/>
      <c r="H178" s="75"/>
      <c r="I178" s="76"/>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5">
      <c r="A179" s="60" t="s">
        <v>248</v>
      </c>
      <c r="B179" s="60"/>
      <c r="C179" s="60">
        <v>1</v>
      </c>
      <c r="D179" s="60"/>
      <c r="E179" s="21" t="s">
        <v>234</v>
      </c>
      <c r="F179" s="61">
        <f>(3.15*5.87+1.25*3.19+2.18*2.75+2.65*2.75+2.95*3.78+2.03*1.27+1.18*0.75+1.22*2.18+4.4*0.91+3.15*1.2+0.75*(2.18+2.65+2.95))*(10.764)</f>
        <v>717.45504479999988</v>
      </c>
      <c r="G179" s="62"/>
      <c r="H179" s="21">
        <v>0</v>
      </c>
      <c r="I179" s="21">
        <f>F179*(($I$108)+1)+H179</f>
        <v>1076.1825671999998</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35">
      <c r="A180" s="60" t="s">
        <v>248</v>
      </c>
      <c r="B180" s="60"/>
      <c r="C180" s="60">
        <f>C179+1</f>
        <v>2</v>
      </c>
      <c r="D180" s="60"/>
      <c r="E180" s="21" t="s">
        <v>233</v>
      </c>
      <c r="F180" s="61">
        <f>(1.55*1.64+3.1*5.58+1.45*3+2.8*3.99+1.35*2.51+1.48*2.51+3.05*4.32+3.75*2.9+1.5*2.35+2.95*2.35+1.05*1.3+5.4*1.05+1.8*3.1+0.75*(2.8+3.05))*(10.764)</f>
        <v>1011.5608932</v>
      </c>
      <c r="G180" s="62"/>
      <c r="H180" s="21">
        <v>0</v>
      </c>
      <c r="I180" s="21">
        <f t="shared" ref="I180" si="32">F180*(($I$108)+1)+H180</f>
        <v>1517.3413398</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5">
      <c r="A181" s="60" t="s">
        <v>248</v>
      </c>
      <c r="B181" s="60"/>
      <c r="C181" s="60">
        <f t="shared" ref="C181:C182" si="33">C180+1</f>
        <v>3</v>
      </c>
      <c r="D181" s="60"/>
      <c r="E181" s="21" t="s">
        <v>111</v>
      </c>
      <c r="F181" s="69" t="s">
        <v>242</v>
      </c>
      <c r="G181" s="70"/>
      <c r="H181" s="70"/>
      <c r="I181" s="7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35">
      <c r="A182" s="60" t="s">
        <v>248</v>
      </c>
      <c r="B182" s="60"/>
      <c r="C182" s="60">
        <f t="shared" si="33"/>
        <v>4</v>
      </c>
      <c r="D182" s="60"/>
      <c r="E182" s="21" t="s">
        <v>111</v>
      </c>
      <c r="F182" s="69" t="s">
        <v>240</v>
      </c>
      <c r="G182" s="70"/>
      <c r="H182" s="70"/>
      <c r="I182" s="7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5" x14ac:dyDescent="0.35">
      <c r="A183" s="72" t="s">
        <v>243</v>
      </c>
      <c r="B183" s="73"/>
      <c r="C183" s="73"/>
      <c r="D183" s="73"/>
      <c r="E183" s="73"/>
      <c r="F183" s="73"/>
      <c r="G183" s="73"/>
      <c r="H183" s="73"/>
      <c r="I183" s="7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35">
      <c r="A184" s="66" t="s">
        <v>248</v>
      </c>
      <c r="B184" s="66"/>
      <c r="C184" s="67">
        <v>1</v>
      </c>
      <c r="D184" s="68"/>
      <c r="E184" s="55" t="s">
        <v>234</v>
      </c>
      <c r="F184" s="61">
        <f>(3.15*5.87+1.25*3.19+2.18*2.75+2.65*2.75+2.95*3.78+2.03*1.27+1.18*0.75+1.22*2.18+4.4*0.91+3.15*1.2+0.75*(2.18+2.65+2.95))*(10.764)</f>
        <v>717.45504479999988</v>
      </c>
      <c r="G184" s="62"/>
      <c r="H184" s="55">
        <v>0</v>
      </c>
      <c r="I184" s="55">
        <f t="shared" ref="I184:I187" si="34">F184*(($I$108)+1)+H184</f>
        <v>1076.1825671999998</v>
      </c>
      <c r="J184" s="1"/>
      <c r="K184" s="1"/>
      <c r="L184" s="1"/>
      <c r="M184" s="1"/>
      <c r="N184" s="1"/>
      <c r="O184" s="1"/>
      <c r="P184" s="1"/>
      <c r="Q184" s="1"/>
      <c r="R184" s="1"/>
      <c r="S184" s="1"/>
      <c r="T184" s="1"/>
      <c r="U184" s="42" t="str">
        <f t="shared" ref="U184:U187" ca="1" si="35">V184&amp;""&amp;",..,"&amp;""&amp;W184</f>
        <v>501,..,1601</v>
      </c>
      <c r="V184" s="42">
        <f ca="1">(SUMPRODUCT(MID(0&amp;(LEFT(A183,SUM(LEN(A183)-LEN(SUBSTITUTE(A183,{"0","1","2","3"},""))))), LARGE(INDEX(ISNUMBER(--MID((LEFT(A183,SUM(LEN(A183)-LEN(SUBSTITUTE(A183,{"0","1","2","3"},""))))), ROW(INDIRECT("1:"&amp;LEN((LEFT(A183,SUM(LEN(A183)-LEN(SUBSTITUTE(A183,{"0","1","2","3"},"")))))))), 1)) * ROW(INDIRECT("1:"&amp;LEN((LEFT(A183,SUM(LEN(A183)-LEN(SUBSTITUTE(A183,{"0","1","2","3"},"")))))))), 0), ROW(INDIRECT("1:"&amp;LEN((LEFT(A183,SUM(LEN(A183)-LEN(SUBSTITUTE(A183,{"0","1","2","3"},"")))))))))+1, 1) * 10^ROW(INDIRECT("1:"&amp;LEN((LEFT(A183,SUM(LEN(A183)-LEN(SUBSTITUTE(A183,{"0","1","2","3"},""))))))))/10))*100+1</f>
        <v>501</v>
      </c>
      <c r="W184" s="42">
        <f ca="1">(SUMPRODUCT(MID(0&amp;(--TRIM(RIGHT(SUBSTITUTE(LEFT(A183,_xlfn.AGGREGATE(16,6,FIND({0,1,2,3,4,5,6,7,8,9},A183,ROW(INDIRECT("1:"&amp;LEN(A183)))),1)),"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",LEN(A183))),LEN(A183)))))))/10))*100+1</f>
        <v>1601</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35">
      <c r="A185" s="66" t="s">
        <v>248</v>
      </c>
      <c r="B185" s="66"/>
      <c r="C185" s="67">
        <v>2</v>
      </c>
      <c r="D185" s="68"/>
      <c r="E185" s="55" t="s">
        <v>233</v>
      </c>
      <c r="F185" s="61">
        <f>(1.55*1.64+3.1*5.58+1.45*3+2.8*3.99+1.35*2.51+1.48*2.51+3.05*4.32+3.75*2.9+1.5*2.35+2.95*2.35+1.05*1.3+5.4*1.05+1.8*3.1+0.75*(2.8+3.05))*(10.764)</f>
        <v>1011.5608932</v>
      </c>
      <c r="G185" s="62"/>
      <c r="H185" s="55">
        <v>0</v>
      </c>
      <c r="I185" s="55">
        <f t="shared" si="34"/>
        <v>1517.3413398</v>
      </c>
      <c r="J185" s="1"/>
      <c r="K185" s="1"/>
      <c r="L185" s="1"/>
      <c r="M185" s="1"/>
      <c r="N185" s="1"/>
      <c r="O185" s="1"/>
      <c r="P185" s="1"/>
      <c r="Q185" s="1"/>
      <c r="R185" s="1"/>
      <c r="S185" s="1"/>
      <c r="T185" s="1"/>
      <c r="U185" s="42" t="str">
        <f t="shared" ca="1" si="35"/>
        <v>502,..,1602</v>
      </c>
      <c r="V185" s="42">
        <f ca="1">V184+1</f>
        <v>502</v>
      </c>
      <c r="W185" s="42">
        <f ca="1">W184+1</f>
        <v>1602</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35">
      <c r="A186" s="66" t="s">
        <v>248</v>
      </c>
      <c r="B186" s="66"/>
      <c r="C186" s="67">
        <v>3</v>
      </c>
      <c r="D186" s="68"/>
      <c r="E186" s="55" t="s">
        <v>233</v>
      </c>
      <c r="F186" s="61">
        <f>(1.55*1.55+3.2*5.11+1.9*3.4+3.05*3.11+1.38*2.35+1.48*2.35+3.15*4.26+3*3+1.25*2.15+4.05*2.25+5*1.05+1.5*3.2+0.75*(3.15+3.05))*(10.764)</f>
        <v>972.41976</v>
      </c>
      <c r="G186" s="62"/>
      <c r="H186" s="55">
        <v>0</v>
      </c>
      <c r="I186" s="55">
        <f t="shared" si="34"/>
        <v>1458.6296400000001</v>
      </c>
      <c r="J186" s="1"/>
      <c r="K186" s="1"/>
      <c r="L186" s="1"/>
      <c r="M186" s="1"/>
      <c r="N186" s="1"/>
      <c r="O186" s="1"/>
      <c r="P186" s="1"/>
      <c r="Q186" s="1"/>
      <c r="R186" s="1"/>
      <c r="S186" s="1"/>
      <c r="T186" s="1"/>
      <c r="U186" s="42" t="str">
        <f t="shared" ca="1" si="35"/>
        <v>503,..,1603</v>
      </c>
      <c r="V186" s="42">
        <f t="shared" ref="V186:W186" ca="1" si="36">V185+1</f>
        <v>503</v>
      </c>
      <c r="W186" s="42">
        <f t="shared" ca="1" si="36"/>
        <v>1603</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35">
      <c r="A187" s="60" t="s">
        <v>249</v>
      </c>
      <c r="B187" s="60"/>
      <c r="C187" s="61">
        <v>4</v>
      </c>
      <c r="D187" s="62"/>
      <c r="E187" s="21" t="s">
        <v>234</v>
      </c>
      <c r="F187" s="61">
        <f>(3.15*4.08+2.28*2.95+2.75*2.95+3.05*3.05+2.13*1.27+2.13*1.27+5.7*0.91+0.75*(3.15+2.28+2.75+3.05))*(10.764)</f>
        <v>602.92070279999996</v>
      </c>
      <c r="G187" s="62"/>
      <c r="H187" s="21">
        <v>0</v>
      </c>
      <c r="I187" s="21">
        <f t="shared" si="34"/>
        <v>904.38105419999988</v>
      </c>
      <c r="J187" s="1"/>
      <c r="K187" s="1">
        <f>3.15*4.08+2.28*2.95+2.75*2.95+3.05*3.05+2.13*1.27+2.13*1.27+5.7*0.91</f>
        <v>47.590199999999996</v>
      </c>
      <c r="L187" s="1"/>
      <c r="M187" s="1"/>
      <c r="N187" s="1"/>
      <c r="O187" s="1"/>
      <c r="P187" s="1"/>
      <c r="Q187" s="1"/>
      <c r="R187" s="1"/>
      <c r="S187" s="1"/>
      <c r="T187" s="1"/>
      <c r="U187" s="42" t="str">
        <f t="shared" ca="1" si="35"/>
        <v>504,..,1604</v>
      </c>
      <c r="V187" s="42">
        <f t="shared" ref="V187:W187" ca="1" si="37">V186+1</f>
        <v>504</v>
      </c>
      <c r="W187" s="42">
        <f t="shared" ca="1" si="37"/>
        <v>1604</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5" x14ac:dyDescent="0.35">
      <c r="A188" s="63" t="s">
        <v>244</v>
      </c>
      <c r="B188" s="64"/>
      <c r="C188" s="64"/>
      <c r="D188" s="64"/>
      <c r="E188" s="64"/>
      <c r="F188" s="64"/>
      <c r="G188" s="64"/>
      <c r="H188" s="64"/>
      <c r="I188" s="65"/>
      <c r="J188" s="1"/>
      <c r="K188" s="1">
        <f>0.75*(3.15+2.28+2.75+3.05)</f>
        <v>8.4224999999999994</v>
      </c>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35">
      <c r="A189" s="60" t="s">
        <v>248</v>
      </c>
      <c r="B189" s="60"/>
      <c r="C189" s="61">
        <v>1</v>
      </c>
      <c r="D189" s="62"/>
      <c r="E189" s="21" t="s">
        <v>234</v>
      </c>
      <c r="F189" s="61">
        <f>(3.15*5.87+1.25*3.19+2.18*2.75+2.65*2.75+2.95*3.78+2.03*1.27+1.18*0.75+1.22*2.18+4.4*0.91+3.15*1.2+0.75*(2.18+2.65+2.95))*(10.764)</f>
        <v>717.45504479999988</v>
      </c>
      <c r="G189" s="62"/>
      <c r="H189" s="21">
        <v>0</v>
      </c>
      <c r="I189" s="21">
        <f t="shared" ref="I189:I192" si="38">F189*(($I$108)+1)+H189</f>
        <v>1076.1825671999998</v>
      </c>
      <c r="J189" s="1"/>
      <c r="K189" s="1">
        <f>K187+K188</f>
        <v>56.012699999999995</v>
      </c>
      <c r="L189" s="1"/>
      <c r="M189" s="1"/>
      <c r="N189" s="1"/>
      <c r="O189" s="1"/>
      <c r="P189" s="1"/>
      <c r="Q189" s="1"/>
      <c r="R189" s="1"/>
      <c r="S189" s="1"/>
      <c r="T189" s="1"/>
      <c r="U189" s="42" t="str">
        <f t="shared" ref="U189:U192" ca="1" si="39">V189&amp;""&amp;",..,"&amp;""&amp;W189</f>
        <v>801,..,1301</v>
      </c>
      <c r="V189" s="42">
        <f ca="1">(SUMPRODUCT(MID(0&amp;(LEFT(A188,SUM(LEN(A188)-LEN(SUBSTITUTE(A188,{"0","1","2","3"},""))))), LARGE(INDEX(ISNUMBER(--MID((LEFT(A188,SUM(LEN(A188)-LEN(SUBSTITUTE(A188,{"0","1","2","3"},""))))), ROW(INDIRECT("1:"&amp;LEN((LEFT(A188,SUM(LEN(A188)-LEN(SUBSTITUTE(A188,{"0","1","2","3"},"")))))))), 1)) * ROW(INDIRECT("1:"&amp;LEN((LEFT(A188,SUM(LEN(A188)-LEN(SUBSTITUTE(A188,{"0","1","2","3"},"")))))))), 0), ROW(INDIRECT("1:"&amp;LEN((LEFT(A188,SUM(LEN(A188)-LEN(SUBSTITUTE(A188,{"0","1","2","3"},"")))))))))+1, 1) * 10^ROW(INDIRECT("1:"&amp;LEN((LEFT(A188,SUM(LEN(A188)-LEN(SUBSTITUTE(A188,{"0","1","2","3"},""))))))))/10))*100+1</f>
        <v>801</v>
      </c>
      <c r="W189" s="42">
        <f ca="1">(SUMPRODUCT(MID(0&amp;(--TRIM(RIGHT(SUBSTITUTE(LEFT(A188,_xlfn.AGGREGATE(16,6,FIND({0,1,2,3,4,5,6,7,8,9},A188,ROW(INDIRECT("1:"&amp;LEN(A188)))),1)),"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",LEN(A188))),LEN(A188)))))))/10))*100+1</f>
        <v>1301</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35">
      <c r="A190" s="60" t="s">
        <v>248</v>
      </c>
      <c r="B190" s="60"/>
      <c r="C190" s="61">
        <v>2</v>
      </c>
      <c r="D190" s="62"/>
      <c r="E190" s="21" t="s">
        <v>233</v>
      </c>
      <c r="F190" s="61">
        <f>(1.55*1.64+3.1*5.58+1.45*3+2.8*3.99+1.35*2.51+1.48*2.51+3.05*4.32+3.75*2.9+1.5*2.35+2.95*2.35+1.05*1.3+5.4*1.05+1.8*3.1+0.75*(2.8+3.05))*(10.764)</f>
        <v>1011.5608932</v>
      </c>
      <c r="G190" s="62"/>
      <c r="H190" s="21">
        <v>0</v>
      </c>
      <c r="I190" s="21">
        <f t="shared" si="38"/>
        <v>1517.3413398</v>
      </c>
      <c r="J190" s="1"/>
      <c r="K190" s="1"/>
      <c r="L190" s="1"/>
      <c r="M190" s="1"/>
      <c r="N190" s="1"/>
      <c r="O190" s="1"/>
      <c r="P190" s="1"/>
      <c r="Q190" s="1"/>
      <c r="R190" s="1"/>
      <c r="S190" s="1"/>
      <c r="T190" s="1"/>
      <c r="U190" s="42" t="str">
        <f t="shared" ca="1" si="39"/>
        <v>802,..,1302</v>
      </c>
      <c r="V190" s="42">
        <f ca="1">V189+1</f>
        <v>802</v>
      </c>
      <c r="W190" s="42">
        <f ca="1">W189+1</f>
        <v>1302</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35">
      <c r="A191" s="60" t="s">
        <v>248</v>
      </c>
      <c r="B191" s="60"/>
      <c r="C191" s="61">
        <v>3</v>
      </c>
      <c r="D191" s="62"/>
      <c r="E191" s="21" t="s">
        <v>234</v>
      </c>
      <c r="F191" s="61">
        <f>(3.2*5.06+1.9*3.35+3.05*3.11+1.38*2.35+1.48*2.35+3.15*4.26+3*3+1.25*2.15+5*1.05+1.5*3.2+0.75*(3.15+3.05))*(10.764)</f>
        <v>845.72748000000001</v>
      </c>
      <c r="G191" s="62"/>
      <c r="H191" s="21">
        <v>0</v>
      </c>
      <c r="I191" s="21">
        <f t="shared" si="38"/>
        <v>1268.59122</v>
      </c>
      <c r="J191" s="1"/>
      <c r="K191" s="1"/>
      <c r="L191" s="1"/>
      <c r="M191" s="1"/>
      <c r="N191" s="1"/>
      <c r="O191" s="1"/>
      <c r="P191" s="1"/>
      <c r="Q191" s="1"/>
      <c r="R191" s="1"/>
      <c r="S191" s="1"/>
      <c r="T191" s="1"/>
      <c r="U191" s="42" t="str">
        <f t="shared" ca="1" si="39"/>
        <v>803,..,1303</v>
      </c>
      <c r="V191" s="42">
        <f t="shared" ref="V191:W191" ca="1" si="40">V190+1</f>
        <v>803</v>
      </c>
      <c r="W191" s="42">
        <f t="shared" ca="1" si="40"/>
        <v>1303</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35">
      <c r="A192" s="60" t="s">
        <v>249</v>
      </c>
      <c r="B192" s="60"/>
      <c r="C192" s="61">
        <v>4</v>
      </c>
      <c r="D192" s="62"/>
      <c r="E192" s="21" t="s">
        <v>234</v>
      </c>
      <c r="F192" s="61">
        <f>(3.15*4.08+2.28*2.95+2.75*2.95+3.05*3.05+2.13*1.27+2.13*1.27+5.7*0.91+0.75*(3.15+2.28+2.75+3.05))*(10.764)</f>
        <v>602.92070279999996</v>
      </c>
      <c r="G192" s="62"/>
      <c r="H192" s="21">
        <v>0</v>
      </c>
      <c r="I192" s="21">
        <f t="shared" si="38"/>
        <v>904.38105419999988</v>
      </c>
      <c r="J192" s="1"/>
      <c r="K192" s="1"/>
      <c r="L192" s="1"/>
      <c r="M192" s="1"/>
      <c r="N192" s="1"/>
      <c r="O192" s="1"/>
      <c r="P192" s="1"/>
      <c r="Q192" s="1"/>
      <c r="R192" s="1"/>
      <c r="S192" s="1"/>
      <c r="T192" s="1"/>
      <c r="U192" s="42" t="str">
        <f t="shared" ca="1" si="39"/>
        <v>804,..,1304</v>
      </c>
      <c r="V192" s="42">
        <f t="shared" ref="V192:W192" ca="1" si="41">V191+1</f>
        <v>804</v>
      </c>
      <c r="W192" s="42">
        <f t="shared" ca="1" si="41"/>
        <v>1304</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5" x14ac:dyDescent="0.35">
      <c r="A193" s="63" t="s">
        <v>246</v>
      </c>
      <c r="B193" s="64"/>
      <c r="C193" s="64"/>
      <c r="D193" s="64"/>
      <c r="E193" s="64"/>
      <c r="F193" s="64"/>
      <c r="G193" s="64"/>
      <c r="H193" s="64"/>
      <c r="I193" s="65"/>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35">
      <c r="A194" s="60" t="s">
        <v>248</v>
      </c>
      <c r="B194" s="60"/>
      <c r="C194" s="61">
        <v>1</v>
      </c>
      <c r="D194" s="62"/>
      <c r="E194" s="21" t="s">
        <v>234</v>
      </c>
      <c r="F194" s="61">
        <f>(3.15*5.87+1.25*3.19+2.18*2.75+2.65*2.75+2.95*3.78+2.03*1.27+1.18*0.75+1.22*2.18+4.4*0.91+3.15*1.2+0.75*(2.18+2.65+2.95))*(10.764)</f>
        <v>717.45504479999988</v>
      </c>
      <c r="G194" s="62"/>
      <c r="H194" s="21">
        <v>0</v>
      </c>
      <c r="I194" s="21">
        <f t="shared" ref="I194:I197" si="42">F194*(($I$108)+1)+H194</f>
        <v>1076.1825671999998</v>
      </c>
      <c r="J194" s="1"/>
      <c r="K194" s="1"/>
      <c r="L194" s="1"/>
      <c r="M194" s="1"/>
      <c r="N194" s="1"/>
      <c r="O194" s="1"/>
      <c r="P194" s="1"/>
      <c r="Q194" s="1"/>
      <c r="R194" s="1"/>
      <c r="S194" s="1"/>
      <c r="T194" s="1"/>
      <c r="U194" s="42" t="str">
        <f t="shared" ref="U194:U197" ca="1" si="43">V194&amp;""&amp;",..,"&amp;""&amp;W194</f>
        <v>1701,..,2201</v>
      </c>
      <c r="V194" s="42">
        <f ca="1">(SUMPRODUCT(MID(0&amp;(LEFT(A193,SUM(LEN(A193)-LEN(SUBSTITUTE(A193,{"0","1","2","3"},""))))), LARGE(INDEX(ISNUMBER(--MID((LEFT(A193,SUM(LEN(A193)-LEN(SUBSTITUTE(A193,{"0","1","2","3"},""))))), ROW(INDIRECT("1:"&amp;LEN((LEFT(A193,SUM(LEN(A193)-LEN(SUBSTITUTE(A193,{"0","1","2","3"},"")))))))), 1)) * ROW(INDIRECT("1:"&amp;LEN((LEFT(A193,SUM(LEN(A193)-LEN(SUBSTITUTE(A193,{"0","1","2","3"},"")))))))), 0), ROW(INDIRECT("1:"&amp;LEN((LEFT(A193,SUM(LEN(A193)-LEN(SUBSTITUTE(A193,{"0","1","2","3"},"")))))))))+1, 1) * 10^ROW(INDIRECT("1:"&amp;LEN((LEFT(A193,SUM(LEN(A193)-LEN(SUBSTITUTE(A193,{"0","1","2","3"},""))))))))/10))*100+1</f>
        <v>1701</v>
      </c>
      <c r="W194" s="42">
        <f ca="1">(SUMPRODUCT(MID(0&amp;(--TRIM(RIGHT(SUBSTITUTE(LEFT(A193,_xlfn.AGGREGATE(16,6,FIND({0,1,2,3,4,5,6,7,8,9},A193,ROW(INDIRECT("1:"&amp;LEN(A193)))),1)),"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",LEN(A193))),LEN(A193)))))))/10))*100+1</f>
        <v>2201</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35">
      <c r="A195" s="60" t="s">
        <v>248</v>
      </c>
      <c r="B195" s="60"/>
      <c r="C195" s="61">
        <v>2</v>
      </c>
      <c r="D195" s="62"/>
      <c r="E195" s="21" t="s">
        <v>233</v>
      </c>
      <c r="F195" s="61">
        <f>(1.55*1.64+3.2*5.58+1.45*3+2.9*3.99+1.35*2.51+1.48*2.51+3.15*4.32+3.75*3+1.5*2.35+2.95*2.35+1.05*1.3+5.4*1.05+1.8*3.2+0.75*(2.9+3.15))*(10.764)</f>
        <v>1034.1007092</v>
      </c>
      <c r="G195" s="62"/>
      <c r="H195" s="21">
        <v>0</v>
      </c>
      <c r="I195" s="21">
        <f t="shared" si="42"/>
        <v>1551.1510638</v>
      </c>
      <c r="J195" s="1"/>
      <c r="K195" s="1"/>
      <c r="L195" s="1"/>
      <c r="M195" s="1"/>
      <c r="N195" s="1"/>
      <c r="O195" s="1"/>
      <c r="P195" s="1"/>
      <c r="Q195" s="1"/>
      <c r="R195" s="1"/>
      <c r="S195" s="1"/>
      <c r="T195" s="1"/>
      <c r="U195" s="42" t="str">
        <f t="shared" ca="1" si="43"/>
        <v>1702,..,2202</v>
      </c>
      <c r="V195" s="42">
        <f ca="1">V194+1</f>
        <v>1702</v>
      </c>
      <c r="W195" s="42">
        <f ca="1">W194+1</f>
        <v>2202</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35">
      <c r="A196" s="60" t="s">
        <v>248</v>
      </c>
      <c r="B196" s="60"/>
      <c r="C196" s="61">
        <v>3</v>
      </c>
      <c r="D196" s="62"/>
      <c r="E196" s="21" t="s">
        <v>233</v>
      </c>
      <c r="F196" s="61">
        <f>(1.55*1.55+3.2*5.11+1.9*3.4+3.05*3.11+1.38*2.35+1.48*2.35+3.15*4.26+3*3+1.25*2.15+4.05*2.25+5*1.05+1.5*3.2+0.75*(3.15+3.05))*(10.764)</f>
        <v>972.41976</v>
      </c>
      <c r="G196" s="62"/>
      <c r="H196" s="21">
        <v>0</v>
      </c>
      <c r="I196" s="21">
        <f t="shared" si="42"/>
        <v>1458.6296400000001</v>
      </c>
      <c r="J196" s="1"/>
      <c r="K196" s="1"/>
      <c r="L196" s="1"/>
      <c r="M196" s="1"/>
      <c r="N196" s="1"/>
      <c r="O196" s="1"/>
      <c r="P196" s="1"/>
      <c r="Q196" s="1"/>
      <c r="R196" s="1"/>
      <c r="S196" s="1"/>
      <c r="T196" s="1"/>
      <c r="U196" s="42" t="str">
        <f t="shared" ca="1" si="43"/>
        <v>1703,..,2203</v>
      </c>
      <c r="V196" s="42">
        <f t="shared" ref="V196:W196" ca="1" si="44">V195+1</f>
        <v>1703</v>
      </c>
      <c r="W196" s="42">
        <f t="shared" ca="1" si="44"/>
        <v>2203</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35">
      <c r="A197" s="60" t="s">
        <v>248</v>
      </c>
      <c r="B197" s="60"/>
      <c r="C197" s="61">
        <v>4</v>
      </c>
      <c r="D197" s="62"/>
      <c r="E197" s="21" t="s">
        <v>234</v>
      </c>
      <c r="F197" s="61">
        <f>(3.2*5.11+2.28*2.95+2.75*2.95+3.05*3.05+2.4*0.6+2.13*1.27+2.13*1.27+5.7*0.91+3.2*1.2+0.75*(2.28+2.75+3.05))*(10.764)</f>
        <v>671.99867279999989</v>
      </c>
      <c r="G197" s="62"/>
      <c r="H197" s="21">
        <v>0</v>
      </c>
      <c r="I197" s="21">
        <f t="shared" si="42"/>
        <v>1007.9980091999998</v>
      </c>
      <c r="J197" s="1"/>
      <c r="K197" s="1"/>
      <c r="L197" s="1"/>
      <c r="M197" s="1"/>
      <c r="N197" s="1"/>
      <c r="O197" s="1"/>
      <c r="P197" s="1"/>
      <c r="Q197" s="1"/>
      <c r="R197" s="1"/>
      <c r="S197" s="1"/>
      <c r="T197" s="1"/>
      <c r="U197" s="42" t="str">
        <f t="shared" ca="1" si="43"/>
        <v>1704,..,2204</v>
      </c>
      <c r="V197" s="42">
        <f t="shared" ref="V197:W197" ca="1" si="45">V196+1</f>
        <v>1704</v>
      </c>
      <c r="W197" s="42">
        <f t="shared" ca="1" si="45"/>
        <v>2204</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5" x14ac:dyDescent="0.35">
      <c r="A198" s="63" t="s">
        <v>261</v>
      </c>
      <c r="B198" s="64"/>
      <c r="C198" s="64"/>
      <c r="D198" s="64"/>
      <c r="E198" s="64"/>
      <c r="F198" s="64"/>
      <c r="G198" s="64"/>
      <c r="H198" s="64"/>
      <c r="I198" s="65"/>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35">
      <c r="A199" s="60" t="s">
        <v>248</v>
      </c>
      <c r="B199" s="60"/>
      <c r="C199" s="61">
        <v>1</v>
      </c>
      <c r="D199" s="62"/>
      <c r="E199" s="21" t="s">
        <v>234</v>
      </c>
      <c r="F199" s="61">
        <f>(3.15*5.87+1.25*3.19+2.18*2.75+2.65*2.75+2.95*3.78+2.03*1.27+1.18*0.75+1.22*2.18+4.4*0.91+3.15*1.2+0.75*(2.18+2.65+2.95))*(10.764)</f>
        <v>717.45504479999988</v>
      </c>
      <c r="G199" s="62"/>
      <c r="H199" s="21">
        <v>0</v>
      </c>
      <c r="I199" s="21">
        <f t="shared" ref="I199:I202" si="46">F199*(($I$108)+1)+H199</f>
        <v>1076.1825671999998</v>
      </c>
      <c r="J199" s="1"/>
      <c r="K199" s="1"/>
      <c r="L199" s="1"/>
      <c r="M199" s="1"/>
      <c r="N199" s="1"/>
      <c r="O199" s="1"/>
      <c r="P199" s="1"/>
      <c r="Q199" s="1"/>
      <c r="R199" s="1"/>
      <c r="S199" s="1"/>
      <c r="T199" s="1"/>
      <c r="U199" s="42" t="str">
        <f t="shared" ref="U199:U202" ca="1" si="47">V199&amp;""&amp;",..,"&amp;""&amp;W199</f>
        <v>101,..,1801</v>
      </c>
      <c r="V199" s="42">
        <f ca="1">(SUMPRODUCT(MID(0&amp;(LEFT(A198,SUM(LEN(A198)-LEN(SUBSTITUTE(A198,{"0","1","2","3"},""))))), LARGE(INDEX(ISNUMBER(--MID((LEFT(A198,SUM(LEN(A198)-LEN(SUBSTITUTE(A198,{"0","1","2","3"},""))))), ROW(INDIRECT("1:"&amp;LEN((LEFT(A198,SUM(LEN(A198)-LEN(SUBSTITUTE(A198,{"0","1","2","3"},"")))))))), 1)) * ROW(INDIRECT("1:"&amp;LEN((LEFT(A198,SUM(LEN(A198)-LEN(SUBSTITUTE(A198,{"0","1","2","3"},"")))))))), 0), ROW(INDIRECT("1:"&amp;LEN((LEFT(A198,SUM(LEN(A198)-LEN(SUBSTITUTE(A198,{"0","1","2","3"},"")))))))))+1, 1) * 10^ROW(INDIRECT("1:"&amp;LEN((LEFT(A198,SUM(LEN(A198)-LEN(SUBSTITUTE(A198,{"0","1","2","3"},""))))))))/10))*100+1</f>
        <v>101</v>
      </c>
      <c r="W199" s="42">
        <f ca="1">(SUMPRODUCT(MID(0&amp;(--TRIM(RIGHT(SUBSTITUTE(LEFT(A198,_xlfn.AGGREGATE(16,6,FIND({0,1,2,3,4,5,6,7,8,9},A198,ROW(INDIRECT("1:"&amp;LEN(A198)))),1)),"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",LEN(A198))),LEN(A198)))))))/10))*100+1</f>
        <v>1801</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5">
      <c r="A200" s="60" t="s">
        <v>248</v>
      </c>
      <c r="B200" s="60"/>
      <c r="C200" s="61">
        <v>2</v>
      </c>
      <c r="D200" s="62"/>
      <c r="E200" s="21" t="s">
        <v>233</v>
      </c>
      <c r="F200" s="61">
        <f>(1.55*1.64+3.2*5.58+1.45*3+2.9*3.99+1.35*2.51+1.48*2.51+3.15*4.32+3.75*3+1.5*2.35+2.95*2.35+1.05*1.3+5.4*1.05+1.8*3.2+0.75*(2.9+3.15))*(10.764)</f>
        <v>1034.1007092</v>
      </c>
      <c r="G200" s="62"/>
      <c r="H200" s="21">
        <v>0</v>
      </c>
      <c r="I200" s="21">
        <f t="shared" si="46"/>
        <v>1551.1510638</v>
      </c>
      <c r="J200" s="1"/>
      <c r="K200" s="1"/>
      <c r="L200" s="1"/>
      <c r="M200" s="1"/>
      <c r="N200" s="1"/>
      <c r="O200" s="1"/>
      <c r="P200" s="1"/>
      <c r="Q200" s="1"/>
      <c r="R200" s="1"/>
      <c r="S200" s="1"/>
      <c r="T200" s="1"/>
      <c r="U200" s="42" t="str">
        <f t="shared" ca="1" si="47"/>
        <v>102,..,1802</v>
      </c>
      <c r="V200" s="42">
        <f ca="1">V199+1</f>
        <v>102</v>
      </c>
      <c r="W200" s="42">
        <f ca="1">W199+1</f>
        <v>1802</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35">
      <c r="A201" s="60" t="s">
        <v>248</v>
      </c>
      <c r="B201" s="60"/>
      <c r="C201" s="61">
        <v>3</v>
      </c>
      <c r="D201" s="62"/>
      <c r="E201" s="21" t="s">
        <v>234</v>
      </c>
      <c r="F201" s="61">
        <f>(3.2*5.06+1.9*3.35+3.05*3.11+1.38*2.35+1.48*2.35+3.15*4.26+3*3+1.25*2.15+5*1.05+1.5*3.2+0.75*(3.15+3.05))*(10.764)</f>
        <v>845.72748000000001</v>
      </c>
      <c r="G201" s="62"/>
      <c r="H201" s="21">
        <v>0</v>
      </c>
      <c r="I201" s="21">
        <f t="shared" si="46"/>
        <v>1268.59122</v>
      </c>
      <c r="J201" s="1"/>
      <c r="K201" s="1"/>
      <c r="L201" s="1"/>
      <c r="M201" s="1"/>
      <c r="N201" s="1"/>
      <c r="O201" s="1"/>
      <c r="P201" s="1"/>
      <c r="Q201" s="1"/>
      <c r="R201" s="1"/>
      <c r="S201" s="1"/>
      <c r="T201" s="1"/>
      <c r="U201" s="42" t="str">
        <f t="shared" ca="1" si="47"/>
        <v>103,..,1803</v>
      </c>
      <c r="V201" s="42">
        <f t="shared" ref="V201:W201" ca="1" si="48">V200+1</f>
        <v>103</v>
      </c>
      <c r="W201" s="42">
        <f t="shared" ca="1" si="48"/>
        <v>1803</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35">
      <c r="A202" s="60" t="s">
        <v>248</v>
      </c>
      <c r="B202" s="60"/>
      <c r="C202" s="61">
        <v>4</v>
      </c>
      <c r="D202" s="62"/>
      <c r="E202" s="21" t="s">
        <v>234</v>
      </c>
      <c r="F202" s="61">
        <f>(3.2*5.11+2.28*2.95+2.75*2.95+3.05*3.05+2.4*0.6+2.13*1.27+2.13*1.27+5.7*0.91+3.2*1.2+0.75*(2.28+2.75+3.05))*(10.764)</f>
        <v>671.99867279999989</v>
      </c>
      <c r="G202" s="62"/>
      <c r="H202" s="21">
        <v>0</v>
      </c>
      <c r="I202" s="21">
        <f t="shared" si="46"/>
        <v>1007.9980091999998</v>
      </c>
      <c r="J202" s="1"/>
      <c r="K202" s="1"/>
      <c r="L202" s="1"/>
      <c r="M202" s="1"/>
      <c r="N202" s="1"/>
      <c r="O202" s="1"/>
      <c r="P202" s="1"/>
      <c r="Q202" s="1"/>
      <c r="R202" s="1"/>
      <c r="S202" s="1"/>
      <c r="T202" s="1"/>
      <c r="U202" s="42" t="str">
        <f t="shared" ca="1" si="47"/>
        <v>104,..,1804</v>
      </c>
      <c r="V202" s="42">
        <f t="shared" ref="V202:W202" ca="1" si="49">V201+1</f>
        <v>104</v>
      </c>
      <c r="W202" s="42">
        <f t="shared" ca="1" si="49"/>
        <v>1804</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5" hidden="1" x14ac:dyDescent="0.35">
      <c r="A203" s="63"/>
      <c r="B203" s="64"/>
      <c r="C203" s="64"/>
      <c r="D203" s="64"/>
      <c r="E203" s="64"/>
      <c r="F203" s="64"/>
      <c r="G203" s="64"/>
      <c r="H203" s="64"/>
      <c r="I203" s="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hidden="1" customHeight="1" x14ac:dyDescent="0.35">
      <c r="A204" s="60">
        <f>A203</f>
        <v>0</v>
      </c>
      <c r="B204" s="60"/>
      <c r="C204" s="61">
        <v>1</v>
      </c>
      <c r="D204" s="62"/>
      <c r="E204" s="21"/>
      <c r="F204" s="61"/>
      <c r="G204" s="62"/>
      <c r="H204" s="21"/>
      <c r="I204" s="21">
        <f t="shared" ref="I204:I213" si="50">F204*(($I$108)+1)+H204</f>
        <v>0</v>
      </c>
      <c r="J204" s="1"/>
      <c r="K204" s="1"/>
      <c r="L204" s="1"/>
      <c r="M204" s="1"/>
      <c r="N204" s="1"/>
      <c r="O204" s="1"/>
      <c r="P204" s="1"/>
      <c r="Q204" s="1"/>
      <c r="R204" s="1"/>
      <c r="S204" s="1"/>
      <c r="T204" s="1"/>
      <c r="U204" s="42" t="e">
        <f t="shared" ref="U204:U213" ca="1" si="51">V204&amp;""&amp;",..,"&amp;""&amp;W204</f>
        <v>#REF!</v>
      </c>
      <c r="V204" s="42" t="e">
        <f ca="1">(SUMPRODUCT(MID(0&amp;(LEFT(A203,SUM(LEN(A203)-LEN(SUBSTITUTE(A203,{"0","1","2","3"},""))))), LARGE(INDEX(ISNUMBER(--MID((LEFT(A203,SUM(LEN(A203)-LEN(SUBSTITUTE(A203,{"0","1","2","3"},""))))), ROW(INDIRECT("1:"&amp;LEN((LEFT(A203,SUM(LEN(A203)-LEN(SUBSTITUTE(A203,{"0","1","2","3"},"")))))))), 1)) * ROW(INDIRECT("1:"&amp;LEN((LEFT(A203,SUM(LEN(A203)-LEN(SUBSTITUTE(A203,{"0","1","2","3"},"")))))))), 0), ROW(INDIRECT("1:"&amp;LEN((LEFT(A203,SUM(LEN(A203)-LEN(SUBSTITUTE(A203,{"0","1","2","3"},"")))))))))+1, 1) * 10^ROW(INDIRECT("1:"&amp;LEN((LEFT(A203,SUM(LEN(A203)-LEN(SUBSTITUTE(A203,{"0","1","2","3"},""))))))))/10))*100+1</f>
        <v>#REF!</v>
      </c>
      <c r="W204" s="42" t="e">
        <f ca="1">(SUMPRODUCT(MID(0&amp;(--TRIM(RIGHT(SUBSTITUTE(LEFT(A203,_xlfn.AGGREGATE(16,6,FIND({0,1,2,3,4,5,6,7,8,9},A203,ROW(INDIRECT("1:"&amp;LEN(A203)))),1)),"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#NUM!</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hidden="1" customHeight="1" x14ac:dyDescent="0.35">
      <c r="A205" s="60">
        <f t="shared" ref="A205:A213" si="52">A204</f>
        <v>0</v>
      </c>
      <c r="B205" s="60"/>
      <c r="C205" s="61">
        <v>2</v>
      </c>
      <c r="D205" s="62"/>
      <c r="E205" s="21"/>
      <c r="F205" s="61"/>
      <c r="G205" s="62"/>
      <c r="H205" s="21"/>
      <c r="I205" s="21">
        <f t="shared" si="50"/>
        <v>0</v>
      </c>
      <c r="J205" s="1"/>
      <c r="K205" s="1"/>
      <c r="L205" s="1"/>
      <c r="M205" s="1"/>
      <c r="N205" s="1"/>
      <c r="O205" s="1"/>
      <c r="P205" s="1"/>
      <c r="Q205" s="1"/>
      <c r="R205" s="1"/>
      <c r="S205" s="1"/>
      <c r="T205" s="1"/>
      <c r="U205" s="42" t="e">
        <f t="shared" ca="1" si="51"/>
        <v>#REF!</v>
      </c>
      <c r="V205" s="42" t="e">
        <f ca="1">V204+1</f>
        <v>#REF!</v>
      </c>
      <c r="W205" s="42" t="e">
        <f ca="1">W204+1</f>
        <v>#NUM!</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hidden="1" customHeight="1" x14ac:dyDescent="0.35">
      <c r="A206" s="60">
        <f t="shared" si="52"/>
        <v>0</v>
      </c>
      <c r="B206" s="60"/>
      <c r="C206" s="61">
        <v>3</v>
      </c>
      <c r="D206" s="62"/>
      <c r="E206" s="21"/>
      <c r="F206" s="61"/>
      <c r="G206" s="62"/>
      <c r="H206" s="21"/>
      <c r="I206" s="21">
        <f t="shared" si="50"/>
        <v>0</v>
      </c>
      <c r="J206" s="1"/>
      <c r="K206" s="1"/>
      <c r="L206" s="1"/>
      <c r="M206" s="1"/>
      <c r="N206" s="1"/>
      <c r="O206" s="1"/>
      <c r="P206" s="1"/>
      <c r="Q206" s="1"/>
      <c r="R206" s="1"/>
      <c r="S206" s="1"/>
      <c r="T206" s="1"/>
      <c r="U206" s="42" t="e">
        <f t="shared" ca="1" si="51"/>
        <v>#REF!</v>
      </c>
      <c r="V206" s="42" t="e">
        <f t="shared" ref="V206:W213" ca="1" si="53">V205+1</f>
        <v>#REF!</v>
      </c>
      <c r="W206" s="42" t="e">
        <f t="shared" ca="1" si="53"/>
        <v>#NUM!</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hidden="1" customHeight="1" x14ac:dyDescent="0.35">
      <c r="A207" s="60">
        <f t="shared" si="52"/>
        <v>0</v>
      </c>
      <c r="B207" s="60"/>
      <c r="C207" s="61">
        <v>4</v>
      </c>
      <c r="D207" s="62"/>
      <c r="E207" s="21"/>
      <c r="F207" s="61"/>
      <c r="G207" s="62"/>
      <c r="H207" s="21"/>
      <c r="I207" s="21">
        <f t="shared" si="50"/>
        <v>0</v>
      </c>
      <c r="J207" s="1"/>
      <c r="K207" s="1"/>
      <c r="L207" s="1"/>
      <c r="M207" s="1"/>
      <c r="N207" s="1"/>
      <c r="O207" s="1"/>
      <c r="P207" s="1"/>
      <c r="Q207" s="1"/>
      <c r="R207" s="1"/>
      <c r="S207" s="1"/>
      <c r="T207" s="1"/>
      <c r="U207" s="42" t="e">
        <f t="shared" ca="1" si="51"/>
        <v>#REF!</v>
      </c>
      <c r="V207" s="42" t="e">
        <f t="shared" ca="1" si="53"/>
        <v>#REF!</v>
      </c>
      <c r="W207" s="42" t="e">
        <f t="shared" ca="1" si="53"/>
        <v>#NUM!</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hidden="1" customHeight="1" x14ac:dyDescent="0.35">
      <c r="A208" s="60">
        <f t="shared" si="52"/>
        <v>0</v>
      </c>
      <c r="B208" s="60"/>
      <c r="C208" s="61">
        <v>5</v>
      </c>
      <c r="D208" s="62"/>
      <c r="E208" s="21"/>
      <c r="F208" s="61"/>
      <c r="G208" s="62"/>
      <c r="H208" s="21"/>
      <c r="I208" s="21">
        <f t="shared" si="50"/>
        <v>0</v>
      </c>
      <c r="J208" s="1"/>
      <c r="K208" s="1"/>
      <c r="L208" s="1"/>
      <c r="M208" s="1"/>
      <c r="N208" s="1"/>
      <c r="O208" s="1"/>
      <c r="P208" s="1"/>
      <c r="Q208" s="1"/>
      <c r="R208" s="1"/>
      <c r="S208" s="1"/>
      <c r="T208" s="1"/>
      <c r="U208" s="42" t="e">
        <f t="shared" ca="1" si="51"/>
        <v>#REF!</v>
      </c>
      <c r="V208" s="42" t="e">
        <f t="shared" ca="1" si="53"/>
        <v>#REF!</v>
      </c>
      <c r="W208" s="42" t="e">
        <f t="shared" ca="1" si="53"/>
        <v>#NUM!</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hidden="1" customHeight="1" x14ac:dyDescent="0.35">
      <c r="A209" s="60">
        <f t="shared" si="52"/>
        <v>0</v>
      </c>
      <c r="B209" s="60"/>
      <c r="C209" s="61">
        <v>6</v>
      </c>
      <c r="D209" s="62"/>
      <c r="E209" s="21"/>
      <c r="F209" s="61"/>
      <c r="G209" s="62"/>
      <c r="H209" s="21"/>
      <c r="I209" s="21">
        <f t="shared" si="50"/>
        <v>0</v>
      </c>
      <c r="J209" s="1"/>
      <c r="K209" s="1"/>
      <c r="L209" s="1"/>
      <c r="M209" s="1"/>
      <c r="N209" s="1"/>
      <c r="O209" s="1"/>
      <c r="P209" s="1"/>
      <c r="Q209" s="1"/>
      <c r="R209" s="1"/>
      <c r="S209" s="1"/>
      <c r="T209" s="1"/>
      <c r="U209" s="42" t="e">
        <f t="shared" ca="1" si="51"/>
        <v>#REF!</v>
      </c>
      <c r="V209" s="42" t="e">
        <f t="shared" ca="1" si="53"/>
        <v>#REF!</v>
      </c>
      <c r="W209" s="42" t="e">
        <f t="shared" ca="1" si="53"/>
        <v>#NUM!</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hidden="1" customHeight="1" x14ac:dyDescent="0.35">
      <c r="A210" s="60">
        <f t="shared" si="52"/>
        <v>0</v>
      </c>
      <c r="B210" s="60"/>
      <c r="C210" s="61">
        <v>7</v>
      </c>
      <c r="D210" s="62"/>
      <c r="E210" s="21"/>
      <c r="F210" s="61"/>
      <c r="G210" s="62"/>
      <c r="H210" s="21"/>
      <c r="I210" s="21">
        <f t="shared" si="50"/>
        <v>0</v>
      </c>
      <c r="J210" s="1"/>
      <c r="K210" s="1"/>
      <c r="L210" s="1"/>
      <c r="M210" s="1"/>
      <c r="N210" s="1"/>
      <c r="O210" s="1"/>
      <c r="P210" s="1"/>
      <c r="Q210" s="1"/>
      <c r="R210" s="1"/>
      <c r="S210" s="1"/>
      <c r="T210" s="1"/>
      <c r="U210" s="42" t="e">
        <f t="shared" ca="1" si="51"/>
        <v>#REF!</v>
      </c>
      <c r="V210" s="42" t="e">
        <f t="shared" ca="1" si="53"/>
        <v>#REF!</v>
      </c>
      <c r="W210" s="42" t="e">
        <f t="shared" ca="1" si="53"/>
        <v>#NUM!</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hidden="1" customHeight="1" x14ac:dyDescent="0.35">
      <c r="A211" s="60">
        <f t="shared" si="52"/>
        <v>0</v>
      </c>
      <c r="B211" s="60"/>
      <c r="C211" s="61">
        <v>8</v>
      </c>
      <c r="D211" s="62"/>
      <c r="E211" s="21"/>
      <c r="F211" s="61"/>
      <c r="G211" s="62"/>
      <c r="H211" s="21"/>
      <c r="I211" s="21">
        <f t="shared" si="50"/>
        <v>0</v>
      </c>
      <c r="J211" s="1"/>
      <c r="K211" s="1"/>
      <c r="L211" s="1"/>
      <c r="M211" s="1"/>
      <c r="N211" s="1"/>
      <c r="O211" s="1"/>
      <c r="P211" s="1"/>
      <c r="Q211" s="1"/>
      <c r="R211" s="1"/>
      <c r="S211" s="1"/>
      <c r="T211" s="1"/>
      <c r="U211" s="42" t="e">
        <f t="shared" ca="1" si="51"/>
        <v>#REF!</v>
      </c>
      <c r="V211" s="42" t="e">
        <f t="shared" ca="1" si="53"/>
        <v>#REF!</v>
      </c>
      <c r="W211" s="42" t="e">
        <f t="shared" ca="1" si="53"/>
        <v>#NUM!</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hidden="1" customHeight="1" x14ac:dyDescent="0.35">
      <c r="A212" s="60">
        <f t="shared" si="52"/>
        <v>0</v>
      </c>
      <c r="B212" s="60"/>
      <c r="C212" s="61">
        <v>9</v>
      </c>
      <c r="D212" s="62"/>
      <c r="E212" s="21"/>
      <c r="F212" s="61"/>
      <c r="G212" s="62"/>
      <c r="H212" s="21"/>
      <c r="I212" s="21">
        <f t="shared" si="50"/>
        <v>0</v>
      </c>
      <c r="J212" s="1"/>
      <c r="K212" s="1"/>
      <c r="L212" s="1"/>
      <c r="M212" s="1"/>
      <c r="N212" s="1"/>
      <c r="O212" s="1"/>
      <c r="P212" s="1"/>
      <c r="Q212" s="1"/>
      <c r="R212" s="1"/>
      <c r="S212" s="1"/>
      <c r="T212" s="1"/>
      <c r="U212" s="42" t="e">
        <f t="shared" ca="1" si="51"/>
        <v>#REF!</v>
      </c>
      <c r="V212" s="42" t="e">
        <f t="shared" ca="1" si="53"/>
        <v>#REF!</v>
      </c>
      <c r="W212" s="42" t="e">
        <f t="shared" ca="1" si="53"/>
        <v>#NUM!</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hidden="1" customHeight="1" x14ac:dyDescent="0.35">
      <c r="A213" s="60">
        <f t="shared" si="52"/>
        <v>0</v>
      </c>
      <c r="B213" s="60"/>
      <c r="C213" s="61">
        <v>10</v>
      </c>
      <c r="D213" s="62"/>
      <c r="E213" s="21"/>
      <c r="F213" s="61"/>
      <c r="G213" s="62"/>
      <c r="H213" s="21"/>
      <c r="I213" s="21">
        <f t="shared" si="50"/>
        <v>0</v>
      </c>
      <c r="J213" s="1"/>
      <c r="K213" s="1"/>
      <c r="L213" s="1"/>
      <c r="M213" s="1"/>
      <c r="N213" s="1"/>
      <c r="O213" s="1"/>
      <c r="P213" s="1"/>
      <c r="Q213" s="1"/>
      <c r="R213" s="1"/>
      <c r="S213" s="1"/>
      <c r="T213" s="1"/>
      <c r="U213" s="42" t="e">
        <f t="shared" ca="1" si="51"/>
        <v>#REF!</v>
      </c>
      <c r="V213" s="42" t="e">
        <f t="shared" ca="1" si="53"/>
        <v>#REF!</v>
      </c>
      <c r="W213" s="42" t="e">
        <f t="shared" ca="1" si="53"/>
        <v>#NUM!</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5" hidden="1" x14ac:dyDescent="0.35">
      <c r="A214" s="63" t="s">
        <v>158</v>
      </c>
      <c r="B214" s="64"/>
      <c r="C214" s="64"/>
      <c r="D214" s="64"/>
      <c r="E214" s="64"/>
      <c r="F214" s="64"/>
      <c r="G214" s="64"/>
      <c r="H214" s="64"/>
      <c r="I214" s="65"/>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hidden="1" customHeight="1" x14ac:dyDescent="0.35">
      <c r="A215" s="60" t="str">
        <f>A214</f>
        <v>2nd, 3rd, 4th, 6th, 8th, 7th, 9th Floor</v>
      </c>
      <c r="B215" s="60"/>
      <c r="C215" s="61" t="str">
        <f ca="1">U215</f>
        <v>201,..,901</v>
      </c>
      <c r="D215" s="62"/>
      <c r="E215" s="21"/>
      <c r="F215" s="61"/>
      <c r="G215" s="62"/>
      <c r="H215" s="21"/>
      <c r="I215" s="21">
        <f t="shared" si="1"/>
        <v>0</v>
      </c>
      <c r="J215" s="1"/>
      <c r="K215" s="1"/>
      <c r="L215" s="1"/>
      <c r="M215" s="1"/>
      <c r="N215" s="1"/>
      <c r="O215" s="1"/>
      <c r="P215" s="1"/>
      <c r="Q215" s="1"/>
      <c r="R215" s="1"/>
      <c r="S215" s="1"/>
      <c r="T215" s="1"/>
      <c r="U215" s="42" t="str">
        <f t="shared" ref="U215:U224" ca="1" si="54">V215&amp;""&amp;",..,"&amp;""&amp;W215</f>
        <v>201,..,901</v>
      </c>
      <c r="V215" s="42">
        <f ca="1">(SUMPRODUCT(MID(0&amp;(LEFT(A214,SUM(LEN(A214)-LEN(SUBSTITUTE(A214,{"0","1","2","3"},""))))), LARGE(INDEX(ISNUMBER(--MID((LEFT(A214,SUM(LEN(A214)-LEN(SUBSTITUTE(A214,{"0","1","2","3"},""))))), ROW(INDIRECT("1:"&amp;LEN((LEFT(A214,SUM(LEN(A214)-LEN(SUBSTITUTE(A214,{"0","1","2","3"},"")))))))), 1)) * ROW(INDIRECT("1:"&amp;LEN((LEFT(A214,SUM(LEN(A214)-LEN(SUBSTITUTE(A214,{"0","1","2","3"},"")))))))), 0), ROW(INDIRECT("1:"&amp;LEN((LEFT(A214,SUM(LEN(A214)-LEN(SUBSTITUTE(A214,{"0","1","2","3"},"")))))))))+1, 1) * 10^ROW(INDIRECT("1:"&amp;LEN((LEFT(A214,SUM(LEN(A214)-LEN(SUBSTITUTE(A214,{"0","1","2","3"},""))))))))/10))*100+1</f>
        <v>201</v>
      </c>
      <c r="W215" s="42">
        <f ca="1">(SUMPRODUCT(MID(0&amp;(--TRIM(RIGHT(SUBSTITUTE(LEFT(A214,_xlfn.AGGREGATE(16,6,FIND({0,1,2,3,4,5,6,7,8,9},A214,ROW(INDIRECT("1:"&amp;LEN(A214)))),1)),"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",LEN(A214))),LEN(A214)))))))/10))*100+1</f>
        <v>901</v>
      </c>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hidden="1" customHeight="1" x14ac:dyDescent="0.35">
      <c r="A216" s="60" t="str">
        <f t="shared" ref="A216:A224" si="55">A215</f>
        <v>2nd, 3rd, 4th, 6th, 8th, 7th, 9th Floor</v>
      </c>
      <c r="B216" s="60"/>
      <c r="C216" s="61" t="str">
        <f t="shared" ref="C216:C224" ca="1" si="56">U216</f>
        <v>202,..,902</v>
      </c>
      <c r="D216" s="62"/>
      <c r="E216" s="21"/>
      <c r="F216" s="61"/>
      <c r="G216" s="62"/>
      <c r="H216" s="21"/>
      <c r="I216" s="21">
        <f t="shared" si="1"/>
        <v>0</v>
      </c>
      <c r="J216" s="1"/>
      <c r="K216" s="1"/>
      <c r="L216" s="1"/>
      <c r="M216" s="1"/>
      <c r="N216" s="1"/>
      <c r="O216" s="1"/>
      <c r="P216" s="1"/>
      <c r="Q216" s="1"/>
      <c r="R216" s="1"/>
      <c r="S216" s="1"/>
      <c r="T216" s="1"/>
      <c r="U216" s="42" t="str">
        <f t="shared" ca="1" si="54"/>
        <v>202,..,902</v>
      </c>
      <c r="V216" s="42">
        <f ca="1">V215+1</f>
        <v>202</v>
      </c>
      <c r="W216" s="42">
        <f ca="1">W215+1</f>
        <v>902</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hidden="1" customHeight="1" x14ac:dyDescent="0.35">
      <c r="A217" s="60" t="str">
        <f t="shared" si="55"/>
        <v>2nd, 3rd, 4th, 6th, 8th, 7th, 9th Floor</v>
      </c>
      <c r="B217" s="60"/>
      <c r="C217" s="61" t="str">
        <f t="shared" ca="1" si="56"/>
        <v>203,..,903</v>
      </c>
      <c r="D217" s="62"/>
      <c r="E217" s="21"/>
      <c r="F217" s="61"/>
      <c r="G217" s="62"/>
      <c r="H217" s="21"/>
      <c r="I217" s="21">
        <f t="shared" si="1"/>
        <v>0</v>
      </c>
      <c r="J217" s="1"/>
      <c r="K217" s="1"/>
      <c r="L217" s="1"/>
      <c r="M217" s="1"/>
      <c r="N217" s="1"/>
      <c r="O217" s="1"/>
      <c r="P217" s="1"/>
      <c r="Q217" s="1"/>
      <c r="R217" s="1"/>
      <c r="S217" s="1"/>
      <c r="T217" s="1"/>
      <c r="U217" s="42" t="str">
        <f t="shared" ca="1" si="54"/>
        <v>203,..,903</v>
      </c>
      <c r="V217" s="42">
        <f t="shared" ref="V217:V224" ca="1" si="57">V216+1</f>
        <v>203</v>
      </c>
      <c r="W217" s="42">
        <f t="shared" ref="W217:W224" ca="1" si="58">W216+1</f>
        <v>903</v>
      </c>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hidden="1" customHeight="1" x14ac:dyDescent="0.35">
      <c r="A218" s="60" t="str">
        <f t="shared" si="55"/>
        <v>2nd, 3rd, 4th, 6th, 8th, 7th, 9th Floor</v>
      </c>
      <c r="B218" s="60"/>
      <c r="C218" s="61" t="str">
        <f t="shared" ca="1" si="56"/>
        <v>204,..,904</v>
      </c>
      <c r="D218" s="62"/>
      <c r="E218" s="21"/>
      <c r="F218" s="61"/>
      <c r="G218" s="62"/>
      <c r="H218" s="21"/>
      <c r="I218" s="21">
        <f t="shared" si="1"/>
        <v>0</v>
      </c>
      <c r="J218" s="1"/>
      <c r="K218" s="1"/>
      <c r="L218" s="1"/>
      <c r="M218" s="1"/>
      <c r="N218" s="1"/>
      <c r="O218" s="1"/>
      <c r="P218" s="1"/>
      <c r="Q218" s="1"/>
      <c r="R218" s="1"/>
      <c r="S218" s="1"/>
      <c r="T218" s="1"/>
      <c r="U218" s="42" t="str">
        <f t="shared" ca="1" si="54"/>
        <v>204,..,904</v>
      </c>
      <c r="V218" s="42">
        <f t="shared" ca="1" si="57"/>
        <v>204</v>
      </c>
      <c r="W218" s="42">
        <f t="shared" ca="1" si="58"/>
        <v>904</v>
      </c>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hidden="1" customHeight="1" x14ac:dyDescent="0.35">
      <c r="A219" s="60" t="str">
        <f t="shared" si="55"/>
        <v>2nd, 3rd, 4th, 6th, 8th, 7th, 9th Floor</v>
      </c>
      <c r="B219" s="60"/>
      <c r="C219" s="61" t="str">
        <f t="shared" ca="1" si="56"/>
        <v>205,..,905</v>
      </c>
      <c r="D219" s="62"/>
      <c r="E219" s="21"/>
      <c r="F219" s="61"/>
      <c r="G219" s="62"/>
      <c r="H219" s="21"/>
      <c r="I219" s="21">
        <f t="shared" si="1"/>
        <v>0</v>
      </c>
      <c r="J219" s="1"/>
      <c r="K219" s="1"/>
      <c r="L219" s="1"/>
      <c r="M219" s="1"/>
      <c r="N219" s="1"/>
      <c r="O219" s="1"/>
      <c r="P219" s="1"/>
      <c r="Q219" s="1"/>
      <c r="R219" s="1"/>
      <c r="S219" s="1"/>
      <c r="T219" s="1"/>
      <c r="U219" s="42" t="str">
        <f t="shared" ca="1" si="54"/>
        <v>205,..,905</v>
      </c>
      <c r="V219" s="42">
        <f t="shared" ca="1" si="57"/>
        <v>205</v>
      </c>
      <c r="W219" s="42">
        <f t="shared" ca="1" si="58"/>
        <v>905</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hidden="1" customHeight="1" x14ac:dyDescent="0.35">
      <c r="A220" s="60" t="str">
        <f t="shared" si="55"/>
        <v>2nd, 3rd, 4th, 6th, 8th, 7th, 9th Floor</v>
      </c>
      <c r="B220" s="60"/>
      <c r="C220" s="61" t="str">
        <f t="shared" ca="1" si="56"/>
        <v>206,..,906</v>
      </c>
      <c r="D220" s="62"/>
      <c r="E220" s="21"/>
      <c r="F220" s="61"/>
      <c r="G220" s="62"/>
      <c r="H220" s="21"/>
      <c r="I220" s="21">
        <f t="shared" si="1"/>
        <v>0</v>
      </c>
      <c r="J220" s="1"/>
      <c r="K220" s="1"/>
      <c r="L220" s="1"/>
      <c r="M220" s="1"/>
      <c r="N220" s="1"/>
      <c r="O220" s="1"/>
      <c r="P220" s="1"/>
      <c r="Q220" s="1"/>
      <c r="R220" s="1"/>
      <c r="S220" s="1"/>
      <c r="T220" s="1"/>
      <c r="U220" s="42" t="str">
        <f t="shared" ca="1" si="54"/>
        <v>206,..,906</v>
      </c>
      <c r="V220" s="42">
        <f t="shared" ca="1" si="57"/>
        <v>206</v>
      </c>
      <c r="W220" s="42">
        <f t="shared" ca="1" si="58"/>
        <v>906</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hidden="1" customHeight="1" x14ac:dyDescent="0.35">
      <c r="A221" s="60" t="str">
        <f t="shared" si="55"/>
        <v>2nd, 3rd, 4th, 6th, 8th, 7th, 9th Floor</v>
      </c>
      <c r="B221" s="60"/>
      <c r="C221" s="61" t="str">
        <f t="shared" ca="1" si="56"/>
        <v>207,..,907</v>
      </c>
      <c r="D221" s="62"/>
      <c r="E221" s="21"/>
      <c r="F221" s="61"/>
      <c r="G221" s="62"/>
      <c r="H221" s="21"/>
      <c r="I221" s="21">
        <f t="shared" si="1"/>
        <v>0</v>
      </c>
      <c r="J221" s="1"/>
      <c r="K221" s="1"/>
      <c r="L221" s="1"/>
      <c r="M221" s="1"/>
      <c r="N221" s="1"/>
      <c r="O221" s="1"/>
      <c r="P221" s="1"/>
      <c r="Q221" s="1"/>
      <c r="R221" s="1"/>
      <c r="S221" s="1"/>
      <c r="T221" s="1"/>
      <c r="U221" s="42" t="str">
        <f t="shared" ca="1" si="54"/>
        <v>207,..,907</v>
      </c>
      <c r="V221" s="42">
        <f t="shared" ca="1" si="57"/>
        <v>207</v>
      </c>
      <c r="W221" s="42">
        <f t="shared" ca="1" si="58"/>
        <v>907</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hidden="1" customHeight="1" x14ac:dyDescent="0.35">
      <c r="A222" s="60" t="str">
        <f t="shared" si="55"/>
        <v>2nd, 3rd, 4th, 6th, 8th, 7th, 9th Floor</v>
      </c>
      <c r="B222" s="60"/>
      <c r="C222" s="61" t="str">
        <f t="shared" ca="1" si="56"/>
        <v>208,..,908</v>
      </c>
      <c r="D222" s="62"/>
      <c r="E222" s="21"/>
      <c r="F222" s="61"/>
      <c r="G222" s="62"/>
      <c r="H222" s="21"/>
      <c r="I222" s="21">
        <f t="shared" si="1"/>
        <v>0</v>
      </c>
      <c r="J222" s="1"/>
      <c r="K222" s="1"/>
      <c r="L222" s="1"/>
      <c r="M222" s="1"/>
      <c r="N222" s="1"/>
      <c r="O222" s="1"/>
      <c r="P222" s="1"/>
      <c r="Q222" s="1"/>
      <c r="R222" s="1"/>
      <c r="S222" s="1"/>
      <c r="T222" s="1"/>
      <c r="U222" s="42" t="str">
        <f t="shared" ca="1" si="54"/>
        <v>208,..,908</v>
      </c>
      <c r="V222" s="42">
        <f t="shared" ca="1" si="57"/>
        <v>208</v>
      </c>
      <c r="W222" s="42">
        <f t="shared" ca="1" si="58"/>
        <v>908</v>
      </c>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hidden="1" customHeight="1" x14ac:dyDescent="0.35">
      <c r="A223" s="60" t="str">
        <f t="shared" si="55"/>
        <v>2nd, 3rd, 4th, 6th, 8th, 7th, 9th Floor</v>
      </c>
      <c r="B223" s="60"/>
      <c r="C223" s="61" t="str">
        <f t="shared" ca="1" si="56"/>
        <v>209,..,909</v>
      </c>
      <c r="D223" s="62"/>
      <c r="E223" s="21"/>
      <c r="F223" s="61"/>
      <c r="G223" s="62"/>
      <c r="H223" s="21"/>
      <c r="I223" s="21">
        <f t="shared" si="1"/>
        <v>0</v>
      </c>
      <c r="J223" s="1"/>
      <c r="K223" s="1"/>
      <c r="L223" s="1"/>
      <c r="M223" s="1"/>
      <c r="N223" s="1"/>
      <c r="O223" s="1"/>
      <c r="P223" s="1"/>
      <c r="Q223" s="1"/>
      <c r="R223" s="1"/>
      <c r="S223" s="1"/>
      <c r="T223" s="1"/>
      <c r="U223" s="42" t="str">
        <f t="shared" ca="1" si="54"/>
        <v>209,..,909</v>
      </c>
      <c r="V223" s="42">
        <f t="shared" ca="1" si="57"/>
        <v>209</v>
      </c>
      <c r="W223" s="42">
        <f t="shared" ca="1" si="58"/>
        <v>909</v>
      </c>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hidden="1" customHeight="1" x14ac:dyDescent="0.35">
      <c r="A224" s="60" t="str">
        <f t="shared" si="55"/>
        <v>2nd, 3rd, 4th, 6th, 8th, 7th, 9th Floor</v>
      </c>
      <c r="B224" s="60"/>
      <c r="C224" s="61" t="str">
        <f t="shared" ca="1" si="56"/>
        <v>210,..,910</v>
      </c>
      <c r="D224" s="62"/>
      <c r="E224" s="21"/>
      <c r="F224" s="61"/>
      <c r="G224" s="62"/>
      <c r="H224" s="21"/>
      <c r="I224" s="21">
        <f t="shared" si="1"/>
        <v>0</v>
      </c>
      <c r="J224" s="1"/>
      <c r="K224" s="1"/>
      <c r="L224" s="1"/>
      <c r="M224" s="1"/>
      <c r="N224" s="1"/>
      <c r="O224" s="1"/>
      <c r="P224" s="1"/>
      <c r="Q224" s="1"/>
      <c r="R224" s="1"/>
      <c r="S224" s="1"/>
      <c r="T224" s="1"/>
      <c r="U224" s="42" t="str">
        <f t="shared" ca="1" si="54"/>
        <v>210,..,910</v>
      </c>
      <c r="V224" s="42">
        <f t="shared" ca="1" si="57"/>
        <v>210</v>
      </c>
      <c r="W224" s="42">
        <f t="shared" ca="1" si="58"/>
        <v>910</v>
      </c>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5" hidden="1" x14ac:dyDescent="0.35">
      <c r="A225" s="63" t="s">
        <v>159</v>
      </c>
      <c r="B225" s="64"/>
      <c r="C225" s="64"/>
      <c r="D225" s="64"/>
      <c r="E225" s="64"/>
      <c r="F225" s="64"/>
      <c r="G225" s="64"/>
      <c r="H225" s="64"/>
      <c r="I225" s="65"/>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hidden="1" customHeight="1" x14ac:dyDescent="0.35">
      <c r="A226" s="60" t="str">
        <f>A225</f>
        <v>2nd to 5th Floor</v>
      </c>
      <c r="B226" s="60"/>
      <c r="C226" s="61" t="str">
        <f ca="1">U226</f>
        <v>201 to 501</v>
      </c>
      <c r="D226" s="62"/>
      <c r="E226" s="21"/>
      <c r="F226" s="61"/>
      <c r="G226" s="62"/>
      <c r="H226" s="21"/>
      <c r="I226" s="21">
        <f t="shared" ref="I226:I235" si="59">F226*(($I$108)+1)+H226</f>
        <v>0</v>
      </c>
      <c r="J226" s="1"/>
      <c r="K226" s="1"/>
      <c r="L226" s="1"/>
      <c r="M226" s="1"/>
      <c r="N226" s="1"/>
      <c r="O226" s="1"/>
      <c r="P226" s="1"/>
      <c r="Q226" s="1"/>
      <c r="R226" s="1"/>
      <c r="S226" s="1"/>
      <c r="T226" s="1"/>
      <c r="U226" s="42" t="str">
        <f ca="1">V226&amp;""&amp;" to "&amp;""&amp;W226</f>
        <v>201 to 501</v>
      </c>
      <c r="V226" s="42">
        <f ca="1">(SUMPRODUCT(MID(0&amp;(LEFT(A225,SUM(LEN(A225)-LEN(SUBSTITUTE(A225,{"0","1","2","3"},""))))), LARGE(INDEX(ISNUMBER(--MID((LEFT(A225,SUM(LEN(A225)-LEN(SUBSTITUTE(A225,{"0","1","2","3"},""))))), ROW(INDIRECT("1:"&amp;LEN((LEFT(A225,SUM(LEN(A225)-LEN(SUBSTITUTE(A225,{"0","1","2","3"},"")))))))), 1)) * ROW(INDIRECT("1:"&amp;LEN((LEFT(A225,SUM(LEN(A225)-LEN(SUBSTITUTE(A225,{"0","1","2","3"},"")))))))), 0), ROW(INDIRECT("1:"&amp;LEN((LEFT(A225,SUM(LEN(A225)-LEN(SUBSTITUTE(A225,{"0","1","2","3"},"")))))))))+1, 1) * 10^ROW(INDIRECT("1:"&amp;LEN((LEFT(A225,SUM(LEN(A225)-LEN(SUBSTITUTE(A225,{"0","1","2","3"},""))))))))/10))*100+1</f>
        <v>201</v>
      </c>
      <c r="W226" s="42">
        <f ca="1">(SUMPRODUCT(MID(0&amp;(--TRIM(RIGHT(SUBSTITUTE(LEFT(A225,_xlfn.AGGREGATE(16,6,FIND({0,1,2,3,4,5,6,7,8,9},A225,ROW(INDIRECT("1:"&amp;LEN(A225)))),1))," ",REPT(" ",LEN(A225))),LEN(A225)))), LARGE(INDEX(ISNUMBER(--MID((--TRIM(RIGHT(SUBSTITUTE(LEFT(A225,_xlfn.AGGREGATE(16,6,FIND({0,1,2,3,4,5,6,7,8,9},A225,ROW(INDIRECT("1:"&amp;LEN(A225)))),1))," ",REPT(" ",LEN(A225))),LEN(A225)))), ROW(INDIRECT("1:"&amp;LEN((--TRIM(RIGHT(SUBSTITUTE(LEFT(A225,_xlfn.AGGREGATE(16,6,FIND({0,1,2,3,4,5,6,7,8,9},A225,ROW(INDIRECT("1:"&amp;LEN(A225)))),1))," ",REPT(" ",LEN(A225))),LEN(A225))))))), 1)) * ROW(INDIRECT("1:"&amp;LEN((--TRIM(RIGHT(SUBSTITUTE(LEFT(A225,_xlfn.AGGREGATE(16,6,FIND({0,1,2,3,4,5,6,7,8,9},A225,ROW(INDIRECT("1:"&amp;LEN(A225)))),1))," ",REPT(" ",LEN(A225))),LEN(A225))))))), 0), ROW(INDIRECT("1:"&amp;LEN((--TRIM(RIGHT(SUBSTITUTE(LEFT(A225,_xlfn.AGGREGATE(16,6,FIND({0,1,2,3,4,5,6,7,8,9},A225,ROW(INDIRECT("1:"&amp;LEN(A225)))),1))," ",REPT(" ",LEN(A225))),LEN(A225))))))))+1, 1) * 10^ROW(INDIRECT("1:"&amp;LEN((--TRIM(RIGHT(SUBSTITUTE(LEFT(A225,_xlfn.AGGREGATE(16,6,FIND({0,1,2,3,4,5,6,7,8,9},A225,ROW(INDIRECT("1:"&amp;LEN(A225)))),1))," ",REPT(" ",LEN(A225))),LEN(A225)))))))/10))*100+1</f>
        <v>501</v>
      </c>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hidden="1" customHeight="1" x14ac:dyDescent="0.35">
      <c r="A227" s="60" t="str">
        <f t="shared" ref="A227:A235" si="60">A226</f>
        <v>2nd to 5th Floor</v>
      </c>
      <c r="B227" s="60"/>
      <c r="C227" s="61" t="str">
        <f t="shared" ref="C227:C235" ca="1" si="61">U227</f>
        <v>202 to 502</v>
      </c>
      <c r="D227" s="62"/>
      <c r="E227" s="21"/>
      <c r="F227" s="61"/>
      <c r="G227" s="62"/>
      <c r="H227" s="21"/>
      <c r="I227" s="21">
        <f t="shared" si="59"/>
        <v>0</v>
      </c>
      <c r="J227" s="1"/>
      <c r="K227" s="1"/>
      <c r="L227" s="1"/>
      <c r="M227" s="1"/>
      <c r="N227" s="1"/>
      <c r="O227" s="1"/>
      <c r="P227" s="1"/>
      <c r="Q227" s="1"/>
      <c r="R227" s="1"/>
      <c r="S227" s="1"/>
      <c r="T227" s="1"/>
      <c r="U227" s="42" t="str">
        <f t="shared" ref="U227:U235" ca="1" si="62">V227&amp;""&amp;" to "&amp;""&amp;W227</f>
        <v>202 to 502</v>
      </c>
      <c r="V227" s="42">
        <f ca="1">V226+1</f>
        <v>202</v>
      </c>
      <c r="W227" s="42">
        <f ca="1">W226+1</f>
        <v>502</v>
      </c>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hidden="1" customHeight="1" x14ac:dyDescent="0.35">
      <c r="A228" s="60" t="str">
        <f t="shared" si="60"/>
        <v>2nd to 5th Floor</v>
      </c>
      <c r="B228" s="60"/>
      <c r="C228" s="61" t="str">
        <f t="shared" ca="1" si="61"/>
        <v>203 to 503</v>
      </c>
      <c r="D228" s="62"/>
      <c r="E228" s="21"/>
      <c r="F228" s="61"/>
      <c r="G228" s="62"/>
      <c r="H228" s="21"/>
      <c r="I228" s="21">
        <f t="shared" si="59"/>
        <v>0</v>
      </c>
      <c r="J228" s="1"/>
      <c r="K228" s="1"/>
      <c r="L228" s="1"/>
      <c r="M228" s="1"/>
      <c r="N228" s="1"/>
      <c r="O228" s="1"/>
      <c r="P228" s="1"/>
      <c r="Q228" s="1"/>
      <c r="R228" s="1"/>
      <c r="S228" s="1"/>
      <c r="T228" s="1"/>
      <c r="U228" s="42" t="str">
        <f t="shared" ca="1" si="62"/>
        <v>203 to 503</v>
      </c>
      <c r="V228" s="42">
        <f t="shared" ref="V228:V235" ca="1" si="63">V227+1</f>
        <v>203</v>
      </c>
      <c r="W228" s="42">
        <f t="shared" ref="W228:W235" ca="1" si="64">W227+1</f>
        <v>503</v>
      </c>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hidden="1" customHeight="1" x14ac:dyDescent="0.35">
      <c r="A229" s="60" t="str">
        <f t="shared" si="60"/>
        <v>2nd to 5th Floor</v>
      </c>
      <c r="B229" s="60"/>
      <c r="C229" s="61" t="str">
        <f t="shared" ca="1" si="61"/>
        <v>204 to 504</v>
      </c>
      <c r="D229" s="62"/>
      <c r="E229" s="21"/>
      <c r="F229" s="61"/>
      <c r="G229" s="62"/>
      <c r="H229" s="21"/>
      <c r="I229" s="21">
        <f t="shared" si="59"/>
        <v>0</v>
      </c>
      <c r="J229" s="1"/>
      <c r="K229" s="1"/>
      <c r="L229" s="1"/>
      <c r="M229" s="1"/>
      <c r="N229" s="1"/>
      <c r="O229" s="1"/>
      <c r="P229" s="1"/>
      <c r="Q229" s="1"/>
      <c r="R229" s="1"/>
      <c r="S229" s="1"/>
      <c r="T229" s="1"/>
      <c r="U229" s="42" t="str">
        <f t="shared" ca="1" si="62"/>
        <v>204 to 504</v>
      </c>
      <c r="V229" s="42">
        <f t="shared" ca="1" si="63"/>
        <v>204</v>
      </c>
      <c r="W229" s="42">
        <f t="shared" ca="1" si="64"/>
        <v>504</v>
      </c>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hidden="1" customHeight="1" x14ac:dyDescent="0.35">
      <c r="A230" s="60" t="str">
        <f t="shared" si="60"/>
        <v>2nd to 5th Floor</v>
      </c>
      <c r="B230" s="60"/>
      <c r="C230" s="61" t="str">
        <f t="shared" ca="1" si="61"/>
        <v>205 to 505</v>
      </c>
      <c r="D230" s="62"/>
      <c r="E230" s="21"/>
      <c r="F230" s="61"/>
      <c r="G230" s="62"/>
      <c r="H230" s="21"/>
      <c r="I230" s="21">
        <f t="shared" si="59"/>
        <v>0</v>
      </c>
      <c r="J230" s="1"/>
      <c r="K230" s="1"/>
      <c r="L230" s="1"/>
      <c r="M230" s="1"/>
      <c r="N230" s="1"/>
      <c r="O230" s="1"/>
      <c r="P230" s="1"/>
      <c r="Q230" s="1"/>
      <c r="R230" s="1"/>
      <c r="S230" s="1"/>
      <c r="T230" s="1"/>
      <c r="U230" s="42" t="str">
        <f t="shared" ca="1" si="62"/>
        <v>205 to 505</v>
      </c>
      <c r="V230" s="42">
        <f t="shared" ca="1" si="63"/>
        <v>205</v>
      </c>
      <c r="W230" s="42">
        <f t="shared" ca="1" si="64"/>
        <v>505</v>
      </c>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hidden="1" customHeight="1" x14ac:dyDescent="0.35">
      <c r="A231" s="60" t="str">
        <f t="shared" si="60"/>
        <v>2nd to 5th Floor</v>
      </c>
      <c r="B231" s="60"/>
      <c r="C231" s="61" t="str">
        <f t="shared" ca="1" si="61"/>
        <v>206 to 506</v>
      </c>
      <c r="D231" s="62"/>
      <c r="E231" s="21"/>
      <c r="F231" s="61"/>
      <c r="G231" s="62"/>
      <c r="H231" s="21"/>
      <c r="I231" s="21">
        <f t="shared" si="59"/>
        <v>0</v>
      </c>
      <c r="J231" s="1"/>
      <c r="K231" s="1"/>
      <c r="L231" s="1"/>
      <c r="M231" s="1"/>
      <c r="N231" s="1"/>
      <c r="O231" s="1"/>
      <c r="P231" s="1"/>
      <c r="Q231" s="1"/>
      <c r="R231" s="1"/>
      <c r="S231" s="1"/>
      <c r="T231" s="1"/>
      <c r="U231" s="42" t="str">
        <f t="shared" ca="1" si="62"/>
        <v>206 to 506</v>
      </c>
      <c r="V231" s="42">
        <f t="shared" ca="1" si="63"/>
        <v>206</v>
      </c>
      <c r="W231" s="42">
        <f t="shared" ca="1" si="64"/>
        <v>506</v>
      </c>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hidden="1" customHeight="1" x14ac:dyDescent="0.35">
      <c r="A232" s="60" t="str">
        <f t="shared" si="60"/>
        <v>2nd to 5th Floor</v>
      </c>
      <c r="B232" s="60"/>
      <c r="C232" s="61" t="str">
        <f t="shared" ca="1" si="61"/>
        <v>207 to 507</v>
      </c>
      <c r="D232" s="62"/>
      <c r="E232" s="21"/>
      <c r="F232" s="61"/>
      <c r="G232" s="62"/>
      <c r="H232" s="21"/>
      <c r="I232" s="21">
        <f t="shared" si="59"/>
        <v>0</v>
      </c>
      <c r="J232" s="1"/>
      <c r="K232" s="1"/>
      <c r="L232" s="1"/>
      <c r="M232" s="1"/>
      <c r="N232" s="1"/>
      <c r="O232" s="1"/>
      <c r="P232" s="1"/>
      <c r="Q232" s="1"/>
      <c r="R232" s="1"/>
      <c r="S232" s="1"/>
      <c r="T232" s="1"/>
      <c r="U232" s="42" t="str">
        <f t="shared" ca="1" si="62"/>
        <v>207 to 507</v>
      </c>
      <c r="V232" s="42">
        <f t="shared" ca="1" si="63"/>
        <v>207</v>
      </c>
      <c r="W232" s="42">
        <f t="shared" ca="1" si="64"/>
        <v>507</v>
      </c>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hidden="1" customHeight="1" x14ac:dyDescent="0.35">
      <c r="A233" s="60" t="str">
        <f t="shared" si="60"/>
        <v>2nd to 5th Floor</v>
      </c>
      <c r="B233" s="60"/>
      <c r="C233" s="61" t="str">
        <f t="shared" ca="1" si="61"/>
        <v>208 to 508</v>
      </c>
      <c r="D233" s="62"/>
      <c r="E233" s="21"/>
      <c r="F233" s="61"/>
      <c r="G233" s="62"/>
      <c r="H233" s="21"/>
      <c r="I233" s="21">
        <f t="shared" si="59"/>
        <v>0</v>
      </c>
      <c r="J233" s="1"/>
      <c r="K233" s="1"/>
      <c r="L233" s="1"/>
      <c r="M233" s="1"/>
      <c r="N233" s="1"/>
      <c r="O233" s="1"/>
      <c r="P233" s="1"/>
      <c r="Q233" s="1"/>
      <c r="R233" s="1"/>
      <c r="S233" s="1"/>
      <c r="T233" s="1"/>
      <c r="U233" s="42" t="str">
        <f t="shared" ca="1" si="62"/>
        <v>208 to 508</v>
      </c>
      <c r="V233" s="42">
        <f t="shared" ca="1" si="63"/>
        <v>208</v>
      </c>
      <c r="W233" s="42">
        <f t="shared" ca="1" si="64"/>
        <v>508</v>
      </c>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hidden="1" customHeight="1" x14ac:dyDescent="0.35">
      <c r="A234" s="60" t="str">
        <f t="shared" si="60"/>
        <v>2nd to 5th Floor</v>
      </c>
      <c r="B234" s="60"/>
      <c r="C234" s="61" t="str">
        <f t="shared" ca="1" si="61"/>
        <v>209 to 509</v>
      </c>
      <c r="D234" s="62"/>
      <c r="E234" s="21"/>
      <c r="F234" s="61"/>
      <c r="G234" s="62"/>
      <c r="H234" s="21"/>
      <c r="I234" s="21">
        <f t="shared" si="59"/>
        <v>0</v>
      </c>
      <c r="J234" s="1"/>
      <c r="K234" s="1"/>
      <c r="L234" s="1"/>
      <c r="M234" s="1"/>
      <c r="N234" s="1"/>
      <c r="O234" s="1"/>
      <c r="P234" s="1"/>
      <c r="Q234" s="1"/>
      <c r="R234" s="1"/>
      <c r="S234" s="1"/>
      <c r="T234" s="1"/>
      <c r="U234" s="42" t="str">
        <f t="shared" ca="1" si="62"/>
        <v>209 to 509</v>
      </c>
      <c r="V234" s="42">
        <f t="shared" ca="1" si="63"/>
        <v>209</v>
      </c>
      <c r="W234" s="42">
        <f t="shared" ca="1" si="64"/>
        <v>509</v>
      </c>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hidden="1" customHeight="1" x14ac:dyDescent="0.35">
      <c r="A235" s="60" t="str">
        <f t="shared" si="60"/>
        <v>2nd to 5th Floor</v>
      </c>
      <c r="B235" s="60"/>
      <c r="C235" s="61" t="str">
        <f t="shared" ca="1" si="61"/>
        <v>210 to 510</v>
      </c>
      <c r="D235" s="62"/>
      <c r="E235" s="21"/>
      <c r="F235" s="61"/>
      <c r="G235" s="62"/>
      <c r="H235" s="21"/>
      <c r="I235" s="21">
        <f t="shared" si="59"/>
        <v>0</v>
      </c>
      <c r="J235" s="1"/>
      <c r="K235" s="1"/>
      <c r="L235" s="1"/>
      <c r="M235" s="1"/>
      <c r="N235" s="1"/>
      <c r="O235" s="1"/>
      <c r="P235" s="1"/>
      <c r="Q235" s="1"/>
      <c r="R235" s="1"/>
      <c r="S235" s="1"/>
      <c r="T235" s="1"/>
      <c r="U235" s="42" t="str">
        <f t="shared" ca="1" si="62"/>
        <v>210 to 510</v>
      </c>
      <c r="V235" s="42">
        <f t="shared" ca="1" si="63"/>
        <v>210</v>
      </c>
      <c r="W235" s="42">
        <f t="shared" ca="1" si="64"/>
        <v>510</v>
      </c>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5" hidden="1" x14ac:dyDescent="0.35">
      <c r="A236" s="63" t="s">
        <v>160</v>
      </c>
      <c r="B236" s="64"/>
      <c r="C236" s="64"/>
      <c r="D236" s="64"/>
      <c r="E236" s="64"/>
      <c r="F236" s="64"/>
      <c r="G236" s="64"/>
      <c r="H236" s="64"/>
      <c r="I236" s="65"/>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hidden="1" customHeight="1" x14ac:dyDescent="0.35">
      <c r="A237" s="60" t="str">
        <f>A236</f>
        <v>2nd &amp; 5th Floor</v>
      </c>
      <c r="B237" s="60"/>
      <c r="C237" s="61" t="str">
        <f ca="1">U237</f>
        <v>201 &amp; 501</v>
      </c>
      <c r="D237" s="62"/>
      <c r="E237" s="21"/>
      <c r="F237" s="61"/>
      <c r="G237" s="62"/>
      <c r="H237" s="21"/>
      <c r="I237" s="21">
        <f t="shared" ref="I237:I246" si="65">F237*(($I$108)+1)+H237</f>
        <v>0</v>
      </c>
      <c r="J237" s="1"/>
      <c r="K237" s="1"/>
      <c r="L237" s="1"/>
      <c r="M237" s="1"/>
      <c r="N237" s="1"/>
      <c r="O237" s="1"/>
      <c r="P237" s="1"/>
      <c r="Q237" s="1"/>
      <c r="R237" s="1"/>
      <c r="S237" s="1"/>
      <c r="T237" s="1"/>
      <c r="U237" s="42" t="str">
        <f ca="1">V237&amp;""&amp;" &amp; "&amp;""&amp;W237</f>
        <v>201 &amp; 501</v>
      </c>
      <c r="V237" s="42">
        <f ca="1">(SUMPRODUCT(MID(0&amp;(LEFT(A236,SUM(LEN(A236)-LEN(SUBSTITUTE(A236,{"0","1","2","3"},""))))), LARGE(INDEX(ISNUMBER(--MID((LEFT(A236,SUM(LEN(A236)-LEN(SUBSTITUTE(A236,{"0","1","2","3"},""))))), ROW(INDIRECT("1:"&amp;LEN((LEFT(A236,SUM(LEN(A236)-LEN(SUBSTITUTE(A236,{"0","1","2","3"},"")))))))), 1)) * ROW(INDIRECT("1:"&amp;LEN((LEFT(A236,SUM(LEN(A236)-LEN(SUBSTITUTE(A236,{"0","1","2","3"},"")))))))), 0), ROW(INDIRECT("1:"&amp;LEN((LEFT(A236,SUM(LEN(A236)-LEN(SUBSTITUTE(A236,{"0","1","2","3"},"")))))))))+1, 1) * 10^ROW(INDIRECT("1:"&amp;LEN((LEFT(A236,SUM(LEN(A236)-LEN(SUBSTITUTE(A236,{"0","1","2","3"},""))))))))/10))*100+1</f>
        <v>201</v>
      </c>
      <c r="W237" s="42">
        <f ca="1">(SUMPRODUCT(MID(0&amp;(--TRIM(RIGHT(SUBSTITUTE(LEFT(A236,_xlfn.AGGREGATE(16,6,FIND({0,1,2,3,4,5,6,7,8,9},A236,ROW(INDIRECT("1:"&amp;LEN(A236)))),1))," ",REPT(" ",LEN(A236))),LEN(A236)))), LARGE(INDEX(ISNUMBER(--MID((--TRIM(RIGHT(SUBSTITUTE(LEFT(A236,_xlfn.AGGREGATE(16,6,FIND({0,1,2,3,4,5,6,7,8,9},A236,ROW(INDIRECT("1:"&amp;LEN(A236)))),1))," ",REPT(" ",LEN(A236))),LEN(A236)))), ROW(INDIRECT("1:"&amp;LEN((--TRIM(RIGHT(SUBSTITUTE(LEFT(A236,_xlfn.AGGREGATE(16,6,FIND({0,1,2,3,4,5,6,7,8,9},A236,ROW(INDIRECT("1:"&amp;LEN(A236)))),1))," ",REPT(" ",LEN(A236))),LEN(A236))))))), 1)) * ROW(INDIRECT("1:"&amp;LEN((--TRIM(RIGHT(SUBSTITUTE(LEFT(A236,_xlfn.AGGREGATE(16,6,FIND({0,1,2,3,4,5,6,7,8,9},A236,ROW(INDIRECT("1:"&amp;LEN(A236)))),1))," ",REPT(" ",LEN(A236))),LEN(A236))))))), 0), ROW(INDIRECT("1:"&amp;LEN((--TRIM(RIGHT(SUBSTITUTE(LEFT(A236,_xlfn.AGGREGATE(16,6,FIND({0,1,2,3,4,5,6,7,8,9},A236,ROW(INDIRECT("1:"&amp;LEN(A236)))),1))," ",REPT(" ",LEN(A236))),LEN(A236))))))))+1, 1) * 10^ROW(INDIRECT("1:"&amp;LEN((--TRIM(RIGHT(SUBSTITUTE(LEFT(A236,_xlfn.AGGREGATE(16,6,FIND({0,1,2,3,4,5,6,7,8,9},A236,ROW(INDIRECT("1:"&amp;LEN(A236)))),1))," ",REPT(" ",LEN(A236))),LEN(A236)))))))/10))*100+1</f>
        <v>501</v>
      </c>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hidden="1" customHeight="1" x14ac:dyDescent="0.35">
      <c r="A238" s="60" t="str">
        <f t="shared" ref="A238:A246" si="66">A237</f>
        <v>2nd &amp; 5th Floor</v>
      </c>
      <c r="B238" s="60"/>
      <c r="C238" s="61" t="str">
        <f t="shared" ref="C238:C246" ca="1" si="67">U238</f>
        <v>202 &amp; 502</v>
      </c>
      <c r="D238" s="62"/>
      <c r="E238" s="21"/>
      <c r="F238" s="61"/>
      <c r="G238" s="62"/>
      <c r="H238" s="21"/>
      <c r="I238" s="21">
        <f t="shared" si="65"/>
        <v>0</v>
      </c>
      <c r="J238" s="1"/>
      <c r="K238" s="1"/>
      <c r="L238" s="1"/>
      <c r="M238" s="1"/>
      <c r="N238" s="1"/>
      <c r="O238" s="1"/>
      <c r="P238" s="1"/>
      <c r="Q238" s="1"/>
      <c r="R238" s="1"/>
      <c r="S238" s="1"/>
      <c r="T238" s="1"/>
      <c r="U238" s="42" t="str">
        <f t="shared" ref="U238:U246" ca="1" si="68">V238&amp;""&amp;" &amp; "&amp;""&amp;W238</f>
        <v>202 &amp; 502</v>
      </c>
      <c r="V238" s="42">
        <f ca="1">V237+1</f>
        <v>202</v>
      </c>
      <c r="W238" s="42">
        <f ca="1">W237+1</f>
        <v>502</v>
      </c>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hidden="1" customHeight="1" x14ac:dyDescent="0.35">
      <c r="A239" s="60" t="str">
        <f t="shared" si="66"/>
        <v>2nd &amp; 5th Floor</v>
      </c>
      <c r="B239" s="60"/>
      <c r="C239" s="61" t="str">
        <f t="shared" ca="1" si="67"/>
        <v>203 &amp; 503</v>
      </c>
      <c r="D239" s="62"/>
      <c r="E239" s="21"/>
      <c r="F239" s="61"/>
      <c r="G239" s="62"/>
      <c r="H239" s="21"/>
      <c r="I239" s="21">
        <f t="shared" si="65"/>
        <v>0</v>
      </c>
      <c r="J239" s="1"/>
      <c r="K239" s="1"/>
      <c r="L239" s="1"/>
      <c r="M239" s="1"/>
      <c r="N239" s="1"/>
      <c r="O239" s="1"/>
      <c r="P239" s="1"/>
      <c r="Q239" s="1"/>
      <c r="R239" s="1"/>
      <c r="S239" s="1"/>
      <c r="T239" s="1"/>
      <c r="U239" s="42" t="str">
        <f t="shared" ca="1" si="68"/>
        <v>203 &amp; 503</v>
      </c>
      <c r="V239" s="42">
        <f t="shared" ref="V239:V246" ca="1" si="69">V238+1</f>
        <v>203</v>
      </c>
      <c r="W239" s="42">
        <f t="shared" ref="W239:W246" ca="1" si="70">W238+1</f>
        <v>503</v>
      </c>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hidden="1" customHeight="1" x14ac:dyDescent="0.35">
      <c r="A240" s="60" t="str">
        <f t="shared" si="66"/>
        <v>2nd &amp; 5th Floor</v>
      </c>
      <c r="B240" s="60"/>
      <c r="C240" s="61" t="str">
        <f t="shared" ca="1" si="67"/>
        <v>204 &amp; 504</v>
      </c>
      <c r="D240" s="62"/>
      <c r="E240" s="21"/>
      <c r="F240" s="61"/>
      <c r="G240" s="62"/>
      <c r="H240" s="21"/>
      <c r="I240" s="21">
        <f t="shared" si="65"/>
        <v>0</v>
      </c>
      <c r="J240" s="1"/>
      <c r="K240" s="1"/>
      <c r="L240" s="1"/>
      <c r="M240" s="1"/>
      <c r="N240" s="1"/>
      <c r="O240" s="1"/>
      <c r="P240" s="1"/>
      <c r="Q240" s="1"/>
      <c r="R240" s="1"/>
      <c r="S240" s="1"/>
      <c r="T240" s="1"/>
      <c r="U240" s="42" t="str">
        <f t="shared" ca="1" si="68"/>
        <v>204 &amp; 504</v>
      </c>
      <c r="V240" s="42">
        <f t="shared" ca="1" si="69"/>
        <v>204</v>
      </c>
      <c r="W240" s="42">
        <f t="shared" ca="1" si="70"/>
        <v>504</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hidden="1" customHeight="1" x14ac:dyDescent="0.35">
      <c r="A241" s="60" t="str">
        <f t="shared" si="66"/>
        <v>2nd &amp; 5th Floor</v>
      </c>
      <c r="B241" s="60"/>
      <c r="C241" s="61" t="str">
        <f t="shared" ca="1" si="67"/>
        <v>205 &amp; 505</v>
      </c>
      <c r="D241" s="62"/>
      <c r="E241" s="21"/>
      <c r="F241" s="61"/>
      <c r="G241" s="62"/>
      <c r="H241" s="21"/>
      <c r="I241" s="21">
        <f t="shared" si="65"/>
        <v>0</v>
      </c>
      <c r="J241" s="1"/>
      <c r="K241" s="1"/>
      <c r="L241" s="1"/>
      <c r="M241" s="1"/>
      <c r="N241" s="1"/>
      <c r="O241" s="1"/>
      <c r="P241" s="1"/>
      <c r="Q241" s="1"/>
      <c r="R241" s="1"/>
      <c r="S241" s="1"/>
      <c r="T241" s="1"/>
      <c r="U241" s="42" t="str">
        <f t="shared" ca="1" si="68"/>
        <v>205 &amp; 505</v>
      </c>
      <c r="V241" s="42">
        <f t="shared" ca="1" si="69"/>
        <v>205</v>
      </c>
      <c r="W241" s="42">
        <f t="shared" ca="1" si="70"/>
        <v>505</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hidden="1" customHeight="1" x14ac:dyDescent="0.35">
      <c r="A242" s="60" t="str">
        <f t="shared" si="66"/>
        <v>2nd &amp; 5th Floor</v>
      </c>
      <c r="B242" s="60"/>
      <c r="C242" s="61" t="str">
        <f t="shared" ca="1" si="67"/>
        <v>206 &amp; 506</v>
      </c>
      <c r="D242" s="62"/>
      <c r="E242" s="21"/>
      <c r="F242" s="61"/>
      <c r="G242" s="62"/>
      <c r="H242" s="21"/>
      <c r="I242" s="21">
        <f t="shared" si="65"/>
        <v>0</v>
      </c>
      <c r="J242" s="1"/>
      <c r="K242" s="1"/>
      <c r="L242" s="1"/>
      <c r="M242" s="1"/>
      <c r="N242" s="1"/>
      <c r="O242" s="1"/>
      <c r="P242" s="1"/>
      <c r="Q242" s="1"/>
      <c r="R242" s="1"/>
      <c r="S242" s="1"/>
      <c r="T242" s="1"/>
      <c r="U242" s="42" t="str">
        <f t="shared" ca="1" si="68"/>
        <v>206 &amp; 506</v>
      </c>
      <c r="V242" s="42">
        <f t="shared" ca="1" si="69"/>
        <v>206</v>
      </c>
      <c r="W242" s="42">
        <f t="shared" ca="1" si="70"/>
        <v>506</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hidden="1" customHeight="1" x14ac:dyDescent="0.35">
      <c r="A243" s="60" t="str">
        <f t="shared" si="66"/>
        <v>2nd &amp; 5th Floor</v>
      </c>
      <c r="B243" s="60"/>
      <c r="C243" s="61" t="str">
        <f t="shared" ca="1" si="67"/>
        <v>207 &amp; 507</v>
      </c>
      <c r="D243" s="62"/>
      <c r="E243" s="21"/>
      <c r="F243" s="61"/>
      <c r="G243" s="62"/>
      <c r="H243" s="21"/>
      <c r="I243" s="21">
        <f t="shared" si="65"/>
        <v>0</v>
      </c>
      <c r="J243" s="1"/>
      <c r="K243" s="1"/>
      <c r="L243" s="1"/>
      <c r="M243" s="1"/>
      <c r="N243" s="1"/>
      <c r="O243" s="1"/>
      <c r="P243" s="1"/>
      <c r="Q243" s="1"/>
      <c r="R243" s="1"/>
      <c r="S243" s="1"/>
      <c r="T243" s="1"/>
      <c r="U243" s="42" t="str">
        <f t="shared" ca="1" si="68"/>
        <v>207 &amp; 507</v>
      </c>
      <c r="V243" s="42">
        <f t="shared" ca="1" si="69"/>
        <v>207</v>
      </c>
      <c r="W243" s="42">
        <f t="shared" ca="1" si="70"/>
        <v>507</v>
      </c>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hidden="1" customHeight="1" x14ac:dyDescent="0.35">
      <c r="A244" s="60" t="str">
        <f t="shared" si="66"/>
        <v>2nd &amp; 5th Floor</v>
      </c>
      <c r="B244" s="60"/>
      <c r="C244" s="61" t="str">
        <f t="shared" ca="1" si="67"/>
        <v>208 &amp; 508</v>
      </c>
      <c r="D244" s="62"/>
      <c r="E244" s="21"/>
      <c r="F244" s="61"/>
      <c r="G244" s="62"/>
      <c r="H244" s="21"/>
      <c r="I244" s="21">
        <f t="shared" si="65"/>
        <v>0</v>
      </c>
      <c r="J244" s="1"/>
      <c r="K244" s="1"/>
      <c r="L244" s="1"/>
      <c r="M244" s="1"/>
      <c r="N244" s="1"/>
      <c r="O244" s="1"/>
      <c r="P244" s="1"/>
      <c r="Q244" s="1"/>
      <c r="R244" s="1"/>
      <c r="S244" s="1"/>
      <c r="T244" s="1"/>
      <c r="U244" s="42" t="str">
        <f t="shared" ca="1" si="68"/>
        <v>208 &amp; 508</v>
      </c>
      <c r="V244" s="42">
        <f t="shared" ca="1" si="69"/>
        <v>208</v>
      </c>
      <c r="W244" s="42">
        <f t="shared" ca="1" si="70"/>
        <v>508</v>
      </c>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hidden="1" customHeight="1" x14ac:dyDescent="0.35">
      <c r="A245" s="60" t="str">
        <f t="shared" si="66"/>
        <v>2nd &amp; 5th Floor</v>
      </c>
      <c r="B245" s="60"/>
      <c r="C245" s="61" t="str">
        <f t="shared" ca="1" si="67"/>
        <v>209 &amp; 509</v>
      </c>
      <c r="D245" s="62"/>
      <c r="E245" s="21"/>
      <c r="F245" s="61"/>
      <c r="G245" s="62"/>
      <c r="H245" s="21"/>
      <c r="I245" s="21">
        <f t="shared" si="65"/>
        <v>0</v>
      </c>
      <c r="J245" s="1"/>
      <c r="K245" s="1"/>
      <c r="L245" s="1"/>
      <c r="M245" s="1"/>
      <c r="N245" s="1"/>
      <c r="O245" s="1"/>
      <c r="P245" s="1"/>
      <c r="Q245" s="1"/>
      <c r="R245" s="1"/>
      <c r="S245" s="1"/>
      <c r="T245" s="1"/>
      <c r="U245" s="42" t="str">
        <f t="shared" ca="1" si="68"/>
        <v>209 &amp; 509</v>
      </c>
      <c r="V245" s="42">
        <f t="shared" ca="1" si="69"/>
        <v>209</v>
      </c>
      <c r="W245" s="42">
        <f t="shared" ca="1" si="70"/>
        <v>509</v>
      </c>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hidden="1" customHeight="1" x14ac:dyDescent="0.35">
      <c r="A246" s="60" t="str">
        <f t="shared" si="66"/>
        <v>2nd &amp; 5th Floor</v>
      </c>
      <c r="B246" s="60"/>
      <c r="C246" s="61" t="str">
        <f t="shared" ca="1" si="67"/>
        <v>210 &amp; 510</v>
      </c>
      <c r="D246" s="62"/>
      <c r="E246" s="21"/>
      <c r="F246" s="61"/>
      <c r="G246" s="62"/>
      <c r="H246" s="21"/>
      <c r="I246" s="21">
        <f t="shared" si="65"/>
        <v>0</v>
      </c>
      <c r="J246" s="1"/>
      <c r="K246" s="1"/>
      <c r="L246" s="1"/>
      <c r="M246" s="1"/>
      <c r="N246" s="1"/>
      <c r="O246" s="1"/>
      <c r="P246" s="1"/>
      <c r="Q246" s="1"/>
      <c r="R246" s="1"/>
      <c r="S246" s="1"/>
      <c r="T246" s="1"/>
      <c r="U246" s="42" t="str">
        <f t="shared" ca="1" si="68"/>
        <v>210 &amp; 510</v>
      </c>
      <c r="V246" s="42">
        <f t="shared" ca="1" si="69"/>
        <v>210</v>
      </c>
      <c r="W246" s="42">
        <f t="shared" ca="1" si="70"/>
        <v>510</v>
      </c>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ht="20.5" x14ac:dyDescent="0.35">
      <c r="A247" s="137" t="s">
        <v>74</v>
      </c>
      <c r="B247" s="137"/>
      <c r="C247" s="137"/>
      <c r="D247" s="137"/>
      <c r="E247" s="137"/>
      <c r="F247" s="137"/>
      <c r="G247" s="137"/>
      <c r="H247" s="137"/>
      <c r="I247" s="137"/>
    </row>
    <row r="248" spans="1:151 16227:16384" ht="186" customHeight="1" x14ac:dyDescent="0.35">
      <c r="A248" s="9" t="s">
        <v>82</v>
      </c>
      <c r="B248" s="12" t="s">
        <v>4</v>
      </c>
      <c r="C248" s="97" t="s">
        <v>277</v>
      </c>
      <c r="D248" s="97"/>
      <c r="E248" s="97"/>
      <c r="F248" s="97"/>
      <c r="G248" s="97"/>
      <c r="H248" s="97"/>
      <c r="I248" s="97"/>
    </row>
    <row r="249" spans="1:151 16227:16384" ht="20.5" x14ac:dyDescent="0.35">
      <c r="A249" s="157" t="s">
        <v>83</v>
      </c>
      <c r="B249" s="157"/>
      <c r="C249" s="157"/>
      <c r="D249" s="157"/>
      <c r="E249" s="157"/>
      <c r="F249" s="157"/>
      <c r="G249" s="157"/>
      <c r="H249" s="157"/>
      <c r="I249" s="157"/>
    </row>
    <row r="250" spans="1:151 16227:16384" ht="20.5" x14ac:dyDescent="0.35">
      <c r="A250" s="138" t="s">
        <v>75</v>
      </c>
      <c r="B250" s="138"/>
      <c r="C250" s="138"/>
      <c r="D250" s="2" t="s">
        <v>4</v>
      </c>
      <c r="E250" s="58" t="str">
        <f>E3</f>
        <v>Dosti Desire Phase 2
(Dosti Eden Wing A &amp; B)</v>
      </c>
      <c r="F250" s="98"/>
      <c r="G250" s="98"/>
      <c r="H250" s="98"/>
      <c r="I250" s="59"/>
    </row>
    <row r="251" spans="1:151 16227:16384" ht="40.5" customHeight="1" x14ac:dyDescent="0.35">
      <c r="A251" s="138" t="s">
        <v>132</v>
      </c>
      <c r="B251" s="138"/>
      <c r="C251" s="138"/>
      <c r="D251" s="2" t="s">
        <v>4</v>
      </c>
      <c r="E251" s="58" t="str">
        <f>E9</f>
        <v>Dosti Desire ­ Phase 2 , Plot Bearing / CTS / Survey / Final Plot No.:  85/7 at Thane (M Corp.), Thane, Thane</v>
      </c>
      <c r="F251" s="98"/>
      <c r="G251" s="98"/>
      <c r="H251" s="98"/>
      <c r="I251" s="59"/>
    </row>
    <row r="252" spans="1:151 16227:16384" ht="20.25" customHeight="1" x14ac:dyDescent="0.35">
      <c r="A252" s="167" t="s">
        <v>138</v>
      </c>
      <c r="B252" s="167"/>
      <c r="C252" s="167"/>
      <c r="D252" s="16" t="s">
        <v>4</v>
      </c>
      <c r="E252" s="58" t="str">
        <f>I3</f>
        <v>04/07/2025   @11:53 PM</v>
      </c>
      <c r="F252" s="98"/>
      <c r="G252" s="98"/>
      <c r="H252" s="98"/>
      <c r="I252" s="59"/>
    </row>
    <row r="253" spans="1:151 16227:16384" ht="20.5" x14ac:dyDescent="0.35">
      <c r="A253" s="29"/>
      <c r="B253" s="30"/>
      <c r="C253" s="30"/>
      <c r="D253" s="30"/>
      <c r="E253" s="30"/>
      <c r="F253" s="30"/>
      <c r="G253" s="30"/>
      <c r="H253" s="30"/>
      <c r="I253" s="26"/>
    </row>
    <row r="254" spans="1:151 16227:16384" ht="20.5" x14ac:dyDescent="0.35">
      <c r="A254" s="31"/>
      <c r="B254" s="32"/>
      <c r="C254"/>
      <c r="D254" s="32"/>
      <c r="E254" s="32"/>
      <c r="F254" s="32"/>
      <c r="G254" s="32"/>
      <c r="H254" s="32"/>
      <c r="I254" s="27"/>
    </row>
    <row r="255" spans="1:151 16227:16384" ht="20.5" x14ac:dyDescent="0.35">
      <c r="A255" s="31"/>
      <c r="B255" s="32"/>
      <c r="C255" s="32"/>
      <c r="D255" s="32"/>
      <c r="E255" s="32"/>
      <c r="F255" s="32"/>
      <c r="G255" s="32"/>
      <c r="H255" s="32"/>
      <c r="I255" s="27"/>
    </row>
    <row r="256" spans="1:151 16227:16384" ht="20.5" x14ac:dyDescent="0.35">
      <c r="A256" s="31"/>
      <c r="B256" s="32"/>
      <c r="C256" s="32"/>
      <c r="D256" s="32"/>
      <c r="E256" s="32"/>
      <c r="F256" s="32"/>
      <c r="G256" s="32"/>
      <c r="H256" s="32"/>
      <c r="I256" s="27"/>
    </row>
    <row r="257" spans="1:9" ht="20.5" x14ac:dyDescent="0.35">
      <c r="A257" s="31"/>
      <c r="B257" s="32"/>
      <c r="C257" s="32"/>
      <c r="D257" s="32"/>
      <c r="E257" s="32"/>
      <c r="F257" s="32"/>
      <c r="G257" s="32"/>
      <c r="H257" s="32"/>
      <c r="I257" s="27"/>
    </row>
    <row r="258" spans="1:9" ht="20.5" x14ac:dyDescent="0.35">
      <c r="A258" s="31"/>
      <c r="B258" s="32"/>
      <c r="C258" s="32"/>
      <c r="D258" s="32"/>
      <c r="E258" s="32"/>
      <c r="F258" s="32"/>
      <c r="G258" s="32"/>
      <c r="H258" s="32"/>
      <c r="I258" s="27"/>
    </row>
    <row r="259" spans="1:9" ht="20.5" x14ac:dyDescent="0.35">
      <c r="A259" s="31"/>
      <c r="B259" s="32"/>
      <c r="C259" s="32"/>
      <c r="D259" s="32"/>
      <c r="E259" s="32"/>
      <c r="F259" s="32"/>
      <c r="G259" s="32"/>
      <c r="H259" s="32"/>
      <c r="I259" s="27"/>
    </row>
    <row r="260" spans="1:9" ht="20.5" x14ac:dyDescent="0.35">
      <c r="A260" s="31"/>
      <c r="B260" s="32"/>
      <c r="C260" s="32"/>
      <c r="D260" s="32"/>
      <c r="E260" s="32"/>
      <c r="F260" s="32"/>
      <c r="G260" s="32"/>
      <c r="H260" s="32"/>
      <c r="I260" s="27"/>
    </row>
    <row r="261" spans="1:9" ht="20.5" x14ac:dyDescent="0.35">
      <c r="A261" s="31"/>
      <c r="B261" s="32"/>
      <c r="C261" s="32"/>
      <c r="D261" s="32"/>
      <c r="E261" s="32"/>
      <c r="F261" s="32"/>
      <c r="G261" s="32"/>
      <c r="H261" s="32"/>
      <c r="I261" s="27"/>
    </row>
    <row r="262" spans="1:9" ht="20.5" x14ac:dyDescent="0.35">
      <c r="A262" s="31"/>
      <c r="B262" s="32"/>
      <c r="C262" s="32"/>
      <c r="D262" s="32"/>
      <c r="E262" s="32"/>
      <c r="F262" s="32"/>
      <c r="G262" s="32"/>
      <c r="H262" s="32"/>
      <c r="I262" s="27"/>
    </row>
    <row r="263" spans="1:9" ht="20.5" x14ac:dyDescent="0.35">
      <c r="A263" s="31"/>
      <c r="B263" s="32"/>
      <c r="C263" s="32"/>
      <c r="D263" s="32"/>
      <c r="E263" s="32"/>
      <c r="F263" s="32"/>
      <c r="G263" s="32"/>
      <c r="H263" s="32"/>
      <c r="I263" s="27"/>
    </row>
    <row r="264" spans="1:9" ht="20.5" x14ac:dyDescent="0.35">
      <c r="A264" s="31"/>
      <c r="B264" s="32"/>
      <c r="C264" s="32"/>
      <c r="D264" s="32"/>
      <c r="E264" s="32"/>
      <c r="F264" s="32"/>
      <c r="G264" s="32"/>
      <c r="H264" s="32"/>
      <c r="I264" s="27"/>
    </row>
    <row r="265" spans="1:9" ht="20.5" x14ac:dyDescent="0.35">
      <c r="A265" s="31"/>
      <c r="B265" s="32"/>
      <c r="C265" s="32"/>
      <c r="D265" s="32"/>
      <c r="E265" s="32"/>
      <c r="F265" s="32"/>
      <c r="G265" s="32"/>
      <c r="H265" s="32"/>
      <c r="I265" s="27"/>
    </row>
    <row r="266" spans="1:9" ht="20.5" x14ac:dyDescent="0.35">
      <c r="A266" s="31"/>
      <c r="B266" s="32"/>
      <c r="C266" s="32"/>
      <c r="D266" s="32"/>
      <c r="E266" s="32"/>
      <c r="F266" s="32"/>
      <c r="G266" s="32"/>
      <c r="H266" s="32"/>
      <c r="I266" s="27"/>
    </row>
    <row r="267" spans="1:9" ht="20.5" x14ac:dyDescent="0.35">
      <c r="A267" s="31"/>
      <c r="B267" s="32"/>
      <c r="C267" s="32"/>
      <c r="D267" s="32"/>
      <c r="E267" s="32"/>
      <c r="F267" s="32"/>
      <c r="G267" s="32"/>
      <c r="H267" s="32"/>
      <c r="I267" s="27"/>
    </row>
    <row r="268" spans="1:9" ht="20.5" x14ac:dyDescent="0.35">
      <c r="A268" s="31"/>
      <c r="B268" s="32"/>
      <c r="C268" s="32"/>
      <c r="D268" s="32"/>
      <c r="E268" s="32"/>
      <c r="F268" s="32"/>
      <c r="G268" s="32"/>
      <c r="H268" s="32"/>
      <c r="I268" s="27"/>
    </row>
    <row r="269" spans="1:9" ht="20.5" x14ac:dyDescent="0.35">
      <c r="A269" s="31"/>
      <c r="B269" s="32"/>
      <c r="C269" s="32"/>
      <c r="D269" s="32"/>
      <c r="E269" s="32"/>
      <c r="F269" s="32"/>
      <c r="G269" s="32"/>
      <c r="H269" s="32"/>
      <c r="I269" s="27"/>
    </row>
    <row r="270" spans="1:9" ht="20.5" x14ac:dyDescent="0.35">
      <c r="A270" s="31"/>
      <c r="B270" s="32"/>
      <c r="C270" s="32"/>
      <c r="D270" s="32"/>
      <c r="E270" s="32"/>
      <c r="F270" s="32"/>
      <c r="G270" s="32"/>
      <c r="H270" s="32"/>
      <c r="I270" s="27"/>
    </row>
    <row r="271" spans="1:9" ht="20.5" x14ac:dyDescent="0.35">
      <c r="A271" s="31"/>
      <c r="B271" s="32"/>
      <c r="C271" s="32"/>
      <c r="D271" s="32"/>
      <c r="E271" s="32"/>
      <c r="F271" s="32"/>
      <c r="G271" s="32"/>
      <c r="H271" s="32"/>
      <c r="I271" s="27"/>
    </row>
    <row r="272" spans="1:9" ht="20.5" x14ac:dyDescent="0.35">
      <c r="A272" s="31"/>
      <c r="B272" s="32"/>
      <c r="C272" s="32"/>
      <c r="D272" s="32"/>
      <c r="E272" s="32"/>
      <c r="F272" s="32"/>
      <c r="G272" s="32"/>
      <c r="H272" s="32"/>
      <c r="I272" s="27"/>
    </row>
    <row r="273" spans="1:9" ht="20.5" x14ac:dyDescent="0.35">
      <c r="A273" s="31"/>
      <c r="B273" s="32"/>
      <c r="C273" s="32"/>
      <c r="D273" s="32"/>
      <c r="E273" s="32"/>
      <c r="F273" s="32"/>
      <c r="G273" s="32"/>
      <c r="H273" s="32"/>
      <c r="I273" s="27"/>
    </row>
    <row r="274" spans="1:9" ht="20.5" x14ac:dyDescent="0.35">
      <c r="A274" s="31"/>
      <c r="B274" s="32"/>
      <c r="C274" s="32"/>
      <c r="D274" s="32"/>
      <c r="E274" s="32"/>
      <c r="F274" s="32"/>
      <c r="G274" s="32"/>
      <c r="H274" s="32"/>
      <c r="I274" s="27"/>
    </row>
    <row r="275" spans="1:9" ht="20.5" x14ac:dyDescent="0.35">
      <c r="A275" s="31"/>
      <c r="B275" s="32"/>
      <c r="C275" s="32"/>
      <c r="D275" s="32"/>
      <c r="E275" s="32"/>
      <c r="F275" s="32"/>
      <c r="G275" s="32"/>
      <c r="H275" s="32"/>
      <c r="I275" s="27"/>
    </row>
    <row r="276" spans="1:9" ht="20.5" x14ac:dyDescent="0.35">
      <c r="A276" s="31"/>
      <c r="B276" s="32"/>
      <c r="C276" s="32"/>
      <c r="D276" s="32"/>
      <c r="E276" s="32"/>
      <c r="F276" s="32"/>
      <c r="G276" s="32"/>
      <c r="H276" s="32"/>
      <c r="I276" s="27"/>
    </row>
    <row r="277" spans="1:9" ht="20.5" x14ac:dyDescent="0.35">
      <c r="A277" s="31"/>
      <c r="B277" s="32"/>
      <c r="C277" s="32"/>
      <c r="D277" s="32"/>
      <c r="E277" s="32"/>
      <c r="F277" s="32"/>
      <c r="G277" s="32"/>
      <c r="H277" s="32"/>
      <c r="I277" s="27"/>
    </row>
    <row r="278" spans="1:9" ht="20.5" x14ac:dyDescent="0.35">
      <c r="A278" s="31"/>
      <c r="B278" s="32"/>
      <c r="C278" s="32"/>
      <c r="D278" s="32"/>
      <c r="E278" s="32"/>
      <c r="F278" s="32"/>
      <c r="G278" s="32"/>
      <c r="H278" s="32"/>
      <c r="I278" s="27"/>
    </row>
    <row r="279" spans="1:9" ht="20.5" x14ac:dyDescent="0.35">
      <c r="A279" s="31"/>
      <c r="B279" s="32"/>
      <c r="C279" s="32"/>
      <c r="D279" s="32"/>
      <c r="E279" s="32"/>
      <c r="F279" s="32"/>
      <c r="G279" s="32"/>
      <c r="H279" s="32"/>
      <c r="I279" s="27"/>
    </row>
    <row r="280" spans="1:9" ht="20.5" x14ac:dyDescent="0.35">
      <c r="A280" s="31"/>
      <c r="B280" s="32"/>
      <c r="C280" s="32"/>
      <c r="D280" s="32"/>
      <c r="E280" s="32"/>
      <c r="F280" s="32"/>
      <c r="G280" s="32"/>
      <c r="H280" s="32"/>
      <c r="I280" s="27"/>
    </row>
    <row r="281" spans="1:9" ht="20.5" x14ac:dyDescent="0.35">
      <c r="A281" s="31"/>
      <c r="B281" s="32"/>
      <c r="C281" s="32"/>
      <c r="D281" s="32"/>
      <c r="E281" s="32"/>
      <c r="F281" s="32"/>
      <c r="G281" s="32"/>
      <c r="H281" s="32"/>
      <c r="I281" s="27"/>
    </row>
    <row r="282" spans="1:9" ht="20.5" x14ac:dyDescent="0.35">
      <c r="A282" s="31"/>
      <c r="B282" s="32"/>
      <c r="C282" s="32"/>
      <c r="D282" s="32"/>
      <c r="E282" s="32"/>
      <c r="F282" s="32"/>
      <c r="G282" s="32"/>
      <c r="H282" s="32"/>
      <c r="I282" s="27"/>
    </row>
    <row r="283" spans="1:9" ht="20.5" x14ac:dyDescent="0.35">
      <c r="A283" s="31"/>
      <c r="B283" s="32"/>
      <c r="C283" s="32"/>
      <c r="D283" s="32"/>
      <c r="E283" s="32"/>
      <c r="F283" s="32"/>
      <c r="G283" s="32"/>
      <c r="H283" s="32"/>
      <c r="I283" s="27"/>
    </row>
    <row r="284" spans="1:9" ht="20.5" x14ac:dyDescent="0.35">
      <c r="A284" s="31"/>
      <c r="B284" s="32"/>
      <c r="C284" s="32"/>
      <c r="D284" s="32"/>
      <c r="E284" s="32"/>
      <c r="F284" s="32"/>
      <c r="G284" s="32"/>
      <c r="H284" s="32"/>
      <c r="I284" s="27"/>
    </row>
    <row r="285" spans="1:9" ht="20.5" x14ac:dyDescent="0.35">
      <c r="A285" s="31"/>
      <c r="B285" s="32"/>
      <c r="C285" s="32"/>
      <c r="D285" s="32"/>
      <c r="E285" s="32"/>
      <c r="F285" s="32"/>
      <c r="G285" s="32"/>
      <c r="H285" s="32"/>
      <c r="I285" s="27"/>
    </row>
    <row r="286" spans="1:9" ht="20.5" x14ac:dyDescent="0.35">
      <c r="A286" s="31"/>
      <c r="B286" s="32"/>
      <c r="C286" s="32"/>
      <c r="D286" s="32"/>
      <c r="E286" s="32"/>
      <c r="F286" s="32"/>
      <c r="G286" s="32"/>
      <c r="H286" s="32"/>
      <c r="I286" s="27"/>
    </row>
    <row r="287" spans="1:9" ht="20.5" hidden="1" x14ac:dyDescent="0.35">
      <c r="A287" s="31"/>
      <c r="B287" s="32"/>
      <c r="C287" s="32"/>
      <c r="D287" s="32"/>
      <c r="E287" s="32"/>
      <c r="F287" s="32"/>
      <c r="G287" s="32"/>
      <c r="H287" s="32"/>
      <c r="I287" s="27"/>
    </row>
    <row r="288" spans="1:9" ht="20.5" hidden="1" x14ac:dyDescent="0.35">
      <c r="A288" s="31"/>
      <c r="B288" s="32"/>
      <c r="C288" s="32"/>
      <c r="D288" s="32"/>
      <c r="E288" s="32"/>
      <c r="F288" s="32"/>
      <c r="G288" s="32"/>
      <c r="H288" s="32"/>
      <c r="I288" s="27"/>
    </row>
    <row r="289" spans="1:9" ht="20.5" hidden="1" x14ac:dyDescent="0.35">
      <c r="A289" s="31"/>
      <c r="B289" s="32"/>
      <c r="C289" s="32"/>
      <c r="D289" s="32"/>
      <c r="E289" s="32"/>
      <c r="F289" s="32"/>
      <c r="G289" s="32"/>
      <c r="H289" s="32"/>
      <c r="I289" s="27"/>
    </row>
    <row r="290" spans="1:9" ht="20.5" hidden="1" x14ac:dyDescent="0.35">
      <c r="A290" s="31"/>
      <c r="B290" s="32"/>
      <c r="C290" s="32"/>
      <c r="D290" s="32"/>
      <c r="E290" s="32"/>
      <c r="F290" s="32"/>
      <c r="G290" s="32"/>
      <c r="H290" s="32"/>
      <c r="I290" s="27"/>
    </row>
    <row r="291" spans="1:9" ht="20.5" hidden="1" x14ac:dyDescent="0.35">
      <c r="A291" s="31"/>
      <c r="B291" s="32"/>
      <c r="C291" s="32"/>
      <c r="D291" s="32"/>
      <c r="E291" s="32"/>
      <c r="F291" s="32"/>
      <c r="G291" s="32"/>
      <c r="H291" s="32"/>
      <c r="I291" s="27"/>
    </row>
    <row r="292" spans="1:9" ht="20.5" hidden="1" x14ac:dyDescent="0.35">
      <c r="A292" s="31"/>
      <c r="B292" s="32"/>
      <c r="C292" s="32"/>
      <c r="D292" s="32"/>
      <c r="E292" s="32"/>
      <c r="F292" s="32"/>
      <c r="G292" s="32"/>
      <c r="H292" s="32"/>
      <c r="I292" s="27"/>
    </row>
    <row r="293" spans="1:9" ht="20.5" hidden="1" x14ac:dyDescent="0.35">
      <c r="A293" s="31"/>
      <c r="B293" s="32"/>
      <c r="C293" s="32"/>
      <c r="D293" s="32"/>
      <c r="E293" s="32"/>
      <c r="F293" s="32"/>
      <c r="G293" s="32"/>
      <c r="H293" s="32"/>
      <c r="I293" s="27"/>
    </row>
    <row r="294" spans="1:9" ht="20.5" hidden="1" x14ac:dyDescent="0.35">
      <c r="A294" s="31"/>
      <c r="B294" s="32"/>
      <c r="C294" s="32"/>
      <c r="D294" s="32"/>
      <c r="E294" s="32"/>
      <c r="F294" s="32"/>
      <c r="G294" s="32"/>
      <c r="H294" s="32"/>
      <c r="I294" s="27"/>
    </row>
    <row r="295" spans="1:9" ht="20.5" hidden="1" x14ac:dyDescent="0.35">
      <c r="A295" s="31"/>
      <c r="B295" s="32"/>
      <c r="C295" s="32"/>
      <c r="D295" s="32"/>
      <c r="E295" s="32"/>
      <c r="F295" s="32"/>
      <c r="G295" s="32"/>
      <c r="H295" s="32"/>
      <c r="I295" s="27"/>
    </row>
    <row r="296" spans="1:9" ht="20.5" hidden="1" x14ac:dyDescent="0.35">
      <c r="A296" s="31"/>
      <c r="B296" s="32"/>
      <c r="C296" s="32"/>
      <c r="D296" s="32"/>
      <c r="E296" s="32"/>
      <c r="F296" s="32"/>
      <c r="G296" s="32"/>
      <c r="H296" s="32"/>
      <c r="I296" s="27"/>
    </row>
    <row r="297" spans="1:9" ht="20.5" hidden="1" x14ac:dyDescent="0.35">
      <c r="A297" s="31"/>
      <c r="B297" s="32"/>
      <c r="C297" s="32"/>
      <c r="D297" s="32"/>
      <c r="E297" s="32"/>
      <c r="F297" s="32"/>
      <c r="G297" s="32"/>
      <c r="H297" s="32"/>
      <c r="I297" s="27"/>
    </row>
    <row r="298" spans="1:9" ht="20.5" x14ac:dyDescent="0.35">
      <c r="A298" s="31"/>
      <c r="B298" s="32"/>
      <c r="C298" s="32"/>
      <c r="D298" s="32"/>
      <c r="E298" s="32"/>
      <c r="F298" s="32"/>
      <c r="G298" s="32"/>
      <c r="H298" s="32"/>
      <c r="I298" s="27"/>
    </row>
    <row r="299" spans="1:9" ht="20.5" x14ac:dyDescent="0.35">
      <c r="A299" s="157" t="s">
        <v>201</v>
      </c>
      <c r="B299" s="157"/>
      <c r="C299" s="157"/>
      <c r="D299" s="157"/>
      <c r="E299" s="157"/>
      <c r="F299" s="157"/>
      <c r="G299" s="157"/>
      <c r="H299" s="157"/>
      <c r="I299" s="157"/>
    </row>
    <row r="300" spans="1:9" ht="20.5" x14ac:dyDescent="0.35">
      <c r="A300" s="29"/>
      <c r="B300" s="30"/>
      <c r="C300" s="30"/>
      <c r="D300" s="30"/>
      <c r="E300" s="30"/>
      <c r="F300" s="30"/>
      <c r="G300" s="30"/>
      <c r="H300" s="30"/>
      <c r="I300" s="26"/>
    </row>
    <row r="301" spans="1:9" ht="20.5" x14ac:dyDescent="0.35">
      <c r="A301" s="31"/>
      <c r="B301" s="32"/>
      <c r="C301" s="32"/>
      <c r="D301" s="32"/>
      <c r="E301" s="32"/>
      <c r="F301" s="32"/>
      <c r="G301" s="32"/>
      <c r="H301" s="32"/>
      <c r="I301" s="27"/>
    </row>
    <row r="302" spans="1:9" ht="20.5" x14ac:dyDescent="0.35">
      <c r="A302" s="31"/>
      <c r="B302" s="32"/>
      <c r="C302" s="32"/>
      <c r="D302" s="32"/>
      <c r="E302" s="32"/>
      <c r="F302" s="32"/>
      <c r="G302" s="32"/>
      <c r="H302" s="32"/>
      <c r="I302" s="27"/>
    </row>
    <row r="303" spans="1:9" ht="20.5" x14ac:dyDescent="0.35">
      <c r="A303" s="31"/>
      <c r="B303" s="32"/>
      <c r="C303" s="32"/>
      <c r="D303" s="32"/>
      <c r="E303" s="32"/>
      <c r="F303" s="32"/>
      <c r="G303" s="32"/>
      <c r="H303" s="32"/>
      <c r="I303" s="27"/>
    </row>
    <row r="304" spans="1:9" ht="20.5" x14ac:dyDescent="0.35">
      <c r="A304" s="31"/>
      <c r="B304" s="32"/>
      <c r="C304" s="32"/>
      <c r="D304" s="32"/>
      <c r="E304" s="32"/>
      <c r="F304" s="32"/>
      <c r="G304" s="32"/>
      <c r="H304" s="32"/>
      <c r="I304" s="27"/>
    </row>
    <row r="305" spans="1:9" ht="20.5" x14ac:dyDescent="0.35">
      <c r="A305" s="31"/>
      <c r="B305" s="32"/>
      <c r="C305" s="32"/>
      <c r="D305" s="32"/>
      <c r="E305" s="32"/>
      <c r="F305" s="32"/>
      <c r="G305" s="32"/>
      <c r="H305" s="32"/>
      <c r="I305" s="27"/>
    </row>
    <row r="306" spans="1:9" ht="20.5" x14ac:dyDescent="0.35">
      <c r="A306" s="31"/>
      <c r="B306" s="32"/>
      <c r="C306" s="32"/>
      <c r="D306" s="32"/>
      <c r="E306" s="32"/>
      <c r="F306" s="32"/>
      <c r="G306" s="32"/>
      <c r="H306" s="32"/>
      <c r="I306" s="27"/>
    </row>
    <row r="307" spans="1:9" ht="20.5" x14ac:dyDescent="0.35">
      <c r="A307" s="31"/>
      <c r="B307" s="32"/>
      <c r="C307" s="32"/>
      <c r="D307" s="32"/>
      <c r="E307" s="32"/>
      <c r="F307" s="32"/>
      <c r="G307" s="32"/>
      <c r="H307" s="32"/>
      <c r="I307" s="27"/>
    </row>
    <row r="308" spans="1:9" ht="20.5" x14ac:dyDescent="0.35">
      <c r="A308" s="31"/>
      <c r="B308" s="32"/>
      <c r="C308" s="32"/>
      <c r="D308" s="32"/>
      <c r="E308" s="32"/>
      <c r="F308" s="32"/>
      <c r="G308" s="32"/>
      <c r="H308" s="32"/>
      <c r="I308" s="27"/>
    </row>
    <row r="309" spans="1:9" ht="20.5" x14ac:dyDescent="0.35">
      <c r="A309" s="31"/>
      <c r="B309" s="32"/>
      <c r="C309" s="32"/>
      <c r="D309" s="32"/>
      <c r="E309" s="32"/>
      <c r="F309" s="32"/>
      <c r="G309" s="32"/>
      <c r="H309" s="32"/>
      <c r="I309" s="27"/>
    </row>
    <row r="310" spans="1:9" ht="20.5" x14ac:dyDescent="0.35">
      <c r="A310" s="31"/>
      <c r="B310" s="32"/>
      <c r="C310" s="32"/>
      <c r="D310" s="32"/>
      <c r="E310" s="32"/>
      <c r="F310" s="32"/>
      <c r="G310" s="32"/>
      <c r="H310" s="32"/>
      <c r="I310" s="27"/>
    </row>
    <row r="311" spans="1:9" ht="20.5" x14ac:dyDescent="0.35">
      <c r="A311" s="31"/>
      <c r="B311" s="32"/>
      <c r="C311" s="32"/>
      <c r="D311" s="32"/>
      <c r="E311" s="32"/>
      <c r="F311" s="32"/>
      <c r="G311" s="32"/>
      <c r="H311" s="32"/>
      <c r="I311" s="27"/>
    </row>
    <row r="312" spans="1:9" ht="20.5" x14ac:dyDescent="0.35">
      <c r="A312" s="31"/>
      <c r="B312" s="32"/>
      <c r="C312" s="32"/>
      <c r="D312" s="32"/>
      <c r="E312" s="32"/>
      <c r="F312" s="32"/>
      <c r="G312" s="32"/>
      <c r="H312" s="32"/>
      <c r="I312" s="27"/>
    </row>
    <row r="313" spans="1:9" ht="20.5" x14ac:dyDescent="0.35">
      <c r="A313" s="31"/>
      <c r="B313" s="32"/>
      <c r="C313" s="32"/>
      <c r="D313" s="32"/>
      <c r="E313" s="32"/>
      <c r="F313" s="32"/>
      <c r="G313" s="32"/>
      <c r="H313" s="32"/>
      <c r="I313" s="27"/>
    </row>
    <row r="314" spans="1:9" ht="20.5" x14ac:dyDescent="0.35">
      <c r="A314" s="31"/>
      <c r="B314" s="32"/>
      <c r="C314" s="32"/>
      <c r="D314" s="32"/>
      <c r="E314" s="32"/>
      <c r="F314" s="32"/>
      <c r="G314" s="32"/>
      <c r="H314" s="32"/>
      <c r="I314" s="27"/>
    </row>
    <row r="315" spans="1:9" ht="20.5" x14ac:dyDescent="0.35">
      <c r="A315" s="31"/>
      <c r="B315" s="32"/>
      <c r="C315" s="32"/>
      <c r="D315" s="32"/>
      <c r="E315" s="32"/>
      <c r="F315" s="32"/>
      <c r="G315" s="32"/>
      <c r="H315" s="32"/>
      <c r="I315" s="27"/>
    </row>
    <row r="316" spans="1:9" ht="20.5" x14ac:dyDescent="0.35">
      <c r="A316" s="31"/>
      <c r="B316" s="32"/>
      <c r="C316" s="32"/>
      <c r="D316" s="32"/>
      <c r="E316" s="32"/>
      <c r="F316" s="32"/>
      <c r="G316" s="32"/>
      <c r="H316" s="32"/>
      <c r="I316" s="27"/>
    </row>
    <row r="317" spans="1:9" ht="20.5" x14ac:dyDescent="0.35">
      <c r="A317" s="31"/>
      <c r="B317" s="32"/>
      <c r="C317" s="32"/>
      <c r="D317" s="32"/>
      <c r="E317" s="32"/>
      <c r="F317" s="32"/>
      <c r="G317" s="32"/>
      <c r="H317" s="32"/>
      <c r="I317" s="27"/>
    </row>
    <row r="318" spans="1:9" ht="20.5" x14ac:dyDescent="0.35">
      <c r="A318" s="31"/>
      <c r="B318" s="32"/>
      <c r="C318" s="32"/>
      <c r="D318" s="32"/>
      <c r="E318" s="32"/>
      <c r="F318" s="32"/>
      <c r="G318" s="32"/>
      <c r="H318" s="32"/>
      <c r="I318" s="27"/>
    </row>
    <row r="319" spans="1:9" ht="20.5" x14ac:dyDescent="0.35">
      <c r="A319" s="31"/>
      <c r="B319" s="32"/>
      <c r="C319" s="32"/>
      <c r="D319" s="32"/>
      <c r="E319" s="32"/>
      <c r="F319" s="32"/>
      <c r="G319" s="32"/>
      <c r="H319" s="32"/>
      <c r="I319" s="27"/>
    </row>
    <row r="320" spans="1:9" ht="20.5" x14ac:dyDescent="0.35">
      <c r="A320" s="31"/>
      <c r="B320" s="32"/>
      <c r="C320" s="32"/>
      <c r="D320" s="32"/>
      <c r="E320" s="32"/>
      <c r="F320" s="32"/>
      <c r="G320" s="32"/>
      <c r="H320" s="32"/>
      <c r="I320" s="27"/>
    </row>
    <row r="321" spans="1:9" ht="20.5" x14ac:dyDescent="0.35">
      <c r="A321" s="31"/>
      <c r="B321" s="32"/>
      <c r="C321" s="32"/>
      <c r="D321" s="32"/>
      <c r="E321" s="32"/>
      <c r="F321" s="32"/>
      <c r="G321" s="32"/>
      <c r="H321" s="32"/>
      <c r="I321" s="27"/>
    </row>
    <row r="322" spans="1:9" ht="20.5" x14ac:dyDescent="0.35">
      <c r="A322" s="31"/>
      <c r="B322" s="32"/>
      <c r="C322" s="32"/>
      <c r="D322" s="32"/>
      <c r="E322" s="32"/>
      <c r="F322" s="32"/>
      <c r="G322" s="32"/>
      <c r="H322" s="32"/>
      <c r="I322" s="27"/>
    </row>
    <row r="323" spans="1:9" ht="20.5" x14ac:dyDescent="0.35">
      <c r="A323" s="31"/>
      <c r="B323" s="32"/>
      <c r="C323" s="32"/>
      <c r="D323" s="32"/>
      <c r="E323" s="32"/>
      <c r="F323" s="32"/>
      <c r="G323" s="32"/>
      <c r="H323" s="32"/>
      <c r="I323" s="27"/>
    </row>
    <row r="324" spans="1:9" ht="20.5" x14ac:dyDescent="0.35">
      <c r="A324" s="31"/>
      <c r="B324" s="32"/>
      <c r="C324" s="32"/>
      <c r="D324" s="32"/>
      <c r="E324" s="32"/>
      <c r="F324" s="32"/>
      <c r="G324" s="32"/>
      <c r="H324" s="32"/>
      <c r="I324" s="27"/>
    </row>
    <row r="325" spans="1:9" ht="20.5" x14ac:dyDescent="0.35">
      <c r="A325" s="31"/>
      <c r="B325" s="32"/>
      <c r="C325" s="32"/>
      <c r="D325" s="32"/>
      <c r="E325" s="32"/>
      <c r="F325" s="32"/>
      <c r="G325" s="32"/>
      <c r="H325" s="32"/>
      <c r="I325" s="27"/>
    </row>
    <row r="326" spans="1:9" ht="20.5" x14ac:dyDescent="0.35">
      <c r="A326" s="31"/>
      <c r="B326" s="32"/>
      <c r="C326" s="32"/>
      <c r="D326" s="32"/>
      <c r="E326" s="32"/>
      <c r="F326" s="32"/>
      <c r="G326" s="32"/>
      <c r="H326" s="32"/>
      <c r="I326" s="27"/>
    </row>
    <row r="327" spans="1:9" ht="20.5" x14ac:dyDescent="0.35">
      <c r="A327" s="31"/>
      <c r="B327" s="32"/>
      <c r="C327" s="32"/>
      <c r="D327" s="32"/>
      <c r="E327" s="32"/>
      <c r="F327" s="32"/>
      <c r="G327" s="32"/>
      <c r="H327" s="32"/>
      <c r="I327" s="27"/>
    </row>
    <row r="328" spans="1:9" ht="20.5" x14ac:dyDescent="0.35">
      <c r="A328" s="31"/>
      <c r="B328" s="32"/>
      <c r="C328" s="32"/>
      <c r="D328" s="32"/>
      <c r="E328" s="32"/>
      <c r="F328" s="32"/>
      <c r="G328" s="32"/>
      <c r="H328" s="32"/>
      <c r="I328" s="27"/>
    </row>
    <row r="329" spans="1:9" ht="20.5" x14ac:dyDescent="0.35">
      <c r="A329" s="31"/>
      <c r="B329" s="32"/>
      <c r="C329" s="32"/>
      <c r="D329" s="32"/>
      <c r="E329" s="32"/>
      <c r="F329" s="32"/>
      <c r="G329" s="32"/>
      <c r="H329" s="32"/>
      <c r="I329" s="27"/>
    </row>
    <row r="330" spans="1:9" ht="20.5" x14ac:dyDescent="0.35">
      <c r="A330" s="31"/>
      <c r="B330" s="32"/>
      <c r="C330" s="32"/>
      <c r="D330" s="32"/>
      <c r="E330" s="32"/>
      <c r="F330" s="32"/>
      <c r="G330" s="32"/>
      <c r="H330" s="32"/>
      <c r="I330" s="27"/>
    </row>
    <row r="331" spans="1:9" ht="20.5" x14ac:dyDescent="0.35">
      <c r="A331" s="31"/>
      <c r="B331" s="32"/>
      <c r="C331" s="32"/>
      <c r="D331" s="32"/>
      <c r="E331" s="32"/>
      <c r="F331" s="32"/>
      <c r="G331" s="32"/>
      <c r="H331" s="32"/>
      <c r="I331" s="27"/>
    </row>
    <row r="332" spans="1:9" ht="20.5" x14ac:dyDescent="0.35">
      <c r="A332" s="31"/>
      <c r="B332" s="32"/>
      <c r="C332" s="32"/>
      <c r="D332" s="32"/>
      <c r="E332" s="32"/>
      <c r="F332" s="32"/>
      <c r="G332" s="32"/>
      <c r="H332" s="32"/>
      <c r="I332" s="27"/>
    </row>
    <row r="333" spans="1:9" ht="20.5" x14ac:dyDescent="0.35">
      <c r="A333" s="31"/>
      <c r="B333" s="32"/>
      <c r="C333" s="32"/>
      <c r="D333" s="32"/>
      <c r="E333" s="32"/>
      <c r="F333" s="32"/>
      <c r="G333" s="32"/>
      <c r="H333" s="32"/>
      <c r="I333" s="27"/>
    </row>
    <row r="334" spans="1:9" ht="20.5" x14ac:dyDescent="0.35">
      <c r="A334" s="31"/>
      <c r="B334" s="32"/>
      <c r="C334" s="32"/>
      <c r="D334" s="32"/>
      <c r="E334" s="32"/>
      <c r="F334" s="32"/>
      <c r="G334" s="32"/>
      <c r="H334" s="32"/>
      <c r="I334" s="27"/>
    </row>
    <row r="335" spans="1:9" ht="20.5" x14ac:dyDescent="0.35">
      <c r="A335" s="31"/>
      <c r="B335" s="32"/>
      <c r="C335" s="32"/>
      <c r="D335" s="32"/>
      <c r="E335" s="32"/>
      <c r="F335" s="32"/>
      <c r="G335" s="32"/>
      <c r="H335" s="32"/>
      <c r="I335" s="27"/>
    </row>
    <row r="336" spans="1:9" ht="20.5" x14ac:dyDescent="0.35">
      <c r="A336" s="31"/>
      <c r="B336" s="32"/>
      <c r="C336" s="32"/>
      <c r="D336" s="32"/>
      <c r="E336" s="32"/>
      <c r="F336" s="32"/>
      <c r="G336" s="32"/>
      <c r="H336" s="32"/>
      <c r="I336" s="27"/>
    </row>
    <row r="337" spans="1:9" ht="20.5" x14ac:dyDescent="0.35">
      <c r="A337" s="31"/>
      <c r="B337" s="32"/>
      <c r="C337" s="32"/>
      <c r="D337" s="32"/>
      <c r="E337" s="32"/>
      <c r="F337" s="32"/>
      <c r="G337" s="32"/>
      <c r="H337" s="32"/>
      <c r="I337" s="27"/>
    </row>
    <row r="338" spans="1:9" ht="20.5" x14ac:dyDescent="0.35">
      <c r="A338" s="120" t="s">
        <v>84</v>
      </c>
      <c r="B338" s="121"/>
      <c r="C338" s="121"/>
      <c r="D338" s="121"/>
      <c r="E338" s="121"/>
      <c r="F338" s="121"/>
      <c r="G338" s="121"/>
      <c r="H338" s="121"/>
      <c r="I338" s="122"/>
    </row>
    <row r="339" spans="1:9" ht="20.5" x14ac:dyDescent="0.35">
      <c r="A339" s="31"/>
      <c r="B339" s="32"/>
      <c r="C339" s="32"/>
      <c r="D339" s="32"/>
      <c r="E339" s="32"/>
      <c r="F339" s="32"/>
      <c r="G339" s="32"/>
      <c r="H339" s="32"/>
      <c r="I339" s="27"/>
    </row>
    <row r="340" spans="1:9" ht="20.5" x14ac:dyDescent="0.35">
      <c r="A340" s="31"/>
      <c r="B340" s="32"/>
      <c r="C340" s="32"/>
      <c r="D340" s="32"/>
      <c r="E340" s="32"/>
      <c r="F340" s="32"/>
      <c r="G340" s="32"/>
      <c r="H340" s="32"/>
      <c r="I340" s="27"/>
    </row>
    <row r="341" spans="1:9" ht="20.5" x14ac:dyDescent="0.35">
      <c r="A341" s="31"/>
      <c r="B341" s="32"/>
      <c r="C341" s="32"/>
      <c r="D341" s="32"/>
      <c r="E341" s="32"/>
      <c r="F341" s="32"/>
      <c r="G341" s="32"/>
      <c r="H341" s="32"/>
      <c r="I341" s="27"/>
    </row>
    <row r="342" spans="1:9" ht="20.5" x14ac:dyDescent="0.35">
      <c r="A342" s="31"/>
      <c r="B342" s="32"/>
      <c r="C342" s="32"/>
      <c r="D342" s="32"/>
      <c r="E342" s="32"/>
      <c r="F342" s="32"/>
      <c r="G342" s="32"/>
      <c r="H342" s="32"/>
      <c r="I342" s="27"/>
    </row>
    <row r="343" spans="1:9" ht="20.5" x14ac:dyDescent="0.35">
      <c r="A343" s="31"/>
      <c r="B343" s="32"/>
      <c r="C343" s="32"/>
      <c r="D343" s="32"/>
      <c r="E343" s="32"/>
      <c r="F343" s="32"/>
      <c r="G343" s="32"/>
      <c r="H343" s="32"/>
      <c r="I343" s="27"/>
    </row>
    <row r="344" spans="1:9" ht="20.5" x14ac:dyDescent="0.35">
      <c r="A344" s="31"/>
      <c r="B344" s="32"/>
      <c r="C344" s="32"/>
      <c r="D344" s="32"/>
      <c r="E344" s="32"/>
      <c r="F344" s="32"/>
      <c r="G344" s="32"/>
      <c r="H344" s="32"/>
      <c r="I344" s="27"/>
    </row>
    <row r="345" spans="1:9" ht="20.5" x14ac:dyDescent="0.35">
      <c r="A345" s="31"/>
      <c r="B345" s="32"/>
      <c r="C345" s="32"/>
      <c r="D345" s="32"/>
      <c r="E345" s="32"/>
      <c r="F345" s="32"/>
      <c r="G345" s="32"/>
      <c r="H345" s="32"/>
      <c r="I345" s="27"/>
    </row>
    <row r="346" spans="1:9" ht="20.5" x14ac:dyDescent="0.35">
      <c r="A346" s="31"/>
      <c r="B346" s="32"/>
      <c r="C346" s="32"/>
      <c r="D346" s="32"/>
      <c r="E346" s="32"/>
      <c r="F346" s="32"/>
      <c r="G346" s="32"/>
      <c r="H346" s="32"/>
      <c r="I346" s="27"/>
    </row>
    <row r="347" spans="1:9" ht="20.5" x14ac:dyDescent="0.35">
      <c r="A347" s="31"/>
      <c r="B347" s="32"/>
      <c r="C347" s="32"/>
      <c r="D347" s="32"/>
      <c r="E347" s="32"/>
      <c r="F347" s="32"/>
      <c r="G347" s="32"/>
      <c r="H347" s="32"/>
      <c r="I347" s="27"/>
    </row>
    <row r="348" spans="1:9" ht="20.5" x14ac:dyDescent="0.35">
      <c r="A348" s="31"/>
      <c r="B348" s="32"/>
      <c r="C348" s="32"/>
      <c r="D348" s="32"/>
      <c r="E348" s="32"/>
      <c r="F348" s="32"/>
      <c r="G348" s="32"/>
      <c r="H348" s="32"/>
      <c r="I348" s="27"/>
    </row>
    <row r="349" spans="1:9" ht="20.5" x14ac:dyDescent="0.35">
      <c r="A349" s="31"/>
      <c r="B349" s="32"/>
      <c r="C349" s="32"/>
      <c r="D349" s="32"/>
      <c r="E349" s="32"/>
      <c r="F349" s="32"/>
      <c r="G349" s="32"/>
      <c r="H349" s="32"/>
      <c r="I349" s="27"/>
    </row>
    <row r="350" spans="1:9" ht="20.5" x14ac:dyDescent="0.35">
      <c r="A350" s="31"/>
      <c r="B350" s="32"/>
      <c r="C350" s="32"/>
      <c r="D350" s="32"/>
      <c r="E350" s="32"/>
      <c r="F350" s="32"/>
      <c r="G350" s="32"/>
      <c r="H350" s="32"/>
      <c r="I350" s="27"/>
    </row>
    <row r="351" spans="1:9" ht="20.5" x14ac:dyDescent="0.35">
      <c r="A351" s="31"/>
      <c r="B351" s="32"/>
      <c r="C351" s="32"/>
      <c r="D351" s="32"/>
      <c r="E351" s="32"/>
      <c r="F351" s="32"/>
      <c r="G351" s="32"/>
      <c r="H351" s="32"/>
      <c r="I351" s="27"/>
    </row>
    <row r="352" spans="1:9" ht="20.5" x14ac:dyDescent="0.35">
      <c r="A352" s="31"/>
      <c r="B352" s="32"/>
      <c r="C352" s="32"/>
      <c r="D352" s="32"/>
      <c r="E352" s="32"/>
      <c r="F352" s="32"/>
      <c r="G352" s="32"/>
      <c r="H352" s="32"/>
      <c r="I352" s="27"/>
    </row>
    <row r="353" spans="1:9" ht="20.5" x14ac:dyDescent="0.35">
      <c r="A353" s="31"/>
      <c r="B353" s="32"/>
      <c r="C353" s="32"/>
      <c r="D353" s="32"/>
      <c r="E353" s="32"/>
      <c r="F353" s="32"/>
      <c r="G353" s="32"/>
      <c r="H353" s="32"/>
      <c r="I353" s="27"/>
    </row>
    <row r="354" spans="1:9" ht="20.5" x14ac:dyDescent="0.35">
      <c r="A354" s="31"/>
      <c r="B354" s="32"/>
      <c r="C354" s="32"/>
      <c r="D354" s="32"/>
      <c r="E354" s="32"/>
      <c r="F354" s="32"/>
      <c r="G354" s="32"/>
      <c r="H354" s="32"/>
      <c r="I354" s="27"/>
    </row>
    <row r="355" spans="1:9" ht="20.5" x14ac:dyDescent="0.35">
      <c r="A355" s="31"/>
      <c r="B355" s="32"/>
      <c r="C355" s="32"/>
      <c r="D355" s="32"/>
      <c r="E355" s="32"/>
      <c r="F355" s="32"/>
      <c r="G355" s="32"/>
      <c r="H355" s="32"/>
      <c r="I355" s="27"/>
    </row>
    <row r="356" spans="1:9" ht="20.5" x14ac:dyDescent="0.35">
      <c r="A356" s="31"/>
      <c r="B356" s="32"/>
      <c r="C356" s="32"/>
      <c r="D356" s="32"/>
      <c r="E356" s="32"/>
      <c r="F356" s="32"/>
      <c r="G356" s="32"/>
      <c r="H356" s="32"/>
      <c r="I356" s="27"/>
    </row>
    <row r="357" spans="1:9" ht="20.5" x14ac:dyDescent="0.35">
      <c r="A357" s="31"/>
      <c r="B357" s="32"/>
      <c r="C357" s="32"/>
      <c r="D357" s="32"/>
      <c r="E357" s="32"/>
      <c r="F357" s="32"/>
      <c r="G357" s="32"/>
      <c r="H357" s="32"/>
      <c r="I357" s="27"/>
    </row>
    <row r="358" spans="1:9" ht="20.5" x14ac:dyDescent="0.35">
      <c r="A358" s="31"/>
      <c r="B358" s="32"/>
      <c r="C358" s="32"/>
      <c r="D358" s="32"/>
      <c r="E358" s="32"/>
      <c r="F358" s="32"/>
      <c r="G358" s="32"/>
      <c r="H358" s="32"/>
      <c r="I358" s="27"/>
    </row>
    <row r="359" spans="1:9" ht="20.5" x14ac:dyDescent="0.35">
      <c r="A359" s="31"/>
      <c r="B359" s="32"/>
      <c r="C359" s="32"/>
      <c r="D359" s="32"/>
      <c r="E359" s="32"/>
      <c r="F359" s="32"/>
      <c r="G359" s="32"/>
      <c r="H359" s="32"/>
      <c r="I359" s="27"/>
    </row>
    <row r="360" spans="1:9" ht="20.5" x14ac:dyDescent="0.35">
      <c r="A360" s="31"/>
      <c r="B360" s="32"/>
      <c r="C360" s="32"/>
      <c r="D360" s="32"/>
      <c r="E360" s="32"/>
      <c r="F360" s="32"/>
      <c r="G360" s="32"/>
      <c r="H360" s="32"/>
      <c r="I360" s="27"/>
    </row>
    <row r="361" spans="1:9" ht="20.5" x14ac:dyDescent="0.35">
      <c r="A361" s="31"/>
      <c r="B361" s="32"/>
      <c r="C361" s="32"/>
      <c r="D361" s="32"/>
      <c r="E361" s="32"/>
      <c r="F361" s="32"/>
      <c r="G361" s="32"/>
      <c r="H361" s="32"/>
      <c r="I361" s="27"/>
    </row>
    <row r="362" spans="1:9" ht="20.5" x14ac:dyDescent="0.35">
      <c r="A362" s="31"/>
      <c r="B362" s="32"/>
      <c r="C362" s="32"/>
      <c r="D362" s="32"/>
      <c r="E362" s="32"/>
      <c r="F362" s="32"/>
      <c r="G362" s="32"/>
      <c r="H362" s="32"/>
      <c r="I362" s="27"/>
    </row>
    <row r="363" spans="1:9" ht="20.5" x14ac:dyDescent="0.35">
      <c r="A363" s="31"/>
      <c r="B363" s="32"/>
      <c r="C363" s="32"/>
      <c r="D363" s="32"/>
      <c r="E363" s="32"/>
      <c r="F363" s="32"/>
      <c r="G363" s="32"/>
      <c r="H363" s="32"/>
      <c r="I363" s="27"/>
    </row>
    <row r="364" spans="1:9" ht="20.5" x14ac:dyDescent="0.35">
      <c r="A364" s="31"/>
      <c r="B364" s="32"/>
      <c r="C364" s="32"/>
      <c r="D364" s="32"/>
      <c r="E364" s="32"/>
      <c r="F364" s="32"/>
      <c r="G364" s="32"/>
      <c r="H364" s="32"/>
      <c r="I364" s="27"/>
    </row>
    <row r="365" spans="1:9" ht="20.5" x14ac:dyDescent="0.35">
      <c r="A365" s="31"/>
      <c r="B365" s="32"/>
      <c r="C365" s="32"/>
      <c r="D365" s="32"/>
      <c r="E365" s="32"/>
      <c r="F365" s="32"/>
      <c r="G365" s="32"/>
      <c r="H365" s="32"/>
      <c r="I365" s="27"/>
    </row>
    <row r="366" spans="1:9" ht="20.5" x14ac:dyDescent="0.35">
      <c r="A366" s="31"/>
      <c r="B366" s="32"/>
      <c r="C366" s="32"/>
      <c r="D366" s="32"/>
      <c r="E366" s="32"/>
      <c r="F366" s="32"/>
      <c r="G366" s="32"/>
      <c r="H366" s="32"/>
      <c r="I366" s="27"/>
    </row>
    <row r="367" spans="1:9" ht="20.5" x14ac:dyDescent="0.35">
      <c r="A367" s="31"/>
      <c r="B367" s="32"/>
      <c r="C367" s="32"/>
      <c r="D367" s="32"/>
      <c r="E367" s="32"/>
      <c r="F367" s="32"/>
      <c r="G367" s="32"/>
      <c r="H367" s="32"/>
      <c r="I367" s="27"/>
    </row>
    <row r="368" spans="1:9" ht="20.5" x14ac:dyDescent="0.35">
      <c r="A368" s="31"/>
      <c r="B368" s="32"/>
      <c r="C368" s="32"/>
      <c r="D368" s="32"/>
      <c r="E368" s="32"/>
      <c r="F368" s="32"/>
      <c r="G368" s="32"/>
      <c r="H368" s="32"/>
      <c r="I368" s="27"/>
    </row>
    <row r="369" spans="1:9" ht="20.5" x14ac:dyDescent="0.35">
      <c r="A369" s="31"/>
      <c r="B369" s="32"/>
      <c r="C369" s="32"/>
      <c r="D369" s="32"/>
      <c r="E369" s="32"/>
      <c r="F369" s="32"/>
      <c r="G369" s="32"/>
      <c r="H369" s="32"/>
      <c r="I369" s="27"/>
    </row>
    <row r="370" spans="1:9" ht="20.5" x14ac:dyDescent="0.35">
      <c r="A370" s="31"/>
      <c r="B370" s="32"/>
      <c r="C370" s="32"/>
      <c r="D370" s="32"/>
      <c r="E370" s="32"/>
      <c r="F370" s="32"/>
      <c r="G370" s="32"/>
      <c r="H370" s="32"/>
      <c r="I370" s="27"/>
    </row>
    <row r="371" spans="1:9" ht="20.5" x14ac:dyDescent="0.35">
      <c r="A371" s="31"/>
      <c r="B371" s="32"/>
      <c r="C371" s="32"/>
      <c r="D371" s="32"/>
      <c r="E371" s="32"/>
      <c r="F371" s="32"/>
      <c r="G371" s="32"/>
      <c r="H371" s="32"/>
      <c r="I371" s="27"/>
    </row>
    <row r="372" spans="1:9" ht="20.5" x14ac:dyDescent="0.35">
      <c r="A372" s="31"/>
      <c r="B372" s="32"/>
      <c r="C372" s="32"/>
      <c r="D372" s="32"/>
      <c r="E372" s="32"/>
      <c r="F372" s="32"/>
      <c r="G372" s="32"/>
      <c r="H372" s="32"/>
      <c r="I372" s="27"/>
    </row>
    <row r="373" spans="1:9" ht="20.5" x14ac:dyDescent="0.35">
      <c r="A373" s="137" t="s">
        <v>27</v>
      </c>
      <c r="B373" s="137"/>
      <c r="C373" s="137"/>
      <c r="D373" s="137"/>
      <c r="E373" s="137"/>
      <c r="F373" s="137"/>
      <c r="G373" s="137"/>
      <c r="H373" s="137"/>
      <c r="I373" s="137"/>
    </row>
    <row r="374" spans="1:9" ht="20.5" x14ac:dyDescent="0.35">
      <c r="A374" s="158" t="s">
        <v>86</v>
      </c>
      <c r="B374" s="159"/>
      <c r="C374" s="159"/>
      <c r="D374" s="159"/>
      <c r="E374" s="159"/>
      <c r="F374" s="159"/>
      <c r="G374" s="159"/>
      <c r="H374" s="159"/>
      <c r="I374" s="160"/>
    </row>
    <row r="375" spans="1:9" ht="20.5" x14ac:dyDescent="0.35">
      <c r="A375" s="161" t="s">
        <v>87</v>
      </c>
      <c r="B375" s="162"/>
      <c r="C375" s="162"/>
      <c r="D375" s="162"/>
      <c r="E375" s="162"/>
      <c r="F375" s="162"/>
      <c r="G375" s="162"/>
      <c r="H375" s="162"/>
      <c r="I375" s="163"/>
    </row>
    <row r="376" spans="1:9" ht="45" customHeight="1" x14ac:dyDescent="0.35">
      <c r="A376" s="161" t="s">
        <v>88</v>
      </c>
      <c r="B376" s="162"/>
      <c r="C376" s="162"/>
      <c r="D376" s="162"/>
      <c r="E376" s="162"/>
      <c r="F376" s="162"/>
      <c r="G376" s="162"/>
      <c r="H376" s="162"/>
      <c r="I376" s="163"/>
    </row>
    <row r="377" spans="1:9" ht="42.75" customHeight="1" x14ac:dyDescent="0.35">
      <c r="A377" s="161" t="s">
        <v>89</v>
      </c>
      <c r="B377" s="162"/>
      <c r="C377" s="162"/>
      <c r="D377" s="162"/>
      <c r="E377" s="162"/>
      <c r="F377" s="162"/>
      <c r="G377" s="162"/>
      <c r="H377" s="162"/>
      <c r="I377" s="163"/>
    </row>
    <row r="378" spans="1:9" ht="20.5" x14ac:dyDescent="0.35">
      <c r="A378" s="161" t="s">
        <v>90</v>
      </c>
      <c r="B378" s="162"/>
      <c r="C378" s="162"/>
      <c r="D378" s="162"/>
      <c r="E378" s="162"/>
      <c r="F378" s="162"/>
      <c r="G378" s="162"/>
      <c r="H378" s="162"/>
      <c r="I378" s="163"/>
    </row>
    <row r="379" spans="1:9" ht="20.5" x14ac:dyDescent="0.35">
      <c r="A379" s="161" t="s">
        <v>91</v>
      </c>
      <c r="B379" s="162"/>
      <c r="C379" s="162"/>
      <c r="D379" s="162"/>
      <c r="E379" s="162"/>
      <c r="F379" s="162"/>
      <c r="G379" s="162"/>
      <c r="H379" s="162"/>
      <c r="I379" s="163"/>
    </row>
    <row r="380" spans="1:9" ht="45" customHeight="1" x14ac:dyDescent="0.35">
      <c r="A380" s="161" t="s">
        <v>92</v>
      </c>
      <c r="B380" s="162"/>
      <c r="C380" s="162"/>
      <c r="D380" s="162"/>
      <c r="E380" s="162"/>
      <c r="F380" s="162"/>
      <c r="G380" s="162"/>
      <c r="H380" s="162"/>
      <c r="I380" s="163"/>
    </row>
    <row r="381" spans="1:9" ht="45" customHeight="1" x14ac:dyDescent="0.35">
      <c r="A381" s="161" t="s">
        <v>93</v>
      </c>
      <c r="B381" s="162"/>
      <c r="C381" s="162"/>
      <c r="D381" s="162"/>
      <c r="E381" s="162"/>
      <c r="F381" s="162"/>
      <c r="G381" s="162"/>
      <c r="H381" s="162"/>
      <c r="I381" s="163"/>
    </row>
    <row r="382" spans="1:9" ht="20.5" x14ac:dyDescent="0.35">
      <c r="A382" s="164" t="s">
        <v>94</v>
      </c>
      <c r="B382" s="165"/>
      <c r="C382" s="165"/>
      <c r="D382" s="165"/>
      <c r="E382" s="165"/>
      <c r="F382" s="165"/>
      <c r="G382" s="165"/>
      <c r="H382" s="165"/>
      <c r="I382" s="166"/>
    </row>
    <row r="383" spans="1:9" ht="70.5" customHeight="1" x14ac:dyDescent="0.35">
      <c r="A383" s="156" t="s">
        <v>33</v>
      </c>
      <c r="B383" s="156"/>
      <c r="C383" s="156"/>
      <c r="D383" s="2" t="s">
        <v>4</v>
      </c>
      <c r="E383" s="23" t="s">
        <v>271</v>
      </c>
      <c r="F383" s="13" t="s">
        <v>10</v>
      </c>
      <c r="G383" s="2" t="s">
        <v>4</v>
      </c>
      <c r="H383" s="112"/>
      <c r="I383" s="112"/>
    </row>
  </sheetData>
  <mergeCells count="619">
    <mergeCell ref="C65:D65"/>
    <mergeCell ref="C54:D54"/>
    <mergeCell ref="F54:G65"/>
    <mergeCell ref="H54:I65"/>
    <mergeCell ref="A55:B55"/>
    <mergeCell ref="C55:D55"/>
    <mergeCell ref="A56:B56"/>
    <mergeCell ref="C56:D56"/>
    <mergeCell ref="A57:B57"/>
    <mergeCell ref="C57:D57"/>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121:I121"/>
    <mergeCell ref="M121:N121"/>
    <mergeCell ref="A65:B65"/>
    <mergeCell ref="A99:B99"/>
    <mergeCell ref="C99:D99"/>
    <mergeCell ref="F99:G99"/>
    <mergeCell ref="A102:B102"/>
    <mergeCell ref="C102:D102"/>
    <mergeCell ref="F102:G102"/>
    <mergeCell ref="K121:L121"/>
    <mergeCell ref="A101:B101"/>
    <mergeCell ref="C101:D101"/>
    <mergeCell ref="F101:G101"/>
    <mergeCell ref="A104:B104"/>
    <mergeCell ref="C104:D104"/>
    <mergeCell ref="F104:G104"/>
    <mergeCell ref="C119:D119"/>
    <mergeCell ref="F119:G119"/>
    <mergeCell ref="A120:B120"/>
    <mergeCell ref="C120:D120"/>
    <mergeCell ref="F120:G120"/>
    <mergeCell ref="A109:I109"/>
    <mergeCell ref="A110:I110"/>
    <mergeCell ref="A111:I111"/>
    <mergeCell ref="M122:N122"/>
    <mergeCell ref="M123:N123"/>
    <mergeCell ref="M124:N124"/>
    <mergeCell ref="M113:N113"/>
    <mergeCell ref="M114:N114"/>
    <mergeCell ref="M115:N115"/>
    <mergeCell ref="M116:N116"/>
    <mergeCell ref="M117:N117"/>
    <mergeCell ref="M118:N118"/>
    <mergeCell ref="M119:N119"/>
    <mergeCell ref="M120:N120"/>
    <mergeCell ref="A117:B117"/>
    <mergeCell ref="C117:D117"/>
    <mergeCell ref="F117:G117"/>
    <mergeCell ref="A118:B118"/>
    <mergeCell ref="C118:D118"/>
    <mergeCell ref="F118:G118"/>
    <mergeCell ref="A112:I112"/>
    <mergeCell ref="A113:B113"/>
    <mergeCell ref="C113:D113"/>
    <mergeCell ref="F113:G113"/>
    <mergeCell ref="A114:B114"/>
    <mergeCell ref="C114:D114"/>
    <mergeCell ref="A115:B115"/>
    <mergeCell ref="C115:D115"/>
    <mergeCell ref="F115:G115"/>
    <mergeCell ref="F116:G116"/>
    <mergeCell ref="A116:B116"/>
    <mergeCell ref="C116:D116"/>
    <mergeCell ref="A246:B246"/>
    <mergeCell ref="C246:D246"/>
    <mergeCell ref="F246:G246"/>
    <mergeCell ref="A243:B243"/>
    <mergeCell ref="C243:D243"/>
    <mergeCell ref="F243:G243"/>
    <mergeCell ref="A244:B244"/>
    <mergeCell ref="C244:D244"/>
    <mergeCell ref="F244:G244"/>
    <mergeCell ref="A245:B245"/>
    <mergeCell ref="C245:D245"/>
    <mergeCell ref="F245:G245"/>
    <mergeCell ref="A240:B240"/>
    <mergeCell ref="C240:D240"/>
    <mergeCell ref="F240:G240"/>
    <mergeCell ref="A241:B241"/>
    <mergeCell ref="C241:D241"/>
    <mergeCell ref="F241:G241"/>
    <mergeCell ref="A242:B242"/>
    <mergeCell ref="C242:D242"/>
    <mergeCell ref="A119:B119"/>
    <mergeCell ref="F242:G242"/>
    <mergeCell ref="A236:I236"/>
    <mergeCell ref="A237:B237"/>
    <mergeCell ref="C237:D237"/>
    <mergeCell ref="F237:G237"/>
    <mergeCell ref="A238:B238"/>
    <mergeCell ref="C238:D238"/>
    <mergeCell ref="F238:G238"/>
    <mergeCell ref="A239:B239"/>
    <mergeCell ref="C239:D239"/>
    <mergeCell ref="F239:G239"/>
    <mergeCell ref="A233:B233"/>
    <mergeCell ref="C233:D233"/>
    <mergeCell ref="F233:G233"/>
    <mergeCell ref="A234:B234"/>
    <mergeCell ref="C234:D234"/>
    <mergeCell ref="F234:G234"/>
    <mergeCell ref="A235:B235"/>
    <mergeCell ref="C235:D235"/>
    <mergeCell ref="F235:G235"/>
    <mergeCell ref="A230:B230"/>
    <mergeCell ref="C230:D230"/>
    <mergeCell ref="F230:G230"/>
    <mergeCell ref="A231:B231"/>
    <mergeCell ref="C231:D231"/>
    <mergeCell ref="F231:G231"/>
    <mergeCell ref="A232:B232"/>
    <mergeCell ref="C232:D232"/>
    <mergeCell ref="F232:G232"/>
    <mergeCell ref="A227:B227"/>
    <mergeCell ref="C227:D227"/>
    <mergeCell ref="F227:G227"/>
    <mergeCell ref="A228:B228"/>
    <mergeCell ref="C228:D228"/>
    <mergeCell ref="F228:G228"/>
    <mergeCell ref="A229:B229"/>
    <mergeCell ref="C229:D229"/>
    <mergeCell ref="F229:G229"/>
    <mergeCell ref="A217:B217"/>
    <mergeCell ref="H107:H108"/>
    <mergeCell ref="F107:G108"/>
    <mergeCell ref="E107:E108"/>
    <mergeCell ref="C107:D108"/>
    <mergeCell ref="A107:B108"/>
    <mergeCell ref="A220:B220"/>
    <mergeCell ref="C220:D220"/>
    <mergeCell ref="F220:G220"/>
    <mergeCell ref="A218:B218"/>
    <mergeCell ref="C218:D218"/>
    <mergeCell ref="F218:G218"/>
    <mergeCell ref="C217:D217"/>
    <mergeCell ref="F217:G217"/>
    <mergeCell ref="F125:G125"/>
    <mergeCell ref="C123:D123"/>
    <mergeCell ref="F123:G123"/>
    <mergeCell ref="C124:D124"/>
    <mergeCell ref="F124:G124"/>
    <mergeCell ref="C125:D125"/>
    <mergeCell ref="C128:D128"/>
    <mergeCell ref="F216:G216"/>
    <mergeCell ref="A219:B219"/>
    <mergeCell ref="F114:G114"/>
    <mergeCell ref="F224:G224"/>
    <mergeCell ref="A225:I225"/>
    <mergeCell ref="A226:B226"/>
    <mergeCell ref="C226:D226"/>
    <mergeCell ref="C219:D219"/>
    <mergeCell ref="F219:G219"/>
    <mergeCell ref="A221:B221"/>
    <mergeCell ref="C221:D221"/>
    <mergeCell ref="F221:G221"/>
    <mergeCell ref="A222:B222"/>
    <mergeCell ref="C222:D222"/>
    <mergeCell ref="F222:G222"/>
    <mergeCell ref="F226:G226"/>
    <mergeCell ref="A223:B223"/>
    <mergeCell ref="C223:D223"/>
    <mergeCell ref="F223:G223"/>
    <mergeCell ref="A224:B224"/>
    <mergeCell ref="C224:D224"/>
    <mergeCell ref="H47:I47"/>
    <mergeCell ref="A93:I93"/>
    <mergeCell ref="F67:G67"/>
    <mergeCell ref="F68:G68"/>
    <mergeCell ref="F69:G69"/>
    <mergeCell ref="A89:C89"/>
    <mergeCell ref="H89:I89"/>
    <mergeCell ref="A90:C90"/>
    <mergeCell ref="H90:I90"/>
    <mergeCell ref="A91:C91"/>
    <mergeCell ref="H91:I91"/>
    <mergeCell ref="A92:C92"/>
    <mergeCell ref="H92:I92"/>
    <mergeCell ref="A85:C85"/>
    <mergeCell ref="H85:I85"/>
    <mergeCell ref="A87:C87"/>
    <mergeCell ref="H87:I87"/>
    <mergeCell ref="A88:C88"/>
    <mergeCell ref="H88:I88"/>
    <mergeCell ref="A86:C86"/>
    <mergeCell ref="H86:I86"/>
    <mergeCell ref="A66:I66"/>
    <mergeCell ref="A72:B72"/>
    <mergeCell ref="A73:B73"/>
    <mergeCell ref="A96:F96"/>
    <mergeCell ref="H96:I96"/>
    <mergeCell ref="A34:C34"/>
    <mergeCell ref="H34:I34"/>
    <mergeCell ref="H94:I94"/>
    <mergeCell ref="G38:H38"/>
    <mergeCell ref="A39:C39"/>
    <mergeCell ref="A35:C35"/>
    <mergeCell ref="A40:C40"/>
    <mergeCell ref="A38:C38"/>
    <mergeCell ref="H44:I44"/>
    <mergeCell ref="G39:H39"/>
    <mergeCell ref="C69:D69"/>
    <mergeCell ref="A95:F95"/>
    <mergeCell ref="A94:F94"/>
    <mergeCell ref="H49:I49"/>
    <mergeCell ref="C72:D72"/>
    <mergeCell ref="C73:D73"/>
    <mergeCell ref="C74:D74"/>
    <mergeCell ref="C75:D75"/>
    <mergeCell ref="C76:D76"/>
    <mergeCell ref="C77:D77"/>
    <mergeCell ref="C79:D79"/>
    <mergeCell ref="A69:B69"/>
    <mergeCell ref="A383:C383"/>
    <mergeCell ref="H383:I383"/>
    <mergeCell ref="A249:I249"/>
    <mergeCell ref="E251:I251"/>
    <mergeCell ref="A374:I374"/>
    <mergeCell ref="A380:I380"/>
    <mergeCell ref="A381:I381"/>
    <mergeCell ref="A382:I382"/>
    <mergeCell ref="A375:I375"/>
    <mergeCell ref="A376:I376"/>
    <mergeCell ref="A377:I377"/>
    <mergeCell ref="A378:I378"/>
    <mergeCell ref="A251:C251"/>
    <mergeCell ref="A373:I373"/>
    <mergeCell ref="A379:I379"/>
    <mergeCell ref="A338:I338"/>
    <mergeCell ref="E250:I250"/>
    <mergeCell ref="A252:C252"/>
    <mergeCell ref="E252:I252"/>
    <mergeCell ref="A299:I299"/>
    <mergeCell ref="A1:I1"/>
    <mergeCell ref="A4:C4"/>
    <mergeCell ref="A250:C250"/>
    <mergeCell ref="H27:I27"/>
    <mergeCell ref="H28:I28"/>
    <mergeCell ref="A37:I37"/>
    <mergeCell ref="H46:I46"/>
    <mergeCell ref="H48:I48"/>
    <mergeCell ref="A42:I42"/>
    <mergeCell ref="A45:I45"/>
    <mergeCell ref="A97:I97"/>
    <mergeCell ref="H95:I95"/>
    <mergeCell ref="A2:C2"/>
    <mergeCell ref="E2:F2"/>
    <mergeCell ref="A41:C41"/>
    <mergeCell ref="H41:I41"/>
    <mergeCell ref="E12:I12"/>
    <mergeCell ref="A6:C6"/>
    <mergeCell ref="A7:C7"/>
    <mergeCell ref="A8:C8"/>
    <mergeCell ref="E8:I8"/>
    <mergeCell ref="A123:B123"/>
    <mergeCell ref="H7:I7"/>
    <mergeCell ref="E9:I9"/>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8:E28"/>
    <mergeCell ref="C29:E29"/>
    <mergeCell ref="C248:I248"/>
    <mergeCell ref="A247:I247"/>
    <mergeCell ref="A83:I83"/>
    <mergeCell ref="A84:C84"/>
    <mergeCell ref="H84:I84"/>
    <mergeCell ref="H36:I36"/>
    <mergeCell ref="A36:C36"/>
    <mergeCell ref="H35:I35"/>
    <mergeCell ref="A216:B216"/>
    <mergeCell ref="C216:D216"/>
    <mergeCell ref="A214:I214"/>
    <mergeCell ref="A215:B215"/>
    <mergeCell ref="C215:D215"/>
    <mergeCell ref="F215:G215"/>
    <mergeCell ref="C126:D126"/>
    <mergeCell ref="C127:D127"/>
    <mergeCell ref="A122:I122"/>
    <mergeCell ref="C70:D70"/>
    <mergeCell ref="A124:B124"/>
    <mergeCell ref="A125:B125"/>
    <mergeCell ref="A75:B75"/>
    <mergeCell ref="A76:B76"/>
    <mergeCell ref="A78:B78"/>
    <mergeCell ref="A79:B79"/>
    <mergeCell ref="A74:B74"/>
    <mergeCell ref="F70:G81"/>
    <mergeCell ref="C71:D71"/>
    <mergeCell ref="C46:E46"/>
    <mergeCell ref="C47:E47"/>
    <mergeCell ref="C48:E48"/>
    <mergeCell ref="C49:E49"/>
    <mergeCell ref="A43:B43"/>
    <mergeCell ref="A44:B44"/>
    <mergeCell ref="E44:G44"/>
    <mergeCell ref="E43:G43"/>
    <mergeCell ref="C43:D43"/>
    <mergeCell ref="C44:D44"/>
    <mergeCell ref="A67:C68"/>
    <mergeCell ref="D67:D68"/>
    <mergeCell ref="A50:I50"/>
    <mergeCell ref="A51:C52"/>
    <mergeCell ref="D51:D52"/>
    <mergeCell ref="F51:G51"/>
    <mergeCell ref="F52:G52"/>
    <mergeCell ref="A53:B53"/>
    <mergeCell ref="C53:D53"/>
    <mergeCell ref="F53:G53"/>
    <mergeCell ref="A54:B54"/>
    <mergeCell ref="C30:E30"/>
    <mergeCell ref="C31:E31"/>
    <mergeCell ref="C32:I32"/>
    <mergeCell ref="C14:E14"/>
    <mergeCell ref="C15:E15"/>
    <mergeCell ref="C16:E16"/>
    <mergeCell ref="C17:E17"/>
    <mergeCell ref="C18:E18"/>
    <mergeCell ref="C19:E19"/>
    <mergeCell ref="C20:E20"/>
    <mergeCell ref="C21:E21"/>
    <mergeCell ref="C24:I24"/>
    <mergeCell ref="C23:I23"/>
    <mergeCell ref="C22:I22"/>
    <mergeCell ref="H14:I14"/>
    <mergeCell ref="H16:I16"/>
    <mergeCell ref="H17:I17"/>
    <mergeCell ref="H15:I15"/>
    <mergeCell ref="H18:I18"/>
    <mergeCell ref="H19:I19"/>
    <mergeCell ref="H31:I31"/>
    <mergeCell ref="C27:E27"/>
    <mergeCell ref="H70:I81"/>
    <mergeCell ref="A80:B80"/>
    <mergeCell ref="C80:D80"/>
    <mergeCell ref="A81:B81"/>
    <mergeCell ref="C81:D81"/>
    <mergeCell ref="A106:I106"/>
    <mergeCell ref="F98:G98"/>
    <mergeCell ref="F100:G100"/>
    <mergeCell ref="F103:G103"/>
    <mergeCell ref="F105:G105"/>
    <mergeCell ref="A98:B98"/>
    <mergeCell ref="C98:D98"/>
    <mergeCell ref="A100:B100"/>
    <mergeCell ref="C100:D100"/>
    <mergeCell ref="A103:B103"/>
    <mergeCell ref="C103:D103"/>
    <mergeCell ref="A105:B105"/>
    <mergeCell ref="C105:D105"/>
    <mergeCell ref="C78:D78"/>
    <mergeCell ref="A82:G82"/>
    <mergeCell ref="H82:I82"/>
    <mergeCell ref="A70:B70"/>
    <mergeCell ref="A71:B71"/>
    <mergeCell ref="A77:B77"/>
    <mergeCell ref="F126:I128"/>
    <mergeCell ref="A203:I203"/>
    <mergeCell ref="A204:B204"/>
    <mergeCell ref="C204:D204"/>
    <mergeCell ref="F204:G204"/>
    <mergeCell ref="A129:I129"/>
    <mergeCell ref="M129:N129"/>
    <mergeCell ref="A130:B130"/>
    <mergeCell ref="C130:D130"/>
    <mergeCell ref="F130:G130"/>
    <mergeCell ref="M130:N130"/>
    <mergeCell ref="A131:B131"/>
    <mergeCell ref="C131:D131"/>
    <mergeCell ref="F131:G131"/>
    <mergeCell ref="M131:N131"/>
    <mergeCell ref="A132:B132"/>
    <mergeCell ref="C132:D132"/>
    <mergeCell ref="F132:G132"/>
    <mergeCell ref="A133:B133"/>
    <mergeCell ref="A126:B126"/>
    <mergeCell ref="A127:B127"/>
    <mergeCell ref="A128:B128"/>
    <mergeCell ref="C133:D133"/>
    <mergeCell ref="A134:B134"/>
    <mergeCell ref="A212:B212"/>
    <mergeCell ref="C212:D212"/>
    <mergeCell ref="F212:G212"/>
    <mergeCell ref="A213:B213"/>
    <mergeCell ref="C213:D213"/>
    <mergeCell ref="F213:G213"/>
    <mergeCell ref="A208:B208"/>
    <mergeCell ref="C208:D208"/>
    <mergeCell ref="F208:G208"/>
    <mergeCell ref="A209:B209"/>
    <mergeCell ref="C209:D209"/>
    <mergeCell ref="F209:G209"/>
    <mergeCell ref="A210:B210"/>
    <mergeCell ref="C210:D210"/>
    <mergeCell ref="F210:G210"/>
    <mergeCell ref="C134:D134"/>
    <mergeCell ref="A135:B135"/>
    <mergeCell ref="C135:D135"/>
    <mergeCell ref="F133:I133"/>
    <mergeCell ref="F134:I134"/>
    <mergeCell ref="F135:I135"/>
    <mergeCell ref="A211:B211"/>
    <mergeCell ref="C211:D211"/>
    <mergeCell ref="F211:G211"/>
    <mergeCell ref="A205:B205"/>
    <mergeCell ref="C205:D205"/>
    <mergeCell ref="F205:G205"/>
    <mergeCell ref="A206:B206"/>
    <mergeCell ref="C206:D206"/>
    <mergeCell ref="F206:G206"/>
    <mergeCell ref="A207:B207"/>
    <mergeCell ref="C207:D207"/>
    <mergeCell ref="F207:G207"/>
    <mergeCell ref="A136:I136"/>
    <mergeCell ref="A137:B137"/>
    <mergeCell ref="C137:D137"/>
    <mergeCell ref="F137:G137"/>
    <mergeCell ref="A138:B138"/>
    <mergeCell ref="C138:D138"/>
    <mergeCell ref="F138:G138"/>
    <mergeCell ref="A139:B139"/>
    <mergeCell ref="C139:D139"/>
    <mergeCell ref="F139:G139"/>
    <mergeCell ref="A140:B140"/>
    <mergeCell ref="C140:D140"/>
    <mergeCell ref="F140:G140"/>
    <mergeCell ref="A141:B141"/>
    <mergeCell ref="C141:D141"/>
    <mergeCell ref="F141:G141"/>
    <mergeCell ref="A142:B142"/>
    <mergeCell ref="C142:D142"/>
    <mergeCell ref="F142:G142"/>
    <mergeCell ref="A143:I143"/>
    <mergeCell ref="A144:B144"/>
    <mergeCell ref="C144:D144"/>
    <mergeCell ref="F144:G144"/>
    <mergeCell ref="A145:B145"/>
    <mergeCell ref="C145:D145"/>
    <mergeCell ref="F145:G145"/>
    <mergeCell ref="A146:B146"/>
    <mergeCell ref="C146:D146"/>
    <mergeCell ref="F146:G146"/>
    <mergeCell ref="A147:B147"/>
    <mergeCell ref="C147:D147"/>
    <mergeCell ref="F147:G147"/>
    <mergeCell ref="A148:B148"/>
    <mergeCell ref="C148:D148"/>
    <mergeCell ref="F148:G148"/>
    <mergeCell ref="A149:B149"/>
    <mergeCell ref="C149:D149"/>
    <mergeCell ref="F149:G149"/>
    <mergeCell ref="A150:I150"/>
    <mergeCell ref="A151:B151"/>
    <mergeCell ref="C151:D151"/>
    <mergeCell ref="F151:G151"/>
    <mergeCell ref="A152:B152"/>
    <mergeCell ref="C152:D152"/>
    <mergeCell ref="F152:G152"/>
    <mergeCell ref="A153:B153"/>
    <mergeCell ref="C153:D153"/>
    <mergeCell ref="F153:G153"/>
    <mergeCell ref="A154:B154"/>
    <mergeCell ref="C154:D154"/>
    <mergeCell ref="F154:G154"/>
    <mergeCell ref="A155:B155"/>
    <mergeCell ref="C155:D155"/>
    <mergeCell ref="F155:G155"/>
    <mergeCell ref="A156:B156"/>
    <mergeCell ref="C156:D156"/>
    <mergeCell ref="F156:G156"/>
    <mergeCell ref="A157:I157"/>
    <mergeCell ref="A158:B158"/>
    <mergeCell ref="C158:D158"/>
    <mergeCell ref="F158:G158"/>
    <mergeCell ref="A159:B159"/>
    <mergeCell ref="C159:D159"/>
    <mergeCell ref="F159:G159"/>
    <mergeCell ref="A160:B160"/>
    <mergeCell ref="C160:D160"/>
    <mergeCell ref="F160:G160"/>
    <mergeCell ref="A161:B161"/>
    <mergeCell ref="C161:D161"/>
    <mergeCell ref="F161:G161"/>
    <mergeCell ref="A162:B162"/>
    <mergeCell ref="C162:D162"/>
    <mergeCell ref="F162:G162"/>
    <mergeCell ref="A163:B163"/>
    <mergeCell ref="C163:D163"/>
    <mergeCell ref="F163:G163"/>
    <mergeCell ref="A164:I164"/>
    <mergeCell ref="A165:I165"/>
    <mergeCell ref="A166:I166"/>
    <mergeCell ref="A167:B167"/>
    <mergeCell ref="C167:D167"/>
    <mergeCell ref="F167:G167"/>
    <mergeCell ref="A168:B168"/>
    <mergeCell ref="C168:D168"/>
    <mergeCell ref="F168:G168"/>
    <mergeCell ref="A172:I172"/>
    <mergeCell ref="A173:I173"/>
    <mergeCell ref="A174:B174"/>
    <mergeCell ref="C174:D174"/>
    <mergeCell ref="F174:G174"/>
    <mergeCell ref="A175:B175"/>
    <mergeCell ref="C175:D175"/>
    <mergeCell ref="F175:G175"/>
    <mergeCell ref="A169:B169"/>
    <mergeCell ref="C169:D169"/>
    <mergeCell ref="F169:G169"/>
    <mergeCell ref="A170:B170"/>
    <mergeCell ref="C170:D170"/>
    <mergeCell ref="F170:G170"/>
    <mergeCell ref="A171:B171"/>
    <mergeCell ref="C171:D171"/>
    <mergeCell ref="F171:G171"/>
    <mergeCell ref="A178:I178"/>
    <mergeCell ref="A179:B179"/>
    <mergeCell ref="C179:D179"/>
    <mergeCell ref="F179:G179"/>
    <mergeCell ref="A180:B180"/>
    <mergeCell ref="C180:D180"/>
    <mergeCell ref="F180:G180"/>
    <mergeCell ref="A176:B176"/>
    <mergeCell ref="C176:D176"/>
    <mergeCell ref="A177:B177"/>
    <mergeCell ref="C177:D177"/>
    <mergeCell ref="F177:I177"/>
    <mergeCell ref="F176:I176"/>
    <mergeCell ref="A181:B181"/>
    <mergeCell ref="C181:D181"/>
    <mergeCell ref="F181:I181"/>
    <mergeCell ref="A182:B182"/>
    <mergeCell ref="C182:D182"/>
    <mergeCell ref="F182:I182"/>
    <mergeCell ref="A183:I183"/>
    <mergeCell ref="A184:B184"/>
    <mergeCell ref="C184:D184"/>
    <mergeCell ref="F184:G184"/>
    <mergeCell ref="A185:B185"/>
    <mergeCell ref="C185:D185"/>
    <mergeCell ref="F185:G185"/>
    <mergeCell ref="A186:B186"/>
    <mergeCell ref="C186:D186"/>
    <mergeCell ref="F186:G186"/>
    <mergeCell ref="A187:B187"/>
    <mergeCell ref="C187:D187"/>
    <mergeCell ref="F187:G187"/>
    <mergeCell ref="A194:B194"/>
    <mergeCell ref="C194:D194"/>
    <mergeCell ref="F194:G194"/>
    <mergeCell ref="A195:B195"/>
    <mergeCell ref="C195:D195"/>
    <mergeCell ref="F195:G195"/>
    <mergeCell ref="A188:I188"/>
    <mergeCell ref="A189:B189"/>
    <mergeCell ref="C189:D189"/>
    <mergeCell ref="F189:G189"/>
    <mergeCell ref="A190:B190"/>
    <mergeCell ref="C190:D190"/>
    <mergeCell ref="F190:G190"/>
    <mergeCell ref="A191:B191"/>
    <mergeCell ref="C191:D191"/>
    <mergeCell ref="F191:G191"/>
    <mergeCell ref="E4:F4"/>
    <mergeCell ref="A200:B200"/>
    <mergeCell ref="C200:D200"/>
    <mergeCell ref="F200:G200"/>
    <mergeCell ref="A201:B201"/>
    <mergeCell ref="C201:D201"/>
    <mergeCell ref="F201:G201"/>
    <mergeCell ref="A202:B202"/>
    <mergeCell ref="C202:D202"/>
    <mergeCell ref="F202:G202"/>
    <mergeCell ref="A196:B196"/>
    <mergeCell ref="C196:D196"/>
    <mergeCell ref="F196:G196"/>
    <mergeCell ref="A197:B197"/>
    <mergeCell ref="C197:D197"/>
    <mergeCell ref="F197:G197"/>
    <mergeCell ref="A198:I198"/>
    <mergeCell ref="A199:B199"/>
    <mergeCell ref="C199:D199"/>
    <mergeCell ref="F199:G199"/>
    <mergeCell ref="A192:B192"/>
    <mergeCell ref="C192:D192"/>
    <mergeCell ref="F192:G192"/>
    <mergeCell ref="A193:I193"/>
  </mergeCells>
  <hyperlinks>
    <hyperlink ref="C23" r:id="rId1"/>
  </hyperlinks>
  <printOptions horizontalCentered="1"/>
  <pageMargins left="0.27559055118110237" right="0.27559055118110237" top="0.70866141732283472" bottom="0.47244094488188981" header="0.15748031496062992" footer="0.15748031496062992"/>
  <pageSetup paperSize="9" scale="62" fitToHeight="0" orientation="portrait" r:id="rId2"/>
  <headerFooter>
    <oddHeader>&amp;C&amp;25&amp;G</oddHeader>
    <oddFooter>&amp;L&amp;"Times New Roman,Bold"&amp;16Ref No: &amp;F&amp;R&amp;"Times New Roman,Bold"&amp;16&amp;P</oddFooter>
  </headerFooter>
  <rowBreaks count="4" manualBreakCount="4">
    <brk id="49" max="16383" man="1"/>
    <brk id="248" min="1" max="8" man="1"/>
    <brk id="298" max="16383" man="1"/>
    <brk id="33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70" zoomScaleNormal="70" workbookViewId="0">
      <selection activeCell="A13" sqref="A13"/>
    </sheetView>
  </sheetViews>
  <sheetFormatPr defaultRowHeight="14.5" x14ac:dyDescent="0.35"/>
  <sheetData>
    <row r="1" spans="1:1" x14ac:dyDescent="0.35">
      <c r="A1" t="s">
        <v>227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Hp Elitebook 840 G6</cp:lastModifiedBy>
  <cp:lastPrinted>2025-07-06T18:23:26Z</cp:lastPrinted>
  <dcterms:created xsi:type="dcterms:W3CDTF">2010-11-23T11:42:48Z</dcterms:created>
  <dcterms:modified xsi:type="dcterms:W3CDTF">2025-07-06T18:24:42Z</dcterms:modified>
</cp:coreProperties>
</file>