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0FB7175F-A7C5-43F1-93EE-63992612941D}" xr6:coauthVersionLast="47" xr6:coauthVersionMax="47" xr10:uidLastSave="{00000000-0000-0000-0000-000000000000}"/>
  <bookViews>
    <workbookView xWindow="-108" yWindow="-108" windowWidth="23256" windowHeight="12456" xr2:uid="{00000000-000D-0000-FFFF-FFFF00000000}"/>
  </bookViews>
  <sheets>
    <sheet name="Report" sheetId="3" r:id="rId1"/>
  </sheets>
  <definedNames>
    <definedName name="_xlnm.Print_Area" localSheetId="0">Report!$A$1:$I$454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7" i="3" l="1"/>
  <c r="C61" i="3"/>
  <c r="L6" i="3"/>
  <c r="C76" i="3"/>
  <c r="C60" i="3"/>
  <c r="M82" i="3"/>
  <c r="K80" i="3"/>
  <c r="K79" i="3"/>
  <c r="K78" i="3"/>
  <c r="K77" i="3"/>
  <c r="M66" i="3"/>
  <c r="K64" i="3"/>
  <c r="K63" i="3"/>
  <c r="K62" i="3"/>
  <c r="K61" i="3"/>
  <c r="I71" i="3"/>
  <c r="I55" i="3"/>
  <c r="C78" i="3" l="1"/>
  <c r="C62" i="3"/>
  <c r="E84" i="3"/>
  <c r="E82" i="3"/>
  <c r="E80" i="3"/>
  <c r="E78" i="3"/>
  <c r="E76" i="3"/>
  <c r="E74" i="3"/>
  <c r="E77" i="3"/>
  <c r="K74" i="3"/>
  <c r="C73" i="3" s="1"/>
  <c r="F73" i="3" s="1"/>
  <c r="E83" i="3"/>
  <c r="K75" i="3"/>
  <c r="K76" i="3" s="1"/>
  <c r="K81" i="3" s="1"/>
  <c r="K82" i="3" s="1"/>
  <c r="K73" i="3"/>
  <c r="E81" i="3"/>
  <c r="E79" i="3"/>
  <c r="E75" i="3"/>
  <c r="K72" i="3"/>
  <c r="E67" i="3"/>
  <c r="K59" i="3"/>
  <c r="K60" i="3" s="1"/>
  <c r="K65" i="3" s="1"/>
  <c r="K66" i="3" s="1"/>
  <c r="K57" i="3"/>
  <c r="E65" i="3"/>
  <c r="E63" i="3"/>
  <c r="E61" i="3"/>
  <c r="E59" i="3"/>
  <c r="K56" i="3"/>
  <c r="K58" i="3"/>
  <c r="C57" i="3" s="1"/>
  <c r="F57" i="3" s="1"/>
  <c r="H85" i="3" s="1"/>
  <c r="E68" i="3"/>
  <c r="E66" i="3"/>
  <c r="E64" i="3"/>
  <c r="E62" i="3"/>
  <c r="E60" i="3"/>
  <c r="E58" i="3"/>
  <c r="E73" i="3" l="1"/>
  <c r="J70" i="3" s="1"/>
  <c r="H73" i="3" s="1"/>
  <c r="E57" i="3"/>
  <c r="J54" i="3" s="1"/>
  <c r="H57" i="3" s="1"/>
  <c r="F233" i="3" l="1"/>
  <c r="F232" i="3"/>
  <c r="F240" i="3"/>
  <c r="F239" i="3"/>
  <c r="F247" i="3"/>
  <c r="F246" i="3"/>
  <c r="F254" i="3"/>
  <c r="F253" i="3"/>
  <c r="F261" i="3"/>
  <c r="F260" i="3"/>
  <c r="F245" i="3"/>
  <c r="F238" i="3"/>
  <c r="F237" i="3"/>
  <c r="F231" i="3"/>
  <c r="F230" i="3"/>
  <c r="F228" i="3"/>
  <c r="F227" i="3"/>
  <c r="F225" i="3"/>
  <c r="F224" i="3"/>
  <c r="F218" i="3"/>
  <c r="F217" i="3"/>
  <c r="F211" i="3"/>
  <c r="F210" i="3"/>
  <c r="F204" i="3"/>
  <c r="F203" i="3"/>
  <c r="F197" i="3"/>
  <c r="F196" i="3"/>
  <c r="J196" i="3" s="1"/>
  <c r="F194" i="3"/>
  <c r="F193" i="3"/>
  <c r="F115" i="3"/>
  <c r="F168" i="3"/>
  <c r="F167" i="3"/>
  <c r="F161" i="3"/>
  <c r="F160" i="3"/>
  <c r="F154" i="3"/>
  <c r="F153" i="3"/>
  <c r="F151" i="3"/>
  <c r="F150" i="3"/>
  <c r="F141" i="3"/>
  <c r="F140" i="3"/>
  <c r="F134" i="3"/>
  <c r="F133" i="3"/>
  <c r="F127" i="3"/>
  <c r="F126" i="3"/>
  <c r="F120" i="3"/>
  <c r="F119" i="3"/>
  <c r="F116" i="3"/>
  <c r="J230" i="3" l="1"/>
  <c r="J232" i="3"/>
  <c r="L21" i="3"/>
  <c r="K21" i="3"/>
  <c r="J21" i="3"/>
  <c r="F310" i="3"/>
  <c r="F309" i="3"/>
  <c r="I309" i="3" s="1"/>
  <c r="F317" i="3"/>
  <c r="I317" i="3" s="1"/>
  <c r="F316" i="3"/>
  <c r="I316" i="3" s="1"/>
  <c r="F324" i="3"/>
  <c r="F323" i="3"/>
  <c r="I323" i="3" s="1"/>
  <c r="F331" i="3"/>
  <c r="I331" i="3" s="1"/>
  <c r="F330" i="3"/>
  <c r="I330" i="3" s="1"/>
  <c r="F338" i="3"/>
  <c r="I338" i="3" s="1"/>
  <c r="F337" i="3"/>
  <c r="I337" i="3" s="1"/>
  <c r="F340" i="3"/>
  <c r="I340" i="3" s="1"/>
  <c r="F339" i="3"/>
  <c r="I339" i="3" s="1"/>
  <c r="F326" i="3"/>
  <c r="I326" i="3" s="1"/>
  <c r="F325" i="3"/>
  <c r="I325" i="3" s="1"/>
  <c r="F319" i="3"/>
  <c r="I319" i="3" s="1"/>
  <c r="F318" i="3"/>
  <c r="I318" i="3" s="1"/>
  <c r="F312" i="3"/>
  <c r="F311" i="3"/>
  <c r="I311" i="3" s="1"/>
  <c r="F299" i="3"/>
  <c r="I299" i="3" s="1"/>
  <c r="F292" i="3"/>
  <c r="I292" i="3" s="1"/>
  <c r="F285" i="3"/>
  <c r="F322" i="3"/>
  <c r="F315" i="3"/>
  <c r="F314" i="3"/>
  <c r="I314" i="3" s="1"/>
  <c r="F308" i="3"/>
  <c r="I308" i="3" s="1"/>
  <c r="F307" i="3"/>
  <c r="I307" i="3" s="1"/>
  <c r="F305" i="3"/>
  <c r="I305" i="3" s="1"/>
  <c r="F304" i="3"/>
  <c r="I304" i="3" s="1"/>
  <c r="F302" i="3"/>
  <c r="F301" i="3"/>
  <c r="F295" i="3"/>
  <c r="I295" i="3" s="1"/>
  <c r="F294" i="3"/>
  <c r="I294" i="3" s="1"/>
  <c r="F288" i="3"/>
  <c r="F287" i="3"/>
  <c r="I287" i="3" s="1"/>
  <c r="F281" i="3"/>
  <c r="I281" i="3" s="1"/>
  <c r="F280" i="3"/>
  <c r="I280" i="3" s="1"/>
  <c r="F278" i="3"/>
  <c r="F274" i="3"/>
  <c r="F273" i="3"/>
  <c r="F271" i="3"/>
  <c r="I271" i="3" s="1"/>
  <c r="F270" i="3"/>
  <c r="I270" i="3" s="1"/>
  <c r="I254" i="3"/>
  <c r="F242" i="3"/>
  <c r="I242" i="3" s="1"/>
  <c r="F241" i="3"/>
  <c r="I241" i="3" s="1"/>
  <c r="I239" i="3"/>
  <c r="I237" i="3"/>
  <c r="F289" i="3"/>
  <c r="I289" i="3" s="1"/>
  <c r="F275" i="3"/>
  <c r="C336" i="3"/>
  <c r="C337" i="3" s="1"/>
  <c r="C338" i="3" s="1"/>
  <c r="C339" i="3" s="1"/>
  <c r="C340" i="3" s="1"/>
  <c r="I335" i="3"/>
  <c r="F335" i="3"/>
  <c r="A335" i="3"/>
  <c r="F333" i="3"/>
  <c r="I333" i="3" s="1"/>
  <c r="F332" i="3"/>
  <c r="I332" i="3" s="1"/>
  <c r="C329" i="3"/>
  <c r="C330" i="3" s="1"/>
  <c r="C331" i="3" s="1"/>
  <c r="C332" i="3" s="1"/>
  <c r="C333" i="3" s="1"/>
  <c r="A328" i="3"/>
  <c r="I324" i="3"/>
  <c r="I322" i="3"/>
  <c r="C322" i="3"/>
  <c r="C323" i="3" s="1"/>
  <c r="C324" i="3" s="1"/>
  <c r="C325" i="3" s="1"/>
  <c r="C326" i="3" s="1"/>
  <c r="F321" i="3"/>
  <c r="I321" i="3" s="1"/>
  <c r="A321" i="3"/>
  <c r="I315" i="3"/>
  <c r="C315" i="3"/>
  <c r="C316" i="3" s="1"/>
  <c r="C317" i="3" s="1"/>
  <c r="C318" i="3" s="1"/>
  <c r="C319" i="3" s="1"/>
  <c r="A314" i="3"/>
  <c r="I312" i="3"/>
  <c r="I310" i="3"/>
  <c r="C308" i="3"/>
  <c r="C309" i="3" s="1"/>
  <c r="C310" i="3" s="1"/>
  <c r="C311" i="3" s="1"/>
  <c r="C312" i="3" s="1"/>
  <c r="A307" i="3"/>
  <c r="A304" i="3"/>
  <c r="I302" i="3"/>
  <c r="I301" i="3"/>
  <c r="A301" i="3"/>
  <c r="I298" i="3"/>
  <c r="I297" i="3"/>
  <c r="F296" i="3"/>
  <c r="I296" i="3" s="1"/>
  <c r="C295" i="3"/>
  <c r="C296" i="3" s="1"/>
  <c r="C297" i="3" s="1"/>
  <c r="C298" i="3" s="1"/>
  <c r="C299" i="3" s="1"/>
  <c r="A294" i="3"/>
  <c r="I291" i="3"/>
  <c r="I290" i="3"/>
  <c r="I288" i="3"/>
  <c r="C288" i="3"/>
  <c r="C289" i="3" s="1"/>
  <c r="C290" i="3" s="1"/>
  <c r="C291" i="3" s="1"/>
  <c r="C292" i="3" s="1"/>
  <c r="A287" i="3"/>
  <c r="I285" i="3"/>
  <c r="I284" i="3"/>
  <c r="I283" i="3"/>
  <c r="F282" i="3"/>
  <c r="I282" i="3" s="1"/>
  <c r="C281" i="3"/>
  <c r="C282" i="3" s="1"/>
  <c r="C283" i="3" s="1"/>
  <c r="C284" i="3" s="1"/>
  <c r="C285" i="3" s="1"/>
  <c r="A280" i="3"/>
  <c r="I278" i="3"/>
  <c r="I277" i="3"/>
  <c r="I276" i="3"/>
  <c r="I275" i="3"/>
  <c r="I274" i="3"/>
  <c r="C274" i="3"/>
  <c r="C275" i="3" s="1"/>
  <c r="C276" i="3" s="1"/>
  <c r="C277" i="3" s="1"/>
  <c r="C278" i="3" s="1"/>
  <c r="I273" i="3"/>
  <c r="A273" i="3"/>
  <c r="C271" i="3"/>
  <c r="A270" i="3"/>
  <c r="F262" i="3"/>
  <c r="I262" i="3" s="1"/>
  <c r="F263" i="3"/>
  <c r="I263" i="3" s="1"/>
  <c r="I260" i="3"/>
  <c r="F258" i="3"/>
  <c r="I258" i="3" s="1"/>
  <c r="F256" i="3"/>
  <c r="I256" i="3" s="1"/>
  <c r="F255" i="3"/>
  <c r="I245" i="3"/>
  <c r="I247" i="3"/>
  <c r="F248" i="3"/>
  <c r="I248" i="3" s="1"/>
  <c r="F249" i="3"/>
  <c r="I249" i="3" s="1"/>
  <c r="F244" i="3"/>
  <c r="I244" i="3" s="1"/>
  <c r="F234" i="3"/>
  <c r="I234" i="3" s="1"/>
  <c r="F235" i="3"/>
  <c r="I235" i="3" s="1"/>
  <c r="I231" i="3"/>
  <c r="I233" i="3"/>
  <c r="I232" i="3"/>
  <c r="I227" i="3"/>
  <c r="I218" i="3"/>
  <c r="I225" i="3"/>
  <c r="F222" i="3"/>
  <c r="I222" i="3" s="1"/>
  <c r="F219" i="3"/>
  <c r="I219" i="3" s="1"/>
  <c r="F215" i="3"/>
  <c r="F212" i="3"/>
  <c r="I211" i="3"/>
  <c r="F208" i="3"/>
  <c r="F205" i="3"/>
  <c r="J205" i="3" s="1"/>
  <c r="I204" i="3"/>
  <c r="F201" i="3"/>
  <c r="I201" i="3" s="1"/>
  <c r="F198" i="3"/>
  <c r="I198" i="3" s="1"/>
  <c r="I196" i="3"/>
  <c r="I261" i="3"/>
  <c r="C259" i="3"/>
  <c r="C260" i="3" s="1"/>
  <c r="C261" i="3" s="1"/>
  <c r="C262" i="3" s="1"/>
  <c r="C263" i="3" s="1"/>
  <c r="A258" i="3"/>
  <c r="I255" i="3"/>
  <c r="I253" i="3"/>
  <c r="C252" i="3"/>
  <c r="C253" i="3" s="1"/>
  <c r="C254" i="3" s="1"/>
  <c r="C255" i="3" s="1"/>
  <c r="C256" i="3" s="1"/>
  <c r="A251" i="3"/>
  <c r="I246" i="3"/>
  <c r="C245" i="3"/>
  <c r="C246" i="3" s="1"/>
  <c r="C247" i="3" s="1"/>
  <c r="C248" i="3" s="1"/>
  <c r="C249" i="3" s="1"/>
  <c r="A244" i="3"/>
  <c r="A245" i="3" s="1"/>
  <c r="I240" i="3"/>
  <c r="I238" i="3"/>
  <c r="C238" i="3"/>
  <c r="C239" i="3" s="1"/>
  <c r="C240" i="3" s="1"/>
  <c r="C241" i="3" s="1"/>
  <c r="C242" i="3" s="1"/>
  <c r="A237" i="3"/>
  <c r="C231" i="3"/>
  <c r="C232" i="3" s="1"/>
  <c r="C233" i="3" s="1"/>
  <c r="C234" i="3" s="1"/>
  <c r="C235" i="3" s="1"/>
  <c r="I230" i="3"/>
  <c r="A230" i="3"/>
  <c r="I228" i="3"/>
  <c r="A227" i="3"/>
  <c r="I224" i="3"/>
  <c r="A224" i="3"/>
  <c r="I221" i="3"/>
  <c r="I220" i="3"/>
  <c r="C218" i="3"/>
  <c r="C219" i="3" s="1"/>
  <c r="C220" i="3" s="1"/>
  <c r="C221" i="3" s="1"/>
  <c r="C222" i="3" s="1"/>
  <c r="I217" i="3"/>
  <c r="A217" i="3"/>
  <c r="I215" i="3"/>
  <c r="I214" i="3"/>
  <c r="I213" i="3"/>
  <c r="I212" i="3"/>
  <c r="C211" i="3"/>
  <c r="C212" i="3" s="1"/>
  <c r="C213" i="3" s="1"/>
  <c r="C214" i="3" s="1"/>
  <c r="C215" i="3" s="1"/>
  <c r="I210" i="3"/>
  <c r="A210" i="3"/>
  <c r="I208" i="3"/>
  <c r="I207" i="3"/>
  <c r="I206" i="3"/>
  <c r="I205" i="3"/>
  <c r="C204" i="3"/>
  <c r="C205" i="3" s="1"/>
  <c r="C206" i="3" s="1"/>
  <c r="C207" i="3" s="1"/>
  <c r="C208" i="3" s="1"/>
  <c r="I203" i="3"/>
  <c r="A203" i="3"/>
  <c r="I200" i="3"/>
  <c r="I199" i="3"/>
  <c r="I197" i="3"/>
  <c r="C197" i="3"/>
  <c r="C198" i="3" s="1"/>
  <c r="C199" i="3" s="1"/>
  <c r="C200" i="3" s="1"/>
  <c r="C201" i="3" s="1"/>
  <c r="A196" i="3"/>
  <c r="I194" i="3"/>
  <c r="C194" i="3"/>
  <c r="I193" i="3"/>
  <c r="A193" i="3"/>
  <c r="J102" i="3"/>
  <c r="F186" i="3"/>
  <c r="I186" i="3" s="1"/>
  <c r="F185" i="3"/>
  <c r="I185" i="3" s="1"/>
  <c r="F184" i="3"/>
  <c r="I184" i="3" s="1"/>
  <c r="F183" i="3"/>
  <c r="I183" i="3" s="1"/>
  <c r="F182" i="3"/>
  <c r="I182" i="3" s="1"/>
  <c r="C182" i="3"/>
  <c r="C183" i="3" s="1"/>
  <c r="C184" i="3" s="1"/>
  <c r="C185" i="3" s="1"/>
  <c r="C186" i="3" s="1"/>
  <c r="F181" i="3"/>
  <c r="I181" i="3" s="1"/>
  <c r="A181" i="3"/>
  <c r="F175" i="3"/>
  <c r="I175" i="3" s="1"/>
  <c r="F174" i="3"/>
  <c r="I174" i="3" s="1"/>
  <c r="F179" i="3"/>
  <c r="I179" i="3" s="1"/>
  <c r="F178" i="3"/>
  <c r="I178" i="3" s="1"/>
  <c r="F177" i="3"/>
  <c r="I177" i="3" s="1"/>
  <c r="F176" i="3"/>
  <c r="I176" i="3" s="1"/>
  <c r="C175" i="3"/>
  <c r="C176" i="3" s="1"/>
  <c r="C177" i="3" s="1"/>
  <c r="C178" i="3" s="1"/>
  <c r="C179" i="3" s="1"/>
  <c r="A174" i="3"/>
  <c r="F172" i="3"/>
  <c r="I172" i="3" s="1"/>
  <c r="F171" i="3"/>
  <c r="I171" i="3" s="1"/>
  <c r="F170" i="3"/>
  <c r="I170" i="3" s="1"/>
  <c r="F169" i="3"/>
  <c r="I169" i="3" s="1"/>
  <c r="I168" i="3"/>
  <c r="C168" i="3"/>
  <c r="C169" i="3" s="1"/>
  <c r="C170" i="3" s="1"/>
  <c r="C171" i="3" s="1"/>
  <c r="C172" i="3" s="1"/>
  <c r="I167" i="3"/>
  <c r="A167" i="3"/>
  <c r="F163" i="3"/>
  <c r="I163" i="3" s="1"/>
  <c r="F162" i="3"/>
  <c r="I162" i="3" s="1"/>
  <c r="F165" i="3"/>
  <c r="I165" i="3" s="1"/>
  <c r="F164" i="3"/>
  <c r="I164" i="3" s="1"/>
  <c r="I161" i="3"/>
  <c r="I160" i="3"/>
  <c r="C161" i="3"/>
  <c r="C162" i="3" s="1"/>
  <c r="C163" i="3" s="1"/>
  <c r="C164" i="3" s="1"/>
  <c r="C165" i="3" s="1"/>
  <c r="A160" i="3"/>
  <c r="F158" i="3"/>
  <c r="I158" i="3" s="1"/>
  <c r="F157" i="3"/>
  <c r="I157" i="3" s="1"/>
  <c r="I154" i="3"/>
  <c r="I153" i="3"/>
  <c r="C154" i="3"/>
  <c r="C155" i="3" s="1"/>
  <c r="C156" i="3" s="1"/>
  <c r="C157" i="3" s="1"/>
  <c r="C158" i="3" s="1"/>
  <c r="A153" i="3"/>
  <c r="I151" i="3"/>
  <c r="I150" i="3"/>
  <c r="A150" i="3"/>
  <c r="F148" i="3"/>
  <c r="I148" i="3" s="1"/>
  <c r="F147" i="3"/>
  <c r="I147" i="3" s="1"/>
  <c r="A147" i="3"/>
  <c r="I142" i="3"/>
  <c r="F145" i="3"/>
  <c r="I145" i="3" s="1"/>
  <c r="I144" i="3"/>
  <c r="I143" i="3"/>
  <c r="I141" i="3"/>
  <c r="I140" i="3"/>
  <c r="C141" i="3"/>
  <c r="C142" i="3" s="1"/>
  <c r="C143" i="3" s="1"/>
  <c r="C144" i="3" s="1"/>
  <c r="C145" i="3" s="1"/>
  <c r="A140" i="3"/>
  <c r="F138" i="3"/>
  <c r="I138" i="3" s="1"/>
  <c r="I137" i="3"/>
  <c r="I136" i="3"/>
  <c r="F135" i="3"/>
  <c r="I135" i="3" s="1"/>
  <c r="I134" i="3"/>
  <c r="I133" i="3"/>
  <c r="C134" i="3"/>
  <c r="C135" i="3" s="1"/>
  <c r="C136" i="3" s="1"/>
  <c r="C137" i="3" s="1"/>
  <c r="C138" i="3" s="1"/>
  <c r="A133" i="3"/>
  <c r="F131" i="3"/>
  <c r="I131" i="3" s="1"/>
  <c r="I130" i="3"/>
  <c r="I129" i="3"/>
  <c r="F128" i="3"/>
  <c r="I128" i="3" s="1"/>
  <c r="I127" i="3"/>
  <c r="I126" i="3"/>
  <c r="C127" i="3"/>
  <c r="C128" i="3" s="1"/>
  <c r="C129" i="3" s="1"/>
  <c r="C130" i="3" s="1"/>
  <c r="C131" i="3" s="1"/>
  <c r="A126" i="3"/>
  <c r="F124" i="3"/>
  <c r="I124" i="3" s="1"/>
  <c r="I123" i="3"/>
  <c r="I122" i="3"/>
  <c r="F121" i="3"/>
  <c r="I121" i="3" s="1"/>
  <c r="I120" i="3"/>
  <c r="I119" i="3"/>
  <c r="C120" i="3"/>
  <c r="C121" i="3" s="1"/>
  <c r="C122" i="3" s="1"/>
  <c r="C123" i="3" s="1"/>
  <c r="C124" i="3" s="1"/>
  <c r="A119" i="3"/>
  <c r="F117" i="3"/>
  <c r="J115" i="3"/>
  <c r="J19" i="3"/>
  <c r="H98" i="3"/>
  <c r="H97" i="3"/>
  <c r="F102" i="3" l="1"/>
  <c r="F103" i="3"/>
  <c r="I104" i="3"/>
  <c r="H103" i="3"/>
  <c r="F104" i="3"/>
  <c r="H104" i="3"/>
  <c r="J198" i="3"/>
  <c r="H102" i="3"/>
  <c r="I103" i="3"/>
  <c r="C18" i="3"/>
  <c r="F105" i="3" l="1"/>
  <c r="H105" i="3"/>
  <c r="I5" i="3" l="1"/>
  <c r="A115" i="3" l="1"/>
  <c r="C116" i="3"/>
  <c r="C117" i="3" s="1"/>
  <c r="E345" i="3" l="1"/>
  <c r="E344" i="3"/>
  <c r="H99" i="3"/>
  <c r="I116" i="3" l="1"/>
  <c r="I117" i="3"/>
  <c r="I115" i="3"/>
  <c r="I102" i="3" l="1"/>
  <c r="I105" i="3" s="1"/>
  <c r="E346" i="3"/>
</calcChain>
</file>

<file path=xl/sharedStrings.xml><?xml version="1.0" encoding="utf-8"?>
<sst xmlns="http://schemas.openxmlformats.org/spreadsheetml/2006/main" count="643" uniqueCount="277">
  <si>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</si>
  <si>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</si>
  <si>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</si>
  <si>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</si>
  <si>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</si>
  <si>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</si>
  <si>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</si>
  <si>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</si>
  <si>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</si>
  <si>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</si>
  <si>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</si>
  <si>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</si>
  <si>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</si>
  <si>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</si>
  <si>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</si>
  <si>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</si>
  <si>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</si>
  <si>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</si>
  <si>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</si>
  <si>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</si>
  <si>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</si>
  <si>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</si>
  <si>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</si>
  <si>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</si>
  <si>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</si>
  <si>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</si>
  <si>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</si>
  <si>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</si>
  <si>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</si>
  <si>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</si>
  <si>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</si>
  <si>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</si>
  <si>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</si>
  <si>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</si>
  <si>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</si>
  <si>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</si>
  <si>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</si>
  <si>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</si>
  <si>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</si>
  <si>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</si>
  <si>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</si>
  <si>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</si>
  <si>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</si>
  <si>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</si>
  <si>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</si>
  <si>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</si>
  <si>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</si>
  <si>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</si>
  <si>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</si>
  <si>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</si>
  <si>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</si>
  <si>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</si>
  <si>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</si>
  <si>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</si>
  <si>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</si>
  <si>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</si>
  <si>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</si>
  <si>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</si>
  <si>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</si>
  <si>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</si>
  <si>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</si>
  <si>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</si>
  <si>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</si>
  <si>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</si>
  <si>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</si>
  <si>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</si>
  <si>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</si>
  <si>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</si>
  <si>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</si>
  <si>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</si>
  <si>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</si>
  <si>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</si>
  <si>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</si>
  <si>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</si>
  <si>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</si>
  <si>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</si>
  <si>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</si>
  <si>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</si>
  <si>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</si>
  <si>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</si>
  <si>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</si>
  <si>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</si>
  <si>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</si>
  <si>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</si>
  <si>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</si>
  <si>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</si>
  <si>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</si>
  <si>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</si>
  <si>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</si>
  <si>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</si>
  <si>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</si>
  <si>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</si>
  <si>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</si>
  <si>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</si>
  <si>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</si>
  <si>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</si>
  <si>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</si>
  <si>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</si>
  <si>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</si>
  <si>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</si>
  <si>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</si>
  <si>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</si>
  <si>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</si>
  <si>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</si>
  <si>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</si>
  <si>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</si>
  <si>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</si>
  <si>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</si>
  <si>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</si>
  <si>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</si>
  <si>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</si>
  <si>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</si>
  <si>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</si>
  <si>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</si>
  <si>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</si>
  <si>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</si>
  <si>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</si>
  <si>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</si>
  <si>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</si>
  <si>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</si>
  <si>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</si>
  <si>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</si>
  <si>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</si>
  <si>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</si>
  <si>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</si>
  <si>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</si>
  <si>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</si>
  <si>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</si>
  <si>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</si>
  <si>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</si>
  <si>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</si>
  <si>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</si>
  <si>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</si>
  <si>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</si>
  <si>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</si>
  <si>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</si>
  <si>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</si>
  <si>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</si>
  <si>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</si>
  <si>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</si>
  <si>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</si>
  <si>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</si>
  <si>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</si>
  <si>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</si>
  <si>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</si>
  <si>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</si>
  <si>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</si>
  <si>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</si>
  <si>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</si>
  <si>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</si>
  <si>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</si>
  <si>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</si>
  <si>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</si>
  <si>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</si>
  <si>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</si>
  <si>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</si>
  <si>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</si>
  <si>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</si>
  <si>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</si>
  <si>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</si>
  <si>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</si>
  <si>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</si>
  <si>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</si>
  <si>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</si>
  <si>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</si>
  <si>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</si>
  <si>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</si>
  <si>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</si>
  <si>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</si>
  <si>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</si>
  <si>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</si>
  <si>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</si>
  <si>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</si>
  <si>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</si>
  <si>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</si>
  <si>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</si>
  <si>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</si>
  <si>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</si>
  <si>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</si>
  <si>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</si>
  <si>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</si>
  <si>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</si>
  <si>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</si>
  <si>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</si>
  <si>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</si>
  <si>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</si>
  <si>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</si>
  <si>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</si>
  <si>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</si>
  <si>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</si>
  <si>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</si>
  <si>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</si>
  <si>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</si>
  <si>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Approved Layout &amp; Floor Plans, CC, RERA certificate, NOC</t>
  </si>
  <si>
    <t xml:space="preserve">Bellanza Phase 1 ­ Wing A, B, C at The Prestige City    </t>
  </si>
  <si>
    <t xml:space="preserve">Prestige Estates Projects Limited
</t>
  </si>
  <si>
    <t>1001 C BKC Capital, BKC west</t>
  </si>
  <si>
    <t>Ariisto Developers Private Limited</t>
  </si>
  <si>
    <t xml:space="preserve">Slum Rehabilitation Authority
</t>
  </si>
  <si>
    <t>P51800045339</t>
  </si>
  <si>
    <t xml:space="preserve">Kotak Mahindra Bank
IFSC Code - KKBK0000422
</t>
  </si>
  <si>
    <t>Middle</t>
  </si>
  <si>
    <t xml:space="preserve">4.5KM from Mulund Railway Station
</t>
  </si>
  <si>
    <t>About 1KM form Apex Hospitals Mulund</t>
  </si>
  <si>
    <t>500 M from Swapna Nagari Bus Stop</t>
  </si>
  <si>
    <t>About 850M from St. George High School</t>
  </si>
  <si>
    <t>1. Approx. 1KM from Shree Balaji Supermarket.
2. Approx. 3KM from Mulund Main Market.</t>
  </si>
  <si>
    <t>Siesta at Ariisto Heaven</t>
  </si>
  <si>
    <t xml:space="preserve">Siesta </t>
  </si>
  <si>
    <t>Road</t>
  </si>
  <si>
    <t>Open Plot</t>
  </si>
  <si>
    <t>A Wing</t>
  </si>
  <si>
    <t>B Wing</t>
  </si>
  <si>
    <t>B + Gr + 1st to 7th P + 8th to 54th Floor</t>
  </si>
  <si>
    <t>C Wing</t>
  </si>
  <si>
    <t>SRA/DDTP/518/T/PL/AP
Date:13/04/2022
Valid Up to: This CC is endorsed a plinth C.C for wing 'A', wing 'B', 'C', 'D', 'E' and 'F" together with common basement of sale building No - 2 as per amended approved plan dated 13/04/2022.</t>
  </si>
  <si>
    <t xml:space="preserve">A Wing </t>
  </si>
  <si>
    <t>BT-1/NOCC/CS/MUM/14/NOCAS /247/1356/702-05
Date: 05/08/2014</t>
  </si>
  <si>
    <t>SEAC-2014/CR-92/TC-1
Date: 11/03/2016</t>
  </si>
  <si>
    <t>Basement Floor For Parking</t>
  </si>
  <si>
    <t>Ground Floor For Parking</t>
  </si>
  <si>
    <t>1st Podium Floor For Parking</t>
  </si>
  <si>
    <t>2nd Podium Floor For Parking</t>
  </si>
  <si>
    <t>3rd Podium Floor For Parking &amp; Residential</t>
  </si>
  <si>
    <t>3BHK</t>
  </si>
  <si>
    <t>4th Podium Floor For Parking &amp; Residential</t>
  </si>
  <si>
    <t>2BHK</t>
  </si>
  <si>
    <t>Parking Area</t>
  </si>
  <si>
    <t>5th Podium Floor For Parking &amp; Residential</t>
  </si>
  <si>
    <t>6th Podium Floor For Parking &amp; Residential</t>
  </si>
  <si>
    <t>7th Podium Floor For Parking &amp; Residential</t>
  </si>
  <si>
    <t>8th Podium Floor For Parking, Residential &amp; Club House</t>
  </si>
  <si>
    <t>9th Podium Floor For Parking, Residential, Steam &amp; Sauna</t>
  </si>
  <si>
    <t>10th Floor For Residential &amp; Sauna Area</t>
  </si>
  <si>
    <t>Sauna Area</t>
  </si>
  <si>
    <t>14th, 21st, 28th, 35th &amp; 42nd Floor For Residential</t>
  </si>
  <si>
    <t>MP Room</t>
  </si>
  <si>
    <t>15th, 22nd, 29th, 36th &amp; 43rd Floor For Residential (Part Refuge Area)</t>
  </si>
  <si>
    <t>50th Floor For Residential (Part Refuge Area)</t>
  </si>
  <si>
    <t>Flats</t>
  </si>
  <si>
    <t xml:space="preserve">B Wing </t>
  </si>
  <si>
    <t>8th Podium Floor For Residential &amp; Double Height</t>
  </si>
  <si>
    <t>9th Podium Floor For Residential &amp; Double Height</t>
  </si>
  <si>
    <t>4BHK (Duplex with 14th, 21st, 28th, 35th &amp; 42nd)</t>
  </si>
  <si>
    <t>Refuge Area</t>
  </si>
  <si>
    <t xml:space="preserve">C Wing </t>
  </si>
  <si>
    <t>10th Floor For Residential</t>
  </si>
  <si>
    <t>Shop = NA</t>
  </si>
  <si>
    <t>Residential</t>
  </si>
  <si>
    <t>As per RERA Site - Flats = 848</t>
  </si>
  <si>
    <t>Project Name as per RERA</t>
  </si>
  <si>
    <t>Bellanza Phase 1 ­ Wing A, B, C</t>
  </si>
  <si>
    <t>11th to 13th, 16th to 20th, 23rd to 27th, 30th to 34th, 37th to 41st, 44th to 49th &amp; 51st to 54th Floor For Residential</t>
  </si>
  <si>
    <t>Flats = 848</t>
  </si>
  <si>
    <t xml:space="preserve">SRA/DDTP/0548/T/PL/layout
Date: 24/03/2022
</t>
  </si>
  <si>
    <t xml:space="preserve">SRA/DDTP/0518/T/PL/AP
Date: 13/04/2022
</t>
  </si>
  <si>
    <t>Bellanza Phase 1 ­ Wing A, B, C at The Prestige City, Village. Mulund, Veena Nagar, Road - Agrawal Road, Mulund West, Mumbai, Kurla, Maharashtra - 400080</t>
  </si>
  <si>
    <t>Bellanza Phase 1 ­ Wing A, B, C at The Prestige City, CTS No. 19/1 to 19/13, Village. Mulund, Veena Nagar, Road - Agrawal Road, Mulund West, Kurla, Mumbai, Maharashtra - 400080</t>
  </si>
  <si>
    <t>Bellanza Phase 1 ­ Wing A, B, C at The Prestige City, Village. Mulund, Situated Near. Veena Nagar, Road - Agrawal Road, Mulund West, Kurla, Mumbai, Maharashtra - 400080</t>
  </si>
  <si>
    <t>4BHK
 (Duplex with 15th, 22nd, 29th, 36th &amp; 43rd)</t>
  </si>
  <si>
    <t>19500 to 21000</t>
  </si>
  <si>
    <t>80/- from 4th Floor</t>
  </si>
  <si>
    <t>On Carpet area</t>
  </si>
  <si>
    <t>10,00,000/-</t>
  </si>
  <si>
    <t>Wing B &amp; C = B + Gr + 1st to 7th P + 8th to 54th Floor</t>
  </si>
  <si>
    <t>Wing A = B + Gr + 1st to 7th P + 8th to 54th Floor</t>
  </si>
  <si>
    <t>https://goo.gl/maps/GHpdSw58Hxzxmpr96</t>
  </si>
  <si>
    <t>Location Link</t>
  </si>
  <si>
    <t>External Plaster</t>
  </si>
  <si>
    <t>External Plumbing, Elevation and Waterproofing</t>
  </si>
  <si>
    <t>Wooden Work</t>
  </si>
  <si>
    <t>Electrical &amp; Sanitary fittings</t>
  </si>
  <si>
    <t>Mr. Nainesh Tambe</t>
  </si>
  <si>
    <t>Ms.Arpita 7795805135</t>
  </si>
  <si>
    <t xml:space="preserve">1. Construction work is in process at the time of Visit. Internal visit was not allowed. 
2. We considered  Saleable area as per our calculation.
3. We considered Carpet area as per Approved Plan.
4. We considered Gross carpet area = Net carpet + Enclose balcony + Deck Area.
5. We have considered rate by verifying it from market inquire.
6. Car parking is subjected to authentic documentation.
7. We have updated the revised construction table on dated 21/11/2024, which is shared with us by the Godrej officials
8. Please Provide latest approved plans &amp; revised CC.
7. On Site, we meet Mr.Chiny Jaiswal (Sale) -8147170638.
</t>
  </si>
  <si>
    <t>07/07/2025 @04:00PM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</si>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</sst>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u/>
      <sz val="11"/>
      <color theme="10"/>
      <name val="Calibri"/>
      <family val="2"/>
    </font>
    <font>
      <u/>
      <sz val="14"/>
      <color theme="10"/>
      <name val="Calibri"/>
      <family val="2"/>
    </font>
    <font>
      <sz val="14"/>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0" fillId="0" borderId="0" applyNumberFormat="0" applyFill="0" applyBorder="0" applyAlignment="0" applyProtection="0"/>
  </cellStyleXfs>
  <cellXfs count="157">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2"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3" fillId="0" borderId="16" xfId="1" applyFont="1" applyBorder="1" applyProtection="1">
      <protection hidden="1"/>
    </xf>
    <xf numFmtId="0" fontId="3" fillId="0" borderId="0" xfId="1"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3" xfId="0" applyFont="1" applyBorder="1" applyAlignment="1">
      <alignment horizontal="center" vertical="top" wrapText="1"/>
    </xf>
    <xf numFmtId="14" fontId="4" fillId="4" borderId="2"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4" xfId="0" applyFont="1" applyFill="1" applyBorder="1" applyAlignment="1">
      <alignment horizontal="left" vertical="top" wrapText="1"/>
    </xf>
    <xf numFmtId="0" fontId="4" fillId="4" borderId="3" xfId="0" applyFont="1" applyFill="1" applyBorder="1" applyAlignment="1">
      <alignment horizontal="left" vertical="top" wrapText="1"/>
    </xf>
    <xf numFmtId="0" fontId="11" fillId="4" borderId="2" xfId="2" applyFont="1" applyFill="1" applyBorder="1" applyAlignment="1">
      <alignment horizontal="left" vertical="top" wrapText="1"/>
    </xf>
    <xf numFmtId="0" fontId="12" fillId="4" borderId="3" xfId="0" applyFont="1" applyFill="1" applyBorder="1" applyAlignment="1">
      <alignment horizontal="left" vertical="top" wrapText="1"/>
    </xf>
    <xf numFmtId="0" fontId="12" fillId="4" borderId="5"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14" fontId="4" fillId="4" borderId="3"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0" borderId="1" xfId="0" applyFont="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4" fontId="4" fillId="4" borderId="6" xfId="0" applyNumberFormat="1" applyFont="1" applyFill="1" applyBorder="1" applyAlignment="1">
      <alignment horizontal="left" vertical="top" wrapText="1"/>
    </xf>
    <xf numFmtId="14" fontId="4" fillId="4" borderId="8" xfId="0" applyNumberFormat="1" applyFont="1" applyFill="1" applyBorder="1" applyAlignment="1">
      <alignment horizontal="left"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4" fontId="4" fillId="4" borderId="7"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418</xdr:row>
      <xdr:rowOff>28036</xdr:rowOff>
    </xdr:from>
    <xdr:to>
      <xdr:col>7</xdr:col>
      <xdr:colOff>1295273</xdr:colOff>
      <xdr:row>433</xdr:row>
      <xdr:rowOff>118503</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232422" y="119060770"/>
          <a:ext cx="6752304" cy="3960000"/>
        </a:xfrm>
        <a:prstGeom prst="rect">
          <a:avLst/>
        </a:prstGeom>
        <a:ln>
          <a:solidFill>
            <a:schemeClr val="tx1"/>
          </a:solidFill>
        </a:ln>
      </xdr:spPr>
    </xdr:pic>
    <xdr:clientData/>
  </xdr:twoCellAnchor>
  <xdr:twoCellAnchor editAs="oneCell">
    <xdr:from>
      <xdr:col>1</xdr:col>
      <xdr:colOff>0</xdr:colOff>
      <xdr:row>402</xdr:row>
      <xdr:rowOff>0</xdr:rowOff>
    </xdr:from>
    <xdr:to>
      <xdr:col>7</xdr:col>
      <xdr:colOff>1295273</xdr:colOff>
      <xdr:row>417</xdr:row>
      <xdr:rowOff>90468</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32422" y="114905234"/>
          <a:ext cx="6752304" cy="3960000"/>
        </a:xfrm>
        <a:prstGeom prst="rect">
          <a:avLst/>
        </a:prstGeom>
        <a:ln>
          <a:solidFill>
            <a:schemeClr val="tx1"/>
          </a:solidFill>
        </a:ln>
      </xdr:spPr>
    </xdr:pic>
    <xdr:clientData/>
  </xdr:twoCellAnchor>
  <xdr:twoCellAnchor>
    <xdr:from>
      <xdr:col>9</xdr:col>
      <xdr:colOff>1089052</xdr:colOff>
      <xdr:row>346</xdr:row>
      <xdr:rowOff>116743</xdr:rowOff>
    </xdr:from>
    <xdr:to>
      <xdr:col>24</xdr:col>
      <xdr:colOff>623040</xdr:colOff>
      <xdr:row>385</xdr:row>
      <xdr:rowOff>158035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11766017" y="107549778"/>
          <a:ext cx="9637211" cy="10529998"/>
          <a:chOff x="443593" y="107340069"/>
          <a:chExt cx="9399646" cy="10124185"/>
        </a:xfrm>
      </xdr:grpSpPr>
      <xdr:pic>
        <xdr:nvPicPr>
          <xdr:cNvPr id="23" name="Picture 22" descr="https://vsjcllp.vsjadon.com/upload/insp-232586-845.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9534" y="113633249"/>
            <a:ext cx="2884428" cy="38282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2586-844.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49433" y="113635971"/>
            <a:ext cx="2884428" cy="38282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2586-848.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3593" y="107340069"/>
            <a:ext cx="4637967" cy="61520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32586-861.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08814" y="107341553"/>
            <a:ext cx="4634425" cy="615562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32586-860.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00" y="113630775"/>
            <a:ext cx="2882226" cy="3826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770964</xdr:colOff>
      <xdr:row>48</xdr:row>
      <xdr:rowOff>0</xdr:rowOff>
    </xdr:from>
    <xdr:to>
      <xdr:col>14</xdr:col>
      <xdr:colOff>262306</xdr:colOff>
      <xdr:row>52</xdr:row>
      <xdr:rowOff>41404</xdr:rowOff>
    </xdr:to>
    <xdr:pic>
      <xdr:nvPicPr>
        <xdr:cNvPr id="2" name="Picture 1">
          <a:extLst>
            <a:ext uri="{FF2B5EF4-FFF2-40B4-BE49-F238E27FC236}">
              <a16:creationId xmlns:a16="http://schemas.microsoft.com/office/drawing/2014/main" id="{08975F5A-FD5E-A5C4-0D69-437E73EA78A1}"/>
            </a:ext>
          </a:extLst>
        </xdr:cNvPr>
        <xdr:cNvPicPr>
          <a:picLocks noChangeAspect="1"/>
        </xdr:cNvPicPr>
      </xdr:nvPicPr>
      <xdr:blipFill>
        <a:blip xmlns:r="http://schemas.openxmlformats.org/officeDocument/2006/relationships" r:embed="rId8"/>
        <a:stretch>
          <a:fillRect/>
        </a:stretch>
      </xdr:blipFill>
      <xdr:spPr>
        <a:xfrm>
          <a:off x="13769788" y="21829059"/>
          <a:ext cx="2880000" cy="3779686"/>
        </a:xfrm>
        <a:prstGeom prst="rect">
          <a:avLst/>
        </a:prstGeom>
      </xdr:spPr>
    </xdr:pic>
    <xdr:clientData/>
  </xdr:twoCellAnchor>
  <xdr:twoCellAnchor>
    <xdr:from>
      <xdr:col>0</xdr:col>
      <xdr:colOff>1909483</xdr:colOff>
      <xdr:row>347</xdr:row>
      <xdr:rowOff>17929</xdr:rowOff>
    </xdr:from>
    <xdr:to>
      <xdr:col>7</xdr:col>
      <xdr:colOff>1219200</xdr:colOff>
      <xdr:row>384</xdr:row>
      <xdr:rowOff>98611</xdr:rowOff>
    </xdr:to>
    <xdr:grpSp>
      <xdr:nvGrpSpPr>
        <xdr:cNvPr id="4" name="Group 3">
          <a:extLst>
            <a:ext uri="{FF2B5EF4-FFF2-40B4-BE49-F238E27FC236}">
              <a16:creationId xmlns:a16="http://schemas.microsoft.com/office/drawing/2014/main" id="{3C017D9D-DA1A-88A3-3D93-787FD18B40F1}"/>
            </a:ext>
          </a:extLst>
        </xdr:cNvPr>
        <xdr:cNvGrpSpPr/>
      </xdr:nvGrpSpPr>
      <xdr:grpSpPr>
        <a:xfrm>
          <a:off x="1909483" y="107719905"/>
          <a:ext cx="6633882" cy="10031506"/>
          <a:chOff x="444843" y="148281"/>
          <a:chExt cx="5943746" cy="8921318"/>
        </a:xfrm>
      </xdr:grpSpPr>
      <xdr:pic>
        <xdr:nvPicPr>
          <xdr:cNvPr id="5" name="Picture 4">
            <a:extLst>
              <a:ext uri="{FF2B5EF4-FFF2-40B4-BE49-F238E27FC236}">
                <a16:creationId xmlns:a16="http://schemas.microsoft.com/office/drawing/2014/main" id="{EBEF544A-1BDB-84E1-D036-11F290EA51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3508589" y="7269599"/>
            <a:ext cx="1350000" cy="1800000"/>
          </a:xfrm>
          <a:prstGeom prst="rect">
            <a:avLst/>
          </a:prstGeom>
          <a:ln>
            <a:solidFill>
              <a:schemeClr val="tx1"/>
            </a:solidFill>
          </a:ln>
        </xdr:spPr>
      </xdr:pic>
      <xdr:pic>
        <xdr:nvPicPr>
          <xdr:cNvPr id="6" name="Picture 5">
            <a:extLst>
              <a:ext uri="{FF2B5EF4-FFF2-40B4-BE49-F238E27FC236}">
                <a16:creationId xmlns:a16="http://schemas.microsoft.com/office/drawing/2014/main" id="{A587803C-8BAA-45D7-35AA-BDD6D1AA37C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4843" y="148281"/>
            <a:ext cx="2880000" cy="3840000"/>
          </a:xfrm>
          <a:prstGeom prst="rect">
            <a:avLst/>
          </a:prstGeom>
          <a:ln>
            <a:solidFill>
              <a:schemeClr val="tx1"/>
            </a:solidFill>
          </a:ln>
        </xdr:spPr>
      </xdr:pic>
      <xdr:pic>
        <xdr:nvPicPr>
          <xdr:cNvPr id="7" name="Picture 6">
            <a:extLst>
              <a:ext uri="{FF2B5EF4-FFF2-40B4-BE49-F238E27FC236}">
                <a16:creationId xmlns:a16="http://schemas.microsoft.com/office/drawing/2014/main" id="{101D9801-69C4-6CC8-FF04-02971752E39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999412" y="7269599"/>
            <a:ext cx="1350000" cy="1800000"/>
          </a:xfrm>
          <a:prstGeom prst="rect">
            <a:avLst/>
          </a:prstGeom>
          <a:ln>
            <a:solidFill>
              <a:schemeClr val="tx1"/>
            </a:solidFill>
          </a:ln>
        </xdr:spPr>
      </xdr:pic>
      <xdr:pic>
        <xdr:nvPicPr>
          <xdr:cNvPr id="10" name="Picture 9">
            <a:extLst>
              <a:ext uri="{FF2B5EF4-FFF2-40B4-BE49-F238E27FC236}">
                <a16:creationId xmlns:a16="http://schemas.microsoft.com/office/drawing/2014/main" id="{A7B0158C-9A2C-9C5C-3EB2-189C1098021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08589" y="4188940"/>
            <a:ext cx="2160000" cy="2880000"/>
          </a:xfrm>
          <a:prstGeom prst="rect">
            <a:avLst/>
          </a:prstGeom>
          <a:ln>
            <a:solidFill>
              <a:schemeClr val="tx1"/>
            </a:solidFill>
          </a:ln>
        </xdr:spPr>
      </xdr:pic>
      <xdr:pic>
        <xdr:nvPicPr>
          <xdr:cNvPr id="11" name="Picture 10">
            <a:extLst>
              <a:ext uri="{FF2B5EF4-FFF2-40B4-BE49-F238E27FC236}">
                <a16:creationId xmlns:a16="http://schemas.microsoft.com/office/drawing/2014/main" id="{25FB0B5A-D2AB-D6CD-6EAC-8186776EE1F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508589" y="148281"/>
            <a:ext cx="2880000" cy="3840000"/>
          </a:xfrm>
          <a:prstGeom prst="rect">
            <a:avLst/>
          </a:prstGeom>
          <a:ln>
            <a:solidFill>
              <a:schemeClr val="tx1"/>
            </a:solidFill>
          </a:ln>
        </xdr:spPr>
      </xdr:pic>
      <xdr:pic>
        <xdr:nvPicPr>
          <xdr:cNvPr id="12" name="Picture 11">
            <a:extLst>
              <a:ext uri="{FF2B5EF4-FFF2-40B4-BE49-F238E27FC236}">
                <a16:creationId xmlns:a16="http://schemas.microsoft.com/office/drawing/2014/main" id="{CE52E1C7-DAEE-778A-7D97-4AB86861A0C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1164843" y="4188940"/>
            <a:ext cx="2160000" cy="28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HpdSw58Hxzxmpr9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54"/>
  <sheetViews>
    <sheetView tabSelected="1" view="pageBreakPreview" zoomScale="85" zoomScaleNormal="85" zoomScaleSheetLayoutView="85" zoomScalePageLayoutView="70" workbookViewId="0">
      <selection activeCell="J4" sqref="J4"/>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113" t="s">
        <v>43</v>
      </c>
      <c r="B1" s="114"/>
      <c r="C1" s="114"/>
      <c r="D1" s="114"/>
      <c r="E1" s="114"/>
      <c r="F1" s="114"/>
      <c r="G1" s="114"/>
      <c r="H1" s="114"/>
      <c r="I1" s="115"/>
    </row>
    <row r="2" spans="1:12" ht="42" customHeight="1" x14ac:dyDescent="0.3">
      <c r="A2" s="122" t="s">
        <v>11</v>
      </c>
      <c r="B2" s="122"/>
      <c r="C2" s="122"/>
      <c r="D2" s="4" t="s">
        <v>4</v>
      </c>
      <c r="E2" s="123" t="s">
        <v>97</v>
      </c>
      <c r="F2" s="123"/>
      <c r="G2" s="73" t="s">
        <v>15</v>
      </c>
      <c r="H2" s="73"/>
      <c r="I2" s="50">
        <v>45840</v>
      </c>
    </row>
    <row r="3" spans="1:12" ht="20.25" customHeight="1" x14ac:dyDescent="0.3">
      <c r="A3" s="82" t="s">
        <v>44</v>
      </c>
      <c r="B3" s="83"/>
      <c r="C3" s="84"/>
      <c r="D3" s="21" t="s">
        <v>4</v>
      </c>
      <c r="E3" s="127" t="s">
        <v>251</v>
      </c>
      <c r="F3" s="128"/>
      <c r="G3" s="103" t="s">
        <v>192</v>
      </c>
      <c r="H3" s="105"/>
      <c r="I3" s="137" t="s">
        <v>275</v>
      </c>
    </row>
    <row r="4" spans="1:12" ht="42.75" customHeight="1" x14ac:dyDescent="0.3">
      <c r="A4" s="82" t="s">
        <v>250</v>
      </c>
      <c r="B4" s="83"/>
      <c r="C4" s="84"/>
      <c r="D4" s="21" t="s">
        <v>4</v>
      </c>
      <c r="E4" s="88" t="s">
        <v>194</v>
      </c>
      <c r="F4" s="96"/>
      <c r="G4" s="109"/>
      <c r="H4" s="111"/>
      <c r="I4" s="138"/>
    </row>
    <row r="5" spans="1:12" ht="43.5" customHeight="1" x14ac:dyDescent="0.3">
      <c r="A5" s="82" t="s">
        <v>41</v>
      </c>
      <c r="B5" s="83"/>
      <c r="C5" s="84"/>
      <c r="D5" s="28" t="s">
        <v>4</v>
      </c>
      <c r="E5" s="88" t="s">
        <v>273</v>
      </c>
      <c r="F5" s="89"/>
      <c r="G5" s="73" t="s">
        <v>38</v>
      </c>
      <c r="H5" s="73"/>
      <c r="I5" s="18" t="str">
        <f ca="1">TEXT(TODAY(),"DD/MM/YYYY")</f>
        <v>08/07/2025</v>
      </c>
      <c r="K5" s="156">
        <v>45773</v>
      </c>
      <c r="L5" s="156">
        <v>45845</v>
      </c>
    </row>
    <row r="6" spans="1:12" ht="21" x14ac:dyDescent="0.3">
      <c r="A6" s="112" t="s">
        <v>45</v>
      </c>
      <c r="B6" s="112"/>
      <c r="C6" s="112"/>
      <c r="D6" s="112"/>
      <c r="E6" s="112"/>
      <c r="F6" s="112"/>
      <c r="G6" s="112"/>
      <c r="H6" s="112"/>
      <c r="I6" s="129"/>
      <c r="L6" s="1">
        <f>L5-K5</f>
        <v>72</v>
      </c>
    </row>
    <row r="7" spans="1:12" ht="43.5" customHeight="1" x14ac:dyDescent="0.3">
      <c r="A7" s="124" t="s">
        <v>34</v>
      </c>
      <c r="B7" s="124"/>
      <c r="C7" s="124"/>
      <c r="D7" s="2" t="s">
        <v>4</v>
      </c>
      <c r="E7" s="22" t="s">
        <v>110</v>
      </c>
      <c r="F7" s="21" t="s">
        <v>40</v>
      </c>
      <c r="G7" s="2" t="s">
        <v>4</v>
      </c>
      <c r="H7" s="72" t="s">
        <v>276</v>
      </c>
      <c r="I7" s="72"/>
    </row>
    <row r="8" spans="1:12" ht="46.5" customHeight="1" x14ac:dyDescent="0.3">
      <c r="A8" s="124" t="s">
        <v>47</v>
      </c>
      <c r="B8" s="124"/>
      <c r="C8" s="124"/>
      <c r="D8" s="2" t="s">
        <v>4</v>
      </c>
      <c r="E8" s="5" t="s">
        <v>197</v>
      </c>
      <c r="F8" s="21" t="s">
        <v>48</v>
      </c>
      <c r="G8" s="2" t="s">
        <v>4</v>
      </c>
      <c r="H8" s="88" t="s">
        <v>195</v>
      </c>
      <c r="I8" s="89"/>
    </row>
    <row r="9" spans="1:12" ht="21" x14ac:dyDescent="0.3">
      <c r="A9" s="124" t="s">
        <v>49</v>
      </c>
      <c r="B9" s="124"/>
      <c r="C9" s="124"/>
      <c r="D9" s="2" t="s">
        <v>4</v>
      </c>
      <c r="E9" s="125" t="s">
        <v>196</v>
      </c>
      <c r="F9" s="125"/>
      <c r="G9" s="125"/>
      <c r="H9" s="125"/>
      <c r="I9" s="125"/>
    </row>
    <row r="10" spans="1:12" ht="60" customHeight="1" x14ac:dyDescent="0.3">
      <c r="A10" s="73" t="s">
        <v>180</v>
      </c>
      <c r="B10" s="21" t="s">
        <v>4</v>
      </c>
      <c r="C10" s="21" t="s">
        <v>46</v>
      </c>
      <c r="D10" s="2" t="s">
        <v>4</v>
      </c>
      <c r="E10" s="88" t="s">
        <v>258</v>
      </c>
      <c r="F10" s="96"/>
      <c r="G10" s="96"/>
      <c r="H10" s="96"/>
      <c r="I10" s="89"/>
    </row>
    <row r="11" spans="1:12" ht="66" customHeight="1" x14ac:dyDescent="0.3">
      <c r="A11" s="73"/>
      <c r="B11" s="21" t="s">
        <v>4</v>
      </c>
      <c r="C11" s="21" t="s">
        <v>14</v>
      </c>
      <c r="D11" s="2" t="s">
        <v>4</v>
      </c>
      <c r="E11" s="88" t="s">
        <v>257</v>
      </c>
      <c r="F11" s="96"/>
      <c r="G11" s="96"/>
      <c r="H11" s="96"/>
      <c r="I11" s="89"/>
    </row>
    <row r="12" spans="1:12" ht="42" customHeight="1" x14ac:dyDescent="0.3">
      <c r="A12" s="73"/>
      <c r="B12" s="21" t="s">
        <v>4</v>
      </c>
      <c r="C12" s="21" t="s">
        <v>5</v>
      </c>
      <c r="D12" s="2" t="s">
        <v>4</v>
      </c>
      <c r="E12" s="88" t="s">
        <v>256</v>
      </c>
      <c r="F12" s="96"/>
      <c r="G12" s="96"/>
      <c r="H12" s="96"/>
      <c r="I12" s="89"/>
    </row>
    <row r="13" spans="1:12" ht="21" x14ac:dyDescent="0.3">
      <c r="A13" s="73" t="s">
        <v>39</v>
      </c>
      <c r="B13" s="73"/>
      <c r="C13" s="73"/>
      <c r="D13" s="2" t="s">
        <v>4</v>
      </c>
      <c r="E13" s="72" t="s">
        <v>193</v>
      </c>
      <c r="F13" s="72"/>
      <c r="G13" s="72"/>
      <c r="H13" s="72"/>
      <c r="I13" s="72"/>
    </row>
    <row r="14" spans="1:12" ht="20.100000000000001" customHeight="1" x14ac:dyDescent="0.3">
      <c r="A14" s="112" t="s">
        <v>50</v>
      </c>
      <c r="B14" s="112"/>
      <c r="C14" s="112"/>
      <c r="D14" s="112"/>
      <c r="E14" s="112"/>
      <c r="F14" s="112"/>
      <c r="G14" s="112"/>
      <c r="H14" s="112"/>
      <c r="I14" s="112"/>
    </row>
    <row r="15" spans="1:12" ht="63" x14ac:dyDescent="0.3">
      <c r="A15" s="21" t="s">
        <v>32</v>
      </c>
      <c r="B15" s="2" t="s">
        <v>4</v>
      </c>
      <c r="C15" s="91" t="s">
        <v>98</v>
      </c>
      <c r="D15" s="95"/>
      <c r="E15" s="92"/>
      <c r="F15" s="17" t="s">
        <v>51</v>
      </c>
      <c r="G15" s="2" t="s">
        <v>4</v>
      </c>
      <c r="H15" s="72" t="s">
        <v>198</v>
      </c>
      <c r="I15" s="72"/>
    </row>
    <row r="16" spans="1:12" ht="42" x14ac:dyDescent="0.3">
      <c r="A16" s="21" t="s">
        <v>52</v>
      </c>
      <c r="B16" s="2" t="s">
        <v>4</v>
      </c>
      <c r="C16" s="91" t="s">
        <v>199</v>
      </c>
      <c r="D16" s="95"/>
      <c r="E16" s="92"/>
      <c r="F16" s="21" t="s">
        <v>53</v>
      </c>
      <c r="G16" s="2" t="s">
        <v>4</v>
      </c>
      <c r="H16" s="90">
        <v>46387</v>
      </c>
      <c r="I16" s="72"/>
    </row>
    <row r="17" spans="1:12" ht="42" x14ac:dyDescent="0.3">
      <c r="A17" s="46" t="s">
        <v>54</v>
      </c>
      <c r="B17" s="2" t="s">
        <v>4</v>
      </c>
      <c r="C17" s="143">
        <v>44832</v>
      </c>
      <c r="D17" s="95"/>
      <c r="E17" s="92"/>
      <c r="F17" s="21" t="s">
        <v>55</v>
      </c>
      <c r="G17" s="2" t="s">
        <v>4</v>
      </c>
      <c r="H17" s="86">
        <v>44693</v>
      </c>
      <c r="I17" s="87"/>
    </row>
    <row r="18" spans="1:12" ht="63" x14ac:dyDescent="0.3">
      <c r="A18" s="46" t="s">
        <v>56</v>
      </c>
      <c r="B18" s="2" t="s">
        <v>4</v>
      </c>
      <c r="C18" s="143">
        <f>H16</f>
        <v>46387</v>
      </c>
      <c r="D18" s="95"/>
      <c r="E18" s="92"/>
      <c r="F18" s="21" t="s">
        <v>57</v>
      </c>
      <c r="G18" s="2" t="s">
        <v>4</v>
      </c>
      <c r="H18" s="88" t="s">
        <v>200</v>
      </c>
      <c r="I18" s="89"/>
    </row>
    <row r="19" spans="1:12" ht="42" x14ac:dyDescent="0.3">
      <c r="A19" s="46" t="s">
        <v>58</v>
      </c>
      <c r="B19" s="2" t="s">
        <v>4</v>
      </c>
      <c r="C19" s="91" t="s">
        <v>248</v>
      </c>
      <c r="D19" s="95"/>
      <c r="E19" s="92"/>
      <c r="F19" s="21" t="s">
        <v>113</v>
      </c>
      <c r="G19" s="2" t="s">
        <v>4</v>
      </c>
      <c r="H19" s="72">
        <v>23125</v>
      </c>
      <c r="I19" s="72"/>
      <c r="J19" s="1">
        <f>7191*3</f>
        <v>21573</v>
      </c>
    </row>
    <row r="20" spans="1:12" ht="42" x14ac:dyDescent="0.3">
      <c r="A20" s="21" t="s">
        <v>59</v>
      </c>
      <c r="B20" s="2" t="s">
        <v>4</v>
      </c>
      <c r="C20" s="91">
        <v>3</v>
      </c>
      <c r="D20" s="95"/>
      <c r="E20" s="92"/>
      <c r="F20" s="21" t="s">
        <v>112</v>
      </c>
      <c r="G20" s="2" t="s">
        <v>4</v>
      </c>
      <c r="H20" s="72">
        <v>79419.72</v>
      </c>
      <c r="I20" s="72"/>
    </row>
    <row r="21" spans="1:12" ht="42" x14ac:dyDescent="0.3">
      <c r="A21" s="21" t="s">
        <v>111</v>
      </c>
      <c r="B21" s="2" t="s">
        <v>4</v>
      </c>
      <c r="C21" s="91" t="s">
        <v>115</v>
      </c>
      <c r="D21" s="95"/>
      <c r="E21" s="92"/>
      <c r="F21" s="6" t="s">
        <v>60</v>
      </c>
      <c r="G21" s="2" t="s">
        <v>4</v>
      </c>
      <c r="H21" s="88" t="s">
        <v>249</v>
      </c>
      <c r="I21" s="89"/>
      <c r="J21" s="1">
        <f>28+36+1+26+28+40+1+2+21+1+2+2+22+30+30+14+26+80+2+14+1+52+56+21+12+22+14+88+4+94+78</f>
        <v>848</v>
      </c>
      <c r="K21" s="1">
        <f>830</f>
        <v>830</v>
      </c>
      <c r="L21" s="1">
        <f>6+6+6</f>
        <v>18</v>
      </c>
    </row>
    <row r="22" spans="1:12" ht="42" x14ac:dyDescent="0.3">
      <c r="A22" s="21" t="s">
        <v>61</v>
      </c>
      <c r="B22" s="2" t="s">
        <v>4</v>
      </c>
      <c r="C22" s="91" t="s">
        <v>253</v>
      </c>
      <c r="D22" s="95"/>
      <c r="E22" s="92"/>
      <c r="F22" s="21" t="s">
        <v>62</v>
      </c>
      <c r="G22" s="2" t="s">
        <v>4</v>
      </c>
      <c r="H22" s="72" t="s">
        <v>247</v>
      </c>
      <c r="I22" s="72"/>
    </row>
    <row r="23" spans="1:12" ht="21" x14ac:dyDescent="0.3">
      <c r="A23" s="46" t="s">
        <v>27</v>
      </c>
      <c r="B23" s="2" t="s">
        <v>4</v>
      </c>
      <c r="C23" s="91">
        <v>19.184488000000002</v>
      </c>
      <c r="D23" s="95"/>
      <c r="E23" s="92"/>
      <c r="F23" s="29" t="s">
        <v>28</v>
      </c>
      <c r="G23" s="29" t="s">
        <v>4</v>
      </c>
      <c r="H23" s="91">
        <v>72.940765999999996</v>
      </c>
      <c r="I23" s="92"/>
    </row>
    <row r="24" spans="1:12" ht="21" x14ac:dyDescent="0.3">
      <c r="A24" s="46" t="s">
        <v>267</v>
      </c>
      <c r="B24" s="2" t="s">
        <v>4</v>
      </c>
      <c r="C24" s="97" t="s">
        <v>266</v>
      </c>
      <c r="D24" s="98"/>
      <c r="E24" s="98"/>
      <c r="F24" s="98"/>
      <c r="G24" s="98"/>
      <c r="H24" s="98"/>
      <c r="I24" s="99"/>
    </row>
    <row r="25" spans="1:12" ht="108.75" customHeight="1" x14ac:dyDescent="0.3">
      <c r="A25" s="46" t="s">
        <v>30</v>
      </c>
      <c r="B25" s="2" t="s">
        <v>4</v>
      </c>
      <c r="C25" s="72" t="s">
        <v>114</v>
      </c>
      <c r="D25" s="72"/>
      <c r="E25" s="72"/>
      <c r="F25" s="72"/>
      <c r="G25" s="72"/>
      <c r="H25" s="72"/>
      <c r="I25" s="72"/>
    </row>
    <row r="26" spans="1:12" ht="24" customHeight="1" x14ac:dyDescent="0.3">
      <c r="A26" s="113" t="s">
        <v>23</v>
      </c>
      <c r="B26" s="114"/>
      <c r="C26" s="114"/>
      <c r="D26" s="114"/>
      <c r="E26" s="114"/>
      <c r="F26" s="114"/>
      <c r="G26" s="114"/>
      <c r="H26" s="114"/>
      <c r="I26" s="115"/>
    </row>
    <row r="27" spans="1:12" ht="42" x14ac:dyDescent="0.3">
      <c r="A27" s="21" t="s">
        <v>31</v>
      </c>
      <c r="B27" s="2" t="s">
        <v>4</v>
      </c>
      <c r="C27" s="72" t="s">
        <v>99</v>
      </c>
      <c r="D27" s="72"/>
      <c r="E27" s="72"/>
      <c r="F27" s="21" t="s">
        <v>16</v>
      </c>
      <c r="G27" s="2" t="s">
        <v>4</v>
      </c>
      <c r="H27" s="72" t="s">
        <v>201</v>
      </c>
      <c r="I27" s="72"/>
    </row>
    <row r="28" spans="1:12" ht="21" x14ac:dyDescent="0.3">
      <c r="A28" s="21" t="s">
        <v>17</v>
      </c>
      <c r="B28" s="2" t="s">
        <v>4</v>
      </c>
      <c r="C28" s="72" t="s">
        <v>117</v>
      </c>
      <c r="D28" s="72"/>
      <c r="E28" s="72"/>
      <c r="F28" s="21" t="s">
        <v>181</v>
      </c>
      <c r="G28" s="2" t="s">
        <v>4</v>
      </c>
      <c r="H28" s="72" t="s">
        <v>179</v>
      </c>
      <c r="I28" s="72"/>
    </row>
    <row r="29" spans="1:12" ht="42" x14ac:dyDescent="0.3">
      <c r="A29" s="21" t="s">
        <v>26</v>
      </c>
      <c r="B29" s="2" t="s">
        <v>4</v>
      </c>
      <c r="C29" s="72" t="s">
        <v>116</v>
      </c>
      <c r="D29" s="72"/>
      <c r="E29" s="72"/>
      <c r="F29" s="21" t="s">
        <v>19</v>
      </c>
      <c r="G29" s="2" t="s">
        <v>4</v>
      </c>
      <c r="H29" s="72" t="s">
        <v>204</v>
      </c>
      <c r="I29" s="72"/>
    </row>
    <row r="30" spans="1:12" ht="42" x14ac:dyDescent="0.3">
      <c r="A30" s="46" t="s">
        <v>138</v>
      </c>
      <c r="B30" s="2" t="s">
        <v>4</v>
      </c>
      <c r="C30" s="72" t="s">
        <v>205</v>
      </c>
      <c r="D30" s="72"/>
      <c r="E30" s="72"/>
      <c r="F30" s="21" t="s">
        <v>139</v>
      </c>
      <c r="G30" s="2" t="s">
        <v>4</v>
      </c>
      <c r="H30" s="88" t="s">
        <v>203</v>
      </c>
      <c r="I30" s="89"/>
    </row>
    <row r="31" spans="1:12" ht="84" customHeight="1" x14ac:dyDescent="0.3">
      <c r="A31" s="21" t="s">
        <v>20</v>
      </c>
      <c r="B31" s="2" t="s">
        <v>4</v>
      </c>
      <c r="C31" s="72" t="s">
        <v>206</v>
      </c>
      <c r="D31" s="72"/>
      <c r="E31" s="72"/>
      <c r="F31" s="21" t="s">
        <v>18</v>
      </c>
      <c r="G31" s="2" t="s">
        <v>4</v>
      </c>
      <c r="H31" s="72" t="s">
        <v>202</v>
      </c>
      <c r="I31" s="72"/>
    </row>
    <row r="32" spans="1:12" ht="21.75" customHeight="1" x14ac:dyDescent="0.3">
      <c r="A32" s="46" t="s">
        <v>144</v>
      </c>
      <c r="B32" s="2" t="s">
        <v>4</v>
      </c>
      <c r="C32" s="72" t="s">
        <v>145</v>
      </c>
      <c r="D32" s="72"/>
      <c r="E32" s="72"/>
      <c r="F32" s="21" t="s">
        <v>146</v>
      </c>
      <c r="G32" s="2" t="s">
        <v>4</v>
      </c>
      <c r="H32" s="88" t="s">
        <v>145</v>
      </c>
      <c r="I32" s="89"/>
    </row>
    <row r="33" spans="1:9" ht="21.75" customHeight="1" x14ac:dyDescent="0.3">
      <c r="A33" s="46" t="s">
        <v>147</v>
      </c>
      <c r="B33" s="2" t="s">
        <v>4</v>
      </c>
      <c r="C33" s="88" t="s">
        <v>145</v>
      </c>
      <c r="D33" s="96"/>
      <c r="E33" s="96"/>
      <c r="F33" s="96"/>
      <c r="G33" s="96"/>
      <c r="H33" s="96"/>
      <c r="I33" s="89"/>
    </row>
    <row r="34" spans="1:9" ht="21" x14ac:dyDescent="0.3">
      <c r="A34" s="130" t="s">
        <v>42</v>
      </c>
      <c r="B34" s="131"/>
      <c r="C34" s="131"/>
      <c r="D34" s="131"/>
      <c r="E34" s="131"/>
      <c r="F34" s="131"/>
      <c r="G34" s="131"/>
      <c r="H34" s="131"/>
      <c r="I34" s="132"/>
    </row>
    <row r="35" spans="1:9" ht="42" x14ac:dyDescent="0.3">
      <c r="A35" s="82" t="s">
        <v>21</v>
      </c>
      <c r="B35" s="83"/>
      <c r="C35" s="84"/>
      <c r="D35" s="2" t="s">
        <v>4</v>
      </c>
      <c r="E35" s="22" t="s">
        <v>118</v>
      </c>
      <c r="F35" s="21" t="s">
        <v>22</v>
      </c>
      <c r="G35" s="7" t="s">
        <v>4</v>
      </c>
      <c r="H35" s="88" t="s">
        <v>119</v>
      </c>
      <c r="I35" s="89"/>
    </row>
    <row r="36" spans="1:9" ht="42" x14ac:dyDescent="0.3">
      <c r="A36" s="82" t="s">
        <v>25</v>
      </c>
      <c r="B36" s="83"/>
      <c r="C36" s="84"/>
      <c r="D36" s="2" t="s">
        <v>4</v>
      </c>
      <c r="E36" s="22" t="s">
        <v>119</v>
      </c>
      <c r="F36" s="8" t="s">
        <v>37</v>
      </c>
      <c r="G36" s="2" t="s">
        <v>4</v>
      </c>
      <c r="H36" s="88" t="s">
        <v>119</v>
      </c>
      <c r="I36" s="89"/>
    </row>
    <row r="37" spans="1:9" ht="42" x14ac:dyDescent="0.3">
      <c r="A37" s="82" t="s">
        <v>36</v>
      </c>
      <c r="B37" s="83"/>
      <c r="C37" s="84"/>
      <c r="D37" s="2" t="s">
        <v>4</v>
      </c>
      <c r="E37" s="5" t="s">
        <v>120</v>
      </c>
      <c r="F37" s="21" t="s">
        <v>24</v>
      </c>
      <c r="G37" s="24" t="s">
        <v>4</v>
      </c>
      <c r="H37" s="88" t="s">
        <v>121</v>
      </c>
      <c r="I37" s="89"/>
    </row>
    <row r="38" spans="1:9" ht="21" x14ac:dyDescent="0.3">
      <c r="A38" s="113" t="s">
        <v>0</v>
      </c>
      <c r="B38" s="114"/>
      <c r="C38" s="114"/>
      <c r="D38" s="114"/>
      <c r="E38" s="114"/>
      <c r="F38" s="114"/>
      <c r="G38" s="114"/>
      <c r="H38" s="114"/>
      <c r="I38" s="115"/>
    </row>
    <row r="39" spans="1:9" ht="21" x14ac:dyDescent="0.3">
      <c r="A39" s="80" t="s">
        <v>0</v>
      </c>
      <c r="B39" s="85"/>
      <c r="C39" s="81"/>
      <c r="D39" s="2" t="s">
        <v>4</v>
      </c>
      <c r="E39" s="9" t="s">
        <v>1</v>
      </c>
      <c r="F39" s="9" t="s">
        <v>6</v>
      </c>
      <c r="G39" s="80" t="s">
        <v>2</v>
      </c>
      <c r="H39" s="81"/>
      <c r="I39" s="9" t="s">
        <v>3</v>
      </c>
    </row>
    <row r="40" spans="1:9" ht="21" x14ac:dyDescent="0.3">
      <c r="A40" s="82" t="s">
        <v>7</v>
      </c>
      <c r="B40" s="83"/>
      <c r="C40" s="84"/>
      <c r="D40" s="2" t="s">
        <v>4</v>
      </c>
      <c r="E40" s="23" t="s">
        <v>210</v>
      </c>
      <c r="F40" s="23" t="s">
        <v>209</v>
      </c>
      <c r="G40" s="93" t="s">
        <v>208</v>
      </c>
      <c r="H40" s="94"/>
      <c r="I40" s="23" t="s">
        <v>209</v>
      </c>
    </row>
    <row r="41" spans="1:9" ht="20.25" customHeight="1" x14ac:dyDescent="0.3">
      <c r="A41" s="82" t="s">
        <v>8</v>
      </c>
      <c r="B41" s="83"/>
      <c r="C41" s="84"/>
      <c r="D41" s="2" t="s">
        <v>4</v>
      </c>
      <c r="E41" s="23" t="s">
        <v>210</v>
      </c>
      <c r="F41" s="23" t="s">
        <v>209</v>
      </c>
      <c r="G41" s="93" t="s">
        <v>207</v>
      </c>
      <c r="H41" s="94"/>
      <c r="I41" s="23" t="s">
        <v>209</v>
      </c>
    </row>
    <row r="42" spans="1:9" ht="20.25" customHeight="1" x14ac:dyDescent="0.3">
      <c r="A42" s="82" t="s">
        <v>12</v>
      </c>
      <c r="B42" s="83"/>
      <c r="C42" s="84"/>
      <c r="D42" s="2" t="s">
        <v>4</v>
      </c>
      <c r="E42" s="18" t="s">
        <v>116</v>
      </c>
      <c r="F42" s="21" t="s">
        <v>13</v>
      </c>
      <c r="G42" s="2" t="s">
        <v>4</v>
      </c>
      <c r="H42" s="88" t="s">
        <v>115</v>
      </c>
      <c r="I42" s="89"/>
    </row>
    <row r="43" spans="1:9" ht="21" x14ac:dyDescent="0.3">
      <c r="A43" s="113" t="s">
        <v>63</v>
      </c>
      <c r="B43" s="114"/>
      <c r="C43" s="114"/>
      <c r="D43" s="114"/>
      <c r="E43" s="114"/>
      <c r="F43" s="114"/>
      <c r="G43" s="114"/>
      <c r="H43" s="114"/>
      <c r="I43" s="115"/>
    </row>
    <row r="44" spans="1:9" ht="21" customHeight="1" x14ac:dyDescent="0.3">
      <c r="A44" s="126" t="s">
        <v>64</v>
      </c>
      <c r="B44" s="126"/>
      <c r="C44" s="126" t="s">
        <v>65</v>
      </c>
      <c r="D44" s="126"/>
      <c r="E44" s="126" t="s">
        <v>178</v>
      </c>
      <c r="F44" s="126"/>
      <c r="G44" s="126"/>
      <c r="H44" s="126" t="s">
        <v>66</v>
      </c>
      <c r="I44" s="126"/>
    </row>
    <row r="45" spans="1:9" ht="21" x14ac:dyDescent="0.3">
      <c r="A45" s="134" t="s">
        <v>211</v>
      </c>
      <c r="B45" s="134"/>
      <c r="C45" s="101" t="s">
        <v>100</v>
      </c>
      <c r="D45" s="101"/>
      <c r="E45" s="72" t="s">
        <v>213</v>
      </c>
      <c r="F45" s="72"/>
      <c r="G45" s="72"/>
      <c r="H45" s="72" t="s">
        <v>213</v>
      </c>
      <c r="I45" s="72"/>
    </row>
    <row r="46" spans="1:9" ht="21" x14ac:dyDescent="0.3">
      <c r="A46" s="134" t="s">
        <v>212</v>
      </c>
      <c r="B46" s="134"/>
      <c r="C46" s="101" t="s">
        <v>100</v>
      </c>
      <c r="D46" s="101"/>
      <c r="E46" s="72" t="s">
        <v>213</v>
      </c>
      <c r="F46" s="72"/>
      <c r="G46" s="72"/>
      <c r="H46" s="72" t="s">
        <v>213</v>
      </c>
      <c r="I46" s="72"/>
    </row>
    <row r="47" spans="1:9" ht="21" x14ac:dyDescent="0.3">
      <c r="A47" s="134" t="s">
        <v>214</v>
      </c>
      <c r="B47" s="134"/>
      <c r="C47" s="101" t="s">
        <v>100</v>
      </c>
      <c r="D47" s="101"/>
      <c r="E47" s="72" t="s">
        <v>213</v>
      </c>
      <c r="F47" s="72"/>
      <c r="G47" s="72"/>
      <c r="H47" s="72" t="s">
        <v>213</v>
      </c>
      <c r="I47" s="72"/>
    </row>
    <row r="48" spans="1:9" ht="21" x14ac:dyDescent="0.3">
      <c r="A48" s="112" t="s">
        <v>67</v>
      </c>
      <c r="B48" s="112"/>
      <c r="C48" s="112"/>
      <c r="D48" s="112"/>
      <c r="E48" s="112"/>
      <c r="F48" s="112"/>
      <c r="G48" s="112"/>
      <c r="H48" s="112"/>
      <c r="I48" s="112"/>
    </row>
    <row r="49" spans="1:11" ht="67.5" customHeight="1" x14ac:dyDescent="0.3">
      <c r="A49" s="49" t="s">
        <v>68</v>
      </c>
      <c r="B49" s="17" t="s">
        <v>4</v>
      </c>
      <c r="C49" s="72" t="s">
        <v>116</v>
      </c>
      <c r="D49" s="72"/>
      <c r="E49" s="72"/>
      <c r="F49" s="49" t="s">
        <v>69</v>
      </c>
      <c r="G49" s="17" t="s">
        <v>4</v>
      </c>
      <c r="H49" s="72" t="s">
        <v>254</v>
      </c>
      <c r="I49" s="72"/>
    </row>
    <row r="50" spans="1:11" ht="161.25" customHeight="1" x14ac:dyDescent="0.3">
      <c r="A50" s="49" t="s">
        <v>101</v>
      </c>
      <c r="B50" s="17" t="s">
        <v>4</v>
      </c>
      <c r="C50" s="72" t="s">
        <v>215</v>
      </c>
      <c r="D50" s="72"/>
      <c r="E50" s="72"/>
      <c r="F50" s="49" t="s">
        <v>70</v>
      </c>
      <c r="G50" s="17" t="s">
        <v>4</v>
      </c>
      <c r="H50" s="72" t="s">
        <v>255</v>
      </c>
      <c r="I50" s="72"/>
    </row>
    <row r="51" spans="1:11" ht="66.75" customHeight="1" x14ac:dyDescent="0.3">
      <c r="A51" s="49" t="s">
        <v>71</v>
      </c>
      <c r="B51" s="17" t="s">
        <v>4</v>
      </c>
      <c r="C51" s="72" t="s">
        <v>218</v>
      </c>
      <c r="D51" s="72"/>
      <c r="E51" s="72"/>
      <c r="F51" s="49" t="s">
        <v>72</v>
      </c>
      <c r="G51" s="17" t="s">
        <v>4</v>
      </c>
      <c r="H51" s="72" t="s">
        <v>217</v>
      </c>
      <c r="I51" s="72"/>
    </row>
    <row r="52" spans="1:11" ht="45" hidden="1" customHeight="1" x14ac:dyDescent="0.3">
      <c r="A52" s="49" t="s">
        <v>73</v>
      </c>
      <c r="B52" s="17" t="s">
        <v>4</v>
      </c>
      <c r="C52" s="72" t="s">
        <v>115</v>
      </c>
      <c r="D52" s="72"/>
      <c r="E52" s="72"/>
      <c r="F52" s="49" t="s">
        <v>74</v>
      </c>
      <c r="G52" s="17" t="s">
        <v>4</v>
      </c>
      <c r="H52" s="72"/>
      <c r="I52" s="72"/>
    </row>
    <row r="53" spans="1:11" ht="21.6" thickBot="1" x14ac:dyDescent="0.35">
      <c r="A53" s="112" t="s">
        <v>75</v>
      </c>
      <c r="B53" s="112"/>
      <c r="C53" s="112"/>
      <c r="D53" s="112"/>
      <c r="E53" s="112"/>
      <c r="F53" s="112"/>
      <c r="G53" s="112"/>
      <c r="H53" s="112"/>
      <c r="I53" s="112"/>
    </row>
    <row r="54" spans="1:11" ht="20.25" customHeight="1" x14ac:dyDescent="0.4">
      <c r="A54" s="148" t="s">
        <v>265</v>
      </c>
      <c r="B54" s="148"/>
      <c r="C54" s="148"/>
      <c r="D54" s="149" t="s">
        <v>4</v>
      </c>
      <c r="E54" s="55" t="s">
        <v>148</v>
      </c>
      <c r="F54" s="150" t="s">
        <v>134</v>
      </c>
      <c r="G54" s="150"/>
      <c r="H54" s="55" t="s">
        <v>149</v>
      </c>
      <c r="I54" s="55" t="s">
        <v>150</v>
      </c>
      <c r="J54" s="51"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Slab, Brickwork, Internal Plaster upto 48.6 Floor, External Plaster upto 48.6 Floor, External Plumbing, Elevation and Waterproofing upto 30 Floor, Flooring &amp; Fitting upto 36 Floor, Wooden Work upto 20 Floor, Electrical &amp; Sanitary fittings upto 20 Floor Completed</v>
      </c>
      <c r="K54" s="38"/>
    </row>
    <row r="55" spans="1:11" ht="21" x14ac:dyDescent="0.4">
      <c r="A55" s="148"/>
      <c r="B55" s="148"/>
      <c r="C55" s="148"/>
      <c r="D55" s="149"/>
      <c r="E55" s="55">
        <v>1</v>
      </c>
      <c r="F55" s="150">
        <v>1</v>
      </c>
      <c r="G55" s="150"/>
      <c r="H55" s="55">
        <v>0</v>
      </c>
      <c r="I55" s="55">
        <f ca="1">--TRIM(RIGHT(SUBSTITUTE(LEFT(A54,_xlfn.AGGREGATE(16,6,FIND({0,1,2,3,4,5,6,7,8,9},A54,ROW(INDIRECT("1:"&amp;LEN(A54)))),1))," ",REPT(" ",LEN(A54))),LEN(A54)))</f>
        <v>54</v>
      </c>
      <c r="J55" s="52" t="s">
        <v>154</v>
      </c>
      <c r="K55" s="38"/>
    </row>
    <row r="56" spans="1:11" ht="20.25" customHeight="1" x14ac:dyDescent="0.4">
      <c r="A56" s="151" t="s">
        <v>152</v>
      </c>
      <c r="B56" s="151"/>
      <c r="C56" s="151" t="s">
        <v>163</v>
      </c>
      <c r="D56" s="151"/>
      <c r="E56" s="56" t="s">
        <v>164</v>
      </c>
      <c r="F56" s="151" t="s">
        <v>153</v>
      </c>
      <c r="G56" s="151"/>
      <c r="H56" s="45" t="s">
        <v>151</v>
      </c>
      <c r="I56" s="45"/>
      <c r="J56" s="40" t="s">
        <v>165</v>
      </c>
      <c r="K56" s="39">
        <f ca="1">I55*25%</f>
        <v>13.5</v>
      </c>
    </row>
    <row r="57" spans="1:11" ht="20.25" customHeight="1" x14ac:dyDescent="0.4">
      <c r="A57" s="152" t="s">
        <v>166</v>
      </c>
      <c r="B57" s="152"/>
      <c r="C57" s="150">
        <f ca="1">K58</f>
        <v>54</v>
      </c>
      <c r="D57" s="150"/>
      <c r="E57" s="57">
        <f ca="1">((100/I55)*C57)/100</f>
        <v>1</v>
      </c>
      <c r="F57" s="152">
        <f ca="1">(((C57/I55*5)+(C58/I55*20)+(25/(F55+H55+I55)*C59)+(5/(I55)*C60)+(2.5/(I55)*C61)+(2.5/(I55)*C62)+(5/I55*C63)+(10/I55*C64)+(2.5/I55*C65)+(2.5/I55*C66)+(10/I55*C67)+(10/I55*C68))/100)</f>
        <v>0.70796296296296291</v>
      </c>
      <c r="G57" s="152"/>
      <c r="H57" s="152" t="str">
        <f ca="1">J54</f>
        <v>Excavation work Completed. Plinth work completed, RCC Slab, Brickwork, Internal Plaster upto 48.6 Floor, External Plaster upto 48.6 Floor, External Plumbing, Elevation and Waterproofing upto 30 Floor, Flooring &amp; Fitting upto 36 Floor, Wooden Work upto 20 Floor, Electrical &amp; Sanitary fittings upto 20 Floor Completed</v>
      </c>
      <c r="I57" s="152"/>
      <c r="J57" s="40" t="s">
        <v>155</v>
      </c>
      <c r="K57" s="53">
        <f ca="1">I55*50%</f>
        <v>27</v>
      </c>
    </row>
    <row r="58" spans="1:11" ht="21" x14ac:dyDescent="0.4">
      <c r="A58" s="152" t="s">
        <v>135</v>
      </c>
      <c r="B58" s="152"/>
      <c r="C58" s="153">
        <v>54</v>
      </c>
      <c r="D58" s="150"/>
      <c r="E58" s="57">
        <f ca="1">((100/I55)*C58)/100</f>
        <v>1</v>
      </c>
      <c r="F58" s="152"/>
      <c r="G58" s="152"/>
      <c r="H58" s="152"/>
      <c r="I58" s="152"/>
      <c r="J58" s="40" t="s">
        <v>156</v>
      </c>
      <c r="K58" s="53">
        <f ca="1">I55</f>
        <v>54</v>
      </c>
    </row>
    <row r="59" spans="1:11" ht="21" customHeight="1" x14ac:dyDescent="0.4">
      <c r="A59" s="152" t="s">
        <v>167</v>
      </c>
      <c r="B59" s="152"/>
      <c r="C59" s="150">
        <v>55</v>
      </c>
      <c r="D59" s="150"/>
      <c r="E59" s="57">
        <f ca="1">((100/(F55+H55+I55))*C59)/100</f>
        <v>1</v>
      </c>
      <c r="F59" s="152"/>
      <c r="G59" s="152"/>
      <c r="H59" s="152"/>
      <c r="I59" s="152"/>
      <c r="J59" s="40" t="s">
        <v>157</v>
      </c>
      <c r="K59" s="42">
        <f ca="1">(IF(E55&gt;1,(I55/(E55+2)),I55/4))</f>
        <v>13.5</v>
      </c>
    </row>
    <row r="60" spans="1:11" ht="21" customHeight="1" x14ac:dyDescent="0.4">
      <c r="A60" s="152" t="s">
        <v>168</v>
      </c>
      <c r="B60" s="152"/>
      <c r="C60" s="150">
        <f>C59-F55</f>
        <v>54</v>
      </c>
      <c r="D60" s="150"/>
      <c r="E60" s="57">
        <f ca="1">((100/I55)*C60)/100</f>
        <v>1</v>
      </c>
      <c r="F60" s="152"/>
      <c r="G60" s="152"/>
      <c r="H60" s="152"/>
      <c r="I60" s="152"/>
      <c r="J60" s="40" t="s">
        <v>158</v>
      </c>
      <c r="K60" s="42">
        <f ca="1">(IF(E55&gt;1,(I55/(E55+2)+K59),I55/4+K59))</f>
        <v>27</v>
      </c>
    </row>
    <row r="61" spans="1:11" ht="21" customHeight="1" x14ac:dyDescent="0.4">
      <c r="A61" s="154" t="s">
        <v>169</v>
      </c>
      <c r="B61" s="155"/>
      <c r="C61" s="153">
        <f>C60*0.9</f>
        <v>48.6</v>
      </c>
      <c r="D61" s="153"/>
      <c r="E61" s="57">
        <f ca="1">((100/I55)*C61)/100</f>
        <v>0.9</v>
      </c>
      <c r="F61" s="152"/>
      <c r="G61" s="152"/>
      <c r="H61" s="152"/>
      <c r="I61" s="152"/>
      <c r="J61" s="40" t="s">
        <v>170</v>
      </c>
      <c r="K61" s="42">
        <f>(IF(E55&gt;1,(I55/(E55+2)+K60),0))</f>
        <v>0</v>
      </c>
    </row>
    <row r="62" spans="1:11" ht="21" customHeight="1" x14ac:dyDescent="0.4">
      <c r="A62" s="154" t="s">
        <v>268</v>
      </c>
      <c r="B62" s="155"/>
      <c r="C62" s="153">
        <f>C61</f>
        <v>48.6</v>
      </c>
      <c r="D62" s="153"/>
      <c r="E62" s="57">
        <f ca="1">((100/I55)*C62)/100</f>
        <v>0.9</v>
      </c>
      <c r="F62" s="152"/>
      <c r="G62" s="152"/>
      <c r="H62" s="152"/>
      <c r="I62" s="152"/>
      <c r="J62" s="40" t="s">
        <v>171</v>
      </c>
      <c r="K62" s="42">
        <f>(IF(E55&gt;2,(I55/(E55+2)+K61),0))</f>
        <v>0</v>
      </c>
    </row>
    <row r="63" spans="1:11" ht="64.5" customHeight="1" x14ac:dyDescent="0.4">
      <c r="A63" s="154" t="s">
        <v>269</v>
      </c>
      <c r="B63" s="155"/>
      <c r="C63" s="150">
        <v>30</v>
      </c>
      <c r="D63" s="150"/>
      <c r="E63" s="57">
        <f ca="1">((100/(I55))*C63)/100</f>
        <v>0.55555555555555558</v>
      </c>
      <c r="F63" s="152"/>
      <c r="G63" s="152"/>
      <c r="H63" s="152"/>
      <c r="I63" s="152"/>
      <c r="J63" s="40" t="s">
        <v>173</v>
      </c>
      <c r="K63" s="43">
        <f>(IF(E55&gt;3,(I55/(E55+2)+K62),0))</f>
        <v>0</v>
      </c>
    </row>
    <row r="64" spans="1:11" ht="21" x14ac:dyDescent="0.4">
      <c r="A64" s="152" t="s">
        <v>172</v>
      </c>
      <c r="B64" s="152"/>
      <c r="C64" s="150">
        <v>36</v>
      </c>
      <c r="D64" s="150"/>
      <c r="E64" s="57">
        <f ca="1">((100/(I55))*C64)/100</f>
        <v>0.66666666666666674</v>
      </c>
      <c r="F64" s="152"/>
      <c r="G64" s="152"/>
      <c r="H64" s="152"/>
      <c r="I64" s="152"/>
      <c r="J64" s="40" t="s">
        <v>174</v>
      </c>
      <c r="K64" s="42">
        <f>(IF(E55&gt;4,(I55/(E55+2)+K63),0))</f>
        <v>0</v>
      </c>
    </row>
    <row r="65" spans="1:13" ht="21" customHeight="1" x14ac:dyDescent="0.4">
      <c r="A65" s="152" t="s">
        <v>270</v>
      </c>
      <c r="B65" s="152"/>
      <c r="C65" s="150">
        <v>20</v>
      </c>
      <c r="D65" s="150"/>
      <c r="E65" s="57">
        <f ca="1">((100/I55)*C65)/100</f>
        <v>0.37037037037037041</v>
      </c>
      <c r="F65" s="152"/>
      <c r="G65" s="152"/>
      <c r="H65" s="152"/>
      <c r="I65" s="152"/>
      <c r="J65" s="40" t="s">
        <v>159</v>
      </c>
      <c r="K65" s="42">
        <f ca="1">(IF(E55=1,(I55/(E55+3)+K60),IF(E55=0,(I55/4+K60),IF(E55&gt;1,0))))</f>
        <v>40.5</v>
      </c>
    </row>
    <row r="66" spans="1:13" ht="41.25" customHeight="1" thickBot="1" x14ac:dyDescent="0.45">
      <c r="A66" s="152" t="s">
        <v>271</v>
      </c>
      <c r="B66" s="152"/>
      <c r="C66" s="150">
        <v>20</v>
      </c>
      <c r="D66" s="150"/>
      <c r="E66" s="57">
        <f ca="1">((100/I55)*C66)/100</f>
        <v>0.37037037037037041</v>
      </c>
      <c r="F66" s="152"/>
      <c r="G66" s="152"/>
      <c r="H66" s="152"/>
      <c r="I66" s="152"/>
      <c r="J66" s="54" t="s">
        <v>160</v>
      </c>
      <c r="K66" s="44">
        <f ca="1">(IF(E55&gt;1.5,(I55/(E55+2)+K59+MAX(0,K60-K59)+MAX(0,K61-K60)+MAX(0,K62-K61)+MAX(0,K63-K62)+MAX(0,K64-K63)),IF(E55=1,(I55/(E55+3)+K65),IF(E55=0,I55/4+K65))))</f>
        <v>54</v>
      </c>
      <c r="M66" s="1" t="e">
        <f>(IF(D54&gt;1.5,(H54/(D54+2)+J59+MAX(0,J60-J59)+MAX(0,J61-J60)+MAX(0,J62-J61)+MAX(0,J63-J62)+MAX(0,J64-J63)),IF(D54=1,(H54/(D54+3)+J64),IF(D54=0,H54*0.3+J64))))</f>
        <v>#VALUE!</v>
      </c>
    </row>
    <row r="67" spans="1:13" ht="21" x14ac:dyDescent="0.3">
      <c r="A67" s="152" t="s">
        <v>175</v>
      </c>
      <c r="B67" s="152"/>
      <c r="C67" s="150">
        <v>0</v>
      </c>
      <c r="D67" s="150"/>
      <c r="E67" s="57">
        <f ca="1">((100/(I55))*C67)/100</f>
        <v>0</v>
      </c>
      <c r="F67" s="152"/>
      <c r="G67" s="152"/>
      <c r="H67" s="152"/>
      <c r="I67" s="152"/>
    </row>
    <row r="68" spans="1:13" ht="21" x14ac:dyDescent="0.3">
      <c r="A68" s="152" t="s">
        <v>176</v>
      </c>
      <c r="B68" s="152"/>
      <c r="C68" s="150">
        <v>0</v>
      </c>
      <c r="D68" s="150"/>
      <c r="E68" s="57">
        <f ca="1">((100/(I55))*C68)/100</f>
        <v>0</v>
      </c>
      <c r="F68" s="152"/>
      <c r="G68" s="152"/>
      <c r="H68" s="152"/>
      <c r="I68" s="152"/>
    </row>
    <row r="69" spans="1:13" ht="21.6" thickBot="1" x14ac:dyDescent="0.35">
      <c r="A69" s="112" t="s">
        <v>75</v>
      </c>
      <c r="B69" s="112"/>
      <c r="C69" s="112"/>
      <c r="D69" s="112"/>
      <c r="E69" s="112"/>
      <c r="F69" s="112"/>
      <c r="G69" s="112"/>
      <c r="H69" s="112"/>
      <c r="I69" s="112"/>
    </row>
    <row r="70" spans="1:13" ht="20.25" customHeight="1" x14ac:dyDescent="0.4">
      <c r="A70" s="148" t="s">
        <v>264</v>
      </c>
      <c r="B70" s="148"/>
      <c r="C70" s="148"/>
      <c r="D70" s="149" t="s">
        <v>4</v>
      </c>
      <c r="E70" s="55" t="s">
        <v>148</v>
      </c>
      <c r="F70" s="150" t="s">
        <v>134</v>
      </c>
      <c r="G70" s="150"/>
      <c r="H70" s="55" t="s">
        <v>149</v>
      </c>
      <c r="I70" s="55" t="s">
        <v>150</v>
      </c>
      <c r="J70" s="51"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Slab, Brickwork, Internal Plaster upto 48.6 Floor, External Plaster upto 48.6 Floor, External Plumbing, Elevation and Waterproofing upto 25 Floor, Flooring &amp; Fitting upto 30 Floor, Wooden Work upto 15 Floor, Electrical &amp; Sanitary fittings upto 15 Floor Completed</v>
      </c>
      <c r="K70" s="38"/>
    </row>
    <row r="71" spans="1:13" ht="21" x14ac:dyDescent="0.4">
      <c r="A71" s="148"/>
      <c r="B71" s="148"/>
      <c r="C71" s="148"/>
      <c r="D71" s="149"/>
      <c r="E71" s="55">
        <v>1</v>
      </c>
      <c r="F71" s="150">
        <v>1</v>
      </c>
      <c r="G71" s="150"/>
      <c r="H71" s="55">
        <v>0</v>
      </c>
      <c r="I71" s="55">
        <f ca="1">--TRIM(RIGHT(SUBSTITUTE(LEFT(A70,_xlfn.AGGREGATE(16,6,FIND({0,1,2,3,4,5,6,7,8,9},A70,ROW(INDIRECT("1:"&amp;LEN(A70)))),1))," ",REPT(" ",LEN(A70))),LEN(A70)))</f>
        <v>54</v>
      </c>
      <c r="J71" s="52" t="s">
        <v>154</v>
      </c>
      <c r="K71" s="38"/>
    </row>
    <row r="72" spans="1:13" ht="20.25" customHeight="1" x14ac:dyDescent="0.4">
      <c r="A72" s="151" t="s">
        <v>152</v>
      </c>
      <c r="B72" s="151"/>
      <c r="C72" s="151" t="s">
        <v>163</v>
      </c>
      <c r="D72" s="151"/>
      <c r="E72" s="56" t="s">
        <v>164</v>
      </c>
      <c r="F72" s="151" t="s">
        <v>153</v>
      </c>
      <c r="G72" s="151"/>
      <c r="H72" s="45" t="s">
        <v>151</v>
      </c>
      <c r="I72" s="45"/>
      <c r="J72" s="40" t="s">
        <v>165</v>
      </c>
      <c r="K72" s="39">
        <f ca="1">I71*25%</f>
        <v>13.5</v>
      </c>
    </row>
    <row r="73" spans="1:13" ht="20.25" customHeight="1" x14ac:dyDescent="0.4">
      <c r="A73" s="152" t="s">
        <v>166</v>
      </c>
      <c r="B73" s="152"/>
      <c r="C73" s="150">
        <f ca="1">K74</f>
        <v>54</v>
      </c>
      <c r="D73" s="150"/>
      <c r="E73" s="57">
        <f ca="1">((100/I71)*C73)/100</f>
        <v>1</v>
      </c>
      <c r="F73" s="152">
        <f ca="1">(((C73/I71*5)+(C74/I71*20)+(25/(F71+H71+I71)*C75)+(5/(I71)*C76)+(2.5/(I71)*C77)+(2.5/(I71)*C78)+(5/I71*C79)+(10/I71*C80)+(2.5/I71*C81)+(2.5/I71*C82)+(10/I71*C83)+(10/I71*C84))/100)</f>
        <v>0.68759259259259253</v>
      </c>
      <c r="G73" s="152"/>
      <c r="H73" s="152" t="str">
        <f ca="1">J70</f>
        <v>Excavation work Completed. Plinth work completed, RCC Slab, Brickwork, Internal Plaster upto 48.6 Floor, External Plaster upto 48.6 Floor, External Plumbing, Elevation and Waterproofing upto 25 Floor, Flooring &amp; Fitting upto 30 Floor, Wooden Work upto 15 Floor, Electrical &amp; Sanitary fittings upto 15 Floor Completed</v>
      </c>
      <c r="I73" s="152"/>
      <c r="J73" s="40" t="s">
        <v>155</v>
      </c>
      <c r="K73" s="53">
        <f ca="1">I71*50%</f>
        <v>27</v>
      </c>
    </row>
    <row r="74" spans="1:13" ht="21" x14ac:dyDescent="0.4">
      <c r="A74" s="152" t="s">
        <v>135</v>
      </c>
      <c r="B74" s="152"/>
      <c r="C74" s="153">
        <v>54</v>
      </c>
      <c r="D74" s="150"/>
      <c r="E74" s="57">
        <f ca="1">((100/I71)*C74)/100</f>
        <v>1</v>
      </c>
      <c r="F74" s="152"/>
      <c r="G74" s="152"/>
      <c r="H74" s="152"/>
      <c r="I74" s="152"/>
      <c r="J74" s="40" t="s">
        <v>156</v>
      </c>
      <c r="K74" s="53">
        <f ca="1">I71</f>
        <v>54</v>
      </c>
    </row>
    <row r="75" spans="1:13" ht="21" customHeight="1" x14ac:dyDescent="0.4">
      <c r="A75" s="152" t="s">
        <v>167</v>
      </c>
      <c r="B75" s="152"/>
      <c r="C75" s="150">
        <v>55</v>
      </c>
      <c r="D75" s="150"/>
      <c r="E75" s="57">
        <f ca="1">((100/(F71+H71+I71))*C75)/100</f>
        <v>1</v>
      </c>
      <c r="F75" s="152"/>
      <c r="G75" s="152"/>
      <c r="H75" s="152"/>
      <c r="I75" s="152"/>
      <c r="J75" s="40" t="s">
        <v>157</v>
      </c>
      <c r="K75" s="42">
        <f ca="1">(IF(E71&gt;1,(I71/(E71+2)),I71/4))</f>
        <v>13.5</v>
      </c>
    </row>
    <row r="76" spans="1:13" ht="21" customHeight="1" x14ac:dyDescent="0.4">
      <c r="A76" s="152" t="s">
        <v>168</v>
      </c>
      <c r="B76" s="152"/>
      <c r="C76" s="150">
        <f>C75-F71</f>
        <v>54</v>
      </c>
      <c r="D76" s="150"/>
      <c r="E76" s="57">
        <f ca="1">((100/I71)*C76)/100</f>
        <v>1</v>
      </c>
      <c r="F76" s="152"/>
      <c r="G76" s="152"/>
      <c r="H76" s="152"/>
      <c r="I76" s="152"/>
      <c r="J76" s="40" t="s">
        <v>158</v>
      </c>
      <c r="K76" s="42">
        <f ca="1">(IF(E71&gt;1,(I71/(E71+2)+K75),I71/4+K75))</f>
        <v>27</v>
      </c>
    </row>
    <row r="77" spans="1:13" ht="21" customHeight="1" x14ac:dyDescent="0.4">
      <c r="A77" s="154" t="s">
        <v>169</v>
      </c>
      <c r="B77" s="155"/>
      <c r="C77" s="153">
        <f>C76*0.9</f>
        <v>48.6</v>
      </c>
      <c r="D77" s="153"/>
      <c r="E77" s="57">
        <f ca="1">((100/I71)*C77)/100</f>
        <v>0.9</v>
      </c>
      <c r="F77" s="152"/>
      <c r="G77" s="152"/>
      <c r="H77" s="152"/>
      <c r="I77" s="152"/>
      <c r="J77" s="40" t="s">
        <v>170</v>
      </c>
      <c r="K77" s="42">
        <f>(IF(E71&gt;1,(I71/(E71+2)+K76),0))</f>
        <v>0</v>
      </c>
    </row>
    <row r="78" spans="1:13" ht="21" customHeight="1" x14ac:dyDescent="0.4">
      <c r="A78" s="154" t="s">
        <v>268</v>
      </c>
      <c r="B78" s="155"/>
      <c r="C78" s="153">
        <f>C77</f>
        <v>48.6</v>
      </c>
      <c r="D78" s="153"/>
      <c r="E78" s="57">
        <f ca="1">((100/I71)*C78)/100</f>
        <v>0.9</v>
      </c>
      <c r="F78" s="152"/>
      <c r="G78" s="152"/>
      <c r="H78" s="152"/>
      <c r="I78" s="152"/>
      <c r="J78" s="40" t="s">
        <v>171</v>
      </c>
      <c r="K78" s="42">
        <f>(IF(E71&gt;2,(I71/(E71+2)+K77),0))</f>
        <v>0</v>
      </c>
    </row>
    <row r="79" spans="1:13" ht="57.75" customHeight="1" x14ac:dyDescent="0.4">
      <c r="A79" s="154" t="s">
        <v>269</v>
      </c>
      <c r="B79" s="155"/>
      <c r="C79" s="150">
        <v>25</v>
      </c>
      <c r="D79" s="150"/>
      <c r="E79" s="57">
        <f ca="1">((100/(I71))*C79)/100</f>
        <v>0.46296296296296297</v>
      </c>
      <c r="F79" s="152"/>
      <c r="G79" s="152"/>
      <c r="H79" s="152"/>
      <c r="I79" s="152"/>
      <c r="J79" s="40" t="s">
        <v>173</v>
      </c>
      <c r="K79" s="43">
        <f>(IF(E71&gt;3,(I71/(E71+2)+K78),0))</f>
        <v>0</v>
      </c>
    </row>
    <row r="80" spans="1:13" ht="21" x14ac:dyDescent="0.4">
      <c r="A80" s="152" t="s">
        <v>172</v>
      </c>
      <c r="B80" s="152"/>
      <c r="C80" s="150">
        <v>30</v>
      </c>
      <c r="D80" s="150"/>
      <c r="E80" s="57">
        <f ca="1">((100/(I71))*C80)/100</f>
        <v>0.55555555555555558</v>
      </c>
      <c r="F80" s="152"/>
      <c r="G80" s="152"/>
      <c r="H80" s="152"/>
      <c r="I80" s="152"/>
      <c r="J80" s="40" t="s">
        <v>174</v>
      </c>
      <c r="K80" s="42">
        <f>(IF(E71&gt;4,(I71/(E71+2)+K79),0))</f>
        <v>0</v>
      </c>
    </row>
    <row r="81" spans="1:13" ht="21" customHeight="1" x14ac:dyDescent="0.4">
      <c r="A81" s="152" t="s">
        <v>270</v>
      </c>
      <c r="B81" s="152"/>
      <c r="C81" s="150">
        <v>15</v>
      </c>
      <c r="D81" s="150"/>
      <c r="E81" s="57">
        <f ca="1">((100/I71)*C81)/100</f>
        <v>0.27777777777777779</v>
      </c>
      <c r="F81" s="152"/>
      <c r="G81" s="152"/>
      <c r="H81" s="152"/>
      <c r="I81" s="152"/>
      <c r="J81" s="40" t="s">
        <v>159</v>
      </c>
      <c r="K81" s="42">
        <f ca="1">(IF(E71=1,(I71/(E71+3)+K76),IF(E71=0,(I71/4+K76),IF(E71&gt;1,0))))</f>
        <v>40.5</v>
      </c>
    </row>
    <row r="82" spans="1:13" ht="41.25" customHeight="1" thickBot="1" x14ac:dyDescent="0.45">
      <c r="A82" s="152" t="s">
        <v>271</v>
      </c>
      <c r="B82" s="152"/>
      <c r="C82" s="150">
        <v>15</v>
      </c>
      <c r="D82" s="150"/>
      <c r="E82" s="57">
        <f ca="1">((100/I71)*C82)/100</f>
        <v>0.27777777777777779</v>
      </c>
      <c r="F82" s="152"/>
      <c r="G82" s="152"/>
      <c r="H82" s="152"/>
      <c r="I82" s="152"/>
      <c r="J82" s="54" t="s">
        <v>160</v>
      </c>
      <c r="K82" s="44">
        <f ca="1">(IF(E71&gt;1.5,(I71/(E71+2)+K75+MAX(0,K76-K75)+MAX(0,K77-K76)+MAX(0,K78-K77)+MAX(0,K79-K78)+MAX(0,K80-K79)),IF(E71=1,(I71/(E71+3)+K81),IF(E71=0,I71/4+K81))))</f>
        <v>54</v>
      </c>
      <c r="M82" s="1" t="e">
        <f>(IF(D70&gt;1.5,(H70/(D70+2)+J75+MAX(0,J76-J75)+MAX(0,J77-J76)+MAX(0,J78-J77)+MAX(0,J79-J78)+MAX(0,J80-J79)),IF(D70=1,(H70/(D70+3)+J80),IF(D70=0,H70*0.3+J80))))</f>
        <v>#VALUE!</v>
      </c>
    </row>
    <row r="83" spans="1:13" ht="21" x14ac:dyDescent="0.3">
      <c r="A83" s="152" t="s">
        <v>175</v>
      </c>
      <c r="B83" s="152"/>
      <c r="C83" s="150">
        <v>0</v>
      </c>
      <c r="D83" s="150"/>
      <c r="E83" s="57">
        <f ca="1">((100/(I71))*C83)/100</f>
        <v>0</v>
      </c>
      <c r="F83" s="152"/>
      <c r="G83" s="152"/>
      <c r="H83" s="152"/>
      <c r="I83" s="152"/>
    </row>
    <row r="84" spans="1:13" ht="21" x14ac:dyDescent="0.3">
      <c r="A84" s="152" t="s">
        <v>176</v>
      </c>
      <c r="B84" s="152"/>
      <c r="C84" s="150">
        <v>0</v>
      </c>
      <c r="D84" s="150"/>
      <c r="E84" s="57">
        <f ca="1">((100/(I71))*C84)/100</f>
        <v>0</v>
      </c>
      <c r="F84" s="152"/>
      <c r="G84" s="152"/>
      <c r="H84" s="152"/>
      <c r="I84" s="152"/>
    </row>
    <row r="85" spans="1:13" ht="36.75" customHeight="1" x14ac:dyDescent="0.4">
      <c r="A85" s="139" t="s">
        <v>161</v>
      </c>
      <c r="B85" s="140"/>
      <c r="C85" s="140"/>
      <c r="D85" s="140"/>
      <c r="E85" s="140"/>
      <c r="F85" s="140"/>
      <c r="G85" s="140"/>
      <c r="H85" s="141">
        <f ca="1">AVERAGE(F57,F73,F73)</f>
        <v>0.69438271604938262</v>
      </c>
      <c r="I85" s="142"/>
      <c r="J85" s="40"/>
      <c r="K85" s="41"/>
      <c r="L85" s="41"/>
    </row>
    <row r="86" spans="1:13" ht="21" x14ac:dyDescent="0.3">
      <c r="A86" s="113" t="s">
        <v>79</v>
      </c>
      <c r="B86" s="114"/>
      <c r="C86" s="114"/>
      <c r="D86" s="114"/>
      <c r="E86" s="114"/>
      <c r="F86" s="114"/>
      <c r="G86" s="114"/>
      <c r="H86" s="114"/>
      <c r="I86" s="115"/>
    </row>
    <row r="87" spans="1:13" ht="63" x14ac:dyDescent="0.3">
      <c r="A87" s="73" t="s">
        <v>80</v>
      </c>
      <c r="B87" s="73"/>
      <c r="C87" s="73"/>
      <c r="D87" s="3" t="s">
        <v>4</v>
      </c>
      <c r="E87" s="15" t="s">
        <v>140</v>
      </c>
      <c r="F87" s="21" t="s">
        <v>177</v>
      </c>
      <c r="G87" s="3" t="s">
        <v>4</v>
      </c>
      <c r="H87" s="133" t="s">
        <v>262</v>
      </c>
      <c r="I87" s="133"/>
    </row>
    <row r="88" spans="1:13" ht="63" x14ac:dyDescent="0.3">
      <c r="A88" s="73" t="s">
        <v>190</v>
      </c>
      <c r="B88" s="73"/>
      <c r="C88" s="73"/>
      <c r="D88" s="2" t="s">
        <v>136</v>
      </c>
      <c r="E88" s="18" t="s">
        <v>260</v>
      </c>
      <c r="F88" s="21" t="s">
        <v>191</v>
      </c>
      <c r="G88" s="2" t="s">
        <v>4</v>
      </c>
      <c r="H88" s="72" t="s">
        <v>261</v>
      </c>
      <c r="I88" s="72"/>
    </row>
    <row r="89" spans="1:13" ht="26.25" customHeight="1" x14ac:dyDescent="0.3">
      <c r="A89" s="75" t="s">
        <v>83</v>
      </c>
      <c r="B89" s="75"/>
      <c r="C89" s="75"/>
      <c r="D89" s="3" t="s">
        <v>4</v>
      </c>
      <c r="E89" s="18" t="s">
        <v>263</v>
      </c>
      <c r="F89" s="3" t="s">
        <v>133</v>
      </c>
      <c r="G89" s="3" t="s">
        <v>4</v>
      </c>
      <c r="H89" s="78" t="s">
        <v>141</v>
      </c>
      <c r="I89" s="79"/>
    </row>
    <row r="90" spans="1:13" ht="21" hidden="1" x14ac:dyDescent="0.3">
      <c r="A90" s="73" t="s">
        <v>123</v>
      </c>
      <c r="B90" s="73"/>
      <c r="C90" s="73"/>
      <c r="D90" s="2" t="s">
        <v>4</v>
      </c>
      <c r="E90" s="18" t="s">
        <v>124</v>
      </c>
      <c r="F90" s="21" t="s">
        <v>125</v>
      </c>
      <c r="G90" s="2" t="s">
        <v>4</v>
      </c>
      <c r="H90" s="72" t="s">
        <v>102</v>
      </c>
      <c r="I90" s="72"/>
    </row>
    <row r="91" spans="1:13" ht="63" hidden="1" x14ac:dyDescent="0.3">
      <c r="A91" s="73" t="s">
        <v>126</v>
      </c>
      <c r="B91" s="73"/>
      <c r="C91" s="73"/>
      <c r="D91" s="2" t="s">
        <v>4</v>
      </c>
      <c r="E91" s="18" t="s">
        <v>127</v>
      </c>
      <c r="F91" s="21" t="s">
        <v>128</v>
      </c>
      <c r="G91" s="2" t="s">
        <v>4</v>
      </c>
      <c r="H91" s="72" t="s">
        <v>129</v>
      </c>
      <c r="I91" s="72"/>
    </row>
    <row r="92" spans="1:13" ht="21" hidden="1" x14ac:dyDescent="0.3">
      <c r="A92" s="73" t="s">
        <v>82</v>
      </c>
      <c r="B92" s="73"/>
      <c r="C92" s="73"/>
      <c r="D92" s="2" t="s">
        <v>4</v>
      </c>
      <c r="E92" s="18" t="s">
        <v>104</v>
      </c>
      <c r="F92" s="21" t="s">
        <v>81</v>
      </c>
      <c r="G92" s="2" t="s">
        <v>4</v>
      </c>
      <c r="H92" s="88" t="s">
        <v>104</v>
      </c>
      <c r="I92" s="89"/>
    </row>
    <row r="93" spans="1:13" ht="21" hidden="1" x14ac:dyDescent="0.3">
      <c r="A93" s="73" t="s">
        <v>130</v>
      </c>
      <c r="B93" s="73"/>
      <c r="C93" s="73"/>
      <c r="D93" s="2" t="s">
        <v>4</v>
      </c>
      <c r="E93" s="18" t="s">
        <v>103</v>
      </c>
      <c r="F93" s="21" t="s">
        <v>83</v>
      </c>
      <c r="G93" s="2" t="s">
        <v>4</v>
      </c>
      <c r="H93" s="72" t="s">
        <v>122</v>
      </c>
      <c r="I93" s="72"/>
    </row>
    <row r="94" spans="1:13" ht="21" hidden="1" x14ac:dyDescent="0.3">
      <c r="A94" s="73" t="s">
        <v>131</v>
      </c>
      <c r="B94" s="73"/>
      <c r="C94" s="73"/>
      <c r="D94" s="2" t="s">
        <v>4</v>
      </c>
      <c r="E94" s="19" t="s">
        <v>115</v>
      </c>
      <c r="F94" s="21" t="s">
        <v>132</v>
      </c>
      <c r="G94" s="2" t="s">
        <v>4</v>
      </c>
      <c r="H94" s="74" t="s">
        <v>115</v>
      </c>
      <c r="I94" s="74"/>
    </row>
    <row r="95" spans="1:13" ht="18" hidden="1" customHeight="1" x14ac:dyDescent="0.3">
      <c r="A95" s="75" t="s">
        <v>133</v>
      </c>
      <c r="B95" s="75"/>
      <c r="C95" s="75"/>
      <c r="D95" s="3" t="s">
        <v>4</v>
      </c>
      <c r="E95" s="10"/>
      <c r="F95" s="3" t="s">
        <v>133</v>
      </c>
      <c r="G95" s="3" t="s">
        <v>4</v>
      </c>
      <c r="H95" s="76" t="s">
        <v>115</v>
      </c>
      <c r="I95" s="77"/>
    </row>
    <row r="96" spans="1:13" ht="21" x14ac:dyDescent="0.3">
      <c r="A96" s="113" t="s">
        <v>78</v>
      </c>
      <c r="B96" s="114"/>
      <c r="C96" s="114"/>
      <c r="D96" s="114"/>
      <c r="E96" s="114"/>
      <c r="F96" s="114"/>
      <c r="G96" s="114"/>
      <c r="H96" s="114"/>
      <c r="I96" s="115"/>
    </row>
    <row r="97" spans="1:151 16227:16384" ht="21" x14ac:dyDescent="0.3">
      <c r="A97" s="82" t="s">
        <v>9</v>
      </c>
      <c r="B97" s="83"/>
      <c r="C97" s="83"/>
      <c r="D97" s="83"/>
      <c r="E97" s="83"/>
      <c r="F97" s="84"/>
      <c r="G97" s="2" t="s">
        <v>4</v>
      </c>
      <c r="H97" s="135">
        <f>73360/10.764</f>
        <v>6815.3102935711631</v>
      </c>
      <c r="I97" s="136"/>
    </row>
    <row r="98" spans="1:151 16227:16384" ht="21" x14ac:dyDescent="0.3">
      <c r="A98" s="82" t="s">
        <v>33</v>
      </c>
      <c r="B98" s="83"/>
      <c r="C98" s="83"/>
      <c r="D98" s="83"/>
      <c r="E98" s="83"/>
      <c r="F98" s="84"/>
      <c r="G98" s="2" t="s">
        <v>4</v>
      </c>
      <c r="H98" s="121">
        <f>151460/10.764</f>
        <v>14070.977331846898</v>
      </c>
      <c r="I98" s="121"/>
    </row>
    <row r="99" spans="1:151 16227:16384" ht="21" x14ac:dyDescent="0.3">
      <c r="A99" s="82" t="s">
        <v>142</v>
      </c>
      <c r="B99" s="83"/>
      <c r="C99" s="83"/>
      <c r="D99" s="83"/>
      <c r="E99" s="83"/>
      <c r="F99" s="84"/>
      <c r="G99" s="2" t="s">
        <v>4</v>
      </c>
      <c r="H99" s="121">
        <f>H97*0.8</f>
        <v>5452.248234856931</v>
      </c>
      <c r="I99" s="121"/>
    </row>
    <row r="100" spans="1:151 16227:16384" ht="21" x14ac:dyDescent="0.3">
      <c r="A100" s="118" t="s">
        <v>87</v>
      </c>
      <c r="B100" s="119"/>
      <c r="C100" s="119"/>
      <c r="D100" s="119"/>
      <c r="E100" s="119"/>
      <c r="F100" s="119"/>
      <c r="G100" s="119"/>
      <c r="H100" s="119"/>
      <c r="I100" s="120"/>
    </row>
    <row r="101" spans="1:151 16227:16384" s="11" customFormat="1" ht="40.799999999999997" x14ac:dyDescent="0.3">
      <c r="A101" s="144" t="s">
        <v>186</v>
      </c>
      <c r="B101" s="145"/>
      <c r="C101" s="144" t="s">
        <v>187</v>
      </c>
      <c r="D101" s="145"/>
      <c r="E101" s="47" t="s">
        <v>188</v>
      </c>
      <c r="F101" s="144" t="s">
        <v>185</v>
      </c>
      <c r="G101" s="145"/>
      <c r="H101" s="47" t="s">
        <v>184</v>
      </c>
      <c r="I101" s="47" t="s">
        <v>183</v>
      </c>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1" x14ac:dyDescent="0.3">
      <c r="A102" s="146" t="s">
        <v>211</v>
      </c>
      <c r="B102" s="147"/>
      <c r="C102" s="146" t="s">
        <v>100</v>
      </c>
      <c r="D102" s="147"/>
      <c r="E102" s="48" t="s">
        <v>239</v>
      </c>
      <c r="F102" s="146">
        <f>COUNT(F115:G117)+COUNT(F119:G121)+COUNT(F124)+COUNT(F126:G128)+COUNT(F131)+COUNT(F133:G135)+COUNT(F138)+COUNT(F140:G141)+COUNT(F145)+COUNT(F147:G148)+COUNT(F150:G151)+COUNT(F153:G154)+COUNT(F157:G158)+COUNT(F160:G165)*33+COUNT(F167:G172)*5+COUNT(F174:G179)*5+COUNT(F181:G186)</f>
        <v>290</v>
      </c>
      <c r="G102" s="147"/>
      <c r="H102" s="48">
        <f>SUM(F115:G117)+SUM(F119:G121)+SUM(F124)+SUM(F126:G128)+SUM(F131)+SUM(F133:G135)+SUM(F138)+SUM(F140:G141)+SUM(F145)+SUM(F147:G148)+SUM(F150:G151)+SUM(F153:G154)+SUM(F157:G158)+SUM(F160:G165)*33+SUM(F167:G172)*5+SUM(F174:G179)*5+SUM(F181:G186)</f>
        <v>245660.09831999996</v>
      </c>
      <c r="I102" s="48">
        <f>SUM(I115:I117)+SUM(I119:I121)+SUM(I124)+SUM(I126:I128)+SUM(I131)+SUM(I133:I135)+SUM(I138)+SUM(I140:I141)+SUM(I145)+SUM(I147:I148)+SUM(I150:I151)+SUM(I153:I154)+SUM(I157:I158)+SUM(I160:I165)*33+SUM(I167:I172)*5+SUM(I174:I179)*5+SUM(I181:I186)</f>
        <v>393056.15731199994</v>
      </c>
      <c r="J102" s="1">
        <f>92+92+94+12</f>
        <v>290</v>
      </c>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1" x14ac:dyDescent="0.3">
      <c r="A103" s="146" t="s">
        <v>212</v>
      </c>
      <c r="B103" s="147"/>
      <c r="C103" s="146" t="s">
        <v>100</v>
      </c>
      <c r="D103" s="147"/>
      <c r="E103" s="48" t="s">
        <v>239</v>
      </c>
      <c r="F103" s="146">
        <f>COUNT(F193:G194)+COUNT(F196:G198)+COUNT(F201)+COUNT(F203:G205)+COUNT(F208)+COUNT(F210:G212)+COUNT(F215)+COUNT(F217:G219)+COUNT(F222)+COUNT(F224:G225)+COUNT(F227:G228)+COUNT(F230:G235)+COUNT(F237:G242)*33+COUNT(F244:G249)*5+COUNT(F253:G256)*5+COUNT(F258)+COUNT(F260:G263)</f>
        <v>281</v>
      </c>
      <c r="G103" s="147"/>
      <c r="H103" s="48">
        <f>SUM(F193:G194)+SUM(F196:G198)+SUM(F201)+SUM(F203:G205)+SUM(F208)+SUM(F210:G212)+SUM(F215)+SUM(F217:G219)+SUM(F222)+SUM(F224:G225)+SUM(F227:G228)+SUM(F230:G235)+SUM(F237:G242)*33+SUM(F244:G249)*5+SUM(F253:G256)*5+SUM(F258)+SUM(F260:G263)</f>
        <v>242461.03751999998</v>
      </c>
      <c r="I103" s="48">
        <f>SUM(I193:I194)+SUM(I196:I198)+SUM(I201)+SUM(I203:I205)+SUM(I208)+SUM(I210:I212)+SUM(I215)+SUM(I217:I219)+SUM(I222)+SUM(I224:I225)+SUM(I227:I228)+SUM(I230:I235)+SUM(I237:I242)*33+SUM(I244:I249)*5+SUM(I253:I256)*5+SUM(I258)+SUM(I260:I263)</f>
        <v>387937.66003200004</v>
      </c>
      <c r="J103" s="1">
        <v>281</v>
      </c>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1" x14ac:dyDescent="0.3">
      <c r="A104" s="146" t="s">
        <v>214</v>
      </c>
      <c r="B104" s="147"/>
      <c r="C104" s="146" t="s">
        <v>100</v>
      </c>
      <c r="D104" s="147"/>
      <c r="E104" s="48" t="s">
        <v>239</v>
      </c>
      <c r="F104" s="146">
        <f>COUNT(F270:G271)+COUNT(F273:G274)+COUNT(F278)+COUNT(F280:G281)+COUNT(F285)+COUNT(F287:G288)+COUNT(F292)+COUNT(F294:G295)+COUNT(F299)+COUNT(F301:G302)+COUNT(F304:G305)+COUNT(F307:G312)+COUNT(F314:G319)*33+COUNT(F321:G326)*5+COUNT(F330:G333)*5+COUNT(F335)+COUNT(F337:G340)</f>
        <v>277</v>
      </c>
      <c r="G104" s="147"/>
      <c r="H104" s="48">
        <f>SUM(F270:G271)+SUM(F273:G274)+SUM(F278)+SUM(F280:G281)+SUM(F285)+SUM(F287:G288)+SUM(F292)+SUM(F294:G295)+SUM(F299)+SUM(F301:G302)+SUM(F304:G305)+SUM(F307:G312)+SUM(F314:G319)*33+SUM(F321:G326)*5+SUM(F330:G333)*5+SUM(F335)+SUM(F337:G340)</f>
        <v>252515.04407999999</v>
      </c>
      <c r="I104" s="48">
        <f>SUM(I270:I271)+SUM(I273:I274)+SUM(I278)+SUM(I280:I281)+SUM(I285)+SUM(I287:I288)+SUM(I292)+SUM(I294:I295)+SUM(I299)+SUM(I301:I302)+SUM(I304:I305)+SUM(I307:I312)+SUM(I314:I319)*33+SUM(I321:I326)*5+SUM(I330:I333)*5+SUM(I335)+SUM(I337:I340)</f>
        <v>404024.07052800007</v>
      </c>
      <c r="J104" s="1">
        <v>277</v>
      </c>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1" x14ac:dyDescent="0.3">
      <c r="A105" s="144" t="s">
        <v>189</v>
      </c>
      <c r="B105" s="145"/>
      <c r="C105" s="144"/>
      <c r="D105" s="145"/>
      <c r="E105" s="47"/>
      <c r="F105" s="144">
        <f>SUM(F102:G104)</f>
        <v>848</v>
      </c>
      <c r="G105" s="145"/>
      <c r="H105" s="47">
        <f>SUM(H102:H104)</f>
        <v>740636.17991999991</v>
      </c>
      <c r="I105" s="47">
        <f>SUM(I102:I104)</f>
        <v>1185017.887872</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ht="21" x14ac:dyDescent="0.3">
      <c r="A106" s="130" t="s">
        <v>182</v>
      </c>
      <c r="B106" s="131"/>
      <c r="C106" s="131"/>
      <c r="D106" s="131"/>
      <c r="E106" s="131"/>
      <c r="F106" s="131"/>
      <c r="G106" s="131"/>
      <c r="H106" s="131"/>
      <c r="I106" s="120"/>
    </row>
    <row r="107" spans="1:151 16227:16384" ht="44.25" customHeight="1" x14ac:dyDescent="0.3">
      <c r="A107" s="71" t="s">
        <v>109</v>
      </c>
      <c r="B107" s="71"/>
      <c r="C107" s="71" t="s">
        <v>105</v>
      </c>
      <c r="D107" s="71"/>
      <c r="E107" s="71" t="s">
        <v>106</v>
      </c>
      <c r="F107" s="71" t="s">
        <v>107</v>
      </c>
      <c r="G107" s="71"/>
      <c r="H107" s="71" t="s">
        <v>108</v>
      </c>
      <c r="I107" s="36" t="s">
        <v>162</v>
      </c>
    </row>
    <row r="108" spans="1:151 16227:16384" s="11" customFormat="1" ht="21" x14ac:dyDescent="0.3">
      <c r="A108" s="71"/>
      <c r="B108" s="71"/>
      <c r="C108" s="71"/>
      <c r="D108" s="71"/>
      <c r="E108" s="71"/>
      <c r="F108" s="71"/>
      <c r="G108" s="71"/>
      <c r="H108" s="71"/>
      <c r="I108" s="37">
        <v>0.6</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1" x14ac:dyDescent="0.3">
      <c r="A109" s="62" t="s">
        <v>216</v>
      </c>
      <c r="B109" s="63"/>
      <c r="C109" s="63"/>
      <c r="D109" s="63"/>
      <c r="E109" s="63"/>
      <c r="F109" s="63"/>
      <c r="G109" s="63"/>
      <c r="H109" s="63"/>
      <c r="I109" s="64"/>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1" x14ac:dyDescent="0.3">
      <c r="A110" s="62" t="s">
        <v>219</v>
      </c>
      <c r="B110" s="63"/>
      <c r="C110" s="63"/>
      <c r="D110" s="63"/>
      <c r="E110" s="63"/>
      <c r="F110" s="63"/>
      <c r="G110" s="63"/>
      <c r="H110" s="63"/>
      <c r="I110" s="64"/>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1" x14ac:dyDescent="0.3">
      <c r="A111" s="62" t="s">
        <v>220</v>
      </c>
      <c r="B111" s="63"/>
      <c r="C111" s="63"/>
      <c r="D111" s="63"/>
      <c r="E111" s="63"/>
      <c r="F111" s="63"/>
      <c r="G111" s="63"/>
      <c r="H111" s="63"/>
      <c r="I111" s="64"/>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1" x14ac:dyDescent="0.3">
      <c r="A112" s="62" t="s">
        <v>221</v>
      </c>
      <c r="B112" s="63"/>
      <c r="C112" s="63"/>
      <c r="D112" s="63"/>
      <c r="E112" s="63"/>
      <c r="F112" s="63"/>
      <c r="G112" s="63"/>
      <c r="H112" s="63"/>
      <c r="I112" s="64"/>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1" x14ac:dyDescent="0.3">
      <c r="A113" s="62" t="s">
        <v>222</v>
      </c>
      <c r="B113" s="63"/>
      <c r="C113" s="63"/>
      <c r="D113" s="63"/>
      <c r="E113" s="63"/>
      <c r="F113" s="63"/>
      <c r="G113" s="63"/>
      <c r="H113" s="63"/>
      <c r="I113" s="64"/>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1" x14ac:dyDescent="0.3">
      <c r="A114" s="62" t="s">
        <v>223</v>
      </c>
      <c r="B114" s="63"/>
      <c r="C114" s="63"/>
      <c r="D114" s="63"/>
      <c r="E114" s="63"/>
      <c r="F114" s="63"/>
      <c r="G114" s="63"/>
      <c r="H114" s="63"/>
      <c r="I114" s="64"/>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customHeight="1" x14ac:dyDescent="0.3">
      <c r="A115" s="65" t="str">
        <f>A114</f>
        <v>3rd Podium Floor For Parking &amp; Residential</v>
      </c>
      <c r="B115" s="66"/>
      <c r="C115" s="61">
        <v>1</v>
      </c>
      <c r="D115" s="61"/>
      <c r="E115" s="20" t="s">
        <v>224</v>
      </c>
      <c r="F115" s="58">
        <f>94.82*10.764</f>
        <v>1020.6424799999999</v>
      </c>
      <c r="G115" s="60"/>
      <c r="H115" s="20">
        <v>0</v>
      </c>
      <c r="I115" s="20">
        <f>F115*(($I$108)+1)+H115</f>
        <v>1633.0279679999999</v>
      </c>
      <c r="J115" s="1">
        <f>943+69</f>
        <v>1012</v>
      </c>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customHeight="1" x14ac:dyDescent="0.3">
      <c r="A116" s="67"/>
      <c r="B116" s="68"/>
      <c r="C116" s="61">
        <f>C115+1</f>
        <v>2</v>
      </c>
      <c r="D116" s="61"/>
      <c r="E116" s="20" t="s">
        <v>224</v>
      </c>
      <c r="F116" s="58">
        <f>94.82*10.764</f>
        <v>1020.6424799999999</v>
      </c>
      <c r="G116" s="60"/>
      <c r="H116" s="20">
        <v>0</v>
      </c>
      <c r="I116" s="20">
        <f>F116*(($I$108)+1)+H116</f>
        <v>1633.0279679999999</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1" x14ac:dyDescent="0.3">
      <c r="A117" s="69"/>
      <c r="B117" s="70"/>
      <c r="C117" s="61">
        <f t="shared" ref="C117" si="0">C116+1</f>
        <v>3</v>
      </c>
      <c r="D117" s="61"/>
      <c r="E117" s="20" t="s">
        <v>224</v>
      </c>
      <c r="F117" s="58">
        <f>81.94*10.764</f>
        <v>882.00215999999989</v>
      </c>
      <c r="G117" s="60"/>
      <c r="H117" s="20">
        <v>0</v>
      </c>
      <c r="I117" s="20">
        <f>F117*(($I$108)+1)+H117</f>
        <v>1411.203456</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1" x14ac:dyDescent="0.3">
      <c r="A118" s="62" t="s">
        <v>225</v>
      </c>
      <c r="B118" s="63"/>
      <c r="C118" s="63"/>
      <c r="D118" s="63"/>
      <c r="E118" s="63"/>
      <c r="F118" s="63"/>
      <c r="G118" s="63"/>
      <c r="H118" s="63"/>
      <c r="I118" s="64"/>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customHeight="1" x14ac:dyDescent="0.3">
      <c r="A119" s="65" t="str">
        <f>A118</f>
        <v>4th Podium Floor For Parking &amp; Residential</v>
      </c>
      <c r="B119" s="66"/>
      <c r="C119" s="61">
        <v>1</v>
      </c>
      <c r="D119" s="61"/>
      <c r="E119" s="20" t="s">
        <v>224</v>
      </c>
      <c r="F119" s="58">
        <f>94.82*10.764</f>
        <v>1020.6424799999999</v>
      </c>
      <c r="G119" s="60"/>
      <c r="H119" s="20">
        <v>0</v>
      </c>
      <c r="I119" s="20">
        <f>F119*(($I$108)+1)+H119</f>
        <v>1633.0279679999999</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customHeight="1" x14ac:dyDescent="0.3">
      <c r="A120" s="67"/>
      <c r="B120" s="68"/>
      <c r="C120" s="61">
        <f>C119+1</f>
        <v>2</v>
      </c>
      <c r="D120" s="61"/>
      <c r="E120" s="20" t="s">
        <v>224</v>
      </c>
      <c r="F120" s="58">
        <f>94.82*10.764</f>
        <v>1020.6424799999999</v>
      </c>
      <c r="G120" s="60"/>
      <c r="H120" s="20">
        <v>0</v>
      </c>
      <c r="I120" s="20">
        <f t="shared" ref="I120:I124" si="1">F120*(($I$108)+1)+H120</f>
        <v>1633.0279679999999</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customHeight="1" x14ac:dyDescent="0.3">
      <c r="A121" s="67"/>
      <c r="B121" s="68"/>
      <c r="C121" s="61">
        <f t="shared" ref="C121:C124" si="2">C120+1</f>
        <v>3</v>
      </c>
      <c r="D121" s="61"/>
      <c r="E121" s="20" t="s">
        <v>224</v>
      </c>
      <c r="F121" s="58">
        <f>81.94*10.764</f>
        <v>882.00215999999989</v>
      </c>
      <c r="G121" s="60"/>
      <c r="H121" s="20">
        <v>0</v>
      </c>
      <c r="I121" s="20">
        <f t="shared" si="1"/>
        <v>1411.203456</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3">
      <c r="A122" s="67"/>
      <c r="B122" s="68"/>
      <c r="C122" s="61">
        <f t="shared" si="2"/>
        <v>4</v>
      </c>
      <c r="D122" s="61"/>
      <c r="E122" s="58" t="s">
        <v>227</v>
      </c>
      <c r="F122" s="59"/>
      <c r="G122" s="59"/>
      <c r="H122" s="59"/>
      <c r="I122" s="60">
        <f t="shared" si="1"/>
        <v>0</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customHeight="1" x14ac:dyDescent="0.3">
      <c r="A123" s="67"/>
      <c r="B123" s="68"/>
      <c r="C123" s="61">
        <f t="shared" si="2"/>
        <v>5</v>
      </c>
      <c r="D123" s="61"/>
      <c r="E123" s="58" t="s">
        <v>227</v>
      </c>
      <c r="F123" s="59"/>
      <c r="G123" s="59"/>
      <c r="H123" s="59"/>
      <c r="I123" s="60">
        <f t="shared" si="1"/>
        <v>0</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customHeight="1" x14ac:dyDescent="0.3">
      <c r="A124" s="69"/>
      <c r="B124" s="70"/>
      <c r="C124" s="61">
        <f t="shared" si="2"/>
        <v>6</v>
      </c>
      <c r="D124" s="61"/>
      <c r="E124" s="20" t="s">
        <v>226</v>
      </c>
      <c r="F124" s="58">
        <f>67.35*10.764</f>
        <v>724.95539999999994</v>
      </c>
      <c r="G124" s="60"/>
      <c r="H124" s="20">
        <v>0</v>
      </c>
      <c r="I124" s="20">
        <f t="shared" si="1"/>
        <v>1159.9286399999999</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1" x14ac:dyDescent="0.3">
      <c r="A125" s="62" t="s">
        <v>228</v>
      </c>
      <c r="B125" s="63"/>
      <c r="C125" s="63"/>
      <c r="D125" s="63"/>
      <c r="E125" s="63"/>
      <c r="F125" s="63"/>
      <c r="G125" s="63"/>
      <c r="H125" s="63"/>
      <c r="I125" s="64"/>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customHeight="1" x14ac:dyDescent="0.3">
      <c r="A126" s="65" t="str">
        <f>A125</f>
        <v>5th Podium Floor For Parking &amp; Residential</v>
      </c>
      <c r="B126" s="66"/>
      <c r="C126" s="61">
        <v>1</v>
      </c>
      <c r="D126" s="61"/>
      <c r="E126" s="20" t="s">
        <v>224</v>
      </c>
      <c r="F126" s="58">
        <f>94.82*10.764</f>
        <v>1020.6424799999999</v>
      </c>
      <c r="G126" s="60"/>
      <c r="H126" s="20">
        <v>0</v>
      </c>
      <c r="I126" s="20">
        <f>F126*(($I$108)+1)+H126</f>
        <v>1633.0279679999999</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3">
      <c r="A127" s="67"/>
      <c r="B127" s="68"/>
      <c r="C127" s="61">
        <f>C126+1</f>
        <v>2</v>
      </c>
      <c r="D127" s="61"/>
      <c r="E127" s="20" t="s">
        <v>224</v>
      </c>
      <c r="F127" s="58">
        <f>94.82*10.764</f>
        <v>1020.6424799999999</v>
      </c>
      <c r="G127" s="60"/>
      <c r="H127" s="20">
        <v>0</v>
      </c>
      <c r="I127" s="20">
        <f t="shared" ref="I127:I131" si="3">F127*(($I$108)+1)+H127</f>
        <v>1633.0279679999999</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0.25" customHeight="1" x14ac:dyDescent="0.3">
      <c r="A128" s="67"/>
      <c r="B128" s="68"/>
      <c r="C128" s="61">
        <f t="shared" ref="C128:C131" si="4">C127+1</f>
        <v>3</v>
      </c>
      <c r="D128" s="61"/>
      <c r="E128" s="20" t="s">
        <v>224</v>
      </c>
      <c r="F128" s="58">
        <f>81.94*10.764</f>
        <v>882.00215999999989</v>
      </c>
      <c r="G128" s="60"/>
      <c r="H128" s="20">
        <v>0</v>
      </c>
      <c r="I128" s="20">
        <f t="shared" si="3"/>
        <v>1411.203456</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customHeight="1" x14ac:dyDescent="0.3">
      <c r="A129" s="67"/>
      <c r="B129" s="68"/>
      <c r="C129" s="61">
        <f t="shared" si="4"/>
        <v>4</v>
      </c>
      <c r="D129" s="61"/>
      <c r="E129" s="58" t="s">
        <v>227</v>
      </c>
      <c r="F129" s="59"/>
      <c r="G129" s="59"/>
      <c r="H129" s="59"/>
      <c r="I129" s="60">
        <f t="shared" si="3"/>
        <v>0</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customHeight="1" x14ac:dyDescent="0.3">
      <c r="A130" s="67"/>
      <c r="B130" s="68"/>
      <c r="C130" s="61">
        <f t="shared" si="4"/>
        <v>5</v>
      </c>
      <c r="D130" s="61"/>
      <c r="E130" s="58" t="s">
        <v>227</v>
      </c>
      <c r="F130" s="59"/>
      <c r="G130" s="59"/>
      <c r="H130" s="59"/>
      <c r="I130" s="60">
        <f t="shared" si="3"/>
        <v>0</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customHeight="1" x14ac:dyDescent="0.3">
      <c r="A131" s="69"/>
      <c r="B131" s="70"/>
      <c r="C131" s="61">
        <f t="shared" si="4"/>
        <v>6</v>
      </c>
      <c r="D131" s="61"/>
      <c r="E131" s="20" t="s">
        <v>226</v>
      </c>
      <c r="F131" s="58">
        <f>67.35*10.764</f>
        <v>724.95539999999994</v>
      </c>
      <c r="G131" s="60"/>
      <c r="H131" s="20">
        <v>0</v>
      </c>
      <c r="I131" s="20">
        <f t="shared" si="3"/>
        <v>1159.9286399999999</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1" x14ac:dyDescent="0.3">
      <c r="A132" s="62" t="s">
        <v>229</v>
      </c>
      <c r="B132" s="63"/>
      <c r="C132" s="63"/>
      <c r="D132" s="63"/>
      <c r="E132" s="63"/>
      <c r="F132" s="63"/>
      <c r="G132" s="63"/>
      <c r="H132" s="63"/>
      <c r="I132" s="64"/>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customHeight="1" x14ac:dyDescent="0.3">
      <c r="A133" s="65" t="str">
        <f>A132</f>
        <v>6th Podium Floor For Parking &amp; Residential</v>
      </c>
      <c r="B133" s="66"/>
      <c r="C133" s="61">
        <v>1</v>
      </c>
      <c r="D133" s="61"/>
      <c r="E133" s="20" t="s">
        <v>224</v>
      </c>
      <c r="F133" s="58">
        <f>94.82*10.764</f>
        <v>1020.6424799999999</v>
      </c>
      <c r="G133" s="60"/>
      <c r="H133" s="20">
        <v>0</v>
      </c>
      <c r="I133" s="20">
        <f>F133*(($I$108)+1)+H133</f>
        <v>1633.0279679999999</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customHeight="1" x14ac:dyDescent="0.3">
      <c r="A134" s="67"/>
      <c r="B134" s="68"/>
      <c r="C134" s="61">
        <f>C133+1</f>
        <v>2</v>
      </c>
      <c r="D134" s="61"/>
      <c r="E134" s="20" t="s">
        <v>224</v>
      </c>
      <c r="F134" s="58">
        <f>94.82*10.764</f>
        <v>1020.6424799999999</v>
      </c>
      <c r="G134" s="60"/>
      <c r="H134" s="20">
        <v>0</v>
      </c>
      <c r="I134" s="20">
        <f t="shared" ref="I134:I138" si="5">F134*(($I$108)+1)+H134</f>
        <v>1633.0279679999999</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3">
      <c r="A135" s="67"/>
      <c r="B135" s="68"/>
      <c r="C135" s="61">
        <f t="shared" ref="C135:C138" si="6">C134+1</f>
        <v>3</v>
      </c>
      <c r="D135" s="61"/>
      <c r="E135" s="20" t="s">
        <v>224</v>
      </c>
      <c r="F135" s="58">
        <f>81.94*10.764</f>
        <v>882.00215999999989</v>
      </c>
      <c r="G135" s="60"/>
      <c r="H135" s="20">
        <v>0</v>
      </c>
      <c r="I135" s="20">
        <f t="shared" si="5"/>
        <v>1411.203456</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3">
      <c r="A136" s="67"/>
      <c r="B136" s="68"/>
      <c r="C136" s="61">
        <f t="shared" si="6"/>
        <v>4</v>
      </c>
      <c r="D136" s="61"/>
      <c r="E136" s="58" t="s">
        <v>227</v>
      </c>
      <c r="F136" s="59"/>
      <c r="G136" s="59"/>
      <c r="H136" s="60"/>
      <c r="I136" s="20">
        <f t="shared" si="5"/>
        <v>0</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3">
      <c r="A137" s="67"/>
      <c r="B137" s="68"/>
      <c r="C137" s="61">
        <f t="shared" si="6"/>
        <v>5</v>
      </c>
      <c r="D137" s="61"/>
      <c r="E137" s="58" t="s">
        <v>227</v>
      </c>
      <c r="F137" s="59"/>
      <c r="G137" s="59"/>
      <c r="H137" s="60"/>
      <c r="I137" s="20">
        <f t="shared" si="5"/>
        <v>0</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3">
      <c r="A138" s="69"/>
      <c r="B138" s="70"/>
      <c r="C138" s="61">
        <f t="shared" si="6"/>
        <v>6</v>
      </c>
      <c r="D138" s="61"/>
      <c r="E138" s="20" t="s">
        <v>226</v>
      </c>
      <c r="F138" s="58">
        <f>67.35*10.764</f>
        <v>724.95539999999994</v>
      </c>
      <c r="G138" s="60"/>
      <c r="H138" s="20">
        <v>0</v>
      </c>
      <c r="I138" s="20">
        <f t="shared" si="5"/>
        <v>1159.9286399999999</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1" x14ac:dyDescent="0.3">
      <c r="A139" s="62" t="s">
        <v>230</v>
      </c>
      <c r="B139" s="63"/>
      <c r="C139" s="63"/>
      <c r="D139" s="63"/>
      <c r="E139" s="63"/>
      <c r="F139" s="63"/>
      <c r="G139" s="63"/>
      <c r="H139" s="63"/>
      <c r="I139" s="64"/>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customHeight="1" x14ac:dyDescent="0.3">
      <c r="A140" s="65" t="str">
        <f>A139</f>
        <v>7th Podium Floor For Parking &amp; Residential</v>
      </c>
      <c r="B140" s="66"/>
      <c r="C140" s="61">
        <v>1</v>
      </c>
      <c r="D140" s="61"/>
      <c r="E140" s="20" t="s">
        <v>224</v>
      </c>
      <c r="F140" s="58">
        <f>94.82*10.764</f>
        <v>1020.6424799999999</v>
      </c>
      <c r="G140" s="60"/>
      <c r="H140" s="20">
        <v>0</v>
      </c>
      <c r="I140" s="20">
        <f>F140*(($I$108)+1)+H140</f>
        <v>1633.0279679999999</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customHeight="1" x14ac:dyDescent="0.3">
      <c r="A141" s="67"/>
      <c r="B141" s="68"/>
      <c r="C141" s="61">
        <f>C140+1</f>
        <v>2</v>
      </c>
      <c r="D141" s="61"/>
      <c r="E141" s="20" t="s">
        <v>224</v>
      </c>
      <c r="F141" s="58">
        <f>94.82*10.764</f>
        <v>1020.6424799999999</v>
      </c>
      <c r="G141" s="60"/>
      <c r="H141" s="20">
        <v>0</v>
      </c>
      <c r="I141" s="20">
        <f t="shared" ref="I141:I145" si="7">F141*(($I$108)+1)+H141</f>
        <v>1633.0279679999999</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customHeight="1" x14ac:dyDescent="0.3">
      <c r="A142" s="67"/>
      <c r="B142" s="68"/>
      <c r="C142" s="61">
        <f t="shared" ref="C142:C145" si="8">C141+1</f>
        <v>3</v>
      </c>
      <c r="D142" s="61"/>
      <c r="E142" s="58" t="s">
        <v>227</v>
      </c>
      <c r="F142" s="59"/>
      <c r="G142" s="59"/>
      <c r="H142" s="59"/>
      <c r="I142" s="60">
        <f t="shared" ref="I142" si="9">F142*(($I$108)+1)+H142</f>
        <v>0</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customHeight="1" x14ac:dyDescent="0.3">
      <c r="A143" s="67"/>
      <c r="B143" s="68"/>
      <c r="C143" s="61">
        <f t="shared" si="8"/>
        <v>4</v>
      </c>
      <c r="D143" s="61"/>
      <c r="E143" s="58" t="s">
        <v>227</v>
      </c>
      <c r="F143" s="59"/>
      <c r="G143" s="59"/>
      <c r="H143" s="59"/>
      <c r="I143" s="60">
        <f t="shared" si="7"/>
        <v>0</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3">
      <c r="A144" s="67"/>
      <c r="B144" s="68"/>
      <c r="C144" s="61">
        <f t="shared" si="8"/>
        <v>5</v>
      </c>
      <c r="D144" s="61"/>
      <c r="E144" s="58" t="s">
        <v>227</v>
      </c>
      <c r="F144" s="59"/>
      <c r="G144" s="59"/>
      <c r="H144" s="59"/>
      <c r="I144" s="60">
        <f t="shared" si="7"/>
        <v>0</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3">
      <c r="A145" s="69"/>
      <c r="B145" s="70"/>
      <c r="C145" s="61">
        <f t="shared" si="8"/>
        <v>6</v>
      </c>
      <c r="D145" s="61"/>
      <c r="E145" s="20" t="s">
        <v>226</v>
      </c>
      <c r="F145" s="58">
        <f>67.35*10.764</f>
        <v>724.95539999999994</v>
      </c>
      <c r="G145" s="60"/>
      <c r="H145" s="20">
        <v>0</v>
      </c>
      <c r="I145" s="20">
        <f t="shared" si="7"/>
        <v>1159.9286399999999</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x14ac:dyDescent="0.3">
      <c r="A146" s="62" t="s">
        <v>231</v>
      </c>
      <c r="B146" s="63"/>
      <c r="C146" s="63"/>
      <c r="D146" s="63"/>
      <c r="E146" s="63"/>
      <c r="F146" s="63"/>
      <c r="G146" s="63"/>
      <c r="H146" s="63"/>
      <c r="I146" s="64"/>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
      <c r="A147" s="65" t="str">
        <f>A146</f>
        <v>8th Podium Floor For Parking, Residential &amp; Club House</v>
      </c>
      <c r="B147" s="66"/>
      <c r="C147" s="61">
        <v>1</v>
      </c>
      <c r="D147" s="61"/>
      <c r="E147" s="20" t="s">
        <v>224</v>
      </c>
      <c r="F147" s="58">
        <f>94.02*10.764</f>
        <v>1012.0312799999999</v>
      </c>
      <c r="G147" s="60"/>
      <c r="H147" s="20">
        <v>0</v>
      </c>
      <c r="I147" s="20">
        <f>F147*(($I$108)+1)+H147</f>
        <v>1619.2500479999999</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
      <c r="A148" s="69"/>
      <c r="B148" s="70"/>
      <c r="C148" s="61">
        <v>2</v>
      </c>
      <c r="D148" s="61"/>
      <c r="E148" s="20" t="s">
        <v>224</v>
      </c>
      <c r="F148" s="58">
        <f>94.02*10.764</f>
        <v>1012.0312799999999</v>
      </c>
      <c r="G148" s="60"/>
      <c r="H148" s="20">
        <v>0</v>
      </c>
      <c r="I148" s="20">
        <f t="shared" ref="I148" si="10">F148*(($I$108)+1)+H148</f>
        <v>1619.2500479999999</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1" x14ac:dyDescent="0.3">
      <c r="A149" s="62" t="s">
        <v>232</v>
      </c>
      <c r="B149" s="63"/>
      <c r="C149" s="63"/>
      <c r="D149" s="63"/>
      <c r="E149" s="63"/>
      <c r="F149" s="63"/>
      <c r="G149" s="63"/>
      <c r="H149" s="63"/>
      <c r="I149" s="64"/>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65" t="str">
        <f>A149</f>
        <v>9th Podium Floor For Parking, Residential, Steam &amp; Sauna</v>
      </c>
      <c r="B150" s="66"/>
      <c r="C150" s="61">
        <v>1</v>
      </c>
      <c r="D150" s="61"/>
      <c r="E150" s="20" t="s">
        <v>224</v>
      </c>
      <c r="F150" s="58">
        <f>94.82*10.764</f>
        <v>1020.6424799999999</v>
      </c>
      <c r="G150" s="60"/>
      <c r="H150" s="20">
        <v>0</v>
      </c>
      <c r="I150" s="20">
        <f>F150*(($I$108)+1)+H150</f>
        <v>1633.0279679999999</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69"/>
      <c r="B151" s="70"/>
      <c r="C151" s="61">
        <v>2</v>
      </c>
      <c r="D151" s="61"/>
      <c r="E151" s="20" t="s">
        <v>224</v>
      </c>
      <c r="F151" s="58">
        <f>94.82*10.764</f>
        <v>1020.6424799999999</v>
      </c>
      <c r="G151" s="60"/>
      <c r="H151" s="20">
        <v>0</v>
      </c>
      <c r="I151" s="20">
        <f t="shared" ref="I151" si="11">F151*(($I$108)+1)+H151</f>
        <v>1633.0279679999999</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1" x14ac:dyDescent="0.3">
      <c r="A152" s="62" t="s">
        <v>233</v>
      </c>
      <c r="B152" s="63"/>
      <c r="C152" s="63"/>
      <c r="D152" s="63"/>
      <c r="E152" s="63"/>
      <c r="F152" s="63"/>
      <c r="G152" s="63"/>
      <c r="H152" s="63"/>
      <c r="I152" s="64"/>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
      <c r="A153" s="65" t="str">
        <f>A152</f>
        <v>10th Floor For Residential &amp; Sauna Area</v>
      </c>
      <c r="B153" s="66"/>
      <c r="C153" s="61">
        <v>1</v>
      </c>
      <c r="D153" s="61"/>
      <c r="E153" s="20" t="s">
        <v>224</v>
      </c>
      <c r="F153" s="58">
        <f>94.82*10.764</f>
        <v>1020.6424799999999</v>
      </c>
      <c r="G153" s="60"/>
      <c r="H153" s="20">
        <v>0</v>
      </c>
      <c r="I153" s="20">
        <f>F153*(($I$108)+1)+H153</f>
        <v>1633.0279679999999</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
      <c r="A154" s="67"/>
      <c r="B154" s="68"/>
      <c r="C154" s="61">
        <f>C153+1</f>
        <v>2</v>
      </c>
      <c r="D154" s="61"/>
      <c r="E154" s="20" t="s">
        <v>224</v>
      </c>
      <c r="F154" s="58">
        <f>94.82*10.764</f>
        <v>1020.6424799999999</v>
      </c>
      <c r="G154" s="60"/>
      <c r="H154" s="20">
        <v>0</v>
      </c>
      <c r="I154" s="20">
        <f t="shared" ref="I154:I158" si="12">F154*(($I$108)+1)+H154</f>
        <v>1633.0279679999999</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67"/>
      <c r="B155" s="68"/>
      <c r="C155" s="61">
        <f t="shared" ref="C155:C158" si="13">C154+1</f>
        <v>3</v>
      </c>
      <c r="D155" s="61"/>
      <c r="E155" s="58" t="s">
        <v>234</v>
      </c>
      <c r="F155" s="59"/>
      <c r="G155" s="59"/>
      <c r="H155" s="59"/>
      <c r="I155" s="60"/>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67"/>
      <c r="B156" s="68"/>
      <c r="C156" s="61">
        <f t="shared" si="13"/>
        <v>4</v>
      </c>
      <c r="D156" s="61"/>
      <c r="E156" s="58" t="s">
        <v>234</v>
      </c>
      <c r="F156" s="59"/>
      <c r="G156" s="59"/>
      <c r="H156" s="59"/>
      <c r="I156" s="60"/>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67"/>
      <c r="B157" s="68"/>
      <c r="C157" s="61">
        <f t="shared" si="13"/>
        <v>5</v>
      </c>
      <c r="D157" s="61"/>
      <c r="E157" s="20" t="s">
        <v>226</v>
      </c>
      <c r="F157" s="58">
        <f>67.35*10.764</f>
        <v>724.95539999999994</v>
      </c>
      <c r="G157" s="60"/>
      <c r="H157" s="20">
        <v>0</v>
      </c>
      <c r="I157" s="20">
        <f t="shared" si="12"/>
        <v>1159.9286399999999</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69"/>
      <c r="B158" s="70"/>
      <c r="C158" s="61">
        <f t="shared" si="13"/>
        <v>6</v>
      </c>
      <c r="D158" s="61"/>
      <c r="E158" s="20" t="s">
        <v>226</v>
      </c>
      <c r="F158" s="58">
        <f>67.35*10.764</f>
        <v>724.95539999999994</v>
      </c>
      <c r="G158" s="60"/>
      <c r="H158" s="20">
        <v>0</v>
      </c>
      <c r="I158" s="20">
        <f t="shared" si="12"/>
        <v>1159.9286399999999</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1" x14ac:dyDescent="0.3">
      <c r="A159" s="62" t="s">
        <v>252</v>
      </c>
      <c r="B159" s="63"/>
      <c r="C159" s="63"/>
      <c r="D159" s="63"/>
      <c r="E159" s="63"/>
      <c r="F159" s="63"/>
      <c r="G159" s="63"/>
      <c r="H159" s="63"/>
      <c r="I159" s="64"/>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
      <c r="A160" s="65" t="str">
        <f>A159</f>
        <v>11th to 13th, 16th to 20th, 23rd to 27th, 30th to 34th, 37th to 41st, 44th to 49th &amp; 51st to 54th Floor For Residential</v>
      </c>
      <c r="B160" s="66"/>
      <c r="C160" s="61">
        <v>1</v>
      </c>
      <c r="D160" s="61"/>
      <c r="E160" s="20" t="s">
        <v>224</v>
      </c>
      <c r="F160" s="58">
        <f>94.82*10.764</f>
        <v>1020.6424799999999</v>
      </c>
      <c r="G160" s="60"/>
      <c r="H160" s="20">
        <v>0</v>
      </c>
      <c r="I160" s="20">
        <f>F160*(($I$108)+1)+H160</f>
        <v>1633.0279679999999</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
      <c r="A161" s="67"/>
      <c r="B161" s="68"/>
      <c r="C161" s="61">
        <f>C160+1</f>
        <v>2</v>
      </c>
      <c r="D161" s="61"/>
      <c r="E161" s="20" t="s">
        <v>224</v>
      </c>
      <c r="F161" s="58">
        <f>94.82*10.764</f>
        <v>1020.6424799999999</v>
      </c>
      <c r="G161" s="60"/>
      <c r="H161" s="20">
        <v>0</v>
      </c>
      <c r="I161" s="20">
        <f t="shared" ref="I161:I163" si="14">F161*(($I$108)+1)+H161</f>
        <v>1633.0279679999999</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67"/>
      <c r="B162" s="68"/>
      <c r="C162" s="61">
        <f t="shared" ref="C162:C165" si="15">C161+1</f>
        <v>3</v>
      </c>
      <c r="D162" s="61"/>
      <c r="E162" s="20" t="s">
        <v>224</v>
      </c>
      <c r="F162" s="58">
        <f>82.4*10.764</f>
        <v>886.95360000000005</v>
      </c>
      <c r="G162" s="60"/>
      <c r="H162" s="20">
        <v>0</v>
      </c>
      <c r="I162" s="20">
        <f t="shared" si="14"/>
        <v>1419.1257600000001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67"/>
      <c r="B163" s="68"/>
      <c r="C163" s="61">
        <f t="shared" si="15"/>
        <v>4</v>
      </c>
      <c r="D163" s="61"/>
      <c r="E163" s="20" t="s">
        <v>224</v>
      </c>
      <c r="F163" s="58">
        <f>82.4*10.764</f>
        <v>886.95360000000005</v>
      </c>
      <c r="G163" s="60"/>
      <c r="H163" s="20">
        <v>0</v>
      </c>
      <c r="I163" s="20">
        <f t="shared" si="14"/>
        <v>1419.1257600000001</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67"/>
      <c r="B164" s="68"/>
      <c r="C164" s="61">
        <f t="shared" si="15"/>
        <v>5</v>
      </c>
      <c r="D164" s="61"/>
      <c r="E164" s="20" t="s">
        <v>226</v>
      </c>
      <c r="F164" s="58">
        <f>67.35*10.764</f>
        <v>724.95539999999994</v>
      </c>
      <c r="G164" s="60"/>
      <c r="H164" s="20">
        <v>0</v>
      </c>
      <c r="I164" s="20">
        <f t="shared" ref="I164:I165" si="16">F164*(($I$108)+1)+H164</f>
        <v>1159.9286399999999</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69"/>
      <c r="B165" s="70"/>
      <c r="C165" s="61">
        <f t="shared" si="15"/>
        <v>6</v>
      </c>
      <c r="D165" s="61"/>
      <c r="E165" s="20" t="s">
        <v>226</v>
      </c>
      <c r="F165" s="58">
        <f>67.35*10.764</f>
        <v>724.95539999999994</v>
      </c>
      <c r="G165" s="60"/>
      <c r="H165" s="20">
        <v>0</v>
      </c>
      <c r="I165" s="20">
        <f t="shared" si="16"/>
        <v>1159.9286399999999</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1" x14ac:dyDescent="0.3">
      <c r="A166" s="62" t="s">
        <v>235</v>
      </c>
      <c r="B166" s="63"/>
      <c r="C166" s="63"/>
      <c r="D166" s="63"/>
      <c r="E166" s="63"/>
      <c r="F166" s="63"/>
      <c r="G166" s="63"/>
      <c r="H166" s="63"/>
      <c r="I166" s="64"/>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65" t="str">
        <f>A166</f>
        <v>14th, 21st, 28th, 35th &amp; 42nd Floor For Residential</v>
      </c>
      <c r="B167" s="66"/>
      <c r="C167" s="61">
        <v>1</v>
      </c>
      <c r="D167" s="61"/>
      <c r="E167" s="20" t="s">
        <v>224</v>
      </c>
      <c r="F167" s="58">
        <f>94.82*10.764</f>
        <v>1020.6424799999999</v>
      </c>
      <c r="G167" s="60"/>
      <c r="H167" s="20">
        <v>0</v>
      </c>
      <c r="I167" s="20">
        <f>F167*(($I$108)+1)+H167</f>
        <v>1633.0279679999999</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
      <c r="A168" s="67"/>
      <c r="B168" s="68"/>
      <c r="C168" s="61">
        <f>C167+1</f>
        <v>2</v>
      </c>
      <c r="D168" s="61"/>
      <c r="E168" s="20" t="s">
        <v>224</v>
      </c>
      <c r="F168" s="58">
        <f>94.82*10.764</f>
        <v>1020.6424799999999</v>
      </c>
      <c r="G168" s="60"/>
      <c r="H168" s="20">
        <v>0</v>
      </c>
      <c r="I168" s="20">
        <f t="shared" ref="I168:I172" si="17">F168*(($I$108)+1)+H168</f>
        <v>1633.0279679999999</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67"/>
      <c r="B169" s="68"/>
      <c r="C169" s="61">
        <f t="shared" ref="C169:C172" si="18">C168+1</f>
        <v>3</v>
      </c>
      <c r="D169" s="61"/>
      <c r="E169" s="20" t="s">
        <v>224</v>
      </c>
      <c r="F169" s="58">
        <f>82.4*10.764</f>
        <v>886.95360000000005</v>
      </c>
      <c r="G169" s="60"/>
      <c r="H169" s="20">
        <v>0</v>
      </c>
      <c r="I169" s="20">
        <f t="shared" si="17"/>
        <v>1419.1257600000001</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67"/>
      <c r="B170" s="68"/>
      <c r="C170" s="61">
        <f t="shared" si="18"/>
        <v>4</v>
      </c>
      <c r="D170" s="61"/>
      <c r="E170" s="20" t="s">
        <v>224</v>
      </c>
      <c r="F170" s="58">
        <f>82.4*10.764</f>
        <v>886.95360000000005</v>
      </c>
      <c r="G170" s="60"/>
      <c r="H170" s="20">
        <v>0</v>
      </c>
      <c r="I170" s="20">
        <f t="shared" si="17"/>
        <v>1419.1257600000001</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67"/>
      <c r="B171" s="68"/>
      <c r="C171" s="61">
        <f t="shared" si="18"/>
        <v>5</v>
      </c>
      <c r="D171" s="61"/>
      <c r="E171" s="20" t="s">
        <v>226</v>
      </c>
      <c r="F171" s="58">
        <f>67.35*10.764</f>
        <v>724.95539999999994</v>
      </c>
      <c r="G171" s="60"/>
      <c r="H171" s="20">
        <v>0</v>
      </c>
      <c r="I171" s="20">
        <f t="shared" si="17"/>
        <v>1159.9286399999999</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69"/>
      <c r="B172" s="70"/>
      <c r="C172" s="61">
        <f t="shared" si="18"/>
        <v>6</v>
      </c>
      <c r="D172" s="61"/>
      <c r="E172" s="20" t="s">
        <v>226</v>
      </c>
      <c r="F172" s="58">
        <f>67.35*10.764</f>
        <v>724.95539999999994</v>
      </c>
      <c r="G172" s="60"/>
      <c r="H172" s="20">
        <v>0</v>
      </c>
      <c r="I172" s="20">
        <f t="shared" si="17"/>
        <v>1159.9286399999999</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1" x14ac:dyDescent="0.3">
      <c r="A173" s="62" t="s">
        <v>237</v>
      </c>
      <c r="B173" s="63"/>
      <c r="C173" s="63"/>
      <c r="D173" s="63"/>
      <c r="E173" s="63"/>
      <c r="F173" s="63"/>
      <c r="G173" s="63"/>
      <c r="H173" s="63"/>
      <c r="I173" s="64"/>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65" t="str">
        <f>A173</f>
        <v>15th, 22nd, 29th, 36th &amp; 43rd Floor For Residential (Part Refuge Area)</v>
      </c>
      <c r="B174" s="66"/>
      <c r="C174" s="61">
        <v>1</v>
      </c>
      <c r="D174" s="61"/>
      <c r="E174" s="20" t="s">
        <v>236</v>
      </c>
      <c r="F174" s="58">
        <f>15.89*10.764</f>
        <v>171.03996000000001</v>
      </c>
      <c r="G174" s="60"/>
      <c r="H174" s="20">
        <v>0</v>
      </c>
      <c r="I174" s="20">
        <f>F174*(($I$108)+1)+H174</f>
        <v>273.66393600000004</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67"/>
      <c r="B175" s="68"/>
      <c r="C175" s="61">
        <f>C174+1</f>
        <v>2</v>
      </c>
      <c r="D175" s="61"/>
      <c r="E175" s="20" t="s">
        <v>236</v>
      </c>
      <c r="F175" s="58">
        <f>15.89*10.764</f>
        <v>171.03996000000001</v>
      </c>
      <c r="G175" s="60"/>
      <c r="H175" s="20">
        <v>0</v>
      </c>
      <c r="I175" s="20">
        <f t="shared" ref="I175:I179" si="19">F175*(($I$108)+1)+H175</f>
        <v>273.66393600000004</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67"/>
      <c r="B176" s="68"/>
      <c r="C176" s="61">
        <f t="shared" ref="C176:C179" si="20">C175+1</f>
        <v>3</v>
      </c>
      <c r="D176" s="61"/>
      <c r="E176" s="20" t="s">
        <v>224</v>
      </c>
      <c r="F176" s="58">
        <f>82.4*10.764</f>
        <v>886.95360000000005</v>
      </c>
      <c r="G176" s="60"/>
      <c r="H176" s="20">
        <v>0</v>
      </c>
      <c r="I176" s="20">
        <f t="shared" si="19"/>
        <v>1419.1257600000001</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67"/>
      <c r="B177" s="68"/>
      <c r="C177" s="61">
        <f t="shared" si="20"/>
        <v>4</v>
      </c>
      <c r="D177" s="61"/>
      <c r="E177" s="20" t="s">
        <v>224</v>
      </c>
      <c r="F177" s="58">
        <f>82.4*10.764</f>
        <v>886.95360000000005</v>
      </c>
      <c r="G177" s="60"/>
      <c r="H177" s="20">
        <v>0</v>
      </c>
      <c r="I177" s="20">
        <f t="shared" si="19"/>
        <v>1419.1257600000001</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67"/>
      <c r="B178" s="68"/>
      <c r="C178" s="61">
        <f t="shared" si="20"/>
        <v>5</v>
      </c>
      <c r="D178" s="61"/>
      <c r="E178" s="20" t="s">
        <v>226</v>
      </c>
      <c r="F178" s="58">
        <f>67.35*10.764</f>
        <v>724.95539999999994</v>
      </c>
      <c r="G178" s="60"/>
      <c r="H178" s="20">
        <v>0</v>
      </c>
      <c r="I178" s="20">
        <f t="shared" si="19"/>
        <v>1159.9286399999999</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69"/>
      <c r="B179" s="70"/>
      <c r="C179" s="61">
        <f t="shared" si="20"/>
        <v>6</v>
      </c>
      <c r="D179" s="61"/>
      <c r="E179" s="20" t="s">
        <v>226</v>
      </c>
      <c r="F179" s="58">
        <f>67.35*10.764</f>
        <v>724.95539999999994</v>
      </c>
      <c r="G179" s="60"/>
      <c r="H179" s="20">
        <v>0</v>
      </c>
      <c r="I179" s="20">
        <f t="shared" si="19"/>
        <v>1159.9286399999999</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1" x14ac:dyDescent="0.3">
      <c r="A180" s="62" t="s">
        <v>238</v>
      </c>
      <c r="B180" s="63"/>
      <c r="C180" s="63"/>
      <c r="D180" s="63"/>
      <c r="E180" s="63"/>
      <c r="F180" s="63"/>
      <c r="G180" s="63"/>
      <c r="H180" s="63"/>
      <c r="I180" s="64"/>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65" t="str">
        <f>A180</f>
        <v>50th Floor For Residential (Part Refuge Area)</v>
      </c>
      <c r="B181" s="66"/>
      <c r="C181" s="61">
        <v>1</v>
      </c>
      <c r="D181" s="61"/>
      <c r="E181" s="20" t="s">
        <v>236</v>
      </c>
      <c r="F181" s="58">
        <f>15.89*10.764</f>
        <v>171.03996000000001</v>
      </c>
      <c r="G181" s="60"/>
      <c r="H181" s="20">
        <v>0</v>
      </c>
      <c r="I181" s="20">
        <f>F181*(($I$108)+1)+H181</f>
        <v>273.66393600000004</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67"/>
      <c r="B182" s="68"/>
      <c r="C182" s="61">
        <f>C181+1</f>
        <v>2</v>
      </c>
      <c r="D182" s="61"/>
      <c r="E182" s="20" t="s">
        <v>236</v>
      </c>
      <c r="F182" s="58">
        <f>15.89*10.764</f>
        <v>171.03996000000001</v>
      </c>
      <c r="G182" s="60"/>
      <c r="H182" s="20">
        <v>0</v>
      </c>
      <c r="I182" s="20">
        <f t="shared" ref="I182:I186" si="21">F182*(($I$108)+1)+H182</f>
        <v>273.66393600000004</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67"/>
      <c r="B183" s="68"/>
      <c r="C183" s="61">
        <f t="shared" ref="C183:C186" si="22">C182+1</f>
        <v>3</v>
      </c>
      <c r="D183" s="61"/>
      <c r="E183" s="20" t="s">
        <v>224</v>
      </c>
      <c r="F183" s="58">
        <f>82.4*10.764</f>
        <v>886.95360000000005</v>
      </c>
      <c r="G183" s="60"/>
      <c r="H183" s="20">
        <v>0</v>
      </c>
      <c r="I183" s="20">
        <f t="shared" si="21"/>
        <v>1419.1257600000001</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67"/>
      <c r="B184" s="68"/>
      <c r="C184" s="61">
        <f t="shared" si="22"/>
        <v>4</v>
      </c>
      <c r="D184" s="61"/>
      <c r="E184" s="20" t="s">
        <v>224</v>
      </c>
      <c r="F184" s="58">
        <f>82.4*10.764</f>
        <v>886.95360000000005</v>
      </c>
      <c r="G184" s="60"/>
      <c r="H184" s="20">
        <v>0</v>
      </c>
      <c r="I184" s="20">
        <f t="shared" si="21"/>
        <v>1419.1257600000001</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67"/>
      <c r="B185" s="68"/>
      <c r="C185" s="61">
        <f t="shared" si="22"/>
        <v>5</v>
      </c>
      <c r="D185" s="61"/>
      <c r="E185" s="20" t="s">
        <v>226</v>
      </c>
      <c r="F185" s="58">
        <f>67.35*10.764</f>
        <v>724.95539999999994</v>
      </c>
      <c r="G185" s="60"/>
      <c r="H185" s="20">
        <v>0</v>
      </c>
      <c r="I185" s="20">
        <f t="shared" si="21"/>
        <v>1159.9286399999999</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69"/>
      <c r="B186" s="70"/>
      <c r="C186" s="61">
        <f t="shared" si="22"/>
        <v>6</v>
      </c>
      <c r="D186" s="61"/>
      <c r="E186" s="20" t="s">
        <v>226</v>
      </c>
      <c r="F186" s="58">
        <f>67.35*10.764</f>
        <v>724.95539999999994</v>
      </c>
      <c r="G186" s="60"/>
      <c r="H186" s="20">
        <v>0</v>
      </c>
      <c r="I186" s="20">
        <f t="shared" si="21"/>
        <v>1159.9286399999999</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1" x14ac:dyDescent="0.3">
      <c r="A187" s="62" t="s">
        <v>240</v>
      </c>
      <c r="B187" s="63"/>
      <c r="C187" s="63"/>
      <c r="D187" s="63"/>
      <c r="E187" s="63"/>
      <c r="F187" s="63"/>
      <c r="G187" s="63"/>
      <c r="H187" s="63"/>
      <c r="I187" s="64"/>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1" x14ac:dyDescent="0.3">
      <c r="A188" s="62" t="s">
        <v>219</v>
      </c>
      <c r="B188" s="63"/>
      <c r="C188" s="63"/>
      <c r="D188" s="63"/>
      <c r="E188" s="63"/>
      <c r="F188" s="63"/>
      <c r="G188" s="63"/>
      <c r="H188" s="63"/>
      <c r="I188" s="64"/>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1" x14ac:dyDescent="0.3">
      <c r="A189" s="62" t="s">
        <v>220</v>
      </c>
      <c r="B189" s="63"/>
      <c r="C189" s="63"/>
      <c r="D189" s="63"/>
      <c r="E189" s="63"/>
      <c r="F189" s="63"/>
      <c r="G189" s="63"/>
      <c r="H189" s="63"/>
      <c r="I189" s="64"/>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1" x14ac:dyDescent="0.3">
      <c r="A190" s="62" t="s">
        <v>221</v>
      </c>
      <c r="B190" s="63"/>
      <c r="C190" s="63"/>
      <c r="D190" s="63"/>
      <c r="E190" s="63"/>
      <c r="F190" s="63"/>
      <c r="G190" s="63"/>
      <c r="H190" s="63"/>
      <c r="I190" s="64"/>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1" x14ac:dyDescent="0.3">
      <c r="A191" s="62" t="s">
        <v>222</v>
      </c>
      <c r="B191" s="63"/>
      <c r="C191" s="63"/>
      <c r="D191" s="63"/>
      <c r="E191" s="63"/>
      <c r="F191" s="63"/>
      <c r="G191" s="63"/>
      <c r="H191" s="63"/>
      <c r="I191" s="64"/>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1" x14ac:dyDescent="0.3">
      <c r="A192" s="62" t="s">
        <v>223</v>
      </c>
      <c r="B192" s="63"/>
      <c r="C192" s="63"/>
      <c r="D192" s="63"/>
      <c r="E192" s="63"/>
      <c r="F192" s="63"/>
      <c r="G192" s="63"/>
      <c r="H192" s="63"/>
      <c r="I192" s="64"/>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3">
      <c r="A193" s="65" t="str">
        <f>A192</f>
        <v>3rd Podium Floor For Parking &amp; Residential</v>
      </c>
      <c r="B193" s="66"/>
      <c r="C193" s="61">
        <v>1</v>
      </c>
      <c r="D193" s="61"/>
      <c r="E193" s="20" t="s">
        <v>224</v>
      </c>
      <c r="F193" s="58">
        <f>97.15*10.764</f>
        <v>1045.7226000000001</v>
      </c>
      <c r="G193" s="60"/>
      <c r="H193" s="20">
        <v>0</v>
      </c>
      <c r="I193" s="20">
        <f>F193*(($I$108)+1)+H193</f>
        <v>1673.1561600000002</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
      <c r="A194" s="69"/>
      <c r="B194" s="70"/>
      <c r="C194" s="61">
        <f>C193+1</f>
        <v>2</v>
      </c>
      <c r="D194" s="61"/>
      <c r="E194" s="20" t="s">
        <v>224</v>
      </c>
      <c r="F194" s="58">
        <f>97.15*10.764</f>
        <v>1045.7226000000001</v>
      </c>
      <c r="G194" s="60"/>
      <c r="H194" s="20">
        <v>0</v>
      </c>
      <c r="I194" s="20">
        <f t="shared" ref="I194" si="23">F194*(($I$108)+1)+H194</f>
        <v>1673.1561600000002</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1" x14ac:dyDescent="0.3">
      <c r="A195" s="62" t="s">
        <v>225</v>
      </c>
      <c r="B195" s="63"/>
      <c r="C195" s="63"/>
      <c r="D195" s="63"/>
      <c r="E195" s="63"/>
      <c r="F195" s="63"/>
      <c r="G195" s="63"/>
      <c r="H195" s="63"/>
      <c r="I195" s="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65" t="str">
        <f>A195</f>
        <v>4th Podium Floor For Parking &amp; Residential</v>
      </c>
      <c r="B196" s="66"/>
      <c r="C196" s="61">
        <v>1</v>
      </c>
      <c r="D196" s="61"/>
      <c r="E196" s="20" t="s">
        <v>224</v>
      </c>
      <c r="F196" s="58">
        <f>97.15*10.764</f>
        <v>1045.7226000000001</v>
      </c>
      <c r="G196" s="60"/>
      <c r="H196" s="20">
        <v>0</v>
      </c>
      <c r="I196" s="20">
        <f>F196*(($I$108)+1)+H196</f>
        <v>1673.1561600000002</v>
      </c>
      <c r="J196" s="1">
        <f>22800000/F196</f>
        <v>21803.105335965771</v>
      </c>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
      <c r="A197" s="67"/>
      <c r="B197" s="68"/>
      <c r="C197" s="61">
        <f>C196+1</f>
        <v>2</v>
      </c>
      <c r="D197" s="61"/>
      <c r="E197" s="20" t="s">
        <v>224</v>
      </c>
      <c r="F197" s="58">
        <f>97.15*10.764</f>
        <v>1045.7226000000001</v>
      </c>
      <c r="G197" s="60"/>
      <c r="H197" s="20">
        <v>0</v>
      </c>
      <c r="I197" s="20">
        <f t="shared" ref="I197:I201" si="24">F197*(($I$108)+1)+H197</f>
        <v>1673.1561600000002</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
      <c r="A198" s="67"/>
      <c r="B198" s="68"/>
      <c r="C198" s="61">
        <f t="shared" ref="C198:C201" si="25">C197+1</f>
        <v>3</v>
      </c>
      <c r="D198" s="61"/>
      <c r="E198" s="20" t="s">
        <v>226</v>
      </c>
      <c r="F198" s="58">
        <f>70.42*10.764</f>
        <v>758.00087999999994</v>
      </c>
      <c r="G198" s="60"/>
      <c r="H198" s="20">
        <v>0</v>
      </c>
      <c r="I198" s="20">
        <f t="shared" si="24"/>
        <v>1212.801408</v>
      </c>
      <c r="J198" s="1">
        <f>15900000/F198</f>
        <v>20976.22894580281</v>
      </c>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67"/>
      <c r="B199" s="68"/>
      <c r="C199" s="61">
        <f t="shared" si="25"/>
        <v>4</v>
      </c>
      <c r="D199" s="61"/>
      <c r="E199" s="58" t="s">
        <v>227</v>
      </c>
      <c r="F199" s="59"/>
      <c r="G199" s="59"/>
      <c r="H199" s="59"/>
      <c r="I199" s="60">
        <f t="shared" si="24"/>
        <v>0</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67"/>
      <c r="B200" s="68"/>
      <c r="C200" s="61">
        <f t="shared" si="25"/>
        <v>5</v>
      </c>
      <c r="D200" s="61"/>
      <c r="E200" s="58" t="s">
        <v>227</v>
      </c>
      <c r="F200" s="59"/>
      <c r="G200" s="59"/>
      <c r="H200" s="59"/>
      <c r="I200" s="60">
        <f t="shared" si="24"/>
        <v>0</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69"/>
      <c r="B201" s="70"/>
      <c r="C201" s="61">
        <f t="shared" si="25"/>
        <v>6</v>
      </c>
      <c r="D201" s="61"/>
      <c r="E201" s="20" t="s">
        <v>226</v>
      </c>
      <c r="F201" s="58">
        <f>70.42*10.764</f>
        <v>758.00087999999994</v>
      </c>
      <c r="G201" s="60"/>
      <c r="H201" s="20">
        <v>0</v>
      </c>
      <c r="I201" s="20">
        <f t="shared" si="24"/>
        <v>1212.801408</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1" x14ac:dyDescent="0.3">
      <c r="A202" s="62" t="s">
        <v>228</v>
      </c>
      <c r="B202" s="63"/>
      <c r="C202" s="63"/>
      <c r="D202" s="63"/>
      <c r="E202" s="63"/>
      <c r="F202" s="63"/>
      <c r="G202" s="63"/>
      <c r="H202" s="63"/>
      <c r="I202" s="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3">
      <c r="A203" s="65" t="str">
        <f>A202</f>
        <v>5th Podium Floor For Parking &amp; Residential</v>
      </c>
      <c r="B203" s="66"/>
      <c r="C203" s="61">
        <v>1</v>
      </c>
      <c r="D203" s="61"/>
      <c r="E203" s="20" t="s">
        <v>224</v>
      </c>
      <c r="F203" s="58">
        <f>97.15*10.764</f>
        <v>1045.7226000000001</v>
      </c>
      <c r="G203" s="60"/>
      <c r="H203" s="20">
        <v>0</v>
      </c>
      <c r="I203" s="20">
        <f>F203*(($I$108)+1)+H203</f>
        <v>1673.1561600000002</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67"/>
      <c r="B204" s="68"/>
      <c r="C204" s="61">
        <f>C203+1</f>
        <v>2</v>
      </c>
      <c r="D204" s="61"/>
      <c r="E204" s="20" t="s">
        <v>224</v>
      </c>
      <c r="F204" s="58">
        <f>97.15*10.764</f>
        <v>1045.7226000000001</v>
      </c>
      <c r="G204" s="60"/>
      <c r="H204" s="20">
        <v>0</v>
      </c>
      <c r="I204" s="20">
        <f t="shared" ref="I204:I208" si="26">F204*(($I$108)+1)+H204</f>
        <v>1673.1561600000002</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67"/>
      <c r="B205" s="68"/>
      <c r="C205" s="61">
        <f t="shared" ref="C205:C208" si="27">C204+1</f>
        <v>3</v>
      </c>
      <c r="D205" s="61"/>
      <c r="E205" s="20" t="s">
        <v>226</v>
      </c>
      <c r="F205" s="58">
        <f>70.42*10.764</f>
        <v>758.00087999999994</v>
      </c>
      <c r="G205" s="60"/>
      <c r="H205" s="20">
        <v>0</v>
      </c>
      <c r="I205" s="20">
        <f t="shared" si="26"/>
        <v>1212.801408</v>
      </c>
      <c r="J205" s="1">
        <f>15900000/F205</f>
        <v>20976.22894580281</v>
      </c>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67"/>
      <c r="B206" s="68"/>
      <c r="C206" s="61">
        <f t="shared" si="27"/>
        <v>4</v>
      </c>
      <c r="D206" s="61"/>
      <c r="E206" s="58" t="s">
        <v>227</v>
      </c>
      <c r="F206" s="59"/>
      <c r="G206" s="59"/>
      <c r="H206" s="59"/>
      <c r="I206" s="60">
        <f t="shared" si="26"/>
        <v>0</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67"/>
      <c r="B207" s="68"/>
      <c r="C207" s="61">
        <f t="shared" si="27"/>
        <v>5</v>
      </c>
      <c r="D207" s="61"/>
      <c r="E207" s="58" t="s">
        <v>227</v>
      </c>
      <c r="F207" s="59"/>
      <c r="G207" s="59"/>
      <c r="H207" s="59"/>
      <c r="I207" s="60">
        <f t="shared" si="26"/>
        <v>0</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69"/>
      <c r="B208" s="70"/>
      <c r="C208" s="61">
        <f t="shared" si="27"/>
        <v>6</v>
      </c>
      <c r="D208" s="61"/>
      <c r="E208" s="20" t="s">
        <v>226</v>
      </c>
      <c r="F208" s="58">
        <f>70.42*10.764</f>
        <v>758.00087999999994</v>
      </c>
      <c r="G208" s="60"/>
      <c r="H208" s="20">
        <v>0</v>
      </c>
      <c r="I208" s="20">
        <f t="shared" si="26"/>
        <v>1212.801408</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1" x14ac:dyDescent="0.3">
      <c r="A209" s="62" t="s">
        <v>229</v>
      </c>
      <c r="B209" s="63"/>
      <c r="C209" s="63"/>
      <c r="D209" s="63"/>
      <c r="E209" s="63"/>
      <c r="F209" s="63"/>
      <c r="G209" s="63"/>
      <c r="H209" s="63"/>
      <c r="I209" s="64"/>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3">
      <c r="A210" s="65" t="str">
        <f>A209</f>
        <v>6th Podium Floor For Parking &amp; Residential</v>
      </c>
      <c r="B210" s="66"/>
      <c r="C210" s="61">
        <v>1</v>
      </c>
      <c r="D210" s="61"/>
      <c r="E210" s="20" t="s">
        <v>224</v>
      </c>
      <c r="F210" s="58">
        <f>97.15*10.764</f>
        <v>1045.7226000000001</v>
      </c>
      <c r="G210" s="60"/>
      <c r="H210" s="20">
        <v>0</v>
      </c>
      <c r="I210" s="20">
        <f>F210*(($I$108)+1)+H210</f>
        <v>1673.1561600000002</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67"/>
      <c r="B211" s="68"/>
      <c r="C211" s="61">
        <f>C210+1</f>
        <v>2</v>
      </c>
      <c r="D211" s="61"/>
      <c r="E211" s="20" t="s">
        <v>224</v>
      </c>
      <c r="F211" s="58">
        <f>97.15*10.764</f>
        <v>1045.7226000000001</v>
      </c>
      <c r="G211" s="60"/>
      <c r="H211" s="20">
        <v>0</v>
      </c>
      <c r="I211" s="20">
        <f t="shared" ref="I211:I215" si="28">F211*(($I$108)+1)+H211</f>
        <v>1673.1561600000002</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67"/>
      <c r="B212" s="68"/>
      <c r="C212" s="61">
        <f t="shared" ref="C212:C215" si="29">C211+1</f>
        <v>3</v>
      </c>
      <c r="D212" s="61"/>
      <c r="E212" s="20" t="s">
        <v>226</v>
      </c>
      <c r="F212" s="58">
        <f>70.42*10.764</f>
        <v>758.00087999999994</v>
      </c>
      <c r="G212" s="60"/>
      <c r="H212" s="20">
        <v>0</v>
      </c>
      <c r="I212" s="20">
        <f t="shared" si="28"/>
        <v>1212.801408</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67"/>
      <c r="B213" s="68"/>
      <c r="C213" s="61">
        <f t="shared" si="29"/>
        <v>4</v>
      </c>
      <c r="D213" s="61"/>
      <c r="E213" s="58" t="s">
        <v>227</v>
      </c>
      <c r="F213" s="59"/>
      <c r="G213" s="59"/>
      <c r="H213" s="59"/>
      <c r="I213" s="60">
        <f t="shared" si="28"/>
        <v>0</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3">
      <c r="A214" s="67"/>
      <c r="B214" s="68"/>
      <c r="C214" s="61">
        <f t="shared" si="29"/>
        <v>5</v>
      </c>
      <c r="D214" s="61"/>
      <c r="E214" s="58" t="s">
        <v>227</v>
      </c>
      <c r="F214" s="59"/>
      <c r="G214" s="59"/>
      <c r="H214" s="60"/>
      <c r="I214" s="20">
        <f t="shared" si="28"/>
        <v>0</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3">
      <c r="A215" s="69"/>
      <c r="B215" s="70"/>
      <c r="C215" s="61">
        <f t="shared" si="29"/>
        <v>6</v>
      </c>
      <c r="D215" s="61"/>
      <c r="E215" s="20" t="s">
        <v>226</v>
      </c>
      <c r="F215" s="58">
        <f>70.42*10.764</f>
        <v>758.00087999999994</v>
      </c>
      <c r="G215" s="60"/>
      <c r="H215" s="20">
        <v>0</v>
      </c>
      <c r="I215" s="20">
        <f t="shared" si="28"/>
        <v>1212.801408</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1" x14ac:dyDescent="0.3">
      <c r="A216" s="62" t="s">
        <v>230</v>
      </c>
      <c r="B216" s="63"/>
      <c r="C216" s="63"/>
      <c r="D216" s="63"/>
      <c r="E216" s="63"/>
      <c r="F216" s="63"/>
      <c r="G216" s="63"/>
      <c r="H216" s="63"/>
      <c r="I216" s="64"/>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65" t="str">
        <f>A216</f>
        <v>7th Podium Floor For Parking &amp; Residential</v>
      </c>
      <c r="B217" s="66"/>
      <c r="C217" s="61">
        <v>1</v>
      </c>
      <c r="D217" s="61"/>
      <c r="E217" s="20" t="s">
        <v>224</v>
      </c>
      <c r="F217" s="58">
        <f>97.15*10.764</f>
        <v>1045.7226000000001</v>
      </c>
      <c r="G217" s="60"/>
      <c r="H217" s="20">
        <v>0</v>
      </c>
      <c r="I217" s="20">
        <f>F217*(($I$108)+1)+H217</f>
        <v>1673.1561600000002</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67"/>
      <c r="B218" s="68"/>
      <c r="C218" s="61">
        <f>C217+1</f>
        <v>2</v>
      </c>
      <c r="D218" s="61"/>
      <c r="E218" s="20" t="s">
        <v>224</v>
      </c>
      <c r="F218" s="58">
        <f>97.15*10.764</f>
        <v>1045.7226000000001</v>
      </c>
      <c r="G218" s="60"/>
      <c r="H218" s="20">
        <v>0</v>
      </c>
      <c r="I218" s="20">
        <f t="shared" ref="I218:I222" si="30">F218*(($I$108)+1)+H218</f>
        <v>1673.1561600000002</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3">
      <c r="A219" s="67"/>
      <c r="B219" s="68"/>
      <c r="C219" s="61">
        <f t="shared" ref="C219:C222" si="31">C218+1</f>
        <v>3</v>
      </c>
      <c r="D219" s="61"/>
      <c r="E219" s="20" t="s">
        <v>226</v>
      </c>
      <c r="F219" s="58">
        <f>70.42*10.764</f>
        <v>758.00087999999994</v>
      </c>
      <c r="G219" s="60"/>
      <c r="H219" s="20">
        <v>0</v>
      </c>
      <c r="I219" s="20">
        <f t="shared" si="30"/>
        <v>1212.801408</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67"/>
      <c r="B220" s="68"/>
      <c r="C220" s="61">
        <f t="shared" si="31"/>
        <v>4</v>
      </c>
      <c r="D220" s="61"/>
      <c r="E220" s="58" t="s">
        <v>227</v>
      </c>
      <c r="F220" s="59"/>
      <c r="G220" s="59"/>
      <c r="H220" s="59"/>
      <c r="I220" s="60">
        <f t="shared" si="30"/>
        <v>0</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67"/>
      <c r="B221" s="68"/>
      <c r="C221" s="61">
        <f t="shared" si="31"/>
        <v>5</v>
      </c>
      <c r="D221" s="61"/>
      <c r="E221" s="58" t="s">
        <v>227</v>
      </c>
      <c r="F221" s="59"/>
      <c r="G221" s="59"/>
      <c r="H221" s="59"/>
      <c r="I221" s="60">
        <f t="shared" si="30"/>
        <v>0</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3">
      <c r="A222" s="69"/>
      <c r="B222" s="70"/>
      <c r="C222" s="61">
        <f t="shared" si="31"/>
        <v>6</v>
      </c>
      <c r="D222" s="61"/>
      <c r="E222" s="20" t="s">
        <v>226</v>
      </c>
      <c r="F222" s="58">
        <f>70.42*10.764</f>
        <v>758.00087999999994</v>
      </c>
      <c r="G222" s="60"/>
      <c r="H222" s="20">
        <v>0</v>
      </c>
      <c r="I222" s="20">
        <f t="shared" si="30"/>
        <v>1212.801408</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1" x14ac:dyDescent="0.3">
      <c r="A223" s="62" t="s">
        <v>241</v>
      </c>
      <c r="B223" s="63"/>
      <c r="C223" s="63"/>
      <c r="D223" s="63"/>
      <c r="E223" s="63"/>
      <c r="F223" s="63"/>
      <c r="G223" s="63"/>
      <c r="H223" s="63"/>
      <c r="I223" s="64"/>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65" t="str">
        <f>A223</f>
        <v>8th Podium Floor For Residential &amp; Double Height</v>
      </c>
      <c r="B224" s="66"/>
      <c r="C224" s="61">
        <v>1</v>
      </c>
      <c r="D224" s="61"/>
      <c r="E224" s="20" t="s">
        <v>224</v>
      </c>
      <c r="F224" s="58">
        <f>97.15*10.764</f>
        <v>1045.7226000000001</v>
      </c>
      <c r="G224" s="60"/>
      <c r="H224" s="20">
        <v>0</v>
      </c>
      <c r="I224" s="20">
        <f>F224*(($I$108)+1)+H224</f>
        <v>1673.1561600000002</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3">
      <c r="A225" s="69"/>
      <c r="B225" s="70"/>
      <c r="C225" s="61">
        <v>2</v>
      </c>
      <c r="D225" s="61"/>
      <c r="E225" s="20" t="s">
        <v>224</v>
      </c>
      <c r="F225" s="58">
        <f>97.15*10.764</f>
        <v>1045.7226000000001</v>
      </c>
      <c r="G225" s="60"/>
      <c r="H225" s="20">
        <v>0</v>
      </c>
      <c r="I225" s="20">
        <f t="shared" ref="I225" si="32">F225*(($I$108)+1)+H225</f>
        <v>1673.1561600000002</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1" x14ac:dyDescent="0.3">
      <c r="A226" s="62" t="s">
        <v>242</v>
      </c>
      <c r="B226" s="63"/>
      <c r="C226" s="63"/>
      <c r="D226" s="63"/>
      <c r="E226" s="63"/>
      <c r="F226" s="63"/>
      <c r="G226" s="63"/>
      <c r="H226" s="63"/>
      <c r="I226" s="64"/>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65" t="str">
        <f>A226</f>
        <v>9th Podium Floor For Residential &amp; Double Height</v>
      </c>
      <c r="B227" s="66"/>
      <c r="C227" s="61">
        <v>1</v>
      </c>
      <c r="D227" s="61"/>
      <c r="E227" s="20" t="s">
        <v>224</v>
      </c>
      <c r="F227" s="58">
        <f>97.15*10.764</f>
        <v>1045.7226000000001</v>
      </c>
      <c r="G227" s="60"/>
      <c r="H227" s="20">
        <v>0</v>
      </c>
      <c r="I227" s="20">
        <f>F227*(($I$108)+1)+H227</f>
        <v>1673.1561600000002</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3">
      <c r="A228" s="69"/>
      <c r="B228" s="70"/>
      <c r="C228" s="61">
        <v>2</v>
      </c>
      <c r="D228" s="61"/>
      <c r="E228" s="20" t="s">
        <v>224</v>
      </c>
      <c r="F228" s="58">
        <f>97.15*10.764</f>
        <v>1045.7226000000001</v>
      </c>
      <c r="G228" s="60"/>
      <c r="H228" s="20">
        <v>0</v>
      </c>
      <c r="I228" s="20">
        <f t="shared" ref="I228" si="33">F228*(($I$108)+1)+H228</f>
        <v>1673.1561600000002</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1" x14ac:dyDescent="0.3">
      <c r="A229" s="62" t="s">
        <v>246</v>
      </c>
      <c r="B229" s="63"/>
      <c r="C229" s="63"/>
      <c r="D229" s="63"/>
      <c r="E229" s="63"/>
      <c r="F229" s="63"/>
      <c r="G229" s="63"/>
      <c r="H229" s="63"/>
      <c r="I229" s="64"/>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65" t="str">
        <f>A229</f>
        <v>10th Floor For Residential</v>
      </c>
      <c r="B230" s="66"/>
      <c r="C230" s="61">
        <v>1</v>
      </c>
      <c r="D230" s="61"/>
      <c r="E230" s="20" t="s">
        <v>224</v>
      </c>
      <c r="F230" s="58">
        <f>97.15*10.764</f>
        <v>1045.7226000000001</v>
      </c>
      <c r="G230" s="60"/>
      <c r="H230" s="20">
        <v>0</v>
      </c>
      <c r="I230" s="20">
        <f>F230*(($I$108)+1)+H230</f>
        <v>1673.1561600000002</v>
      </c>
      <c r="J230" s="1">
        <f>23400000/F230</f>
        <v>22376.871265859605</v>
      </c>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67"/>
      <c r="B231" s="68"/>
      <c r="C231" s="61">
        <f>C230+1</f>
        <v>2</v>
      </c>
      <c r="D231" s="61"/>
      <c r="E231" s="20" t="s">
        <v>224</v>
      </c>
      <c r="F231" s="58">
        <f>97.15*10.764</f>
        <v>1045.7226000000001</v>
      </c>
      <c r="G231" s="60"/>
      <c r="H231" s="20">
        <v>0</v>
      </c>
      <c r="I231" s="20">
        <f t="shared" ref="I231:I233" si="34">F231*(($I$108)+1)+H231</f>
        <v>1673.1561600000002</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67"/>
      <c r="B232" s="68"/>
      <c r="C232" s="61">
        <f t="shared" ref="C232:C235" si="35">C231+1</f>
        <v>3</v>
      </c>
      <c r="D232" s="61"/>
      <c r="E232" s="20" t="s">
        <v>226</v>
      </c>
      <c r="F232" s="58">
        <f t="shared" ref="F232:F233" si="36">70.42*10.764</f>
        <v>758.00087999999994</v>
      </c>
      <c r="G232" s="60"/>
      <c r="H232" s="20">
        <v>0</v>
      </c>
      <c r="I232" s="20">
        <f t="shared" si="34"/>
        <v>1212.801408</v>
      </c>
      <c r="J232" s="1">
        <f>21700000/F232</f>
        <v>28627.935102133393</v>
      </c>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3">
      <c r="A233" s="67"/>
      <c r="B233" s="68"/>
      <c r="C233" s="61">
        <f t="shared" si="35"/>
        <v>4</v>
      </c>
      <c r="D233" s="61"/>
      <c r="E233" s="20" t="s">
        <v>226</v>
      </c>
      <c r="F233" s="58">
        <f t="shared" si="36"/>
        <v>758.00087999999994</v>
      </c>
      <c r="G233" s="60"/>
      <c r="H233" s="20">
        <v>0</v>
      </c>
      <c r="I233" s="20">
        <f t="shared" si="34"/>
        <v>1212.801408</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3">
      <c r="A234" s="67"/>
      <c r="B234" s="68"/>
      <c r="C234" s="61">
        <f t="shared" si="35"/>
        <v>5</v>
      </c>
      <c r="D234" s="61"/>
      <c r="E234" s="20" t="s">
        <v>226</v>
      </c>
      <c r="F234" s="58">
        <f t="shared" ref="F234:F235" si="37">70.42*10.764</f>
        <v>758.00087999999994</v>
      </c>
      <c r="G234" s="60"/>
      <c r="H234" s="20">
        <v>0</v>
      </c>
      <c r="I234" s="20">
        <f t="shared" ref="I234:I235" si="38">F234*(($I$108)+1)+H234</f>
        <v>1212.801408</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3">
      <c r="A235" s="69"/>
      <c r="B235" s="70"/>
      <c r="C235" s="61">
        <f t="shared" si="35"/>
        <v>6</v>
      </c>
      <c r="D235" s="61"/>
      <c r="E235" s="20" t="s">
        <v>226</v>
      </c>
      <c r="F235" s="58">
        <f t="shared" si="37"/>
        <v>758.00087999999994</v>
      </c>
      <c r="G235" s="60"/>
      <c r="H235" s="20">
        <v>0</v>
      </c>
      <c r="I235" s="20">
        <f t="shared" si="38"/>
        <v>1212.801408</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1" x14ac:dyDescent="0.3">
      <c r="A236" s="62" t="s">
        <v>252</v>
      </c>
      <c r="B236" s="63"/>
      <c r="C236" s="63"/>
      <c r="D236" s="63"/>
      <c r="E236" s="63"/>
      <c r="F236" s="63"/>
      <c r="G236" s="63"/>
      <c r="H236" s="63"/>
      <c r="I236" s="64"/>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65" t="str">
        <f>A236</f>
        <v>11th to 13th, 16th to 20th, 23rd to 27th, 30th to 34th, 37th to 41st, 44th to 49th &amp; 51st to 54th Floor For Residential</v>
      </c>
      <c r="B237" s="66"/>
      <c r="C237" s="61">
        <v>1</v>
      </c>
      <c r="D237" s="61"/>
      <c r="E237" s="20" t="s">
        <v>224</v>
      </c>
      <c r="F237" s="58">
        <f>97.15*10.764</f>
        <v>1045.7226000000001</v>
      </c>
      <c r="G237" s="60"/>
      <c r="H237" s="20">
        <v>0</v>
      </c>
      <c r="I237" s="20">
        <f>F237*(($I$108)+1)+H237</f>
        <v>1673.1561600000002</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67"/>
      <c r="B238" s="68"/>
      <c r="C238" s="61">
        <f>C237+1</f>
        <v>2</v>
      </c>
      <c r="D238" s="61"/>
      <c r="E238" s="20" t="s">
        <v>224</v>
      </c>
      <c r="F238" s="58">
        <f>97.15*10.764</f>
        <v>1045.7226000000001</v>
      </c>
      <c r="G238" s="60"/>
      <c r="H238" s="20">
        <v>0</v>
      </c>
      <c r="I238" s="20">
        <f t="shared" ref="I238:I242" si="39">F238*(($I$108)+1)+H238</f>
        <v>1673.1561600000002</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67"/>
      <c r="B239" s="68"/>
      <c r="C239" s="61">
        <f t="shared" ref="C239:C242" si="40">C238+1</f>
        <v>3</v>
      </c>
      <c r="D239" s="61"/>
      <c r="E239" s="20" t="s">
        <v>226</v>
      </c>
      <c r="F239" s="58">
        <f t="shared" ref="F239:F240" si="41">70.42*10.764</f>
        <v>758.00087999999994</v>
      </c>
      <c r="G239" s="60"/>
      <c r="H239" s="20">
        <v>0</v>
      </c>
      <c r="I239" s="20">
        <f t="shared" si="39"/>
        <v>1212.801408</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67"/>
      <c r="B240" s="68"/>
      <c r="C240" s="61">
        <f t="shared" si="40"/>
        <v>4</v>
      </c>
      <c r="D240" s="61"/>
      <c r="E240" s="20" t="s">
        <v>226</v>
      </c>
      <c r="F240" s="58">
        <f t="shared" si="41"/>
        <v>758.00087999999994</v>
      </c>
      <c r="G240" s="60"/>
      <c r="H240" s="20">
        <v>0</v>
      </c>
      <c r="I240" s="20">
        <f t="shared" si="39"/>
        <v>1212.801408</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67"/>
      <c r="B241" s="68"/>
      <c r="C241" s="61">
        <f t="shared" si="40"/>
        <v>5</v>
      </c>
      <c r="D241" s="61"/>
      <c r="E241" s="20" t="s">
        <v>226</v>
      </c>
      <c r="F241" s="58">
        <f t="shared" ref="F241:F242" si="42">70.42*10.764</f>
        <v>758.00087999999994</v>
      </c>
      <c r="G241" s="60"/>
      <c r="H241" s="20">
        <v>0</v>
      </c>
      <c r="I241" s="20">
        <f t="shared" si="39"/>
        <v>1212.801408</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69"/>
      <c r="B242" s="70"/>
      <c r="C242" s="61">
        <f t="shared" si="40"/>
        <v>6</v>
      </c>
      <c r="D242" s="61"/>
      <c r="E242" s="20" t="s">
        <v>226</v>
      </c>
      <c r="F242" s="58">
        <f t="shared" si="42"/>
        <v>758.00087999999994</v>
      </c>
      <c r="G242" s="60"/>
      <c r="H242" s="20">
        <v>0</v>
      </c>
      <c r="I242" s="20">
        <f t="shared" si="39"/>
        <v>1212.801408</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1" x14ac:dyDescent="0.3">
      <c r="A243" s="62" t="s">
        <v>235</v>
      </c>
      <c r="B243" s="63"/>
      <c r="C243" s="63"/>
      <c r="D243" s="63"/>
      <c r="E243" s="63"/>
      <c r="F243" s="63"/>
      <c r="G243" s="63"/>
      <c r="H243" s="63"/>
      <c r="I243" s="64"/>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84" x14ac:dyDescent="0.3">
      <c r="A244" s="61" t="str">
        <f>A243</f>
        <v>14th, 21st, 28th, 35th &amp; 42nd Floor For Residential</v>
      </c>
      <c r="B244" s="61"/>
      <c r="C244" s="61">
        <v>1</v>
      </c>
      <c r="D244" s="61"/>
      <c r="E244" s="20" t="s">
        <v>259</v>
      </c>
      <c r="F244" s="58">
        <f>142.79*10.764</f>
        <v>1536.9915599999997</v>
      </c>
      <c r="G244" s="60"/>
      <c r="H244" s="20">
        <v>0</v>
      </c>
      <c r="I244" s="20">
        <f>F244*(($I$108)+1)+H244</f>
        <v>2459.1864959999998</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3">
      <c r="A245" s="65" t="str">
        <f t="shared" ref="A245" si="43">A244</f>
        <v>14th, 21st, 28th, 35th &amp; 42nd Floor For Residential</v>
      </c>
      <c r="B245" s="66"/>
      <c r="C245" s="61">
        <f>C244+1</f>
        <v>2</v>
      </c>
      <c r="D245" s="61"/>
      <c r="E245" s="20" t="s">
        <v>224</v>
      </c>
      <c r="F245" s="58">
        <f>97.15*10.764</f>
        <v>1045.7226000000001</v>
      </c>
      <c r="G245" s="60"/>
      <c r="H245" s="20">
        <v>0</v>
      </c>
      <c r="I245" s="20">
        <f t="shared" ref="I245:I249" si="44">F245*(($I$108)+1)+H245</f>
        <v>1673.1561600000002</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67"/>
      <c r="B246" s="68"/>
      <c r="C246" s="61">
        <f t="shared" ref="C246:C249" si="45">C245+1</f>
        <v>3</v>
      </c>
      <c r="D246" s="61"/>
      <c r="E246" s="20" t="s">
        <v>226</v>
      </c>
      <c r="F246" s="58">
        <f t="shared" ref="F246:F247" si="46">70.42*10.764</f>
        <v>758.00087999999994</v>
      </c>
      <c r="G246" s="60"/>
      <c r="H246" s="20">
        <v>0</v>
      </c>
      <c r="I246" s="20">
        <f t="shared" si="44"/>
        <v>1212.801408</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3">
      <c r="A247" s="67"/>
      <c r="B247" s="68"/>
      <c r="C247" s="61">
        <f t="shared" si="45"/>
        <v>4</v>
      </c>
      <c r="D247" s="61"/>
      <c r="E247" s="20" t="s">
        <v>226</v>
      </c>
      <c r="F247" s="58">
        <f t="shared" si="46"/>
        <v>758.00087999999994</v>
      </c>
      <c r="G247" s="60"/>
      <c r="H247" s="20">
        <v>0</v>
      </c>
      <c r="I247" s="20">
        <f t="shared" si="44"/>
        <v>1212.801408</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67"/>
      <c r="B248" s="68"/>
      <c r="C248" s="61">
        <f t="shared" si="45"/>
        <v>5</v>
      </c>
      <c r="D248" s="61"/>
      <c r="E248" s="20" t="s">
        <v>226</v>
      </c>
      <c r="F248" s="58">
        <f t="shared" ref="F248:F249" si="47">70.42*10.764</f>
        <v>758.00087999999994</v>
      </c>
      <c r="G248" s="60"/>
      <c r="H248" s="20">
        <v>0</v>
      </c>
      <c r="I248" s="20">
        <f t="shared" si="44"/>
        <v>1212.801408</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69"/>
      <c r="B249" s="70"/>
      <c r="C249" s="61">
        <f t="shared" si="45"/>
        <v>6</v>
      </c>
      <c r="D249" s="61"/>
      <c r="E249" s="20" t="s">
        <v>226</v>
      </c>
      <c r="F249" s="58">
        <f t="shared" si="47"/>
        <v>758.00087999999994</v>
      </c>
      <c r="G249" s="60"/>
      <c r="H249" s="20">
        <v>0</v>
      </c>
      <c r="I249" s="20">
        <f t="shared" si="44"/>
        <v>1212.801408</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1" x14ac:dyDescent="0.3">
      <c r="A250" s="62" t="s">
        <v>237</v>
      </c>
      <c r="B250" s="63"/>
      <c r="C250" s="63"/>
      <c r="D250" s="63"/>
      <c r="E250" s="63"/>
      <c r="F250" s="63"/>
      <c r="G250" s="63"/>
      <c r="H250" s="63"/>
      <c r="I250" s="64"/>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65" t="str">
        <f>A250</f>
        <v>15th, 22nd, 29th, 36th &amp; 43rd Floor For Residential (Part Refuge Area)</v>
      </c>
      <c r="B251" s="66"/>
      <c r="C251" s="61">
        <v>1</v>
      </c>
      <c r="D251" s="61"/>
      <c r="E251" s="58" t="s">
        <v>243</v>
      </c>
      <c r="F251" s="59"/>
      <c r="G251" s="59"/>
      <c r="H251" s="59"/>
      <c r="I251" s="60"/>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67"/>
      <c r="B252" s="68"/>
      <c r="C252" s="61">
        <f>C251+1</f>
        <v>2</v>
      </c>
      <c r="D252" s="61"/>
      <c r="E252" s="58" t="s">
        <v>244</v>
      </c>
      <c r="F252" s="59"/>
      <c r="G252" s="59"/>
      <c r="H252" s="59"/>
      <c r="I252" s="60"/>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67"/>
      <c r="B253" s="68"/>
      <c r="C253" s="61">
        <f t="shared" ref="C253:C256" si="48">C252+1</f>
        <v>3</v>
      </c>
      <c r="D253" s="61"/>
      <c r="E253" s="20" t="s">
        <v>226</v>
      </c>
      <c r="F253" s="58">
        <f t="shared" ref="F253:F254" si="49">70.42*10.764</f>
        <v>758.00087999999994</v>
      </c>
      <c r="G253" s="60"/>
      <c r="H253" s="20">
        <v>0</v>
      </c>
      <c r="I253" s="20">
        <f>F253*(($I$108)+1)+H253</f>
        <v>1212.801408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3">
      <c r="A254" s="67"/>
      <c r="B254" s="68"/>
      <c r="C254" s="61">
        <f t="shared" si="48"/>
        <v>4</v>
      </c>
      <c r="D254" s="61"/>
      <c r="E254" s="20" t="s">
        <v>226</v>
      </c>
      <c r="F254" s="58">
        <f t="shared" si="49"/>
        <v>758.00087999999994</v>
      </c>
      <c r="G254" s="60"/>
      <c r="H254" s="20">
        <v>0</v>
      </c>
      <c r="I254" s="20">
        <f>F254*(($I$108)+1)+H254</f>
        <v>1212.801408</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67"/>
      <c r="B255" s="68"/>
      <c r="C255" s="61">
        <f t="shared" si="48"/>
        <v>5</v>
      </c>
      <c r="D255" s="61"/>
      <c r="E255" s="20" t="s">
        <v>226</v>
      </c>
      <c r="F255" s="58">
        <f t="shared" ref="F255:F256" si="50">70.42*10.764</f>
        <v>758.00087999999994</v>
      </c>
      <c r="G255" s="60"/>
      <c r="H255" s="20">
        <v>0</v>
      </c>
      <c r="I255" s="20">
        <f>F255*(($I$108)+1)+H255</f>
        <v>1212.801408</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3">
      <c r="A256" s="69"/>
      <c r="B256" s="70"/>
      <c r="C256" s="61">
        <f t="shared" si="48"/>
        <v>6</v>
      </c>
      <c r="D256" s="61"/>
      <c r="E256" s="20" t="s">
        <v>226</v>
      </c>
      <c r="F256" s="58">
        <f t="shared" si="50"/>
        <v>758.00087999999994</v>
      </c>
      <c r="G256" s="60"/>
      <c r="H256" s="20">
        <v>0</v>
      </c>
      <c r="I256" s="20">
        <f>F256*(($I$108)+1)+H256</f>
        <v>1212.801408</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1" x14ac:dyDescent="0.3">
      <c r="A257" s="62" t="s">
        <v>238</v>
      </c>
      <c r="B257" s="63"/>
      <c r="C257" s="63"/>
      <c r="D257" s="63"/>
      <c r="E257" s="63"/>
      <c r="F257" s="63"/>
      <c r="G257" s="63"/>
      <c r="H257" s="63"/>
      <c r="I257" s="64"/>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65" t="str">
        <f>A257</f>
        <v>50th Floor For Residential (Part Refuge Area)</v>
      </c>
      <c r="B258" s="66"/>
      <c r="C258" s="61">
        <v>1</v>
      </c>
      <c r="D258" s="61"/>
      <c r="E258" s="20" t="s">
        <v>224</v>
      </c>
      <c r="F258" s="58">
        <f>120.22*10.764</f>
        <v>1294.0480799999998</v>
      </c>
      <c r="G258" s="60"/>
      <c r="H258" s="20">
        <v>0</v>
      </c>
      <c r="I258" s="20">
        <f>F258*(($I$108)+1)+H258</f>
        <v>2070.4769279999996</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3">
      <c r="A259" s="67"/>
      <c r="B259" s="68"/>
      <c r="C259" s="61">
        <f>C258+1</f>
        <v>2</v>
      </c>
      <c r="D259" s="61"/>
      <c r="E259" s="58" t="s">
        <v>244</v>
      </c>
      <c r="F259" s="59"/>
      <c r="G259" s="59"/>
      <c r="H259" s="59"/>
      <c r="I259" s="60"/>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67"/>
      <c r="B260" s="68"/>
      <c r="C260" s="61">
        <f t="shared" ref="C260:C263" si="51">C259+1</f>
        <v>3</v>
      </c>
      <c r="D260" s="61"/>
      <c r="E260" s="20" t="s">
        <v>226</v>
      </c>
      <c r="F260" s="58">
        <f t="shared" ref="F260:F263" si="52">70.42*10.764</f>
        <v>758.00087999999994</v>
      </c>
      <c r="G260" s="60"/>
      <c r="H260" s="20">
        <v>0</v>
      </c>
      <c r="I260" s="20">
        <f>F260*(($I$108)+1)+H260</f>
        <v>1212.801408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67"/>
      <c r="B261" s="68"/>
      <c r="C261" s="61">
        <f t="shared" si="51"/>
        <v>4</v>
      </c>
      <c r="D261" s="61"/>
      <c r="E261" s="20" t="s">
        <v>226</v>
      </c>
      <c r="F261" s="58">
        <f t="shared" si="52"/>
        <v>758.00087999999994</v>
      </c>
      <c r="G261" s="60"/>
      <c r="H261" s="20">
        <v>0</v>
      </c>
      <c r="I261" s="20">
        <f>F261*(($I$108)+1)+H261</f>
        <v>1212.801408</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67"/>
      <c r="B262" s="68"/>
      <c r="C262" s="61">
        <f t="shared" si="51"/>
        <v>5</v>
      </c>
      <c r="D262" s="61"/>
      <c r="E262" s="20" t="s">
        <v>226</v>
      </c>
      <c r="F262" s="58">
        <f t="shared" si="52"/>
        <v>758.00087999999994</v>
      </c>
      <c r="G262" s="60"/>
      <c r="H262" s="20">
        <v>0</v>
      </c>
      <c r="I262" s="20">
        <f>F262*(($I$108)+1)+H262</f>
        <v>1212.801408</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3">
      <c r="A263" s="69"/>
      <c r="B263" s="70"/>
      <c r="C263" s="61">
        <f t="shared" si="51"/>
        <v>6</v>
      </c>
      <c r="D263" s="61"/>
      <c r="E263" s="20" t="s">
        <v>226</v>
      </c>
      <c r="F263" s="58">
        <f t="shared" si="52"/>
        <v>758.00087999999994</v>
      </c>
      <c r="G263" s="60"/>
      <c r="H263" s="20">
        <v>0</v>
      </c>
      <c r="I263" s="20">
        <f>F263*(($I$108)+1)+H263</f>
        <v>1212.801408</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1" x14ac:dyDescent="0.3">
      <c r="A264" s="62" t="s">
        <v>245</v>
      </c>
      <c r="B264" s="63"/>
      <c r="C264" s="63"/>
      <c r="D264" s="63"/>
      <c r="E264" s="63"/>
      <c r="F264" s="63"/>
      <c r="G264" s="63"/>
      <c r="H264" s="63"/>
      <c r="I264" s="64"/>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1" x14ac:dyDescent="0.3">
      <c r="A265" s="62" t="s">
        <v>219</v>
      </c>
      <c r="B265" s="63"/>
      <c r="C265" s="63"/>
      <c r="D265" s="63"/>
      <c r="E265" s="63"/>
      <c r="F265" s="63"/>
      <c r="G265" s="63"/>
      <c r="H265" s="63"/>
      <c r="I265" s="64"/>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1" x14ac:dyDescent="0.3">
      <c r="A266" s="62" t="s">
        <v>220</v>
      </c>
      <c r="B266" s="63"/>
      <c r="C266" s="63"/>
      <c r="D266" s="63"/>
      <c r="E266" s="63"/>
      <c r="F266" s="63"/>
      <c r="G266" s="63"/>
      <c r="H266" s="63"/>
      <c r="I266" s="64"/>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1" x14ac:dyDescent="0.3">
      <c r="A267" s="62" t="s">
        <v>221</v>
      </c>
      <c r="B267" s="63"/>
      <c r="C267" s="63"/>
      <c r="D267" s="63"/>
      <c r="E267" s="63"/>
      <c r="F267" s="63"/>
      <c r="G267" s="63"/>
      <c r="H267" s="63"/>
      <c r="I267" s="64"/>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1" x14ac:dyDescent="0.3">
      <c r="A268" s="62" t="s">
        <v>222</v>
      </c>
      <c r="B268" s="63"/>
      <c r="C268" s="63"/>
      <c r="D268" s="63"/>
      <c r="E268" s="63"/>
      <c r="F268" s="63"/>
      <c r="G268" s="63"/>
      <c r="H268" s="63"/>
      <c r="I268" s="64"/>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1" x14ac:dyDescent="0.3">
      <c r="A269" s="62" t="s">
        <v>223</v>
      </c>
      <c r="B269" s="63"/>
      <c r="C269" s="63"/>
      <c r="D269" s="63"/>
      <c r="E269" s="63"/>
      <c r="F269" s="63"/>
      <c r="G269" s="63"/>
      <c r="H269" s="63"/>
      <c r="I269" s="64"/>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3">
      <c r="A270" s="65" t="str">
        <f>A269</f>
        <v>3rd Podium Floor For Parking &amp; Residential</v>
      </c>
      <c r="B270" s="66"/>
      <c r="C270" s="61">
        <v>1</v>
      </c>
      <c r="D270" s="61"/>
      <c r="E270" s="20" t="s">
        <v>224</v>
      </c>
      <c r="F270" s="58">
        <f>97.15*10.764</f>
        <v>1045.7226000000001</v>
      </c>
      <c r="G270" s="60"/>
      <c r="H270" s="20">
        <v>0</v>
      </c>
      <c r="I270" s="20">
        <f>F270*(($I$108)+1)+H270</f>
        <v>1673.1561600000002</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3">
      <c r="A271" s="69"/>
      <c r="B271" s="70"/>
      <c r="C271" s="61">
        <f>C270+1</f>
        <v>2</v>
      </c>
      <c r="D271" s="61"/>
      <c r="E271" s="20" t="s">
        <v>224</v>
      </c>
      <c r="F271" s="58">
        <f>97.15*10.764</f>
        <v>1045.7226000000001</v>
      </c>
      <c r="G271" s="60"/>
      <c r="H271" s="20">
        <v>0</v>
      </c>
      <c r="I271" s="20">
        <f t="shared" ref="I271" si="53">F271*(($I$108)+1)+H271</f>
        <v>1673.1561600000002</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1" x14ac:dyDescent="0.3">
      <c r="A272" s="62" t="s">
        <v>225</v>
      </c>
      <c r="B272" s="63"/>
      <c r="C272" s="63"/>
      <c r="D272" s="63"/>
      <c r="E272" s="63"/>
      <c r="F272" s="63"/>
      <c r="G272" s="63"/>
      <c r="H272" s="63"/>
      <c r="I272" s="64"/>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3">
      <c r="A273" s="65" t="str">
        <f>A272</f>
        <v>4th Podium Floor For Parking &amp; Residential</v>
      </c>
      <c r="B273" s="66"/>
      <c r="C273" s="61">
        <v>1</v>
      </c>
      <c r="D273" s="61"/>
      <c r="E273" s="20" t="s">
        <v>224</v>
      </c>
      <c r="F273" s="58">
        <f>97.15*10.764</f>
        <v>1045.7226000000001</v>
      </c>
      <c r="G273" s="60"/>
      <c r="H273" s="20">
        <v>0</v>
      </c>
      <c r="I273" s="20">
        <f>F273*(($I$108)+1)+H273</f>
        <v>1673.1561600000002</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3">
      <c r="A274" s="67"/>
      <c r="B274" s="68"/>
      <c r="C274" s="61">
        <f>C273+1</f>
        <v>2</v>
      </c>
      <c r="D274" s="61"/>
      <c r="E274" s="20" t="s">
        <v>224</v>
      </c>
      <c r="F274" s="58">
        <f>97.15*10.764</f>
        <v>1045.7226000000001</v>
      </c>
      <c r="G274" s="60"/>
      <c r="H274" s="20">
        <v>0</v>
      </c>
      <c r="I274" s="20">
        <f t="shared" ref="I274:I278" si="54">F274*(($I$108)+1)+H274</f>
        <v>1673.1561600000002</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3">
      <c r="A275" s="67"/>
      <c r="B275" s="68"/>
      <c r="C275" s="61">
        <f t="shared" ref="C275:C278" si="55">C274+1</f>
        <v>3</v>
      </c>
      <c r="D275" s="61"/>
      <c r="E275" s="58" t="s">
        <v>227</v>
      </c>
      <c r="F275" s="59">
        <f>68.38*10.764</f>
        <v>736.0423199999999</v>
      </c>
      <c r="G275" s="59"/>
      <c r="H275" s="59">
        <v>0</v>
      </c>
      <c r="I275" s="60">
        <f t="shared" si="54"/>
        <v>1177.6677119999999</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3">
      <c r="A276" s="67"/>
      <c r="B276" s="68"/>
      <c r="C276" s="61">
        <f t="shared" si="55"/>
        <v>4</v>
      </c>
      <c r="D276" s="61"/>
      <c r="E276" s="58" t="s">
        <v>227</v>
      </c>
      <c r="F276" s="59"/>
      <c r="G276" s="59"/>
      <c r="H276" s="59"/>
      <c r="I276" s="60">
        <f t="shared" si="54"/>
        <v>0</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67"/>
      <c r="B277" s="68"/>
      <c r="C277" s="61">
        <f t="shared" si="55"/>
        <v>5</v>
      </c>
      <c r="D277" s="61"/>
      <c r="E277" s="58" t="s">
        <v>227</v>
      </c>
      <c r="F277" s="59"/>
      <c r="G277" s="59"/>
      <c r="H277" s="59"/>
      <c r="I277" s="60">
        <f t="shared" si="54"/>
        <v>0</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3">
      <c r="A278" s="69"/>
      <c r="B278" s="70"/>
      <c r="C278" s="61">
        <f t="shared" si="55"/>
        <v>6</v>
      </c>
      <c r="D278" s="61"/>
      <c r="E278" s="20" t="s">
        <v>226</v>
      </c>
      <c r="F278" s="58">
        <f>70.45*10.764</f>
        <v>758.32380000000001</v>
      </c>
      <c r="G278" s="60"/>
      <c r="H278" s="20">
        <v>0</v>
      </c>
      <c r="I278" s="20">
        <f t="shared" si="54"/>
        <v>1213.31808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1" x14ac:dyDescent="0.3">
      <c r="A279" s="62" t="s">
        <v>228</v>
      </c>
      <c r="B279" s="63"/>
      <c r="C279" s="63"/>
      <c r="D279" s="63"/>
      <c r="E279" s="63"/>
      <c r="F279" s="63"/>
      <c r="G279" s="63"/>
      <c r="H279" s="63"/>
      <c r="I279" s="64"/>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3">
      <c r="A280" s="65" t="str">
        <f>A279</f>
        <v>5th Podium Floor For Parking &amp; Residential</v>
      </c>
      <c r="B280" s="66"/>
      <c r="C280" s="61">
        <v>1</v>
      </c>
      <c r="D280" s="61"/>
      <c r="E280" s="20" t="s">
        <v>224</v>
      </c>
      <c r="F280" s="58">
        <f>97.15*10.764</f>
        <v>1045.7226000000001</v>
      </c>
      <c r="G280" s="60"/>
      <c r="H280" s="20">
        <v>0</v>
      </c>
      <c r="I280" s="20">
        <f>F280*(($I$108)+1)+H280</f>
        <v>1673.1561600000002</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3">
      <c r="A281" s="67"/>
      <c r="B281" s="68"/>
      <c r="C281" s="61">
        <f>C280+1</f>
        <v>2</v>
      </c>
      <c r="D281" s="61"/>
      <c r="E281" s="20" t="s">
        <v>224</v>
      </c>
      <c r="F281" s="58">
        <f>97.15*10.764</f>
        <v>1045.7226000000001</v>
      </c>
      <c r="G281" s="60"/>
      <c r="H281" s="20">
        <v>0</v>
      </c>
      <c r="I281" s="20">
        <f t="shared" ref="I281:I285" si="56">F281*(($I$108)+1)+H281</f>
        <v>1673.1561600000002</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3">
      <c r="A282" s="67"/>
      <c r="B282" s="68"/>
      <c r="C282" s="61">
        <f t="shared" ref="C282:C285" si="57">C281+1</f>
        <v>3</v>
      </c>
      <c r="D282" s="61"/>
      <c r="E282" s="58" t="s">
        <v>227</v>
      </c>
      <c r="F282" s="59">
        <f>70.42*10.764</f>
        <v>758.00087999999994</v>
      </c>
      <c r="G282" s="59"/>
      <c r="H282" s="59">
        <v>0</v>
      </c>
      <c r="I282" s="60">
        <f t="shared" si="56"/>
        <v>1212.801408</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3">
      <c r="A283" s="67"/>
      <c r="B283" s="68"/>
      <c r="C283" s="61">
        <f t="shared" si="57"/>
        <v>4</v>
      </c>
      <c r="D283" s="61"/>
      <c r="E283" s="58" t="s">
        <v>227</v>
      </c>
      <c r="F283" s="59"/>
      <c r="G283" s="59"/>
      <c r="H283" s="59"/>
      <c r="I283" s="60">
        <f t="shared" si="56"/>
        <v>0</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67"/>
      <c r="B284" s="68"/>
      <c r="C284" s="61">
        <f t="shared" si="57"/>
        <v>5</v>
      </c>
      <c r="D284" s="61"/>
      <c r="E284" s="58" t="s">
        <v>227</v>
      </c>
      <c r="F284" s="59"/>
      <c r="G284" s="59"/>
      <c r="H284" s="59"/>
      <c r="I284" s="60">
        <f t="shared" si="56"/>
        <v>0</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3">
      <c r="A285" s="69"/>
      <c r="B285" s="70"/>
      <c r="C285" s="61">
        <f t="shared" si="57"/>
        <v>6</v>
      </c>
      <c r="D285" s="61"/>
      <c r="E285" s="20" t="s">
        <v>226</v>
      </c>
      <c r="F285" s="58">
        <f>70.45*10.764</f>
        <v>758.32380000000001</v>
      </c>
      <c r="G285" s="60"/>
      <c r="H285" s="20">
        <v>0</v>
      </c>
      <c r="I285" s="20">
        <f t="shared" si="56"/>
        <v>1213.31808</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1" x14ac:dyDescent="0.3">
      <c r="A286" s="62" t="s">
        <v>229</v>
      </c>
      <c r="B286" s="63"/>
      <c r="C286" s="63"/>
      <c r="D286" s="63"/>
      <c r="E286" s="63"/>
      <c r="F286" s="63"/>
      <c r="G286" s="63"/>
      <c r="H286" s="63"/>
      <c r="I286" s="64"/>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3">
      <c r="A287" s="65" t="str">
        <f>A286</f>
        <v>6th Podium Floor For Parking &amp; Residential</v>
      </c>
      <c r="B287" s="66"/>
      <c r="C287" s="61">
        <v>1</v>
      </c>
      <c r="D287" s="61"/>
      <c r="E287" s="20" t="s">
        <v>224</v>
      </c>
      <c r="F287" s="58">
        <f>97.15*10.764</f>
        <v>1045.7226000000001</v>
      </c>
      <c r="G287" s="60"/>
      <c r="H287" s="20">
        <v>0</v>
      </c>
      <c r="I287" s="20">
        <f>F287*(($I$108)+1)+H287</f>
        <v>1673.1561600000002</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3">
      <c r="A288" s="67"/>
      <c r="B288" s="68"/>
      <c r="C288" s="61">
        <f>C287+1</f>
        <v>2</v>
      </c>
      <c r="D288" s="61"/>
      <c r="E288" s="20" t="s">
        <v>224</v>
      </c>
      <c r="F288" s="58">
        <f>97.15*10.764</f>
        <v>1045.7226000000001</v>
      </c>
      <c r="G288" s="60"/>
      <c r="H288" s="20">
        <v>0</v>
      </c>
      <c r="I288" s="20">
        <f t="shared" ref="I288:I292" si="58">F288*(($I$108)+1)+H288</f>
        <v>1673.1561600000002</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3">
      <c r="A289" s="67"/>
      <c r="B289" s="68"/>
      <c r="C289" s="61">
        <f t="shared" ref="C289:C292" si="59">C288+1</f>
        <v>3</v>
      </c>
      <c r="D289" s="61"/>
      <c r="E289" s="58" t="s">
        <v>227</v>
      </c>
      <c r="F289" s="59">
        <f>68.38*10.764</f>
        <v>736.0423199999999</v>
      </c>
      <c r="G289" s="59"/>
      <c r="H289" s="59">
        <v>0</v>
      </c>
      <c r="I289" s="60">
        <f t="shared" si="58"/>
        <v>1177.6677119999999</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3">
      <c r="A290" s="67"/>
      <c r="B290" s="68"/>
      <c r="C290" s="61">
        <f t="shared" si="59"/>
        <v>4</v>
      </c>
      <c r="D290" s="61"/>
      <c r="E290" s="58" t="s">
        <v>227</v>
      </c>
      <c r="F290" s="59"/>
      <c r="G290" s="59"/>
      <c r="H290" s="59"/>
      <c r="I290" s="60">
        <f t="shared" si="58"/>
        <v>0</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67"/>
      <c r="B291" s="68"/>
      <c r="C291" s="61">
        <f t="shared" si="59"/>
        <v>5</v>
      </c>
      <c r="D291" s="61"/>
      <c r="E291" s="58" t="s">
        <v>227</v>
      </c>
      <c r="F291" s="59"/>
      <c r="G291" s="59"/>
      <c r="H291" s="59"/>
      <c r="I291" s="60">
        <f t="shared" si="58"/>
        <v>0</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3">
      <c r="A292" s="69"/>
      <c r="B292" s="70"/>
      <c r="C292" s="61">
        <f t="shared" si="59"/>
        <v>6</v>
      </c>
      <c r="D292" s="61"/>
      <c r="E292" s="20" t="s">
        <v>226</v>
      </c>
      <c r="F292" s="58">
        <f>70.45*10.764</f>
        <v>758.32380000000001</v>
      </c>
      <c r="G292" s="60"/>
      <c r="H292" s="20">
        <v>0</v>
      </c>
      <c r="I292" s="20">
        <f t="shared" si="58"/>
        <v>1213.31808</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1" x14ac:dyDescent="0.3">
      <c r="A293" s="62" t="s">
        <v>230</v>
      </c>
      <c r="B293" s="63"/>
      <c r="C293" s="63"/>
      <c r="D293" s="63"/>
      <c r="E293" s="63"/>
      <c r="F293" s="63"/>
      <c r="G293" s="63"/>
      <c r="H293" s="63"/>
      <c r="I293" s="64"/>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3">
      <c r="A294" s="65" t="str">
        <f>A293</f>
        <v>7th Podium Floor For Parking &amp; Residential</v>
      </c>
      <c r="B294" s="66"/>
      <c r="C294" s="61">
        <v>1</v>
      </c>
      <c r="D294" s="61"/>
      <c r="E294" s="20" t="s">
        <v>224</v>
      </c>
      <c r="F294" s="58">
        <f>97.15*10.764</f>
        <v>1045.7226000000001</v>
      </c>
      <c r="G294" s="60"/>
      <c r="H294" s="20">
        <v>0</v>
      </c>
      <c r="I294" s="20">
        <f>F294*(($I$108)+1)+H294</f>
        <v>1673.1561600000002</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67"/>
      <c r="B295" s="68"/>
      <c r="C295" s="61">
        <f>C294+1</f>
        <v>2</v>
      </c>
      <c r="D295" s="61"/>
      <c r="E295" s="20" t="s">
        <v>224</v>
      </c>
      <c r="F295" s="58">
        <f>97.15*10.764</f>
        <v>1045.7226000000001</v>
      </c>
      <c r="G295" s="60"/>
      <c r="H295" s="20">
        <v>0</v>
      </c>
      <c r="I295" s="20">
        <f t="shared" ref="I295:I299" si="60">F295*(($I$108)+1)+H295</f>
        <v>1673.1561600000002</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67"/>
      <c r="B296" s="68"/>
      <c r="C296" s="61">
        <f t="shared" ref="C296:C299" si="61">C295+1</f>
        <v>3</v>
      </c>
      <c r="D296" s="61"/>
      <c r="E296" s="58" t="s">
        <v>227</v>
      </c>
      <c r="F296" s="59">
        <f>70.42*10.764</f>
        <v>758.00087999999994</v>
      </c>
      <c r="G296" s="59"/>
      <c r="H296" s="59">
        <v>0</v>
      </c>
      <c r="I296" s="60">
        <f t="shared" si="60"/>
        <v>1212.801408</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67"/>
      <c r="B297" s="68"/>
      <c r="C297" s="61">
        <f t="shared" si="61"/>
        <v>4</v>
      </c>
      <c r="D297" s="61"/>
      <c r="E297" s="58" t="s">
        <v>227</v>
      </c>
      <c r="F297" s="59"/>
      <c r="G297" s="59"/>
      <c r="H297" s="59"/>
      <c r="I297" s="60">
        <f t="shared" si="60"/>
        <v>0</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67"/>
      <c r="B298" s="68"/>
      <c r="C298" s="61">
        <f t="shared" si="61"/>
        <v>5</v>
      </c>
      <c r="D298" s="61"/>
      <c r="E298" s="58" t="s">
        <v>227</v>
      </c>
      <c r="F298" s="59"/>
      <c r="G298" s="59"/>
      <c r="H298" s="59"/>
      <c r="I298" s="60">
        <f t="shared" si="60"/>
        <v>0</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3">
      <c r="A299" s="69"/>
      <c r="B299" s="70"/>
      <c r="C299" s="61">
        <f t="shared" si="61"/>
        <v>6</v>
      </c>
      <c r="D299" s="61"/>
      <c r="E299" s="20" t="s">
        <v>226</v>
      </c>
      <c r="F299" s="58">
        <f>70.45*10.764</f>
        <v>758.32380000000001</v>
      </c>
      <c r="G299" s="60"/>
      <c r="H299" s="20">
        <v>0</v>
      </c>
      <c r="I299" s="20">
        <f t="shared" si="60"/>
        <v>1213.31808</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1" x14ac:dyDescent="0.3">
      <c r="A300" s="62" t="s">
        <v>241</v>
      </c>
      <c r="B300" s="63"/>
      <c r="C300" s="63"/>
      <c r="D300" s="63"/>
      <c r="E300" s="63"/>
      <c r="F300" s="63"/>
      <c r="G300" s="63"/>
      <c r="H300" s="63"/>
      <c r="I300" s="64"/>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65" t="str">
        <f>A300</f>
        <v>8th Podium Floor For Residential &amp; Double Height</v>
      </c>
      <c r="B301" s="66"/>
      <c r="C301" s="61">
        <v>1</v>
      </c>
      <c r="D301" s="61"/>
      <c r="E301" s="20" t="s">
        <v>224</v>
      </c>
      <c r="F301" s="58">
        <f>97.15*10.764</f>
        <v>1045.7226000000001</v>
      </c>
      <c r="G301" s="60"/>
      <c r="H301" s="20">
        <v>0</v>
      </c>
      <c r="I301" s="20">
        <f>F301*(($I$108)+1)+H301</f>
        <v>1673.1561600000002</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69"/>
      <c r="B302" s="70"/>
      <c r="C302" s="61">
        <v>2</v>
      </c>
      <c r="D302" s="61"/>
      <c r="E302" s="20" t="s">
        <v>224</v>
      </c>
      <c r="F302" s="58">
        <f>97.15*10.764</f>
        <v>1045.7226000000001</v>
      </c>
      <c r="G302" s="60"/>
      <c r="H302" s="20">
        <v>0</v>
      </c>
      <c r="I302" s="20">
        <f t="shared" ref="I302" si="62">F302*(($I$108)+1)+H302</f>
        <v>1673.1561600000002</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1" x14ac:dyDescent="0.3">
      <c r="A303" s="62" t="s">
        <v>242</v>
      </c>
      <c r="B303" s="63"/>
      <c r="C303" s="63"/>
      <c r="D303" s="63"/>
      <c r="E303" s="63"/>
      <c r="F303" s="63"/>
      <c r="G303" s="63"/>
      <c r="H303" s="63"/>
      <c r="I303" s="64"/>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3">
      <c r="A304" s="65" t="str">
        <f>A303</f>
        <v>9th Podium Floor For Residential &amp; Double Height</v>
      </c>
      <c r="B304" s="66"/>
      <c r="C304" s="61">
        <v>1</v>
      </c>
      <c r="D304" s="61"/>
      <c r="E304" s="20" t="s">
        <v>224</v>
      </c>
      <c r="F304" s="58">
        <f>97.15*10.764</f>
        <v>1045.7226000000001</v>
      </c>
      <c r="G304" s="60"/>
      <c r="H304" s="20">
        <v>0</v>
      </c>
      <c r="I304" s="20">
        <f>F304*(($I$108)+1)+H304</f>
        <v>1673.1561600000002</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3">
      <c r="A305" s="69"/>
      <c r="B305" s="70"/>
      <c r="C305" s="61">
        <v>2</v>
      </c>
      <c r="D305" s="61"/>
      <c r="E305" s="20" t="s">
        <v>224</v>
      </c>
      <c r="F305" s="58">
        <f>97.15*10.764</f>
        <v>1045.7226000000001</v>
      </c>
      <c r="G305" s="60"/>
      <c r="H305" s="20">
        <v>0</v>
      </c>
      <c r="I305" s="20">
        <f t="shared" ref="I305" si="63">F305*(($I$108)+1)+H305</f>
        <v>1673.1561600000002</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1" x14ac:dyDescent="0.3">
      <c r="A306" s="62" t="s">
        <v>246</v>
      </c>
      <c r="B306" s="63"/>
      <c r="C306" s="63"/>
      <c r="D306" s="63"/>
      <c r="E306" s="63"/>
      <c r="F306" s="63"/>
      <c r="G306" s="63"/>
      <c r="H306" s="63"/>
      <c r="I306" s="64"/>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65" t="str">
        <f>A306</f>
        <v>10th Floor For Residential</v>
      </c>
      <c r="B307" s="66"/>
      <c r="C307" s="61">
        <v>1</v>
      </c>
      <c r="D307" s="61"/>
      <c r="E307" s="20" t="s">
        <v>224</v>
      </c>
      <c r="F307" s="58">
        <f>97.15*10.764</f>
        <v>1045.7226000000001</v>
      </c>
      <c r="G307" s="60"/>
      <c r="H307" s="20">
        <v>0</v>
      </c>
      <c r="I307" s="20">
        <f>F307*(($I$108)+1)+H307</f>
        <v>1673.1561600000002</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3">
      <c r="A308" s="67"/>
      <c r="B308" s="68"/>
      <c r="C308" s="61">
        <f>C307+1</f>
        <v>2</v>
      </c>
      <c r="D308" s="61"/>
      <c r="E308" s="20" t="s">
        <v>224</v>
      </c>
      <c r="F308" s="58">
        <f>97.15*10.764</f>
        <v>1045.7226000000001</v>
      </c>
      <c r="G308" s="60"/>
      <c r="H308" s="20">
        <v>0</v>
      </c>
      <c r="I308" s="20">
        <f t="shared" ref="I308:I312" si="64">F308*(($I$108)+1)+H308</f>
        <v>1673.1561600000002</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3">
      <c r="A309" s="67"/>
      <c r="B309" s="68"/>
      <c r="C309" s="61">
        <f t="shared" ref="C309:C312" si="65">C308+1</f>
        <v>3</v>
      </c>
      <c r="D309" s="61"/>
      <c r="E309" s="20" t="s">
        <v>224</v>
      </c>
      <c r="F309" s="58">
        <f>83.9*10.764</f>
        <v>903.09960000000001</v>
      </c>
      <c r="G309" s="60"/>
      <c r="H309" s="20">
        <v>0</v>
      </c>
      <c r="I309" s="20">
        <f t="shared" si="64"/>
        <v>1444.9593600000001</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3">
      <c r="A310" s="67"/>
      <c r="B310" s="68"/>
      <c r="C310" s="61">
        <f t="shared" si="65"/>
        <v>4</v>
      </c>
      <c r="D310" s="61"/>
      <c r="E310" s="20" t="s">
        <v>224</v>
      </c>
      <c r="F310" s="58">
        <f>83.9*10.764</f>
        <v>903.09960000000001</v>
      </c>
      <c r="G310" s="60"/>
      <c r="H310" s="20">
        <v>0</v>
      </c>
      <c r="I310" s="20">
        <f t="shared" si="64"/>
        <v>1444.9593600000001</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3">
      <c r="A311" s="67"/>
      <c r="B311" s="68"/>
      <c r="C311" s="61">
        <f t="shared" si="65"/>
        <v>5</v>
      </c>
      <c r="D311" s="61"/>
      <c r="E311" s="20" t="s">
        <v>226</v>
      </c>
      <c r="F311" s="58">
        <f t="shared" ref="F311:F312" si="66">70.45*10.764</f>
        <v>758.32380000000001</v>
      </c>
      <c r="G311" s="60"/>
      <c r="H311" s="20">
        <v>0</v>
      </c>
      <c r="I311" s="20">
        <f t="shared" si="64"/>
        <v>1213.31808</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3">
      <c r="A312" s="69"/>
      <c r="B312" s="70"/>
      <c r="C312" s="61">
        <f t="shared" si="65"/>
        <v>6</v>
      </c>
      <c r="D312" s="61"/>
      <c r="E312" s="20" t="s">
        <v>226</v>
      </c>
      <c r="F312" s="58">
        <f t="shared" si="66"/>
        <v>758.32380000000001</v>
      </c>
      <c r="G312" s="60"/>
      <c r="H312" s="20">
        <v>0</v>
      </c>
      <c r="I312" s="20">
        <f t="shared" si="64"/>
        <v>1213.31808</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1" x14ac:dyDescent="0.3">
      <c r="A313" s="62" t="s">
        <v>252</v>
      </c>
      <c r="B313" s="63"/>
      <c r="C313" s="63"/>
      <c r="D313" s="63"/>
      <c r="E313" s="63"/>
      <c r="F313" s="63"/>
      <c r="G313" s="63"/>
      <c r="H313" s="63"/>
      <c r="I313" s="64"/>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3">
      <c r="A314" s="65" t="str">
        <f>A313</f>
        <v>11th to 13th, 16th to 20th, 23rd to 27th, 30th to 34th, 37th to 41st, 44th to 49th &amp; 51st to 54th Floor For Residential</v>
      </c>
      <c r="B314" s="66"/>
      <c r="C314" s="61">
        <v>1</v>
      </c>
      <c r="D314" s="61"/>
      <c r="E314" s="20" t="s">
        <v>224</v>
      </c>
      <c r="F314" s="58">
        <f>97.15*10.764</f>
        <v>1045.7226000000001</v>
      </c>
      <c r="G314" s="60"/>
      <c r="H314" s="20">
        <v>0</v>
      </c>
      <c r="I314" s="20">
        <f>F314*(($I$108)+1)+H314</f>
        <v>1673.1561600000002</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3">
      <c r="A315" s="67"/>
      <c r="B315" s="68"/>
      <c r="C315" s="61">
        <f>C314+1</f>
        <v>2</v>
      </c>
      <c r="D315" s="61"/>
      <c r="E315" s="20" t="s">
        <v>224</v>
      </c>
      <c r="F315" s="58">
        <f>97.15*10.764</f>
        <v>1045.7226000000001</v>
      </c>
      <c r="G315" s="60"/>
      <c r="H315" s="20">
        <v>0</v>
      </c>
      <c r="I315" s="20">
        <f t="shared" ref="I315:I319" si="67">F315*(($I$108)+1)+H315</f>
        <v>1673.1561600000002</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3">
      <c r="A316" s="67"/>
      <c r="B316" s="68"/>
      <c r="C316" s="61">
        <f t="shared" ref="C316:C319" si="68">C315+1</f>
        <v>3</v>
      </c>
      <c r="D316" s="61"/>
      <c r="E316" s="20" t="s">
        <v>224</v>
      </c>
      <c r="F316" s="58">
        <f>83.9*10.764</f>
        <v>903.09960000000001</v>
      </c>
      <c r="G316" s="60"/>
      <c r="H316" s="20">
        <v>0</v>
      </c>
      <c r="I316" s="20">
        <f t="shared" si="67"/>
        <v>1444.9593600000001</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customHeight="1" x14ac:dyDescent="0.3">
      <c r="A317" s="67"/>
      <c r="B317" s="68"/>
      <c r="C317" s="61">
        <f t="shared" si="68"/>
        <v>4</v>
      </c>
      <c r="D317" s="61"/>
      <c r="E317" s="20" t="s">
        <v>224</v>
      </c>
      <c r="F317" s="58">
        <f>83.9*10.764</f>
        <v>903.09960000000001</v>
      </c>
      <c r="G317" s="60"/>
      <c r="H317" s="20">
        <v>0</v>
      </c>
      <c r="I317" s="20">
        <f t="shared" si="67"/>
        <v>1444.9593600000001</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3">
      <c r="A318" s="67"/>
      <c r="B318" s="68"/>
      <c r="C318" s="61">
        <f t="shared" si="68"/>
        <v>5</v>
      </c>
      <c r="D318" s="61"/>
      <c r="E318" s="20" t="s">
        <v>226</v>
      </c>
      <c r="F318" s="58">
        <f t="shared" ref="F318:F319" si="69">70.45*10.764</f>
        <v>758.32380000000001</v>
      </c>
      <c r="G318" s="60"/>
      <c r="H318" s="20">
        <v>0</v>
      </c>
      <c r="I318" s="20">
        <f t="shared" si="67"/>
        <v>1213.31808</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3">
      <c r="A319" s="69"/>
      <c r="B319" s="70"/>
      <c r="C319" s="61">
        <f t="shared" si="68"/>
        <v>6</v>
      </c>
      <c r="D319" s="61"/>
      <c r="E319" s="20" t="s">
        <v>226</v>
      </c>
      <c r="F319" s="58">
        <f t="shared" si="69"/>
        <v>758.32380000000001</v>
      </c>
      <c r="G319" s="60"/>
      <c r="H319" s="20">
        <v>0</v>
      </c>
      <c r="I319" s="20">
        <f t="shared" si="67"/>
        <v>1213.31808</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1" x14ac:dyDescent="0.3">
      <c r="A320" s="62" t="s">
        <v>235</v>
      </c>
      <c r="B320" s="63"/>
      <c r="C320" s="63"/>
      <c r="D320" s="63"/>
      <c r="E320" s="63"/>
      <c r="F320" s="63"/>
      <c r="G320" s="63"/>
      <c r="H320" s="63"/>
      <c r="I320" s="64"/>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84" x14ac:dyDescent="0.3">
      <c r="A321" s="65" t="str">
        <f>A320</f>
        <v>14th, 21st, 28th, 35th &amp; 42nd Floor For Residential</v>
      </c>
      <c r="B321" s="66"/>
      <c r="C321" s="61">
        <v>1</v>
      </c>
      <c r="D321" s="61"/>
      <c r="E321" s="20" t="s">
        <v>259</v>
      </c>
      <c r="F321" s="58">
        <f>142.79*10.764</f>
        <v>1536.9915599999997</v>
      </c>
      <c r="G321" s="60"/>
      <c r="H321" s="20">
        <v>0</v>
      </c>
      <c r="I321" s="20">
        <f>F321*(($I$108)+1)+H321</f>
        <v>2459.1864959999998</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3">
      <c r="A322" s="67"/>
      <c r="B322" s="68"/>
      <c r="C322" s="61">
        <f>C321+1</f>
        <v>2</v>
      </c>
      <c r="D322" s="61"/>
      <c r="E322" s="20" t="s">
        <v>224</v>
      </c>
      <c r="F322" s="58">
        <f>97.15*10.764</f>
        <v>1045.7226000000001</v>
      </c>
      <c r="G322" s="60"/>
      <c r="H322" s="20">
        <v>0</v>
      </c>
      <c r="I322" s="20">
        <f t="shared" ref="I322:I326" si="70">F322*(($I$108)+1)+H322</f>
        <v>1673.1561600000002</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3">
      <c r="A323" s="67"/>
      <c r="B323" s="68"/>
      <c r="C323" s="61">
        <f t="shared" ref="C323:C326" si="71">C322+1</f>
        <v>3</v>
      </c>
      <c r="D323" s="61"/>
      <c r="E323" s="20" t="s">
        <v>224</v>
      </c>
      <c r="F323" s="58">
        <f>83.9*10.764</f>
        <v>903.09960000000001</v>
      </c>
      <c r="G323" s="60"/>
      <c r="H323" s="20">
        <v>0</v>
      </c>
      <c r="I323" s="20">
        <f t="shared" si="70"/>
        <v>1444.9593600000001</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3">
      <c r="A324" s="67"/>
      <c r="B324" s="68"/>
      <c r="C324" s="61">
        <f t="shared" si="71"/>
        <v>4</v>
      </c>
      <c r="D324" s="61"/>
      <c r="E324" s="20" t="s">
        <v>224</v>
      </c>
      <c r="F324" s="58">
        <f>83.9*10.764</f>
        <v>903.09960000000001</v>
      </c>
      <c r="G324" s="60"/>
      <c r="H324" s="20">
        <v>0</v>
      </c>
      <c r="I324" s="20">
        <f t="shared" si="70"/>
        <v>1444.9593600000001</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3">
      <c r="A325" s="67"/>
      <c r="B325" s="68"/>
      <c r="C325" s="61">
        <f t="shared" si="71"/>
        <v>5</v>
      </c>
      <c r="D325" s="61"/>
      <c r="E325" s="20" t="s">
        <v>226</v>
      </c>
      <c r="F325" s="58">
        <f t="shared" ref="F325:F326" si="72">70.45*10.764</f>
        <v>758.32380000000001</v>
      </c>
      <c r="G325" s="60"/>
      <c r="H325" s="20">
        <v>0</v>
      </c>
      <c r="I325" s="20">
        <f t="shared" si="70"/>
        <v>1213.31808</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3">
      <c r="A326" s="69"/>
      <c r="B326" s="70"/>
      <c r="C326" s="61">
        <f t="shared" si="71"/>
        <v>6</v>
      </c>
      <c r="D326" s="61"/>
      <c r="E326" s="20" t="s">
        <v>226</v>
      </c>
      <c r="F326" s="58">
        <f t="shared" si="72"/>
        <v>758.32380000000001</v>
      </c>
      <c r="G326" s="60"/>
      <c r="H326" s="20">
        <v>0</v>
      </c>
      <c r="I326" s="20">
        <f t="shared" si="70"/>
        <v>1213.31808</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1" x14ac:dyDescent="0.3">
      <c r="A327" s="62" t="s">
        <v>237</v>
      </c>
      <c r="B327" s="63"/>
      <c r="C327" s="63"/>
      <c r="D327" s="63"/>
      <c r="E327" s="63"/>
      <c r="F327" s="63"/>
      <c r="G327" s="63"/>
      <c r="H327" s="63"/>
      <c r="I327" s="64"/>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3">
      <c r="A328" s="65" t="str">
        <f>A327</f>
        <v>15th, 22nd, 29th, 36th &amp; 43rd Floor For Residential (Part Refuge Area)</v>
      </c>
      <c r="B328" s="66"/>
      <c r="C328" s="61">
        <v>1</v>
      </c>
      <c r="D328" s="61"/>
      <c r="E328" s="58" t="s">
        <v>243</v>
      </c>
      <c r="F328" s="59"/>
      <c r="G328" s="59"/>
      <c r="H328" s="59"/>
      <c r="I328" s="60"/>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3">
      <c r="A329" s="67"/>
      <c r="B329" s="68"/>
      <c r="C329" s="61">
        <f>C328+1</f>
        <v>2</v>
      </c>
      <c r="D329" s="61"/>
      <c r="E329" s="58" t="s">
        <v>244</v>
      </c>
      <c r="F329" s="59"/>
      <c r="G329" s="59"/>
      <c r="H329" s="59"/>
      <c r="I329" s="60"/>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3">
      <c r="A330" s="67"/>
      <c r="B330" s="68"/>
      <c r="C330" s="61">
        <f t="shared" ref="C330:C333" si="73">C329+1</f>
        <v>3</v>
      </c>
      <c r="D330" s="61"/>
      <c r="E330" s="20" t="s">
        <v>224</v>
      </c>
      <c r="F330" s="58">
        <f>83.9*10.764</f>
        <v>903.09960000000001</v>
      </c>
      <c r="G330" s="60"/>
      <c r="H330" s="20">
        <v>0</v>
      </c>
      <c r="I330" s="20">
        <f t="shared" ref="I330:I333" si="74">F330*(($I$108)+1)+H330</f>
        <v>1444.9593600000001</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3">
      <c r="A331" s="67"/>
      <c r="B331" s="68"/>
      <c r="C331" s="61">
        <f t="shared" si="73"/>
        <v>4</v>
      </c>
      <c r="D331" s="61"/>
      <c r="E331" s="20" t="s">
        <v>224</v>
      </c>
      <c r="F331" s="58">
        <f>83.9*10.764</f>
        <v>903.09960000000001</v>
      </c>
      <c r="G331" s="60"/>
      <c r="H331" s="20">
        <v>0</v>
      </c>
      <c r="I331" s="20">
        <f t="shared" si="74"/>
        <v>1444.9593600000001</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3">
      <c r="A332" s="67"/>
      <c r="B332" s="68"/>
      <c r="C332" s="61">
        <f t="shared" si="73"/>
        <v>5</v>
      </c>
      <c r="D332" s="61"/>
      <c r="E332" s="20" t="s">
        <v>226</v>
      </c>
      <c r="F332" s="58">
        <f t="shared" ref="F332:F333" si="75">70.42*10.764</f>
        <v>758.00087999999994</v>
      </c>
      <c r="G332" s="60"/>
      <c r="H332" s="20">
        <v>0</v>
      </c>
      <c r="I332" s="20">
        <f t="shared" si="74"/>
        <v>1212.801408</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3">
      <c r="A333" s="69"/>
      <c r="B333" s="70"/>
      <c r="C333" s="61">
        <f t="shared" si="73"/>
        <v>6</v>
      </c>
      <c r="D333" s="61"/>
      <c r="E333" s="20" t="s">
        <v>226</v>
      </c>
      <c r="F333" s="58">
        <f t="shared" si="75"/>
        <v>758.00087999999994</v>
      </c>
      <c r="G333" s="60"/>
      <c r="H333" s="20">
        <v>0</v>
      </c>
      <c r="I333" s="20">
        <f t="shared" si="74"/>
        <v>1212.801408</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1" x14ac:dyDescent="0.3">
      <c r="A334" s="62" t="s">
        <v>238</v>
      </c>
      <c r="B334" s="63"/>
      <c r="C334" s="63"/>
      <c r="D334" s="63"/>
      <c r="E334" s="63"/>
      <c r="F334" s="63"/>
      <c r="G334" s="63"/>
      <c r="H334" s="63"/>
      <c r="I334" s="64"/>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3">
      <c r="A335" s="65" t="str">
        <f>A334</f>
        <v>50th Floor For Residential (Part Refuge Area)</v>
      </c>
      <c r="B335" s="66"/>
      <c r="C335" s="61">
        <v>1</v>
      </c>
      <c r="D335" s="61"/>
      <c r="E335" s="20" t="s">
        <v>224</v>
      </c>
      <c r="F335" s="58">
        <f>120.22*10.764</f>
        <v>1294.0480799999998</v>
      </c>
      <c r="G335" s="60"/>
      <c r="H335" s="20">
        <v>0</v>
      </c>
      <c r="I335" s="20">
        <f>F335*(($I$108)+1)+H335</f>
        <v>2070.4769279999996</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3">
      <c r="A336" s="67"/>
      <c r="B336" s="68"/>
      <c r="C336" s="61">
        <f>C335+1</f>
        <v>2</v>
      </c>
      <c r="D336" s="61"/>
      <c r="E336" s="58" t="s">
        <v>244</v>
      </c>
      <c r="F336" s="59"/>
      <c r="G336" s="59"/>
      <c r="H336" s="59"/>
      <c r="I336" s="60"/>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3">
      <c r="A337" s="67"/>
      <c r="B337" s="68"/>
      <c r="C337" s="61">
        <f t="shared" ref="C337:C340" si="76">C336+1</f>
        <v>3</v>
      </c>
      <c r="D337" s="61"/>
      <c r="E337" s="20" t="s">
        <v>224</v>
      </c>
      <c r="F337" s="58">
        <f>83.9*10.764</f>
        <v>903.09960000000001</v>
      </c>
      <c r="G337" s="60"/>
      <c r="H337" s="20">
        <v>0</v>
      </c>
      <c r="I337" s="20">
        <f t="shared" ref="I337:I340" si="77">F337*(($I$108)+1)+H337</f>
        <v>1444.9593600000001</v>
      </c>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3">
      <c r="A338" s="67"/>
      <c r="B338" s="68"/>
      <c r="C338" s="61">
        <f t="shared" si="76"/>
        <v>4</v>
      </c>
      <c r="D338" s="61"/>
      <c r="E338" s="20" t="s">
        <v>224</v>
      </c>
      <c r="F338" s="58">
        <f>83.9*10.764</f>
        <v>903.09960000000001</v>
      </c>
      <c r="G338" s="60"/>
      <c r="H338" s="20">
        <v>0</v>
      </c>
      <c r="I338" s="20">
        <f t="shared" si="77"/>
        <v>1444.9593600000001</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3">
      <c r="A339" s="67"/>
      <c r="B339" s="68"/>
      <c r="C339" s="61">
        <f t="shared" si="76"/>
        <v>5</v>
      </c>
      <c r="D339" s="61"/>
      <c r="E339" s="20" t="s">
        <v>226</v>
      </c>
      <c r="F339" s="58">
        <f t="shared" ref="F339:F340" si="78">70.45*10.764</f>
        <v>758.32380000000001</v>
      </c>
      <c r="G339" s="60"/>
      <c r="H339" s="20">
        <v>0</v>
      </c>
      <c r="I339" s="20">
        <f t="shared" si="77"/>
        <v>1213.31808</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3">
      <c r="A340" s="69"/>
      <c r="B340" s="70"/>
      <c r="C340" s="61">
        <f t="shared" si="76"/>
        <v>6</v>
      </c>
      <c r="D340" s="61"/>
      <c r="E340" s="20" t="s">
        <v>226</v>
      </c>
      <c r="F340" s="58">
        <f t="shared" si="78"/>
        <v>758.32380000000001</v>
      </c>
      <c r="G340" s="60"/>
      <c r="H340" s="20">
        <v>0</v>
      </c>
      <c r="I340" s="20">
        <f t="shared" si="77"/>
        <v>1213.31808</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ht="21" x14ac:dyDescent="0.3">
      <c r="A341" s="112" t="s">
        <v>76</v>
      </c>
      <c r="B341" s="112"/>
      <c r="C341" s="112"/>
      <c r="D341" s="112"/>
      <c r="E341" s="112"/>
      <c r="F341" s="112"/>
      <c r="G341" s="112"/>
      <c r="H341" s="112"/>
      <c r="I341" s="112"/>
    </row>
    <row r="342" spans="1:151 16227:16384" ht="197.4" customHeight="1" x14ac:dyDescent="0.3">
      <c r="A342" s="9" t="s">
        <v>84</v>
      </c>
      <c r="B342" s="12" t="s">
        <v>4</v>
      </c>
      <c r="C342" s="72" t="s">
        <v>274</v>
      </c>
      <c r="D342" s="72"/>
      <c r="E342" s="72"/>
      <c r="F342" s="72"/>
      <c r="G342" s="72"/>
      <c r="H342" s="72"/>
      <c r="I342" s="72"/>
    </row>
    <row r="343" spans="1:151 16227:16384" ht="21" x14ac:dyDescent="0.3">
      <c r="A343" s="102" t="s">
        <v>85</v>
      </c>
      <c r="B343" s="102"/>
      <c r="C343" s="102"/>
      <c r="D343" s="102"/>
      <c r="E343" s="102"/>
      <c r="F343" s="102"/>
      <c r="G343" s="102"/>
      <c r="H343" s="102"/>
      <c r="I343" s="102"/>
    </row>
    <row r="344" spans="1:151 16227:16384" ht="21" x14ac:dyDescent="0.3">
      <c r="A344" s="73" t="s">
        <v>77</v>
      </c>
      <c r="B344" s="73"/>
      <c r="C344" s="73"/>
      <c r="D344" s="2" t="s">
        <v>4</v>
      </c>
      <c r="E344" s="88" t="str">
        <f>E3</f>
        <v>Bellanza Phase 1 ­ Wing A, B, C</v>
      </c>
      <c r="F344" s="96"/>
      <c r="G344" s="96"/>
      <c r="H344" s="96"/>
      <c r="I344" s="89"/>
    </row>
    <row r="345" spans="1:151 16227:16384" ht="60.75" customHeight="1" x14ac:dyDescent="0.3">
      <c r="A345" s="73" t="s">
        <v>137</v>
      </c>
      <c r="B345" s="73"/>
      <c r="C345" s="73"/>
      <c r="D345" s="2" t="s">
        <v>4</v>
      </c>
      <c r="E345" s="88" t="str">
        <f>E10</f>
        <v>Bellanza Phase 1 ­ Wing A, B, C at The Prestige City, Village. Mulund, Situated Near. Veena Nagar, Road - Agrawal Road, Mulund West, Kurla, Mumbai, Maharashtra - 400080</v>
      </c>
      <c r="F345" s="96"/>
      <c r="G345" s="96"/>
      <c r="H345" s="96"/>
      <c r="I345" s="89"/>
    </row>
    <row r="346" spans="1:151 16227:16384" ht="20.25" customHeight="1" x14ac:dyDescent="0.3">
      <c r="A346" s="116" t="s">
        <v>143</v>
      </c>
      <c r="B346" s="116"/>
      <c r="C346" s="116"/>
      <c r="D346" s="16" t="s">
        <v>4</v>
      </c>
      <c r="E346" s="86" t="str">
        <f>I3</f>
        <v>07/07/2025 @04:00PM</v>
      </c>
      <c r="F346" s="117"/>
      <c r="G346" s="117"/>
      <c r="H346" s="117"/>
      <c r="I346" s="87"/>
    </row>
    <row r="347" spans="1:151 16227:16384" ht="21" x14ac:dyDescent="0.3">
      <c r="A347" s="30"/>
      <c r="B347" s="31"/>
      <c r="C347" s="31"/>
      <c r="D347" s="31"/>
      <c r="E347" s="31"/>
      <c r="F347" s="31"/>
      <c r="G347" s="31"/>
      <c r="H347" s="31"/>
      <c r="I347" s="25"/>
    </row>
    <row r="348" spans="1:151 16227:16384" ht="21" x14ac:dyDescent="0.3">
      <c r="A348" s="32"/>
      <c r="B348" s="33"/>
      <c r="C348" s="33"/>
      <c r="D348" s="33"/>
      <c r="E348" s="33"/>
      <c r="F348" s="33"/>
      <c r="G348" s="33"/>
      <c r="H348" s="33"/>
      <c r="I348" s="26"/>
    </row>
    <row r="349" spans="1:151 16227:16384" ht="21" x14ac:dyDescent="0.3">
      <c r="A349" s="32"/>
      <c r="B349" s="33"/>
      <c r="C349" s="33"/>
      <c r="D349" s="33"/>
      <c r="E349" s="33"/>
      <c r="F349" s="33"/>
      <c r="G349" s="33"/>
      <c r="H349" s="33"/>
      <c r="I349" s="26"/>
    </row>
    <row r="350" spans="1:151 16227:16384" ht="21" x14ac:dyDescent="0.3">
      <c r="A350" s="32"/>
      <c r="B350" s="33"/>
      <c r="C350" s="33"/>
      <c r="D350" s="33"/>
      <c r="E350" s="33"/>
      <c r="F350" s="33"/>
      <c r="G350" s="33"/>
      <c r="H350" s="33"/>
      <c r="I350" s="26"/>
    </row>
    <row r="351" spans="1:151 16227:16384" ht="21" x14ac:dyDescent="0.3">
      <c r="A351" s="32"/>
      <c r="B351" s="33"/>
      <c r="C351" s="33"/>
      <c r="D351" s="33"/>
      <c r="E351" s="33"/>
      <c r="F351" s="33"/>
      <c r="G351" s="33"/>
      <c r="H351" s="33"/>
      <c r="I351" s="26"/>
    </row>
    <row r="352" spans="1:151 16227:16384" ht="21" x14ac:dyDescent="0.3">
      <c r="A352" s="32"/>
      <c r="B352" s="33"/>
      <c r="C352" s="33"/>
      <c r="D352" s="33"/>
      <c r="E352" s="33"/>
      <c r="F352" s="33"/>
      <c r="G352" s="33"/>
      <c r="H352" s="33"/>
      <c r="I352" s="26"/>
    </row>
    <row r="353" spans="1:9" ht="21" x14ac:dyDescent="0.3">
      <c r="A353" s="32"/>
      <c r="B353" s="33"/>
      <c r="C353" s="33"/>
      <c r="D353" s="33"/>
      <c r="E353" s="33"/>
      <c r="F353" s="33"/>
      <c r="G353" s="33"/>
      <c r="H353" s="33"/>
      <c r="I353" s="26"/>
    </row>
    <row r="354" spans="1:9" ht="21" x14ac:dyDescent="0.3">
      <c r="A354" s="32"/>
      <c r="B354" s="33"/>
      <c r="C354" s="33"/>
      <c r="D354" s="33"/>
      <c r="E354" s="33"/>
      <c r="F354" s="33"/>
      <c r="G354" s="33"/>
      <c r="H354" s="33"/>
      <c r="I354" s="26"/>
    </row>
    <row r="355" spans="1:9" ht="21" x14ac:dyDescent="0.3">
      <c r="A355" s="32"/>
      <c r="B355" s="33"/>
      <c r="C355" s="33"/>
      <c r="D355" s="33"/>
      <c r="E355" s="33"/>
      <c r="F355" s="33"/>
      <c r="G355" s="33"/>
      <c r="H355" s="33"/>
      <c r="I355" s="26"/>
    </row>
    <row r="356" spans="1:9" ht="21" x14ac:dyDescent="0.3">
      <c r="A356" s="32"/>
      <c r="B356" s="33"/>
      <c r="C356" s="33"/>
      <c r="D356" s="33"/>
      <c r="E356" s="33"/>
      <c r="F356" s="33"/>
      <c r="G356" s="33"/>
      <c r="H356" s="33"/>
      <c r="I356" s="26"/>
    </row>
    <row r="357" spans="1:9" ht="21" x14ac:dyDescent="0.3">
      <c r="A357" s="32"/>
      <c r="B357" s="33"/>
      <c r="C357" s="33"/>
      <c r="D357" s="33"/>
      <c r="E357" s="33"/>
      <c r="F357" s="33"/>
      <c r="G357" s="33"/>
      <c r="H357" s="33"/>
      <c r="I357" s="26"/>
    </row>
    <row r="358" spans="1:9" ht="21" x14ac:dyDescent="0.3">
      <c r="A358" s="32"/>
      <c r="B358" s="33"/>
      <c r="C358" s="33"/>
      <c r="D358" s="33"/>
      <c r="E358" s="33"/>
      <c r="F358" s="33"/>
      <c r="G358" s="33"/>
      <c r="H358" s="33"/>
      <c r="I358" s="26"/>
    </row>
    <row r="359" spans="1:9" ht="21" x14ac:dyDescent="0.3">
      <c r="A359" s="32"/>
      <c r="B359" s="33"/>
      <c r="C359" s="33"/>
      <c r="D359" s="33"/>
      <c r="E359" s="33"/>
      <c r="F359" s="33"/>
      <c r="G359" s="33"/>
      <c r="H359" s="33"/>
      <c r="I359" s="26"/>
    </row>
    <row r="360" spans="1:9" ht="21" x14ac:dyDescent="0.3">
      <c r="A360" s="32"/>
      <c r="B360" s="33"/>
      <c r="C360" s="33"/>
      <c r="D360" s="33"/>
      <c r="E360" s="33"/>
      <c r="F360" s="33"/>
      <c r="G360" s="33"/>
      <c r="H360" s="33"/>
      <c r="I360" s="26"/>
    </row>
    <row r="361" spans="1:9" ht="21" x14ac:dyDescent="0.3">
      <c r="A361" s="32"/>
      <c r="B361" s="33"/>
      <c r="C361" s="33"/>
      <c r="D361" s="33"/>
      <c r="E361" s="33"/>
      <c r="F361" s="33"/>
      <c r="G361" s="33"/>
      <c r="H361" s="33"/>
      <c r="I361" s="26"/>
    </row>
    <row r="362" spans="1:9" ht="21" x14ac:dyDescent="0.3">
      <c r="A362" s="32"/>
      <c r="B362" s="33"/>
      <c r="C362" s="33"/>
      <c r="D362" s="33"/>
      <c r="E362" s="33"/>
      <c r="F362" s="33"/>
      <c r="G362" s="33"/>
      <c r="H362" s="33"/>
      <c r="I362" s="26"/>
    </row>
    <row r="363" spans="1:9" ht="21" x14ac:dyDescent="0.3">
      <c r="A363" s="32"/>
      <c r="B363" s="33"/>
      <c r="C363" s="33"/>
      <c r="D363" s="33"/>
      <c r="E363" s="33"/>
      <c r="F363" s="33"/>
      <c r="G363" s="33"/>
      <c r="H363" s="33"/>
      <c r="I363" s="26"/>
    </row>
    <row r="364" spans="1:9" ht="21" x14ac:dyDescent="0.3">
      <c r="A364" s="32"/>
      <c r="B364" s="33"/>
      <c r="C364" s="33"/>
      <c r="D364" s="33"/>
      <c r="E364" s="33"/>
      <c r="F364" s="33"/>
      <c r="G364" s="33"/>
      <c r="H364" s="33"/>
      <c r="I364" s="26"/>
    </row>
    <row r="365" spans="1:9" ht="21" x14ac:dyDescent="0.3">
      <c r="A365" s="32"/>
      <c r="B365" s="33"/>
      <c r="C365" s="33"/>
      <c r="D365" s="33"/>
      <c r="E365" s="33"/>
      <c r="F365" s="33"/>
      <c r="G365" s="33"/>
      <c r="H365" s="33"/>
      <c r="I365" s="26"/>
    </row>
    <row r="366" spans="1:9" ht="21" x14ac:dyDescent="0.3">
      <c r="A366" s="32"/>
      <c r="B366" s="33"/>
      <c r="C366" s="33"/>
      <c r="D366" s="33"/>
      <c r="E366" s="33"/>
      <c r="F366" s="33"/>
      <c r="G366" s="33"/>
      <c r="H366" s="33"/>
      <c r="I366" s="26"/>
    </row>
    <row r="367" spans="1:9" ht="21" x14ac:dyDescent="0.3">
      <c r="A367" s="32"/>
      <c r="B367" s="33"/>
      <c r="C367" s="33"/>
      <c r="D367" s="33"/>
      <c r="E367" s="33"/>
      <c r="F367" s="33"/>
      <c r="G367" s="33"/>
      <c r="H367" s="33"/>
      <c r="I367" s="26"/>
    </row>
    <row r="368" spans="1:9" ht="21" x14ac:dyDescent="0.3">
      <c r="A368" s="32"/>
      <c r="B368" s="33"/>
      <c r="C368" s="33"/>
      <c r="D368" s="33"/>
      <c r="E368" s="33"/>
      <c r="F368" s="33"/>
      <c r="G368" s="33"/>
      <c r="H368" s="33"/>
      <c r="I368" s="26"/>
    </row>
    <row r="369" spans="1:9" ht="21" x14ac:dyDescent="0.3">
      <c r="A369" s="32"/>
      <c r="B369" s="33"/>
      <c r="C369" s="33"/>
      <c r="D369" s="33"/>
      <c r="E369" s="33"/>
      <c r="F369" s="33"/>
      <c r="G369" s="33"/>
      <c r="H369" s="33"/>
      <c r="I369" s="26"/>
    </row>
    <row r="370" spans="1:9" ht="21" x14ac:dyDescent="0.3">
      <c r="A370" s="32"/>
      <c r="B370" s="33"/>
      <c r="C370" s="33"/>
      <c r="D370" s="33"/>
      <c r="E370" s="33"/>
      <c r="F370" s="33"/>
      <c r="G370" s="33"/>
      <c r="H370" s="33"/>
      <c r="I370" s="26"/>
    </row>
    <row r="371" spans="1:9" ht="21" x14ac:dyDescent="0.3">
      <c r="A371" s="32"/>
      <c r="B371" s="33"/>
      <c r="C371" s="33"/>
      <c r="D371" s="33"/>
      <c r="E371" s="33"/>
      <c r="F371" s="33"/>
      <c r="G371" s="33"/>
      <c r="H371" s="33"/>
      <c r="I371" s="26"/>
    </row>
    <row r="372" spans="1:9" ht="21" x14ac:dyDescent="0.3">
      <c r="A372" s="32"/>
      <c r="B372" s="33"/>
      <c r="C372" s="33"/>
      <c r="D372" s="33"/>
      <c r="E372" s="33"/>
      <c r="F372" s="33"/>
      <c r="G372" s="33"/>
      <c r="H372" s="33"/>
      <c r="I372" s="26"/>
    </row>
    <row r="373" spans="1:9" ht="21" x14ac:dyDescent="0.3">
      <c r="A373" s="32"/>
      <c r="B373" s="33"/>
      <c r="C373" s="33"/>
      <c r="D373" s="33"/>
      <c r="E373" s="33"/>
      <c r="F373" s="33"/>
      <c r="G373" s="33"/>
      <c r="H373" s="33"/>
      <c r="I373" s="26"/>
    </row>
    <row r="374" spans="1:9" ht="21" x14ac:dyDescent="0.3">
      <c r="A374" s="32"/>
      <c r="B374" s="33"/>
      <c r="C374" s="33"/>
      <c r="D374" s="33"/>
      <c r="E374" s="33"/>
      <c r="F374" s="33"/>
      <c r="G374" s="33"/>
      <c r="H374" s="33"/>
      <c r="I374" s="26"/>
    </row>
    <row r="375" spans="1:9" ht="21" x14ac:dyDescent="0.3">
      <c r="A375" s="32"/>
      <c r="B375" s="33"/>
      <c r="C375" s="33"/>
      <c r="D375" s="33"/>
      <c r="E375" s="33"/>
      <c r="F375" s="33"/>
      <c r="G375" s="33"/>
      <c r="H375" s="33"/>
      <c r="I375" s="26"/>
    </row>
    <row r="376" spans="1:9" ht="21" x14ac:dyDescent="0.3">
      <c r="A376" s="32"/>
      <c r="B376" s="33"/>
      <c r="C376" s="33"/>
      <c r="D376" s="33"/>
      <c r="E376" s="33"/>
      <c r="F376" s="33"/>
      <c r="G376" s="33"/>
      <c r="H376" s="33"/>
      <c r="I376" s="26"/>
    </row>
    <row r="377" spans="1:9" ht="21" x14ac:dyDescent="0.3">
      <c r="A377" s="32"/>
      <c r="B377" s="33"/>
      <c r="C377" s="33"/>
      <c r="D377" s="33"/>
      <c r="E377" s="33"/>
      <c r="F377" s="33"/>
      <c r="G377" s="33"/>
      <c r="H377" s="33"/>
      <c r="I377" s="26"/>
    </row>
    <row r="378" spans="1:9" ht="21" x14ac:dyDescent="0.3">
      <c r="A378" s="32"/>
      <c r="B378" s="33"/>
      <c r="C378" s="33"/>
      <c r="D378" s="33"/>
      <c r="E378" s="33"/>
      <c r="F378" s="33"/>
      <c r="G378" s="33"/>
      <c r="H378" s="33"/>
      <c r="I378" s="26"/>
    </row>
    <row r="379" spans="1:9" ht="21" x14ac:dyDescent="0.3">
      <c r="A379" s="32"/>
      <c r="B379" s="33"/>
      <c r="C379" s="33"/>
      <c r="D379" s="33"/>
      <c r="E379" s="33"/>
      <c r="F379" s="33"/>
      <c r="G379" s="33"/>
      <c r="H379" s="33"/>
      <c r="I379" s="26"/>
    </row>
    <row r="380" spans="1:9" ht="21" x14ac:dyDescent="0.3">
      <c r="A380" s="32"/>
      <c r="B380" s="33"/>
      <c r="C380" s="33"/>
      <c r="D380" s="33"/>
      <c r="E380" s="33"/>
      <c r="F380" s="33"/>
      <c r="G380" s="33"/>
      <c r="H380" s="33"/>
      <c r="I380" s="26"/>
    </row>
    <row r="381" spans="1:9" ht="21" x14ac:dyDescent="0.3">
      <c r="A381" s="32"/>
      <c r="B381" s="33"/>
      <c r="C381" s="33"/>
      <c r="D381" s="33"/>
      <c r="E381" s="33"/>
      <c r="F381" s="33"/>
      <c r="G381" s="33"/>
      <c r="H381" s="33"/>
      <c r="I381" s="26"/>
    </row>
    <row r="382" spans="1:9" ht="21" x14ac:dyDescent="0.3">
      <c r="A382" s="32"/>
      <c r="B382" s="33"/>
      <c r="C382" s="33"/>
      <c r="D382" s="33"/>
      <c r="E382" s="33"/>
      <c r="F382" s="33"/>
      <c r="G382" s="33"/>
      <c r="H382" s="33"/>
      <c r="I382" s="26"/>
    </row>
    <row r="383" spans="1:9" ht="21" x14ac:dyDescent="0.3">
      <c r="A383" s="32"/>
      <c r="B383" s="33"/>
      <c r="C383" s="33"/>
      <c r="D383" s="33"/>
      <c r="E383" s="33"/>
      <c r="F383" s="33"/>
      <c r="G383" s="33"/>
      <c r="H383" s="33"/>
      <c r="I383" s="26"/>
    </row>
    <row r="384" spans="1:9" ht="21" x14ac:dyDescent="0.3">
      <c r="A384" s="32"/>
      <c r="B384" s="33"/>
      <c r="C384" s="33"/>
      <c r="D384" s="33"/>
      <c r="E384" s="33"/>
      <c r="F384" s="33"/>
      <c r="G384" s="33"/>
      <c r="H384" s="33"/>
      <c r="I384" s="26"/>
    </row>
    <row r="385" spans="1:9" ht="21" x14ac:dyDescent="0.3">
      <c r="A385" s="32"/>
      <c r="B385" s="33"/>
      <c r="C385" s="33"/>
      <c r="D385" s="33"/>
      <c r="E385" s="33"/>
      <c r="F385" s="33"/>
      <c r="G385" s="33"/>
      <c r="H385" s="33"/>
      <c r="I385" s="26"/>
    </row>
    <row r="386" spans="1:9" ht="21" x14ac:dyDescent="0.3">
      <c r="A386" s="32"/>
      <c r="B386" s="33"/>
      <c r="C386" s="33"/>
      <c r="D386" s="33"/>
      <c r="E386" s="33"/>
      <c r="F386" s="33"/>
      <c r="G386" s="33"/>
      <c r="H386" s="33"/>
      <c r="I386" s="26"/>
    </row>
    <row r="387" spans="1:9" ht="21" x14ac:dyDescent="0.3">
      <c r="A387" s="32"/>
      <c r="B387" s="33"/>
      <c r="C387" s="33"/>
      <c r="D387" s="33"/>
      <c r="E387" s="33"/>
      <c r="F387" s="33"/>
      <c r="G387" s="33"/>
      <c r="H387" s="33"/>
      <c r="I387" s="26"/>
    </row>
    <row r="388" spans="1:9" ht="21" x14ac:dyDescent="0.3">
      <c r="A388" s="32"/>
      <c r="B388" s="33"/>
      <c r="C388" s="33"/>
      <c r="D388" s="33"/>
      <c r="E388" s="33"/>
      <c r="F388" s="33"/>
      <c r="G388" s="33"/>
      <c r="H388" s="33"/>
      <c r="I388" s="26"/>
    </row>
    <row r="389" spans="1:9" ht="21" hidden="1" x14ac:dyDescent="0.3">
      <c r="A389" s="32"/>
      <c r="B389" s="33"/>
      <c r="C389" s="33"/>
      <c r="D389" s="33"/>
      <c r="E389" s="33"/>
      <c r="F389" s="33"/>
      <c r="G389" s="33"/>
      <c r="H389" s="33"/>
      <c r="I389" s="26"/>
    </row>
    <row r="390" spans="1:9" ht="21" hidden="1" x14ac:dyDescent="0.3">
      <c r="A390" s="32"/>
      <c r="B390" s="33"/>
      <c r="C390" s="33"/>
      <c r="D390" s="33"/>
      <c r="E390" s="33"/>
      <c r="F390" s="33"/>
      <c r="G390" s="33"/>
      <c r="H390" s="33"/>
      <c r="I390" s="26"/>
    </row>
    <row r="391" spans="1:9" ht="21" hidden="1" x14ac:dyDescent="0.3">
      <c r="A391" s="32"/>
      <c r="B391" s="33"/>
      <c r="C391" s="33"/>
      <c r="D391" s="33"/>
      <c r="E391" s="33"/>
      <c r="F391" s="33"/>
      <c r="G391" s="33"/>
      <c r="H391" s="33"/>
      <c r="I391" s="26"/>
    </row>
    <row r="392" spans="1:9" ht="21" hidden="1" x14ac:dyDescent="0.3">
      <c r="A392" s="32"/>
      <c r="B392" s="33"/>
      <c r="C392" s="33"/>
      <c r="D392" s="33"/>
      <c r="E392" s="33"/>
      <c r="F392" s="33"/>
      <c r="G392" s="33"/>
      <c r="H392" s="33"/>
      <c r="I392" s="26"/>
    </row>
    <row r="393" spans="1:9" ht="21" hidden="1" x14ac:dyDescent="0.3">
      <c r="A393" s="32"/>
      <c r="B393" s="33"/>
      <c r="C393" s="33"/>
      <c r="D393" s="33"/>
      <c r="E393" s="33"/>
      <c r="F393" s="33"/>
      <c r="G393" s="33"/>
      <c r="H393" s="33"/>
      <c r="I393" s="26"/>
    </row>
    <row r="394" spans="1:9" ht="21" hidden="1" x14ac:dyDescent="0.3">
      <c r="A394" s="32"/>
      <c r="B394" s="33"/>
      <c r="C394" s="33"/>
      <c r="D394" s="33"/>
      <c r="E394" s="33"/>
      <c r="F394" s="33"/>
      <c r="G394" s="33"/>
      <c r="H394" s="33"/>
      <c r="I394" s="26"/>
    </row>
    <row r="395" spans="1:9" ht="21" hidden="1" x14ac:dyDescent="0.3">
      <c r="A395" s="32"/>
      <c r="B395" s="33"/>
      <c r="C395" s="33"/>
      <c r="D395" s="33"/>
      <c r="E395" s="33"/>
      <c r="F395" s="33"/>
      <c r="G395" s="33"/>
      <c r="H395" s="33"/>
      <c r="I395" s="26"/>
    </row>
    <row r="396" spans="1:9" ht="21" hidden="1" x14ac:dyDescent="0.3">
      <c r="A396" s="32"/>
      <c r="B396" s="33"/>
      <c r="C396" s="33"/>
      <c r="D396" s="33"/>
      <c r="E396" s="33"/>
      <c r="F396" s="33"/>
      <c r="G396" s="33"/>
      <c r="H396" s="33"/>
      <c r="I396" s="26"/>
    </row>
    <row r="397" spans="1:9" ht="21" hidden="1" x14ac:dyDescent="0.3">
      <c r="A397" s="32"/>
      <c r="B397" s="33"/>
      <c r="C397" s="33"/>
      <c r="D397" s="33"/>
      <c r="E397" s="33"/>
      <c r="F397" s="33"/>
      <c r="G397" s="33"/>
      <c r="H397" s="33"/>
      <c r="I397" s="26"/>
    </row>
    <row r="398" spans="1:9" ht="21" hidden="1" x14ac:dyDescent="0.3">
      <c r="A398" s="32"/>
      <c r="B398" s="33"/>
      <c r="C398" s="33"/>
      <c r="D398" s="33"/>
      <c r="E398" s="33"/>
      <c r="F398" s="33"/>
      <c r="G398" s="33"/>
      <c r="H398" s="33"/>
      <c r="I398" s="26"/>
    </row>
    <row r="399" spans="1:9" ht="21" hidden="1" x14ac:dyDescent="0.3">
      <c r="A399" s="32"/>
      <c r="B399" s="33"/>
      <c r="C399" s="33"/>
      <c r="D399" s="33"/>
      <c r="E399" s="33"/>
      <c r="F399" s="33"/>
      <c r="G399" s="33"/>
      <c r="H399" s="33"/>
      <c r="I399" s="26"/>
    </row>
    <row r="400" spans="1:9" ht="21" x14ac:dyDescent="0.3">
      <c r="A400" s="34"/>
      <c r="B400" s="35"/>
      <c r="C400" s="35"/>
      <c r="D400" s="35"/>
      <c r="E400" s="35"/>
      <c r="F400" s="35"/>
      <c r="G400" s="35"/>
      <c r="H400" s="35"/>
      <c r="I400" s="27"/>
    </row>
    <row r="401" spans="1:9" ht="21" x14ac:dyDescent="0.3">
      <c r="A401" s="113" t="s">
        <v>86</v>
      </c>
      <c r="B401" s="114"/>
      <c r="C401" s="114"/>
      <c r="D401" s="114"/>
      <c r="E401" s="114"/>
      <c r="F401" s="114"/>
      <c r="G401" s="114"/>
      <c r="H401" s="114"/>
      <c r="I401" s="115"/>
    </row>
    <row r="402" spans="1:9" ht="21" x14ac:dyDescent="0.3">
      <c r="A402" s="30"/>
      <c r="B402" s="31"/>
      <c r="C402" s="31"/>
      <c r="D402" s="31"/>
      <c r="E402" s="31"/>
      <c r="F402" s="31"/>
      <c r="G402" s="31"/>
      <c r="H402" s="31"/>
      <c r="I402" s="25"/>
    </row>
    <row r="403" spans="1:9" ht="21" x14ac:dyDescent="0.3">
      <c r="A403" s="32"/>
      <c r="B403" s="33"/>
      <c r="C403" s="33"/>
      <c r="D403" s="33"/>
      <c r="E403" s="33"/>
      <c r="F403" s="33"/>
      <c r="G403" s="33"/>
      <c r="H403" s="33"/>
      <c r="I403" s="26"/>
    </row>
    <row r="404" spans="1:9" ht="21" x14ac:dyDescent="0.3">
      <c r="A404" s="32"/>
      <c r="B404" s="33"/>
      <c r="C404" s="33"/>
      <c r="D404" s="33"/>
      <c r="E404" s="33"/>
      <c r="F404" s="33"/>
      <c r="G404" s="33"/>
      <c r="H404" s="33"/>
      <c r="I404" s="26"/>
    </row>
    <row r="405" spans="1:9" ht="21" x14ac:dyDescent="0.3">
      <c r="A405" s="32"/>
      <c r="B405" s="33"/>
      <c r="C405" s="33"/>
      <c r="D405" s="33"/>
      <c r="E405" s="33"/>
      <c r="F405" s="33"/>
      <c r="G405" s="33"/>
      <c r="H405" s="33"/>
      <c r="I405" s="26"/>
    </row>
    <row r="406" spans="1:9" ht="21" x14ac:dyDescent="0.3">
      <c r="A406" s="32"/>
      <c r="B406" s="33"/>
      <c r="C406" s="33"/>
      <c r="D406" s="33"/>
      <c r="E406" s="33"/>
      <c r="F406" s="33"/>
      <c r="G406" s="33"/>
      <c r="H406" s="33"/>
      <c r="I406" s="26"/>
    </row>
    <row r="407" spans="1:9" ht="21" x14ac:dyDescent="0.3">
      <c r="A407" s="32"/>
      <c r="B407" s="33"/>
      <c r="C407" s="33"/>
      <c r="D407" s="33"/>
      <c r="E407" s="33"/>
      <c r="F407" s="33"/>
      <c r="G407" s="33"/>
      <c r="H407" s="33"/>
      <c r="I407" s="26"/>
    </row>
    <row r="408" spans="1:9" ht="21" x14ac:dyDescent="0.3">
      <c r="A408" s="32"/>
      <c r="B408" s="33"/>
      <c r="C408" s="33"/>
      <c r="D408" s="33"/>
      <c r="E408" s="33"/>
      <c r="F408" s="33"/>
      <c r="G408" s="33"/>
      <c r="H408" s="33"/>
      <c r="I408" s="26"/>
    </row>
    <row r="409" spans="1:9" ht="21" x14ac:dyDescent="0.3">
      <c r="A409" s="32"/>
      <c r="B409" s="33"/>
      <c r="C409" s="33"/>
      <c r="D409" s="33"/>
      <c r="E409" s="33"/>
      <c r="F409" s="33"/>
      <c r="G409" s="33"/>
      <c r="H409" s="33"/>
      <c r="I409" s="26"/>
    </row>
    <row r="410" spans="1:9" ht="21" x14ac:dyDescent="0.3">
      <c r="A410" s="32"/>
      <c r="B410" s="33"/>
      <c r="C410" s="33"/>
      <c r="D410" s="33"/>
      <c r="E410" s="33"/>
      <c r="F410" s="33"/>
      <c r="G410" s="33"/>
      <c r="H410" s="33"/>
      <c r="I410" s="26"/>
    </row>
    <row r="411" spans="1:9" ht="21" x14ac:dyDescent="0.3">
      <c r="A411" s="32"/>
      <c r="B411" s="33"/>
      <c r="C411" s="33"/>
      <c r="D411" s="33"/>
      <c r="E411" s="33"/>
      <c r="F411" s="33"/>
      <c r="G411" s="33"/>
      <c r="H411" s="33"/>
      <c r="I411" s="26"/>
    </row>
    <row r="412" spans="1:9" ht="21" x14ac:dyDescent="0.3">
      <c r="A412" s="32"/>
      <c r="B412" s="33"/>
      <c r="C412" s="33"/>
      <c r="D412" s="33"/>
      <c r="E412" s="33"/>
      <c r="F412" s="33"/>
      <c r="G412" s="33"/>
      <c r="H412" s="33"/>
      <c r="I412" s="26"/>
    </row>
    <row r="413" spans="1:9" ht="21" x14ac:dyDescent="0.3">
      <c r="A413" s="32"/>
      <c r="B413" s="33"/>
      <c r="C413" s="33"/>
      <c r="D413" s="33"/>
      <c r="E413" s="33"/>
      <c r="F413" s="33"/>
      <c r="G413" s="33"/>
      <c r="H413" s="33"/>
      <c r="I413" s="26"/>
    </row>
    <row r="414" spans="1:9" ht="21" x14ac:dyDescent="0.3">
      <c r="A414" s="32"/>
      <c r="B414" s="33"/>
      <c r="C414" s="33"/>
      <c r="D414" s="33"/>
      <c r="E414" s="33"/>
      <c r="F414" s="33"/>
      <c r="G414" s="33"/>
      <c r="H414" s="33"/>
      <c r="I414" s="26"/>
    </row>
    <row r="415" spans="1:9" ht="21" x14ac:dyDescent="0.3">
      <c r="A415" s="32"/>
      <c r="B415" s="33"/>
      <c r="C415" s="33"/>
      <c r="D415" s="33"/>
      <c r="E415" s="33"/>
      <c r="F415" s="33"/>
      <c r="G415" s="33"/>
      <c r="H415" s="33"/>
      <c r="I415" s="26"/>
    </row>
    <row r="416" spans="1:9" ht="21" x14ac:dyDescent="0.3">
      <c r="A416" s="32"/>
      <c r="B416" s="33"/>
      <c r="C416" s="33"/>
      <c r="D416" s="33"/>
      <c r="E416" s="33"/>
      <c r="F416" s="33"/>
      <c r="G416" s="33"/>
      <c r="H416" s="33"/>
      <c r="I416" s="26"/>
    </row>
    <row r="417" spans="1:9" ht="21" x14ac:dyDescent="0.3">
      <c r="A417" s="32"/>
      <c r="B417" s="33"/>
      <c r="C417" s="33"/>
      <c r="D417" s="33"/>
      <c r="E417" s="33"/>
      <c r="F417" s="33"/>
      <c r="G417" s="33"/>
      <c r="H417" s="33"/>
      <c r="I417" s="26"/>
    </row>
    <row r="418" spans="1:9" ht="21" x14ac:dyDescent="0.3">
      <c r="A418" s="32"/>
      <c r="B418" s="33"/>
      <c r="C418" s="33"/>
      <c r="D418" s="33"/>
      <c r="E418" s="33"/>
      <c r="F418" s="33"/>
      <c r="G418" s="33"/>
      <c r="H418" s="33"/>
      <c r="I418" s="26"/>
    </row>
    <row r="419" spans="1:9" ht="21" x14ac:dyDescent="0.3">
      <c r="A419" s="32"/>
      <c r="B419" s="33"/>
      <c r="C419" s="33"/>
      <c r="D419" s="33"/>
      <c r="E419" s="33"/>
      <c r="F419" s="33"/>
      <c r="G419" s="33"/>
      <c r="H419" s="33"/>
      <c r="I419" s="26"/>
    </row>
    <row r="420" spans="1:9" ht="21" x14ac:dyDescent="0.3">
      <c r="A420" s="32"/>
      <c r="B420" s="33"/>
      <c r="C420" s="33"/>
      <c r="D420" s="33"/>
      <c r="E420" s="33"/>
      <c r="F420" s="33"/>
      <c r="G420" s="33"/>
      <c r="H420" s="33"/>
      <c r="I420" s="26"/>
    </row>
    <row r="421" spans="1:9" ht="21" x14ac:dyDescent="0.3">
      <c r="A421" s="32"/>
      <c r="B421" s="33"/>
      <c r="C421" s="33"/>
      <c r="D421" s="33"/>
      <c r="E421" s="33"/>
      <c r="F421" s="33"/>
      <c r="G421" s="33"/>
      <c r="H421" s="33"/>
      <c r="I421" s="26"/>
    </row>
    <row r="422" spans="1:9" ht="21" x14ac:dyDescent="0.3">
      <c r="A422" s="32"/>
      <c r="B422" s="33"/>
      <c r="C422" s="33"/>
      <c r="D422" s="33"/>
      <c r="E422" s="33"/>
      <c r="F422" s="33"/>
      <c r="G422" s="33"/>
      <c r="H422" s="33"/>
      <c r="I422" s="26"/>
    </row>
    <row r="423" spans="1:9" ht="21" x14ac:dyDescent="0.3">
      <c r="A423" s="32"/>
      <c r="B423" s="33"/>
      <c r="C423" s="33"/>
      <c r="D423" s="33"/>
      <c r="E423" s="33"/>
      <c r="F423" s="33"/>
      <c r="G423" s="33"/>
      <c r="H423" s="33"/>
      <c r="I423" s="26"/>
    </row>
    <row r="424" spans="1:9" ht="21" x14ac:dyDescent="0.3">
      <c r="A424" s="32"/>
      <c r="B424" s="33"/>
      <c r="C424" s="33"/>
      <c r="D424" s="33"/>
      <c r="E424" s="33"/>
      <c r="F424" s="33"/>
      <c r="G424" s="33"/>
      <c r="H424" s="33"/>
      <c r="I424" s="26"/>
    </row>
    <row r="425" spans="1:9" ht="21" x14ac:dyDescent="0.3">
      <c r="A425" s="32"/>
      <c r="B425" s="33"/>
      <c r="C425" s="33"/>
      <c r="D425" s="33"/>
      <c r="E425" s="33"/>
      <c r="F425" s="33"/>
      <c r="G425" s="33"/>
      <c r="H425" s="33"/>
      <c r="I425" s="26"/>
    </row>
    <row r="426" spans="1:9" ht="21" x14ac:dyDescent="0.3">
      <c r="A426" s="32"/>
      <c r="B426" s="33"/>
      <c r="C426" s="33"/>
      <c r="D426" s="33"/>
      <c r="E426" s="33"/>
      <c r="F426" s="33"/>
      <c r="G426" s="33"/>
      <c r="H426" s="33"/>
      <c r="I426" s="26"/>
    </row>
    <row r="427" spans="1:9" ht="21" x14ac:dyDescent="0.3">
      <c r="A427" s="32"/>
      <c r="B427" s="33"/>
      <c r="C427" s="33"/>
      <c r="D427" s="33"/>
      <c r="E427" s="33"/>
      <c r="F427" s="33"/>
      <c r="G427" s="33"/>
      <c r="H427" s="33"/>
      <c r="I427" s="26"/>
    </row>
    <row r="428" spans="1:9" ht="21" x14ac:dyDescent="0.3">
      <c r="A428" s="32"/>
      <c r="B428" s="33"/>
      <c r="C428" s="33"/>
      <c r="D428" s="33"/>
      <c r="E428" s="33"/>
      <c r="F428" s="33"/>
      <c r="G428" s="33"/>
      <c r="H428" s="33"/>
      <c r="I428" s="26"/>
    </row>
    <row r="429" spans="1:9" ht="21" x14ac:dyDescent="0.3">
      <c r="A429" s="32"/>
      <c r="B429" s="33"/>
      <c r="C429" s="33"/>
      <c r="D429" s="33"/>
      <c r="E429" s="33"/>
      <c r="F429" s="33"/>
      <c r="G429" s="33"/>
      <c r="H429" s="33"/>
      <c r="I429" s="26"/>
    </row>
    <row r="430" spans="1:9" ht="21" x14ac:dyDescent="0.3">
      <c r="A430" s="32"/>
      <c r="B430" s="33"/>
      <c r="C430" s="33"/>
      <c r="D430" s="33"/>
      <c r="E430" s="33"/>
      <c r="F430" s="33"/>
      <c r="G430" s="33"/>
      <c r="H430" s="33"/>
      <c r="I430" s="26"/>
    </row>
    <row r="431" spans="1:9" ht="21" x14ac:dyDescent="0.3">
      <c r="A431" s="32"/>
      <c r="B431" s="33"/>
      <c r="C431" s="33"/>
      <c r="D431" s="33"/>
      <c r="E431" s="33"/>
      <c r="F431" s="33"/>
      <c r="G431" s="33"/>
      <c r="H431" s="33"/>
      <c r="I431" s="26"/>
    </row>
    <row r="432" spans="1:9" ht="21" x14ac:dyDescent="0.3">
      <c r="A432" s="32"/>
      <c r="B432" s="33"/>
      <c r="C432" s="33"/>
      <c r="D432" s="33"/>
      <c r="E432" s="33"/>
      <c r="F432" s="33"/>
      <c r="G432" s="33"/>
      <c r="H432" s="33"/>
      <c r="I432" s="26"/>
    </row>
    <row r="433" spans="1:9" ht="21" x14ac:dyDescent="0.3">
      <c r="A433" s="32"/>
      <c r="B433" s="33"/>
      <c r="C433" s="33"/>
      <c r="D433" s="33"/>
      <c r="E433" s="33"/>
      <c r="F433" s="33"/>
      <c r="G433" s="33"/>
      <c r="H433" s="33"/>
      <c r="I433" s="26"/>
    </row>
    <row r="434" spans="1:9" ht="21" x14ac:dyDescent="0.3">
      <c r="A434" s="32"/>
      <c r="B434" s="33"/>
      <c r="C434" s="33"/>
      <c r="D434" s="33"/>
      <c r="E434" s="33"/>
      <c r="F434" s="33"/>
      <c r="G434" s="33"/>
      <c r="H434" s="33"/>
      <c r="I434" s="26"/>
    </row>
    <row r="435" spans="1:9" ht="21" hidden="1" x14ac:dyDescent="0.3">
      <c r="A435" s="32"/>
      <c r="B435" s="33"/>
      <c r="C435" s="33"/>
      <c r="D435" s="33"/>
      <c r="E435" s="33"/>
      <c r="F435" s="33"/>
      <c r="G435" s="33"/>
      <c r="H435" s="33"/>
      <c r="I435" s="26"/>
    </row>
    <row r="436" spans="1:9" ht="21" hidden="1" x14ac:dyDescent="0.3">
      <c r="A436" s="32"/>
      <c r="B436" s="33"/>
      <c r="C436" s="33"/>
      <c r="D436" s="33"/>
      <c r="E436" s="33"/>
      <c r="F436" s="33"/>
      <c r="G436" s="33"/>
      <c r="H436" s="33"/>
      <c r="I436" s="26"/>
    </row>
    <row r="437" spans="1:9" ht="21" hidden="1" x14ac:dyDescent="0.3">
      <c r="A437" s="32"/>
      <c r="B437" s="33"/>
      <c r="C437" s="33"/>
      <c r="D437" s="33"/>
      <c r="E437" s="33"/>
      <c r="F437" s="33"/>
      <c r="G437" s="33"/>
      <c r="H437" s="33"/>
      <c r="I437" s="26"/>
    </row>
    <row r="438" spans="1:9" ht="21" hidden="1" x14ac:dyDescent="0.3">
      <c r="A438" s="32"/>
      <c r="B438" s="33"/>
      <c r="C438" s="33"/>
      <c r="D438" s="33"/>
      <c r="E438" s="33"/>
      <c r="F438" s="33"/>
      <c r="G438" s="33"/>
      <c r="H438" s="33"/>
      <c r="I438" s="26"/>
    </row>
    <row r="439" spans="1:9" ht="21" hidden="1" x14ac:dyDescent="0.3">
      <c r="A439" s="32"/>
      <c r="B439" s="33"/>
      <c r="C439" s="33"/>
      <c r="D439" s="33"/>
      <c r="E439" s="33"/>
      <c r="F439" s="33"/>
      <c r="G439" s="33"/>
      <c r="H439" s="33"/>
      <c r="I439" s="26"/>
    </row>
    <row r="440" spans="1:9" ht="21" hidden="1" x14ac:dyDescent="0.3">
      <c r="A440" s="32"/>
      <c r="B440" s="33"/>
      <c r="C440" s="33"/>
      <c r="D440" s="33"/>
      <c r="E440" s="33"/>
      <c r="F440" s="33"/>
      <c r="G440" s="33"/>
      <c r="H440" s="33"/>
      <c r="I440" s="26"/>
    </row>
    <row r="441" spans="1:9" ht="21" hidden="1" x14ac:dyDescent="0.3">
      <c r="A441" s="32"/>
      <c r="B441" s="33"/>
      <c r="C441" s="33"/>
      <c r="D441" s="33"/>
      <c r="E441" s="33"/>
      <c r="F441" s="33"/>
      <c r="G441" s="33"/>
      <c r="H441" s="33"/>
      <c r="I441" s="26"/>
    </row>
    <row r="442" spans="1:9" ht="21" hidden="1" x14ac:dyDescent="0.3">
      <c r="A442" s="32"/>
      <c r="B442" s="33"/>
      <c r="C442" s="33"/>
      <c r="D442" s="33"/>
      <c r="E442" s="33"/>
      <c r="F442" s="33"/>
      <c r="G442" s="33"/>
      <c r="H442" s="33"/>
      <c r="I442" s="26"/>
    </row>
    <row r="443" spans="1:9" ht="21" hidden="1" x14ac:dyDescent="0.3">
      <c r="A443" s="34"/>
      <c r="B443" s="35"/>
      <c r="C443" s="35"/>
      <c r="D443" s="35"/>
      <c r="E443" s="35"/>
      <c r="F443" s="35"/>
      <c r="G443" s="35"/>
      <c r="H443" s="35"/>
      <c r="I443" s="27"/>
    </row>
    <row r="444" spans="1:9" ht="21" x14ac:dyDescent="0.3">
      <c r="A444" s="112" t="s">
        <v>29</v>
      </c>
      <c r="B444" s="112"/>
      <c r="C444" s="112"/>
      <c r="D444" s="112"/>
      <c r="E444" s="112"/>
      <c r="F444" s="112"/>
      <c r="G444" s="112"/>
      <c r="H444" s="112"/>
      <c r="I444" s="112"/>
    </row>
    <row r="445" spans="1:9" ht="21" x14ac:dyDescent="0.3">
      <c r="A445" s="103" t="s">
        <v>88</v>
      </c>
      <c r="B445" s="104"/>
      <c r="C445" s="104"/>
      <c r="D445" s="104"/>
      <c r="E445" s="104"/>
      <c r="F445" s="104"/>
      <c r="G445" s="104"/>
      <c r="H445" s="104"/>
      <c r="I445" s="105"/>
    </row>
    <row r="446" spans="1:9" ht="21" x14ac:dyDescent="0.3">
      <c r="A446" s="106" t="s">
        <v>89</v>
      </c>
      <c r="B446" s="107"/>
      <c r="C446" s="107"/>
      <c r="D446" s="107"/>
      <c r="E446" s="107"/>
      <c r="F446" s="107"/>
      <c r="G446" s="107"/>
      <c r="H446" s="107"/>
      <c r="I446" s="108"/>
    </row>
    <row r="447" spans="1:9" ht="45" customHeight="1" x14ac:dyDescent="0.3">
      <c r="A447" s="106" t="s">
        <v>90</v>
      </c>
      <c r="B447" s="107"/>
      <c r="C447" s="107"/>
      <c r="D447" s="107"/>
      <c r="E447" s="107"/>
      <c r="F447" s="107"/>
      <c r="G447" s="107"/>
      <c r="H447" s="107"/>
      <c r="I447" s="108"/>
    </row>
    <row r="448" spans="1:9" ht="42.75" customHeight="1" x14ac:dyDescent="0.3">
      <c r="A448" s="106" t="s">
        <v>91</v>
      </c>
      <c r="B448" s="107"/>
      <c r="C448" s="107"/>
      <c r="D448" s="107"/>
      <c r="E448" s="107"/>
      <c r="F448" s="107"/>
      <c r="G448" s="107"/>
      <c r="H448" s="107"/>
      <c r="I448" s="108"/>
    </row>
    <row r="449" spans="1:9" ht="21" x14ac:dyDescent="0.3">
      <c r="A449" s="106" t="s">
        <v>92</v>
      </c>
      <c r="B449" s="107"/>
      <c r="C449" s="107"/>
      <c r="D449" s="107"/>
      <c r="E449" s="107"/>
      <c r="F449" s="107"/>
      <c r="G449" s="107"/>
      <c r="H449" s="107"/>
      <c r="I449" s="108"/>
    </row>
    <row r="450" spans="1:9" ht="21" x14ac:dyDescent="0.3">
      <c r="A450" s="106" t="s">
        <v>93</v>
      </c>
      <c r="B450" s="107"/>
      <c r="C450" s="107"/>
      <c r="D450" s="107"/>
      <c r="E450" s="107"/>
      <c r="F450" s="107"/>
      <c r="G450" s="107"/>
      <c r="H450" s="107"/>
      <c r="I450" s="108"/>
    </row>
    <row r="451" spans="1:9" ht="45" customHeight="1" x14ac:dyDescent="0.3">
      <c r="A451" s="106" t="s">
        <v>94</v>
      </c>
      <c r="B451" s="107"/>
      <c r="C451" s="107"/>
      <c r="D451" s="107"/>
      <c r="E451" s="107"/>
      <c r="F451" s="107"/>
      <c r="G451" s="107"/>
      <c r="H451" s="107"/>
      <c r="I451" s="108"/>
    </row>
    <row r="452" spans="1:9" ht="45" customHeight="1" x14ac:dyDescent="0.3">
      <c r="A452" s="106" t="s">
        <v>95</v>
      </c>
      <c r="B452" s="107"/>
      <c r="C452" s="107"/>
      <c r="D452" s="107"/>
      <c r="E452" s="107"/>
      <c r="F452" s="107"/>
      <c r="G452" s="107"/>
      <c r="H452" s="107"/>
      <c r="I452" s="108"/>
    </row>
    <row r="453" spans="1:9" ht="21" x14ac:dyDescent="0.3">
      <c r="A453" s="109" t="s">
        <v>96</v>
      </c>
      <c r="B453" s="110"/>
      <c r="C453" s="110"/>
      <c r="D453" s="110"/>
      <c r="E453" s="110"/>
      <c r="F453" s="110"/>
      <c r="G453" s="110"/>
      <c r="H453" s="110"/>
      <c r="I453" s="111"/>
    </row>
    <row r="454" spans="1:9" ht="70.5" customHeight="1" x14ac:dyDescent="0.3">
      <c r="A454" s="100" t="s">
        <v>35</v>
      </c>
      <c r="B454" s="100"/>
      <c r="C454" s="100"/>
      <c r="D454" s="2" t="s">
        <v>4</v>
      </c>
      <c r="E454" s="22" t="s">
        <v>272</v>
      </c>
      <c r="F454" s="13" t="s">
        <v>10</v>
      </c>
      <c r="G454" s="2" t="s">
        <v>4</v>
      </c>
      <c r="H454" s="101"/>
      <c r="I454" s="101"/>
    </row>
  </sheetData>
  <mergeCells count="693">
    <mergeCell ref="A80:B80"/>
    <mergeCell ref="C80:D80"/>
    <mergeCell ref="A81:B81"/>
    <mergeCell ref="C81:D81"/>
    <mergeCell ref="A82:B82"/>
    <mergeCell ref="C82:D82"/>
    <mergeCell ref="A83:B83"/>
    <mergeCell ref="C83:D83"/>
    <mergeCell ref="A84:B84"/>
    <mergeCell ref="C84:D84"/>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H57:I68"/>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54:C55"/>
    <mergeCell ref="D54:D55"/>
    <mergeCell ref="F54:G54"/>
    <mergeCell ref="F55:G55"/>
    <mergeCell ref="A56:B56"/>
    <mergeCell ref="C56:D56"/>
    <mergeCell ref="F56:G56"/>
    <mergeCell ref="A57:B57"/>
    <mergeCell ref="C57:D57"/>
    <mergeCell ref="F57:G68"/>
    <mergeCell ref="A106:I106"/>
    <mergeCell ref="F101:G101"/>
    <mergeCell ref="F102:G102"/>
    <mergeCell ref="F103:G103"/>
    <mergeCell ref="F105:G105"/>
    <mergeCell ref="A101:B101"/>
    <mergeCell ref="C101:D101"/>
    <mergeCell ref="A102:B102"/>
    <mergeCell ref="C102:D102"/>
    <mergeCell ref="A103:B103"/>
    <mergeCell ref="C103:D103"/>
    <mergeCell ref="A105:B105"/>
    <mergeCell ref="C105:D105"/>
    <mergeCell ref="A104:B104"/>
    <mergeCell ref="C104:D104"/>
    <mergeCell ref="F104:G104"/>
    <mergeCell ref="A4:C4"/>
    <mergeCell ref="E4:F4"/>
    <mergeCell ref="G3:H4"/>
    <mergeCell ref="I3:I4"/>
    <mergeCell ref="A85:G85"/>
    <mergeCell ref="H85:I85"/>
    <mergeCell ref="C49:E49"/>
    <mergeCell ref="C50:E50"/>
    <mergeCell ref="C51:E51"/>
    <mergeCell ref="C52:E52"/>
    <mergeCell ref="H47:I47"/>
    <mergeCell ref="C15:E15"/>
    <mergeCell ref="C16:E16"/>
    <mergeCell ref="C17:E17"/>
    <mergeCell ref="C18:E18"/>
    <mergeCell ref="C19:E19"/>
    <mergeCell ref="C20:E20"/>
    <mergeCell ref="C21:E21"/>
    <mergeCell ref="C22:E22"/>
    <mergeCell ref="E47:G47"/>
    <mergeCell ref="C29:E29"/>
    <mergeCell ref="C30:E30"/>
    <mergeCell ref="C31:E31"/>
    <mergeCell ref="A53:I53"/>
    <mergeCell ref="A44:B44"/>
    <mergeCell ref="A45:B45"/>
    <mergeCell ref="A46:B46"/>
    <mergeCell ref="E45:G45"/>
    <mergeCell ref="E44:G44"/>
    <mergeCell ref="E46:G46"/>
    <mergeCell ref="C44:D44"/>
    <mergeCell ref="C45:D45"/>
    <mergeCell ref="C46:D46"/>
    <mergeCell ref="C342:I342"/>
    <mergeCell ref="A341:I341"/>
    <mergeCell ref="A86:I86"/>
    <mergeCell ref="A87:C87"/>
    <mergeCell ref="H87:I87"/>
    <mergeCell ref="H37:I37"/>
    <mergeCell ref="A37:C37"/>
    <mergeCell ref="H36:I36"/>
    <mergeCell ref="A264:I264"/>
    <mergeCell ref="A114:I114"/>
    <mergeCell ref="A47:B47"/>
    <mergeCell ref="C47:D47"/>
    <mergeCell ref="A99:F99"/>
    <mergeCell ref="H99:I99"/>
    <mergeCell ref="H97:I97"/>
    <mergeCell ref="H45:I45"/>
    <mergeCell ref="A98:F98"/>
    <mergeCell ref="A97:F97"/>
    <mergeCell ref="H52:I52"/>
    <mergeCell ref="H50:I50"/>
    <mergeCell ref="A96:I96"/>
    <mergeCell ref="A92:C92"/>
    <mergeCell ref="H92:I92"/>
    <mergeCell ref="A93:C93"/>
    <mergeCell ref="G2:H2"/>
    <mergeCell ref="G5:H5"/>
    <mergeCell ref="H46:I46"/>
    <mergeCell ref="H44:I44"/>
    <mergeCell ref="A3:C3"/>
    <mergeCell ref="E3:F3"/>
    <mergeCell ref="A26:I26"/>
    <mergeCell ref="H27:I27"/>
    <mergeCell ref="G41:H41"/>
    <mergeCell ref="H21:I21"/>
    <mergeCell ref="H22:I22"/>
    <mergeCell ref="A10:A12"/>
    <mergeCell ref="E11:I11"/>
    <mergeCell ref="E12:I12"/>
    <mergeCell ref="H7:I7"/>
    <mergeCell ref="A6:I6"/>
    <mergeCell ref="A13:C13"/>
    <mergeCell ref="A34:I34"/>
    <mergeCell ref="H31:I31"/>
    <mergeCell ref="H30:I30"/>
    <mergeCell ref="A14:I14"/>
    <mergeCell ref="C27:E27"/>
    <mergeCell ref="C28:E28"/>
    <mergeCell ref="C25:I25"/>
    <mergeCell ref="A1:I1"/>
    <mergeCell ref="A5:C5"/>
    <mergeCell ref="A344:C344"/>
    <mergeCell ref="H28:I28"/>
    <mergeCell ref="H29:I29"/>
    <mergeCell ref="A38:I38"/>
    <mergeCell ref="H49:I49"/>
    <mergeCell ref="H51:I51"/>
    <mergeCell ref="A43:I43"/>
    <mergeCell ref="A48:I48"/>
    <mergeCell ref="A100:I100"/>
    <mergeCell ref="H98:I98"/>
    <mergeCell ref="A2:C2"/>
    <mergeCell ref="E2:F2"/>
    <mergeCell ref="A42:C42"/>
    <mergeCell ref="H42:I42"/>
    <mergeCell ref="E5:F5"/>
    <mergeCell ref="E13:I13"/>
    <mergeCell ref="A7:C7"/>
    <mergeCell ref="A8:C8"/>
    <mergeCell ref="A9:C9"/>
    <mergeCell ref="E9:I9"/>
    <mergeCell ref="H8:I8"/>
    <mergeCell ref="E10:I10"/>
    <mergeCell ref="A454:C454"/>
    <mergeCell ref="H454:I454"/>
    <mergeCell ref="A343:I343"/>
    <mergeCell ref="E345:I345"/>
    <mergeCell ref="A445:I445"/>
    <mergeCell ref="A451:I451"/>
    <mergeCell ref="A452:I452"/>
    <mergeCell ref="A453:I453"/>
    <mergeCell ref="A446:I446"/>
    <mergeCell ref="A447:I447"/>
    <mergeCell ref="A448:I448"/>
    <mergeCell ref="A449:I449"/>
    <mergeCell ref="A345:C345"/>
    <mergeCell ref="A444:I444"/>
    <mergeCell ref="A450:I450"/>
    <mergeCell ref="A401:I401"/>
    <mergeCell ref="E344:I344"/>
    <mergeCell ref="A346:C346"/>
    <mergeCell ref="E346:I346"/>
    <mergeCell ref="H15:I15"/>
    <mergeCell ref="G39:H39"/>
    <mergeCell ref="A40:C40"/>
    <mergeCell ref="A36:C36"/>
    <mergeCell ref="A41:C41"/>
    <mergeCell ref="A39:C39"/>
    <mergeCell ref="H17:I17"/>
    <mergeCell ref="H18:I18"/>
    <mergeCell ref="H16:I16"/>
    <mergeCell ref="H19:I19"/>
    <mergeCell ref="H20:I20"/>
    <mergeCell ref="H32:I32"/>
    <mergeCell ref="H23:I23"/>
    <mergeCell ref="G40:H40"/>
    <mergeCell ref="C23:E23"/>
    <mergeCell ref="C32:E32"/>
    <mergeCell ref="C33:I33"/>
    <mergeCell ref="A35:C35"/>
    <mergeCell ref="H35:I35"/>
    <mergeCell ref="C24:I24"/>
    <mergeCell ref="H93:I93"/>
    <mergeCell ref="A94:C94"/>
    <mergeCell ref="H94:I94"/>
    <mergeCell ref="A95:C95"/>
    <mergeCell ref="H95:I95"/>
    <mergeCell ref="A88:C88"/>
    <mergeCell ref="H88:I88"/>
    <mergeCell ref="A90:C90"/>
    <mergeCell ref="H90:I90"/>
    <mergeCell ref="A91:C91"/>
    <mergeCell ref="H91:I91"/>
    <mergeCell ref="A89:C89"/>
    <mergeCell ref="H89:I89"/>
    <mergeCell ref="C273:D273"/>
    <mergeCell ref="F273:G273"/>
    <mergeCell ref="C274:D274"/>
    <mergeCell ref="F274:G274"/>
    <mergeCell ref="C276:D276"/>
    <mergeCell ref="C275:D275"/>
    <mergeCell ref="E276:I276"/>
    <mergeCell ref="A273:B278"/>
    <mergeCell ref="H107:H108"/>
    <mergeCell ref="F107:G108"/>
    <mergeCell ref="E107:E108"/>
    <mergeCell ref="C107:D108"/>
    <mergeCell ref="A107:B108"/>
    <mergeCell ref="F117:G117"/>
    <mergeCell ref="C115:D115"/>
    <mergeCell ref="F115:G115"/>
    <mergeCell ref="C116:D116"/>
    <mergeCell ref="F116:G116"/>
    <mergeCell ref="C117:D117"/>
    <mergeCell ref="A109:I109"/>
    <mergeCell ref="A110:I110"/>
    <mergeCell ref="A111:I111"/>
    <mergeCell ref="A112:I112"/>
    <mergeCell ref="A113:I113"/>
    <mergeCell ref="A115:B117"/>
    <mergeCell ref="C280:D280"/>
    <mergeCell ref="F280:G280"/>
    <mergeCell ref="C281:D281"/>
    <mergeCell ref="F281:G281"/>
    <mergeCell ref="C282:D282"/>
    <mergeCell ref="C277:D277"/>
    <mergeCell ref="C278:D278"/>
    <mergeCell ref="F278:G278"/>
    <mergeCell ref="E277:I277"/>
    <mergeCell ref="A279:I279"/>
    <mergeCell ref="A280:B285"/>
    <mergeCell ref="C283:D283"/>
    <mergeCell ref="C284:D284"/>
    <mergeCell ref="C285:D285"/>
    <mergeCell ref="F285:G285"/>
    <mergeCell ref="E283:I283"/>
    <mergeCell ref="E284:I284"/>
    <mergeCell ref="C126:D126"/>
    <mergeCell ref="F126:G126"/>
    <mergeCell ref="C127:D127"/>
    <mergeCell ref="F127:G127"/>
    <mergeCell ref="C128:D128"/>
    <mergeCell ref="F128:G128"/>
    <mergeCell ref="C290:D290"/>
    <mergeCell ref="C291:D291"/>
    <mergeCell ref="C292:D292"/>
    <mergeCell ref="F292:G292"/>
    <mergeCell ref="A286:I286"/>
    <mergeCell ref="C287:D287"/>
    <mergeCell ref="F287:G287"/>
    <mergeCell ref="C288:D288"/>
    <mergeCell ref="F288:G288"/>
    <mergeCell ref="C289:D289"/>
    <mergeCell ref="A287:B292"/>
    <mergeCell ref="C296:D296"/>
    <mergeCell ref="C294:D294"/>
    <mergeCell ref="F294:G294"/>
    <mergeCell ref="C295:D295"/>
    <mergeCell ref="F295:G295"/>
    <mergeCell ref="A293:I293"/>
    <mergeCell ref="A294:B299"/>
    <mergeCell ref="A118:I118"/>
    <mergeCell ref="C119:D119"/>
    <mergeCell ref="F119:G119"/>
    <mergeCell ref="C123:D123"/>
    <mergeCell ref="C124:D124"/>
    <mergeCell ref="F124:G124"/>
    <mergeCell ref="A119:B124"/>
    <mergeCell ref="A125:I125"/>
    <mergeCell ref="C120:D120"/>
    <mergeCell ref="F120:G120"/>
    <mergeCell ref="C121:D121"/>
    <mergeCell ref="F121:G121"/>
    <mergeCell ref="C122:D122"/>
    <mergeCell ref="C129:D129"/>
    <mergeCell ref="C130:D130"/>
    <mergeCell ref="C131:D131"/>
    <mergeCell ref="F131:G131"/>
    <mergeCell ref="A126:B131"/>
    <mergeCell ref="A132:I132"/>
    <mergeCell ref="C133:D133"/>
    <mergeCell ref="F133:G133"/>
    <mergeCell ref="C134:D134"/>
    <mergeCell ref="F134:G134"/>
    <mergeCell ref="C135:D135"/>
    <mergeCell ref="F135:G135"/>
    <mergeCell ref="A133:B138"/>
    <mergeCell ref="C136:D136"/>
    <mergeCell ref="E136:H136"/>
    <mergeCell ref="C137:D137"/>
    <mergeCell ref="E137:H137"/>
    <mergeCell ref="C138:D138"/>
    <mergeCell ref="F138:G138"/>
    <mergeCell ref="E129:I129"/>
    <mergeCell ref="E130:I130"/>
    <mergeCell ref="C158:D158"/>
    <mergeCell ref="F158:G158"/>
    <mergeCell ref="E155:I155"/>
    <mergeCell ref="E156:I156"/>
    <mergeCell ref="A139:I139"/>
    <mergeCell ref="C140:D140"/>
    <mergeCell ref="F140:G140"/>
    <mergeCell ref="C141:D141"/>
    <mergeCell ref="F141:G141"/>
    <mergeCell ref="C142:D142"/>
    <mergeCell ref="E142:I142"/>
    <mergeCell ref="A140:B145"/>
    <mergeCell ref="C143:D143"/>
    <mergeCell ref="C144:D144"/>
    <mergeCell ref="C145:D145"/>
    <mergeCell ref="F145:G145"/>
    <mergeCell ref="E143:I143"/>
    <mergeCell ref="E144:I144"/>
    <mergeCell ref="E122:I122"/>
    <mergeCell ref="E123:I123"/>
    <mergeCell ref="C155:D155"/>
    <mergeCell ref="C156:D156"/>
    <mergeCell ref="C157:D157"/>
    <mergeCell ref="F157:G157"/>
    <mergeCell ref="C151:D151"/>
    <mergeCell ref="F151:G151"/>
    <mergeCell ref="A152:I152"/>
    <mergeCell ref="C153:D153"/>
    <mergeCell ref="F153:G153"/>
    <mergeCell ref="C154:D154"/>
    <mergeCell ref="F154:G154"/>
    <mergeCell ref="A146:I146"/>
    <mergeCell ref="C147:D147"/>
    <mergeCell ref="F147:G147"/>
    <mergeCell ref="C148:D148"/>
    <mergeCell ref="F148:G148"/>
    <mergeCell ref="A149:I149"/>
    <mergeCell ref="C150:D150"/>
    <mergeCell ref="F150:G150"/>
    <mergeCell ref="A153:B158"/>
    <mergeCell ref="A150:B151"/>
    <mergeCell ref="A147:B148"/>
    <mergeCell ref="A159:I159"/>
    <mergeCell ref="C160:D160"/>
    <mergeCell ref="F160:G160"/>
    <mergeCell ref="C161:D161"/>
    <mergeCell ref="F161:G161"/>
    <mergeCell ref="C162:D162"/>
    <mergeCell ref="F162:G162"/>
    <mergeCell ref="A160:B165"/>
    <mergeCell ref="C163:D163"/>
    <mergeCell ref="C164:D164"/>
    <mergeCell ref="F164:G164"/>
    <mergeCell ref="C165:D165"/>
    <mergeCell ref="F165:G165"/>
    <mergeCell ref="F163:G163"/>
    <mergeCell ref="A166:I166"/>
    <mergeCell ref="C167:D167"/>
    <mergeCell ref="F167:G167"/>
    <mergeCell ref="C168:D168"/>
    <mergeCell ref="F168:G168"/>
    <mergeCell ref="C169:D169"/>
    <mergeCell ref="F169:G169"/>
    <mergeCell ref="A167:B172"/>
    <mergeCell ref="C170:D170"/>
    <mergeCell ref="F170:G170"/>
    <mergeCell ref="C171:D171"/>
    <mergeCell ref="F171:G171"/>
    <mergeCell ref="C172:D172"/>
    <mergeCell ref="F172:G172"/>
    <mergeCell ref="A173:I173"/>
    <mergeCell ref="C174:D174"/>
    <mergeCell ref="F174:G174"/>
    <mergeCell ref="C175:D175"/>
    <mergeCell ref="F175:G175"/>
    <mergeCell ref="C176:D176"/>
    <mergeCell ref="F176:G176"/>
    <mergeCell ref="A174:B179"/>
    <mergeCell ref="C177:D177"/>
    <mergeCell ref="F177:G177"/>
    <mergeCell ref="C178:D178"/>
    <mergeCell ref="F178:G178"/>
    <mergeCell ref="C179:D179"/>
    <mergeCell ref="F179:G179"/>
    <mergeCell ref="A180:I180"/>
    <mergeCell ref="C181:D181"/>
    <mergeCell ref="F181:G181"/>
    <mergeCell ref="C182:D182"/>
    <mergeCell ref="F182:G182"/>
    <mergeCell ref="C183:D183"/>
    <mergeCell ref="F183:G183"/>
    <mergeCell ref="A181:B186"/>
    <mergeCell ref="C184:D184"/>
    <mergeCell ref="F184:G184"/>
    <mergeCell ref="C185:D185"/>
    <mergeCell ref="F185:G185"/>
    <mergeCell ref="C186:D186"/>
    <mergeCell ref="F186:G186"/>
    <mergeCell ref="C194:D194"/>
    <mergeCell ref="F194:G194"/>
    <mergeCell ref="A195:I195"/>
    <mergeCell ref="C196:D196"/>
    <mergeCell ref="F196:G196"/>
    <mergeCell ref="A187:I187"/>
    <mergeCell ref="A188:I188"/>
    <mergeCell ref="A189:I189"/>
    <mergeCell ref="A190:I190"/>
    <mergeCell ref="A191:I191"/>
    <mergeCell ref="A192:I192"/>
    <mergeCell ref="C193:D193"/>
    <mergeCell ref="F193:G193"/>
    <mergeCell ref="A196:B201"/>
    <mergeCell ref="A193:B194"/>
    <mergeCell ref="C197:D197"/>
    <mergeCell ref="F197:G197"/>
    <mergeCell ref="C198:D198"/>
    <mergeCell ref="F198:G198"/>
    <mergeCell ref="C199:D199"/>
    <mergeCell ref="E199:I199"/>
    <mergeCell ref="C200:D200"/>
    <mergeCell ref="E200:I200"/>
    <mergeCell ref="C201:D201"/>
    <mergeCell ref="F201:G201"/>
    <mergeCell ref="A202:I202"/>
    <mergeCell ref="C203:D203"/>
    <mergeCell ref="F203:G203"/>
    <mergeCell ref="A203:B208"/>
    <mergeCell ref="C204:D204"/>
    <mergeCell ref="F204:G204"/>
    <mergeCell ref="C205:D205"/>
    <mergeCell ref="F205:G205"/>
    <mergeCell ref="C206:D206"/>
    <mergeCell ref="E206:I206"/>
    <mergeCell ref="C207:D207"/>
    <mergeCell ref="E207:I207"/>
    <mergeCell ref="C208:D208"/>
    <mergeCell ref="F208:G208"/>
    <mergeCell ref="A209:I209"/>
    <mergeCell ref="C210:D210"/>
    <mergeCell ref="F210:G210"/>
    <mergeCell ref="A210:B215"/>
    <mergeCell ref="C211:D211"/>
    <mergeCell ref="F211:G211"/>
    <mergeCell ref="C212:D212"/>
    <mergeCell ref="F212:G212"/>
    <mergeCell ref="C213:D213"/>
    <mergeCell ref="E213:I213"/>
    <mergeCell ref="C214:D214"/>
    <mergeCell ref="E214:H214"/>
    <mergeCell ref="C215:D215"/>
    <mergeCell ref="F215:G215"/>
    <mergeCell ref="A216:I216"/>
    <mergeCell ref="C217:D217"/>
    <mergeCell ref="F217:G217"/>
    <mergeCell ref="A217:B222"/>
    <mergeCell ref="C218:D218"/>
    <mergeCell ref="F218:G218"/>
    <mergeCell ref="C219:D219"/>
    <mergeCell ref="C220:D220"/>
    <mergeCell ref="E220:I220"/>
    <mergeCell ref="F219:G219"/>
    <mergeCell ref="C221:D221"/>
    <mergeCell ref="E221:I221"/>
    <mergeCell ref="C222:D222"/>
    <mergeCell ref="F222:G222"/>
    <mergeCell ref="A223:I223"/>
    <mergeCell ref="C224:D224"/>
    <mergeCell ref="F224:G224"/>
    <mergeCell ref="A224:B225"/>
    <mergeCell ref="C225:D225"/>
    <mergeCell ref="F225:G225"/>
    <mergeCell ref="A226:I226"/>
    <mergeCell ref="C227:D227"/>
    <mergeCell ref="F227:G227"/>
    <mergeCell ref="C228:D228"/>
    <mergeCell ref="F228:G228"/>
    <mergeCell ref="A227:B228"/>
    <mergeCell ref="A229:I229"/>
    <mergeCell ref="C230:D230"/>
    <mergeCell ref="F230:G230"/>
    <mergeCell ref="C231:D231"/>
    <mergeCell ref="F231:G231"/>
    <mergeCell ref="C232:D232"/>
    <mergeCell ref="F232:G232"/>
    <mergeCell ref="A230:B235"/>
    <mergeCell ref="C233:D233"/>
    <mergeCell ref="C234:D234"/>
    <mergeCell ref="F234:G234"/>
    <mergeCell ref="C235:D235"/>
    <mergeCell ref="F235:G235"/>
    <mergeCell ref="F233:G233"/>
    <mergeCell ref="A236:I236"/>
    <mergeCell ref="C237:D237"/>
    <mergeCell ref="F237:G237"/>
    <mergeCell ref="C238:D238"/>
    <mergeCell ref="F238:G238"/>
    <mergeCell ref="C239:D239"/>
    <mergeCell ref="F239:G239"/>
    <mergeCell ref="A237:B242"/>
    <mergeCell ref="C240:D240"/>
    <mergeCell ref="F240:G240"/>
    <mergeCell ref="C241:D241"/>
    <mergeCell ref="F241:G241"/>
    <mergeCell ref="C242:D242"/>
    <mergeCell ref="F242:G242"/>
    <mergeCell ref="A243:I243"/>
    <mergeCell ref="A244:B244"/>
    <mergeCell ref="C244:D244"/>
    <mergeCell ref="F244:G244"/>
    <mergeCell ref="C245:D245"/>
    <mergeCell ref="F245:G245"/>
    <mergeCell ref="C246:D246"/>
    <mergeCell ref="F246:G246"/>
    <mergeCell ref="A245:B249"/>
    <mergeCell ref="C247:D247"/>
    <mergeCell ref="F247:G247"/>
    <mergeCell ref="C248:D248"/>
    <mergeCell ref="F248:G248"/>
    <mergeCell ref="C249:D249"/>
    <mergeCell ref="F249:G249"/>
    <mergeCell ref="A250:I250"/>
    <mergeCell ref="C251:D251"/>
    <mergeCell ref="C252:D252"/>
    <mergeCell ref="C253:D253"/>
    <mergeCell ref="F253:G253"/>
    <mergeCell ref="E251:I251"/>
    <mergeCell ref="E252:I252"/>
    <mergeCell ref="A251:B256"/>
    <mergeCell ref="C254:D254"/>
    <mergeCell ref="F254:G254"/>
    <mergeCell ref="C255:D255"/>
    <mergeCell ref="F255:G255"/>
    <mergeCell ref="C256:D256"/>
    <mergeCell ref="F256:G256"/>
    <mergeCell ref="A257:I257"/>
    <mergeCell ref="C258:D258"/>
    <mergeCell ref="F258:G258"/>
    <mergeCell ref="C259:D259"/>
    <mergeCell ref="C260:D260"/>
    <mergeCell ref="F260:G260"/>
    <mergeCell ref="E259:I259"/>
    <mergeCell ref="A258:B263"/>
    <mergeCell ref="C261:D261"/>
    <mergeCell ref="F261:G261"/>
    <mergeCell ref="C262:D262"/>
    <mergeCell ref="F262:G262"/>
    <mergeCell ref="C263:D263"/>
    <mergeCell ref="F263:G263"/>
    <mergeCell ref="A265:I265"/>
    <mergeCell ref="A266:I266"/>
    <mergeCell ref="A267:I267"/>
    <mergeCell ref="A268:I268"/>
    <mergeCell ref="A269:I269"/>
    <mergeCell ref="C270:D270"/>
    <mergeCell ref="F270:G270"/>
    <mergeCell ref="A272:I272"/>
    <mergeCell ref="C271:D271"/>
    <mergeCell ref="F271:G271"/>
    <mergeCell ref="A270:B271"/>
    <mergeCell ref="C297:D297"/>
    <mergeCell ref="E297:I297"/>
    <mergeCell ref="C298:D298"/>
    <mergeCell ref="E298:I298"/>
    <mergeCell ref="C299:D299"/>
    <mergeCell ref="F299:G299"/>
    <mergeCell ref="A300:I300"/>
    <mergeCell ref="C301:D301"/>
    <mergeCell ref="F301:G301"/>
    <mergeCell ref="C302:D302"/>
    <mergeCell ref="F302:G302"/>
    <mergeCell ref="A303:I303"/>
    <mergeCell ref="C304:D304"/>
    <mergeCell ref="F304:G304"/>
    <mergeCell ref="A304:B305"/>
    <mergeCell ref="A301:B302"/>
    <mergeCell ref="C305:D305"/>
    <mergeCell ref="F305:G305"/>
    <mergeCell ref="A306:I306"/>
    <mergeCell ref="C307:D307"/>
    <mergeCell ref="F307:G307"/>
    <mergeCell ref="C308:D308"/>
    <mergeCell ref="F308:G308"/>
    <mergeCell ref="A307:B312"/>
    <mergeCell ref="C309:D309"/>
    <mergeCell ref="F309:G309"/>
    <mergeCell ref="C310:D310"/>
    <mergeCell ref="F310:G310"/>
    <mergeCell ref="C311:D311"/>
    <mergeCell ref="F311:G311"/>
    <mergeCell ref="C312:D312"/>
    <mergeCell ref="F312:G312"/>
    <mergeCell ref="A313:I313"/>
    <mergeCell ref="C314:D314"/>
    <mergeCell ref="F314:G314"/>
    <mergeCell ref="C315:D315"/>
    <mergeCell ref="F315:G315"/>
    <mergeCell ref="A314:B319"/>
    <mergeCell ref="C316:D316"/>
    <mergeCell ref="F316:G316"/>
    <mergeCell ref="C317:D317"/>
    <mergeCell ref="F317:G317"/>
    <mergeCell ref="C318:D318"/>
    <mergeCell ref="F318:G318"/>
    <mergeCell ref="C319:D319"/>
    <mergeCell ref="F319:G319"/>
    <mergeCell ref="A320:I320"/>
    <mergeCell ref="C321:D321"/>
    <mergeCell ref="F321:G321"/>
    <mergeCell ref="C322:D322"/>
    <mergeCell ref="F322:G322"/>
    <mergeCell ref="A321:B326"/>
    <mergeCell ref="C323:D323"/>
    <mergeCell ref="F323:G323"/>
    <mergeCell ref="C324:D324"/>
    <mergeCell ref="F324:G324"/>
    <mergeCell ref="C325:D325"/>
    <mergeCell ref="F325:G325"/>
    <mergeCell ref="C326:D326"/>
    <mergeCell ref="F326:G326"/>
    <mergeCell ref="F330:G330"/>
    <mergeCell ref="C331:D331"/>
    <mergeCell ref="F331:G331"/>
    <mergeCell ref="C332:D332"/>
    <mergeCell ref="F332:G332"/>
    <mergeCell ref="A335:B340"/>
    <mergeCell ref="C340:D340"/>
    <mergeCell ref="F340:G340"/>
    <mergeCell ref="C339:D339"/>
    <mergeCell ref="F339:G339"/>
    <mergeCell ref="E275:I275"/>
    <mergeCell ref="E282:I282"/>
    <mergeCell ref="E289:I289"/>
    <mergeCell ref="E290:I290"/>
    <mergeCell ref="E291:I291"/>
    <mergeCell ref="E296:I296"/>
    <mergeCell ref="C337:D337"/>
    <mergeCell ref="F337:G337"/>
    <mergeCell ref="C338:D338"/>
    <mergeCell ref="F338:G338"/>
    <mergeCell ref="C333:D333"/>
    <mergeCell ref="F333:G333"/>
    <mergeCell ref="A334:I334"/>
    <mergeCell ref="C335:D335"/>
    <mergeCell ref="A327:I327"/>
    <mergeCell ref="C328:D328"/>
    <mergeCell ref="E328:I328"/>
    <mergeCell ref="C329:D329"/>
    <mergeCell ref="E329:I329"/>
    <mergeCell ref="A328:B333"/>
    <mergeCell ref="F335:G335"/>
    <mergeCell ref="C336:D336"/>
    <mergeCell ref="E336:I336"/>
    <mergeCell ref="C330:D330"/>
  </mergeCells>
  <hyperlinks>
    <hyperlink ref="C24"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52" max="16383" man="1"/>
    <brk id="342" max="16383" man="1"/>
    <brk id="400"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2025-07-08T12:40:50Z</cp:lastPrinted>
  <dcterms:created xsi:type="dcterms:W3CDTF">2010-11-23T11:42:48Z</dcterms:created>
  <dcterms:modified xsi:type="dcterms:W3CDTF">2025-07-08T12:42:14Z</dcterms:modified>
</cp:coreProperties>
</file>