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July 25\Godrej\Old\"/>
    </mc:Choice>
  </mc:AlternateContent>
  <xr:revisionPtr revIDLastSave="0" documentId="13_ncr:1_{EFB1BCC0-A20D-4EDD-B0C6-2F191C301A2C}" xr6:coauthVersionLast="47" xr6:coauthVersionMax="47" xr10:uidLastSave="{00000000-0000-0000-0000-000000000000}"/>
  <bookViews>
    <workbookView xWindow="-108" yWindow="-108" windowWidth="23256" windowHeight="12456" xr2:uid="{00000000-000D-0000-FFFF-FFFF00000000}"/>
  </bookViews>
  <sheets>
    <sheet name="Report" sheetId="3" r:id="rId1"/>
    <sheet name="Sheet1" sheetId="4" r:id="rId2"/>
  </sheets>
  <definedNames>
    <definedName name="_xlnm.Print_Area" localSheetId="0">Report!$A$1:$I$458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3" l="1"/>
  <c r="J276" i="3"/>
  <c r="F299" i="3"/>
  <c r="G304" i="3"/>
  <c r="F304" i="3"/>
  <c r="I304" i="3" s="1"/>
  <c r="G303" i="3"/>
  <c r="F303" i="3"/>
  <c r="I303" i="3" s="1"/>
  <c r="G302" i="3"/>
  <c r="F302" i="3"/>
  <c r="I302" i="3" s="1"/>
  <c r="G301" i="3"/>
  <c r="F301" i="3"/>
  <c r="I301" i="3" s="1"/>
  <c r="C300" i="3"/>
  <c r="C301" i="3" s="1"/>
  <c r="C302" i="3" s="1"/>
  <c r="C303" i="3" s="1"/>
  <c r="C304" i="3" s="1"/>
  <c r="I299" i="3"/>
  <c r="G299" i="3"/>
  <c r="A299" i="3"/>
  <c r="G297" i="3"/>
  <c r="F297" i="3"/>
  <c r="I297" i="3" s="1"/>
  <c r="G296" i="3"/>
  <c r="F296" i="3"/>
  <c r="I296" i="3" s="1"/>
  <c r="G295" i="3"/>
  <c r="F295" i="3"/>
  <c r="I295" i="3" s="1"/>
  <c r="I294" i="3"/>
  <c r="G294" i="3"/>
  <c r="F294" i="3"/>
  <c r="C293" i="3"/>
  <c r="C294" i="3" s="1"/>
  <c r="C295" i="3" s="1"/>
  <c r="C296" i="3" s="1"/>
  <c r="C297" i="3" s="1"/>
  <c r="A292" i="3"/>
  <c r="G290" i="3"/>
  <c r="F290" i="3"/>
  <c r="I290" i="3" s="1"/>
  <c r="G289" i="3"/>
  <c r="F289" i="3"/>
  <c r="G288" i="3"/>
  <c r="F288" i="3"/>
  <c r="I288" i="3" s="1"/>
  <c r="G287" i="3"/>
  <c r="F287" i="3"/>
  <c r="I287" i="3" s="1"/>
  <c r="G286" i="3"/>
  <c r="F286" i="3"/>
  <c r="I286" i="3" s="1"/>
  <c r="G285" i="3"/>
  <c r="F285" i="3"/>
  <c r="I289" i="3"/>
  <c r="C286" i="3"/>
  <c r="C287" i="3" s="1"/>
  <c r="C288" i="3" s="1"/>
  <c r="C289" i="3" s="1"/>
  <c r="C290" i="3" s="1"/>
  <c r="I285" i="3"/>
  <c r="A285" i="3"/>
  <c r="G282" i="3"/>
  <c r="F282" i="3"/>
  <c r="G281" i="3"/>
  <c r="F281" i="3"/>
  <c r="G280" i="3"/>
  <c r="F280" i="3"/>
  <c r="I280" i="3" s="1"/>
  <c r="G279" i="3"/>
  <c r="F279" i="3"/>
  <c r="I279" i="3" s="1"/>
  <c r="G278" i="3"/>
  <c r="F278" i="3"/>
  <c r="G277" i="3"/>
  <c r="F277" i="3"/>
  <c r="I282" i="3"/>
  <c r="I281" i="3"/>
  <c r="I278" i="3"/>
  <c r="C278" i="3"/>
  <c r="C279" i="3" s="1"/>
  <c r="C280" i="3" s="1"/>
  <c r="C281" i="3" s="1"/>
  <c r="C282" i="3" s="1"/>
  <c r="I277" i="3"/>
  <c r="A277" i="3"/>
  <c r="G275" i="3"/>
  <c r="F275" i="3"/>
  <c r="I275" i="3" s="1"/>
  <c r="G274" i="3"/>
  <c r="F274" i="3"/>
  <c r="G273" i="3"/>
  <c r="F273" i="3"/>
  <c r="I273" i="3" s="1"/>
  <c r="G272" i="3"/>
  <c r="F272" i="3"/>
  <c r="I272" i="3" s="1"/>
  <c r="G271" i="3"/>
  <c r="F271" i="3"/>
  <c r="I271" i="3" s="1"/>
  <c r="G270" i="3"/>
  <c r="F270" i="3"/>
  <c r="C272" i="3"/>
  <c r="C273" i="3" s="1"/>
  <c r="C274" i="3" s="1"/>
  <c r="C275" i="3" s="1"/>
  <c r="C271" i="3"/>
  <c r="I274" i="3"/>
  <c r="I270" i="3"/>
  <c r="A270" i="3"/>
  <c r="G268" i="3"/>
  <c r="F268" i="3"/>
  <c r="I268" i="3" s="1"/>
  <c r="G267" i="3"/>
  <c r="F267" i="3"/>
  <c r="I267" i="3" s="1"/>
  <c r="G266" i="3"/>
  <c r="F266" i="3"/>
  <c r="I266" i="3" s="1"/>
  <c r="G265" i="3"/>
  <c r="F265" i="3"/>
  <c r="J186" i="3"/>
  <c r="C210" i="3"/>
  <c r="C211" i="3" s="1"/>
  <c r="C212" i="3" s="1"/>
  <c r="C213" i="3" s="1"/>
  <c r="C214" i="3" s="1"/>
  <c r="F214" i="3"/>
  <c r="I214" i="3" s="1"/>
  <c r="F213" i="3"/>
  <c r="I213" i="3" s="1"/>
  <c r="F212" i="3"/>
  <c r="I212" i="3" s="1"/>
  <c r="F211" i="3"/>
  <c r="I211" i="3" s="1"/>
  <c r="F210" i="3"/>
  <c r="I210" i="3" s="1"/>
  <c r="J340" i="3" l="1"/>
  <c r="F363" i="3"/>
  <c r="I363" i="3" s="1"/>
  <c r="G368" i="3"/>
  <c r="F368" i="3"/>
  <c r="I368" i="3" s="1"/>
  <c r="G367" i="3"/>
  <c r="F367" i="3"/>
  <c r="I367" i="3" s="1"/>
  <c r="G366" i="3"/>
  <c r="F366" i="3"/>
  <c r="I366" i="3" s="1"/>
  <c r="G365" i="3"/>
  <c r="F365" i="3"/>
  <c r="I365" i="3" s="1"/>
  <c r="C364" i="3"/>
  <c r="C365" i="3" s="1"/>
  <c r="C366" i="3" s="1"/>
  <c r="C367" i="3" s="1"/>
  <c r="C368" i="3" s="1"/>
  <c r="G363" i="3"/>
  <c r="A363" i="3"/>
  <c r="G361" i="3"/>
  <c r="F361" i="3"/>
  <c r="I361" i="3" s="1"/>
  <c r="G360" i="3"/>
  <c r="F360" i="3"/>
  <c r="I360" i="3" s="1"/>
  <c r="G359" i="3"/>
  <c r="F359" i="3"/>
  <c r="I359" i="3" s="1"/>
  <c r="G358" i="3"/>
  <c r="F358" i="3"/>
  <c r="I358" i="3" s="1"/>
  <c r="C357" i="3"/>
  <c r="C358" i="3" s="1"/>
  <c r="C359" i="3" s="1"/>
  <c r="C360" i="3" s="1"/>
  <c r="C361" i="3" s="1"/>
  <c r="A356" i="3"/>
  <c r="F350" i="3"/>
  <c r="I350" i="3" s="1"/>
  <c r="F349" i="3"/>
  <c r="I349" i="3" s="1"/>
  <c r="G354" i="3"/>
  <c r="F354" i="3"/>
  <c r="I354" i="3" s="1"/>
  <c r="G353" i="3"/>
  <c r="F353" i="3"/>
  <c r="I353" i="3" s="1"/>
  <c r="G352" i="3"/>
  <c r="F352" i="3"/>
  <c r="I352" i="3" s="1"/>
  <c r="G351" i="3"/>
  <c r="F351" i="3"/>
  <c r="I351" i="3" s="1"/>
  <c r="G350" i="3"/>
  <c r="C350" i="3"/>
  <c r="C351" i="3" s="1"/>
  <c r="C352" i="3" s="1"/>
  <c r="C353" i="3" s="1"/>
  <c r="C354" i="3" s="1"/>
  <c r="G349" i="3"/>
  <c r="A349" i="3"/>
  <c r="G346" i="3"/>
  <c r="F346" i="3"/>
  <c r="I346" i="3" s="1"/>
  <c r="G345" i="3"/>
  <c r="F345" i="3"/>
  <c r="I345" i="3" s="1"/>
  <c r="G344" i="3"/>
  <c r="F344" i="3"/>
  <c r="I344" i="3" s="1"/>
  <c r="G343" i="3"/>
  <c r="F343" i="3"/>
  <c r="I343" i="3" s="1"/>
  <c r="G342" i="3"/>
  <c r="F342" i="3"/>
  <c r="I342" i="3" s="1"/>
  <c r="G341" i="3"/>
  <c r="F341" i="3"/>
  <c r="I341" i="3" s="1"/>
  <c r="C342" i="3"/>
  <c r="C343" i="3" s="1"/>
  <c r="C344" i="3" s="1"/>
  <c r="C345" i="3" s="1"/>
  <c r="C346" i="3" s="1"/>
  <c r="A341" i="3"/>
  <c r="G339" i="3"/>
  <c r="F339" i="3"/>
  <c r="I339" i="3" s="1"/>
  <c r="G338" i="3"/>
  <c r="F338" i="3"/>
  <c r="I338" i="3" s="1"/>
  <c r="G336" i="3"/>
  <c r="F336" i="3"/>
  <c r="I336" i="3" s="1"/>
  <c r="G335" i="3"/>
  <c r="F335" i="3"/>
  <c r="I335" i="3" s="1"/>
  <c r="A335" i="3"/>
  <c r="G333" i="3"/>
  <c r="F333" i="3"/>
  <c r="I333" i="3" s="1"/>
  <c r="G332" i="3"/>
  <c r="F332" i="3"/>
  <c r="I332" i="3" s="1"/>
  <c r="G331" i="3"/>
  <c r="F331" i="3"/>
  <c r="I331" i="3" s="1"/>
  <c r="G330" i="3"/>
  <c r="F330" i="3"/>
  <c r="I330" i="3" s="1"/>
  <c r="A330" i="3"/>
  <c r="M100" i="3" l="1"/>
  <c r="K98" i="3"/>
  <c r="K97" i="3"/>
  <c r="K96" i="3"/>
  <c r="K95" i="3"/>
  <c r="C94" i="3"/>
  <c r="C95" i="3" s="1"/>
  <c r="C96" i="3" s="1"/>
  <c r="M84" i="3"/>
  <c r="K82" i="3"/>
  <c r="K81" i="3"/>
  <c r="K80" i="3"/>
  <c r="K79" i="3"/>
  <c r="C78" i="3"/>
  <c r="C79" i="3" s="1"/>
  <c r="C80" i="3" s="1"/>
  <c r="M68" i="3"/>
  <c r="K66" i="3"/>
  <c r="K65" i="3"/>
  <c r="K64" i="3"/>
  <c r="K63" i="3"/>
  <c r="C62" i="3"/>
  <c r="C63" i="3" s="1"/>
  <c r="C64" i="3" s="1"/>
  <c r="I57" i="3"/>
  <c r="I73" i="3"/>
  <c r="I89" i="3"/>
  <c r="E102" i="3" l="1"/>
  <c r="E100" i="3"/>
  <c r="E98" i="3"/>
  <c r="E96" i="3"/>
  <c r="K93" i="3"/>
  <c r="K94" i="3" s="1"/>
  <c r="K99" i="3" s="1"/>
  <c r="K100" i="3" s="1"/>
  <c r="K91" i="3"/>
  <c r="E99" i="3"/>
  <c r="E97" i="3"/>
  <c r="E94" i="3"/>
  <c r="K92" i="3"/>
  <c r="C91" i="3" s="1"/>
  <c r="F91" i="3" s="1"/>
  <c r="E95" i="3"/>
  <c r="E92" i="3"/>
  <c r="E101" i="3"/>
  <c r="E93" i="3"/>
  <c r="K90" i="3"/>
  <c r="E63" i="3"/>
  <c r="E60" i="3"/>
  <c r="E70" i="3"/>
  <c r="E68" i="3"/>
  <c r="E66" i="3"/>
  <c r="E64" i="3"/>
  <c r="K61" i="3"/>
  <c r="K62" i="3" s="1"/>
  <c r="K67" i="3" s="1"/>
  <c r="K68" i="3" s="1"/>
  <c r="K59" i="3"/>
  <c r="E69" i="3"/>
  <c r="E67" i="3"/>
  <c r="E65" i="3"/>
  <c r="E62" i="3"/>
  <c r="K60" i="3"/>
  <c r="C59" i="3" s="1"/>
  <c r="F59" i="3" s="1"/>
  <c r="E61" i="3"/>
  <c r="K58" i="3"/>
  <c r="E79" i="3"/>
  <c r="E76" i="3"/>
  <c r="E86" i="3"/>
  <c r="E84" i="3"/>
  <c r="E82" i="3"/>
  <c r="E80" i="3"/>
  <c r="K77" i="3"/>
  <c r="K78" i="3" s="1"/>
  <c r="K83" i="3" s="1"/>
  <c r="K84" i="3" s="1"/>
  <c r="K75" i="3"/>
  <c r="E83" i="3"/>
  <c r="E81" i="3"/>
  <c r="E78" i="3"/>
  <c r="K76" i="3"/>
  <c r="C75" i="3" s="1"/>
  <c r="F75" i="3" s="1"/>
  <c r="E85" i="3"/>
  <c r="E77" i="3"/>
  <c r="K74" i="3"/>
  <c r="H103" i="3" l="1"/>
  <c r="E91" i="3"/>
  <c r="J88" i="3" s="1"/>
  <c r="H91" i="3" s="1"/>
  <c r="E59" i="3"/>
  <c r="J56" i="3" s="1"/>
  <c r="H59" i="3" s="1"/>
  <c r="E75" i="3"/>
  <c r="J72" i="3" s="1"/>
  <c r="H75" i="3" s="1"/>
  <c r="F204" i="3" l="1"/>
  <c r="A209" i="3"/>
  <c r="I265" i="3" l="1"/>
  <c r="A265" i="3"/>
  <c r="I5" i="3" l="1"/>
  <c r="K191" i="3" l="1"/>
  <c r="F325" i="3"/>
  <c r="F324" i="3"/>
  <c r="F322" i="3"/>
  <c r="F321" i="3"/>
  <c r="F319" i="3"/>
  <c r="F318" i="3"/>
  <c r="F316" i="3"/>
  <c r="F315" i="3"/>
  <c r="F312" i="3"/>
  <c r="F313" i="3"/>
  <c r="F310" i="3"/>
  <c r="F260" i="3"/>
  <c r="I260" i="3" s="1"/>
  <c r="I259" i="3"/>
  <c r="I258" i="3"/>
  <c r="F257" i="3"/>
  <c r="I257" i="3" s="1"/>
  <c r="C257" i="3"/>
  <c r="C258" i="3" s="1"/>
  <c r="C259" i="3" s="1"/>
  <c r="C260" i="3" s="1"/>
  <c r="F256" i="3"/>
  <c r="F255" i="3"/>
  <c r="F253" i="3"/>
  <c r="F250" i="3"/>
  <c r="F249" i="3"/>
  <c r="F248" i="3"/>
  <c r="F246" i="3"/>
  <c r="F243" i="3"/>
  <c r="F242" i="3"/>
  <c r="F241" i="3"/>
  <c r="F239" i="3"/>
  <c r="F236" i="3"/>
  <c r="F235" i="3"/>
  <c r="F234" i="3"/>
  <c r="I252" i="3"/>
  <c r="F232" i="3"/>
  <c r="F229" i="3"/>
  <c r="F228" i="3"/>
  <c r="F227" i="3"/>
  <c r="F220" i="3"/>
  <c r="F221" i="3"/>
  <c r="F196" i="3"/>
  <c r="F207" i="3"/>
  <c r="F206" i="3"/>
  <c r="F205" i="3"/>
  <c r="F200" i="3"/>
  <c r="F199" i="3"/>
  <c r="F198" i="3"/>
  <c r="F197" i="3"/>
  <c r="F195" i="3"/>
  <c r="F190" i="3"/>
  <c r="F189" i="3"/>
  <c r="F188" i="3"/>
  <c r="F187" i="3"/>
  <c r="F192" i="3"/>
  <c r="F191" i="3"/>
  <c r="F185" i="3"/>
  <c r="F184" i="3"/>
  <c r="F182" i="3"/>
  <c r="F181" i="3"/>
  <c r="F178" i="3"/>
  <c r="I178" i="3" s="1"/>
  <c r="F179" i="3"/>
  <c r="I179" i="3" s="1"/>
  <c r="F177" i="3"/>
  <c r="F176" i="3"/>
  <c r="F171" i="3"/>
  <c r="I171" i="3" s="1"/>
  <c r="I170" i="3"/>
  <c r="I169" i="3"/>
  <c r="I168" i="3"/>
  <c r="F167" i="3"/>
  <c r="F166" i="3"/>
  <c r="F164" i="3"/>
  <c r="F160" i="3"/>
  <c r="F159" i="3"/>
  <c r="F157" i="3"/>
  <c r="F153" i="3"/>
  <c r="F152" i="3"/>
  <c r="F150" i="3"/>
  <c r="F146" i="3"/>
  <c r="F145" i="3"/>
  <c r="F143" i="3"/>
  <c r="F139" i="3"/>
  <c r="F138" i="3"/>
  <c r="F133" i="3"/>
  <c r="F132" i="3"/>
  <c r="M134" i="3"/>
  <c r="M132" i="3"/>
  <c r="F121" i="3" l="1"/>
  <c r="H121" i="3"/>
  <c r="H120" i="3"/>
  <c r="F120" i="3"/>
  <c r="F123" i="3" s="1"/>
  <c r="H122" i="3"/>
  <c r="F122" i="3"/>
  <c r="D31" i="4"/>
  <c r="C18" i="3"/>
  <c r="H123" i="3" l="1"/>
  <c r="K227" i="3"/>
  <c r="L21" i="3" l="1"/>
  <c r="K21" i="3"/>
  <c r="J21" i="3"/>
  <c r="I325" i="3"/>
  <c r="I324" i="3"/>
  <c r="I322" i="3"/>
  <c r="I321" i="3"/>
  <c r="I319" i="3"/>
  <c r="I318" i="3"/>
  <c r="I316" i="3"/>
  <c r="I315" i="3"/>
  <c r="I313" i="3"/>
  <c r="I312" i="3"/>
  <c r="I310" i="3"/>
  <c r="A324" i="3"/>
  <c r="A321" i="3"/>
  <c r="A318" i="3"/>
  <c r="A315" i="3"/>
  <c r="A312" i="3"/>
  <c r="A310" i="3"/>
  <c r="I249" i="3"/>
  <c r="I256" i="3"/>
  <c r="I253" i="3"/>
  <c r="I250" i="3"/>
  <c r="I246" i="3"/>
  <c r="I243" i="3"/>
  <c r="I242" i="3"/>
  <c r="I239" i="3"/>
  <c r="K236" i="3"/>
  <c r="I235" i="3"/>
  <c r="I232" i="3"/>
  <c r="I229" i="3"/>
  <c r="I227" i="3"/>
  <c r="I255" i="3"/>
  <c r="A255" i="3"/>
  <c r="I251" i="3"/>
  <c r="C249" i="3"/>
  <c r="C250" i="3" s="1"/>
  <c r="C251" i="3" s="1"/>
  <c r="C252" i="3" s="1"/>
  <c r="C253" i="3" s="1"/>
  <c r="I248" i="3"/>
  <c r="A248" i="3"/>
  <c r="I245" i="3"/>
  <c r="I244" i="3"/>
  <c r="C242" i="3"/>
  <c r="C243" i="3" s="1"/>
  <c r="C244" i="3" s="1"/>
  <c r="C245" i="3" s="1"/>
  <c r="C246" i="3" s="1"/>
  <c r="I241" i="3"/>
  <c r="A241" i="3"/>
  <c r="I238" i="3"/>
  <c r="I237" i="3"/>
  <c r="C235" i="3"/>
  <c r="C236" i="3" s="1"/>
  <c r="C237" i="3" s="1"/>
  <c r="C238" i="3" s="1"/>
  <c r="C239" i="3" s="1"/>
  <c r="I234" i="3"/>
  <c r="A234" i="3"/>
  <c r="I231" i="3"/>
  <c r="I230" i="3"/>
  <c r="I228" i="3"/>
  <c r="C228" i="3"/>
  <c r="C229" i="3" s="1"/>
  <c r="C230" i="3" s="1"/>
  <c r="C231" i="3" s="1"/>
  <c r="C232" i="3" s="1"/>
  <c r="A227" i="3"/>
  <c r="I221" i="3"/>
  <c r="I220" i="3"/>
  <c r="A220" i="3"/>
  <c r="J120" i="3"/>
  <c r="I202" i="3"/>
  <c r="I207" i="3"/>
  <c r="I206" i="3"/>
  <c r="I205" i="3"/>
  <c r="I204" i="3"/>
  <c r="C203" i="3"/>
  <c r="C204" i="3" s="1"/>
  <c r="C205" i="3" s="1"/>
  <c r="C206" i="3" s="1"/>
  <c r="C207" i="3" s="1"/>
  <c r="A202" i="3"/>
  <c r="A203" i="3" s="1"/>
  <c r="A204" i="3" s="1"/>
  <c r="A205" i="3" s="1"/>
  <c r="A206" i="3" s="1"/>
  <c r="A207" i="3" s="1"/>
  <c r="I200" i="3"/>
  <c r="I199" i="3"/>
  <c r="I198" i="3"/>
  <c r="I197" i="3"/>
  <c r="I196" i="3"/>
  <c r="C196" i="3"/>
  <c r="C197" i="3" s="1"/>
  <c r="C198" i="3" s="1"/>
  <c r="C199" i="3" s="1"/>
  <c r="C200" i="3" s="1"/>
  <c r="I195" i="3"/>
  <c r="A195" i="3"/>
  <c r="A196" i="3" s="1"/>
  <c r="A197" i="3" s="1"/>
  <c r="A198" i="3" s="1"/>
  <c r="A199" i="3" s="1"/>
  <c r="A200" i="3" s="1"/>
  <c r="I190" i="3"/>
  <c r="I189" i="3"/>
  <c r="I192" i="3"/>
  <c r="I191" i="3"/>
  <c r="I188" i="3"/>
  <c r="I187" i="3"/>
  <c r="C188" i="3"/>
  <c r="C189" i="3" s="1"/>
  <c r="C190" i="3" s="1"/>
  <c r="C191" i="3" s="1"/>
  <c r="C192" i="3" s="1"/>
  <c r="A187" i="3"/>
  <c r="A188" i="3" s="1"/>
  <c r="A189" i="3" s="1"/>
  <c r="A190" i="3" s="1"/>
  <c r="A191" i="3" s="1"/>
  <c r="A192" i="3" s="1"/>
  <c r="I185" i="3"/>
  <c r="I184" i="3"/>
  <c r="I182" i="3"/>
  <c r="I181" i="3"/>
  <c r="C182" i="3"/>
  <c r="C183" i="3" s="1"/>
  <c r="C185" i="3" s="1"/>
  <c r="A181" i="3"/>
  <c r="A182" i="3" s="1"/>
  <c r="A183" i="3" s="1"/>
  <c r="A184" i="3" s="1"/>
  <c r="A185" i="3" s="1"/>
  <c r="I177" i="3"/>
  <c r="I176" i="3"/>
  <c r="A176" i="3"/>
  <c r="A177" i="3" s="1"/>
  <c r="A178" i="3" s="1"/>
  <c r="A179" i="3" s="1"/>
  <c r="I167" i="3"/>
  <c r="I166" i="3"/>
  <c r="A166" i="3"/>
  <c r="A167" i="3" s="1"/>
  <c r="A168" i="3" s="1"/>
  <c r="A169" i="3" s="1"/>
  <c r="A170" i="3" s="1"/>
  <c r="A171" i="3" s="1"/>
  <c r="I161" i="3"/>
  <c r="I164" i="3"/>
  <c r="I163" i="3"/>
  <c r="I162" i="3"/>
  <c r="I160" i="3"/>
  <c r="I159" i="3"/>
  <c r="C160" i="3"/>
  <c r="C161" i="3" s="1"/>
  <c r="C162" i="3" s="1"/>
  <c r="C163" i="3" s="1"/>
  <c r="C164" i="3" s="1"/>
  <c r="A159" i="3"/>
  <c r="A160" i="3" s="1"/>
  <c r="A161" i="3" s="1"/>
  <c r="A162" i="3" s="1"/>
  <c r="A163" i="3" s="1"/>
  <c r="A164" i="3" s="1"/>
  <c r="I157" i="3"/>
  <c r="I153" i="3"/>
  <c r="I152" i="3"/>
  <c r="C153" i="3"/>
  <c r="C154" i="3" s="1"/>
  <c r="C155" i="3" s="1"/>
  <c r="C156" i="3" s="1"/>
  <c r="C157" i="3" s="1"/>
  <c r="A152" i="3"/>
  <c r="A153" i="3" s="1"/>
  <c r="A154" i="3" s="1"/>
  <c r="A155" i="3" s="1"/>
  <c r="A156" i="3" s="1"/>
  <c r="A157" i="3" s="1"/>
  <c r="I150" i="3"/>
  <c r="I149" i="3"/>
  <c r="I148" i="3"/>
  <c r="I147" i="3"/>
  <c r="I146" i="3"/>
  <c r="I145" i="3"/>
  <c r="C146" i="3"/>
  <c r="C147" i="3" s="1"/>
  <c r="C148" i="3" s="1"/>
  <c r="C149" i="3" s="1"/>
  <c r="C150" i="3" s="1"/>
  <c r="A145" i="3"/>
  <c r="A146" i="3" s="1"/>
  <c r="A147" i="3" s="1"/>
  <c r="A148" i="3" s="1"/>
  <c r="A149" i="3" s="1"/>
  <c r="A150" i="3" s="1"/>
  <c r="I143" i="3"/>
  <c r="I139" i="3"/>
  <c r="I138" i="3"/>
  <c r="C139" i="3"/>
  <c r="C140" i="3" s="1"/>
  <c r="C141" i="3" s="1"/>
  <c r="C142" i="3" s="1"/>
  <c r="C143" i="3" s="1"/>
  <c r="A138" i="3"/>
  <c r="A139" i="3" s="1"/>
  <c r="A140" i="3" s="1"/>
  <c r="A141" i="3" s="1"/>
  <c r="A142" i="3" s="1"/>
  <c r="A143" i="3" s="1"/>
  <c r="J19" i="3"/>
  <c r="H116" i="3"/>
  <c r="H115" i="3"/>
  <c r="I122" i="3" l="1"/>
  <c r="I236" i="3"/>
  <c r="I121" i="3" s="1"/>
  <c r="K229" i="3"/>
  <c r="A132" i="3" l="1"/>
  <c r="A133" i="3" s="1"/>
  <c r="A134" i="3" s="1"/>
  <c r="A135" i="3" s="1"/>
  <c r="A136" i="3" s="1"/>
  <c r="C133" i="3"/>
  <c r="E373" i="3" l="1"/>
  <c r="E372" i="3"/>
  <c r="H117" i="3"/>
  <c r="I133" i="3" l="1"/>
  <c r="I132" i="3"/>
  <c r="I120" i="3" s="1"/>
  <c r="I123" i="3" l="1"/>
  <c r="E374" i="3"/>
</calcChain>
</file>

<file path=xl/sharedStrings.xml><?xml version="1.0" encoding="utf-8"?>
<sst xmlns="http://schemas.openxmlformats.org/spreadsheetml/2006/main" count="684" uniqueCount="301">
  <si>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</si>
  <si>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</si>
  <si>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</si>
  <si>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</si>
  <si>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</si>
  <si>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</si>
  <si>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</si>
  <si>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</si>
  <si>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</si>
  <si>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</si>
  <si>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</si>
  <si>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</si>
  <si>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</si>
  <si>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</si>
  <si>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</si>
  <si>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</si>
  <si>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</si>
  <si>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</si>
  <si>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</si>
  <si>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</si>
  <si>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</si>
  <si>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</si>
  <si>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</si>
  <si>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</si>
  <si>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</si>
  <si>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</si>
  <si>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</si>
  <si>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</si>
  <si>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</si>
  <si>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</si>
  <si>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</si>
  <si>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</si>
  <si>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</si>
  <si>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</si>
  <si>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</si>
  <si>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</si>
  <si>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</si>
  <si>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</si>
  <si>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</si>
  <si>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</si>
  <si>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</si>
  <si>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</si>
  <si>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</si>
  <si>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</si>
  <si>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</si>
  <si>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</si>
  <si>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</si>
  <si>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</si>
  <si>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</si>
  <si>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</si>
  <si>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</si>
  <si>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</si>
  <si>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</si>
  <si>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</si>
  <si>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</si>
  <si>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</si>
  <si>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</si>
  <si>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</si>
  <si>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</si>
  <si>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</si>
  <si>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</si>
  <si>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</si>
  <si>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</si>
  <si>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</si>
  <si>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</si>
  <si>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</si>
  <si>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</si>
  <si>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</si>
  <si>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</si>
  <si>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</si>
  <si>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</si>
  <si>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</si>
  <si>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</si>
  <si>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</si>
  <si>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</si>
  <si>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</si>
  <si>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</si>
  <si>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</si>
  <si>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</si>
  <si>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</si>
  <si>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</si>
  <si>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</si>
  <si>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</si>
  <si>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</si>
  <si>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</si>
  <si>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</si>
  <si>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</si>
  <si>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</si>
  <si>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</si>
  <si>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</si>
  <si>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</si>
  <si>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</si>
  <si>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</si>
  <si>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</si>
  <si>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</si>
  <si>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</si>
  <si>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</si>
  <si>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</si>
  <si>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</si>
  <si>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</si>
  <si>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</si>
  <si>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</si>
  <si>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</si>
  <si>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</si>
  <si>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</si>
  <si>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</si>
  <si>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</si>
  <si>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</si>
  <si>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</si>
  <si>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</si>
  <si>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</si>
  <si>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</si>
  <si>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</si>
  <si>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</si>
  <si>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</si>
  <si>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</si>
  <si>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</si>
  <si>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</si>
  <si>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</si>
  <si>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</si>
  <si>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</si>
  <si>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</si>
  <si>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</si>
  <si>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</si>
  <si>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</si>
  <si>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</si>
  <si>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</si>
  <si>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</si>
  <si>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</si>
  <si>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</si>
  <si>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</si>
  <si>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</si>
  <si>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</si>
  <si>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</si>
  <si>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</si>
  <si>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</si>
  <si>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</si>
  <si>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</si>
  <si>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</si>
  <si>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</si>
  <si>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</si>
  <si>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</si>
  <si>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</si>
  <si>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</si>
  <si>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</si>
  <si>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</si>
  <si>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</si>
  <si>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</si>
  <si>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</si>
  <si>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</si>
  <si>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</si>
  <si>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</si>
  <si>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</si>
  <si>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</si>
  <si>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</si>
  <si>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</si>
  <si>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</si>
  <si>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</si>
  <si>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</si>
  <si>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</si>
  <si>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</si>
  <si>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</si>
  <si>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</si>
  <si>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</si>
  <si>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</si>
  <si>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</si>
  <si>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</si>
  <si>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</si>
  <si>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</si>
  <si>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</si>
  <si>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</si>
  <si>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</si>
  <si>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</si>
  <si>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</si>
  <si>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</si>
  <si>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</si>
  <si>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</si>
  <si>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</si>
  <si>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</si>
  <si>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</si>
  <si>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</si>
  <si>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</si>
  <si>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</si>
  <si>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</si>
  <si>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</si>
  <si>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</si>
  <si>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</si>
  <si>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</si>
  <si>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</si>
  <si>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</si>
  <si>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</si>
  <si>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</si>
  <si>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</si>
  <si>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Approved Layout &amp; Floor Plans, CC, RERA certificate, NOC</t>
  </si>
  <si>
    <t>1001 C BKC Capital, BKC west</t>
  </si>
  <si>
    <t>Ariisto Developers Private Limited</t>
  </si>
  <si>
    <t xml:space="preserve">Slum Rehabilitation Authority
</t>
  </si>
  <si>
    <t xml:space="preserve">Kotak Mahindra Bank
IFSC Code - KKBK0000422
</t>
  </si>
  <si>
    <t>Middle</t>
  </si>
  <si>
    <t xml:space="preserve">4.5KM from Mulund Railway Station
</t>
  </si>
  <si>
    <t>About 1KM form Apex Hospitals Mulund</t>
  </si>
  <si>
    <t>500 M from Swapna Nagari Bus Stop</t>
  </si>
  <si>
    <t>About 850M from St. George High School</t>
  </si>
  <si>
    <t>1. Approx. 1KM from Shree Balaji Supermarket.
2. Approx. 3KM from Mulund Main Market.</t>
  </si>
  <si>
    <t>Siesta at Ariisto Heaven</t>
  </si>
  <si>
    <t xml:space="preserve">Siesta </t>
  </si>
  <si>
    <t>Road</t>
  </si>
  <si>
    <t>Open Plot</t>
  </si>
  <si>
    <t>BT-1/NOCC/CS/MUM/14/NOCAS /247/1356/702-05
Date: 05/08/2014</t>
  </si>
  <si>
    <t>SEAC-2014/CR-92/TC-1
Date: 11/03/2016</t>
  </si>
  <si>
    <t>Ground Floor For Parking</t>
  </si>
  <si>
    <t>1st Podium Floor For Parking</t>
  </si>
  <si>
    <t>3BHK</t>
  </si>
  <si>
    <t>2BHK</t>
  </si>
  <si>
    <t>Parking Area</t>
  </si>
  <si>
    <t>15th, 22nd, 29th, 36th &amp; 43rd Floor For Residential (Part Refuge Area)</t>
  </si>
  <si>
    <t>Flats</t>
  </si>
  <si>
    <t>Refuge Area</t>
  </si>
  <si>
    <t>Shop = NA</t>
  </si>
  <si>
    <t>Residential</t>
  </si>
  <si>
    <t>Mr.Nainesh Tambe</t>
  </si>
  <si>
    <t>Project Name as per RERA</t>
  </si>
  <si>
    <t>80/- from 4th Floor</t>
  </si>
  <si>
    <t>On Carpet area</t>
  </si>
  <si>
    <t>10,00,000/-</t>
  </si>
  <si>
    <t>Bellanza Phase 2 ­ Wing D, E, F</t>
  </si>
  <si>
    <t xml:space="preserve">Prestige Mulund Realty Private Limited
</t>
  </si>
  <si>
    <t>Bellanza Phase 2 ­ Wing D, E, F at The Prestige City, CTS No. 19/1 to 19/13, Village. Mulund, Veena Nagar, Road - Agrawal Road, Mulund West, Kurla, Mumbai, Maharashtra - 400080</t>
  </si>
  <si>
    <t>Bellanza Phase 2 ­ Wing D, E, F at The Prestige City, Village. Mulund, Situated Near. Veena Nagar, Road - Agrawal Road, Mulund West, Kurla, Mumbai, Maharashtra - 400080</t>
  </si>
  <si>
    <t>Bellanza Phase 2 ­ Wing D, E, F at The Prestige City, Village. Mulund, Veena Nagar, Road - Agrawal Road, Mulund West, Mumbai, Kurla, Maharashtra - 400080</t>
  </si>
  <si>
    <t>D Wing</t>
  </si>
  <si>
    <t>E Wing</t>
  </si>
  <si>
    <t>F Wing</t>
  </si>
  <si>
    <t>2nd Podium Floor For Residential ( Part Parking Area)</t>
  </si>
  <si>
    <t>Void Lobby Area</t>
  </si>
  <si>
    <t>2nd Podium Floor For Residential ( Void Lobby Area)</t>
  </si>
  <si>
    <t>3rd Podium Floor (Part Parking Area)</t>
  </si>
  <si>
    <t>4th Podium Floor (Part Parking Area)</t>
  </si>
  <si>
    <t>5th Podium Floor (Part Parking Area)</t>
  </si>
  <si>
    <t>6th Podium Floor (Part Parking Area)</t>
  </si>
  <si>
    <t>7th Podium Floor (Part Parking Area)</t>
  </si>
  <si>
    <t>10th Floor Service Floor</t>
  </si>
  <si>
    <t xml:space="preserve">11th Floor </t>
  </si>
  <si>
    <t>6BHK Duplex with 12th Floor</t>
  </si>
  <si>
    <t>12th Floor</t>
  </si>
  <si>
    <t>Duplex with 11th Floor</t>
  </si>
  <si>
    <t xml:space="preserve">14th, 21st, 28th, 35th &amp; 42nd Floor </t>
  </si>
  <si>
    <t>4BHK (Duplex with 15th, 22nd, 29th, 36th &amp; 43rd Floor)</t>
  </si>
  <si>
    <t xml:space="preserve">Duplex with 14th, 21st, 28th, 35th &amp; 42nd Floor </t>
  </si>
  <si>
    <t xml:space="preserve"> 4th Podium Floor (Part Parking Area)</t>
  </si>
  <si>
    <t>`</t>
  </si>
  <si>
    <t>2nd Podium Floor For Residential (Part Void Lobby Area)</t>
  </si>
  <si>
    <t xml:space="preserve">Bellanza Phase 2 ­ Wing D, E, F at The Prestige City    </t>
  </si>
  <si>
    <t>Location Link</t>
  </si>
  <si>
    <t>https://goo.gl/maps/GHpdSw58Hxzxmpr96</t>
  </si>
  <si>
    <t>7th Podium Floor (Part Amenity Area)</t>
  </si>
  <si>
    <t>Amenity Area</t>
  </si>
  <si>
    <t>6th Podium Floor (Part Amenity Area)</t>
  </si>
  <si>
    <t>External Plaster</t>
  </si>
  <si>
    <t>External Plumbing, Elevation and Waterproofing</t>
  </si>
  <si>
    <t>Wooden Work</t>
  </si>
  <si>
    <t>Electrical &amp; Sanitary fittings</t>
  </si>
  <si>
    <t xml:space="preserve">SRA/DDTP/0518/T/PL/AP
Date: 27/02/2023
</t>
  </si>
  <si>
    <t>Approved upto: D Wing - B + Gr + 1st to 7th P + 8th to 46th Floor
E &amp; F Wing - B + Gr + 1st to 7th P + 8th to 9th Floor
SRA/DDTP/0518/T/PL/AP
Date: 27/02/2023
For - D Wing - 4803, E Wing - 2302 &amp; F wing - 3004</t>
  </si>
  <si>
    <t>SRA/DDTP/518/T/PL/AP
Date: 26/08/2024
Valid Up to: This C.C is further extended for full work i.e upto 54th floor top + OHWT &amp; LMR for Wing A, B, C, D, E, &amp; F of sale building No. 2 as per last approved plan dated 27/02/2023.</t>
  </si>
  <si>
    <t>SRA/DDTP/0518/5/D4
Date: 01/07/2022</t>
  </si>
  <si>
    <t>B + Gr + 1st to 9th P + 10th to 54th Floor</t>
  </si>
  <si>
    <t>Wing D = B + Gr + 1st to 9th P + 10th to 54th Floor</t>
  </si>
  <si>
    <t>Wing E = B + Gr + 1st to 9th P + 10th to 54th Floor</t>
  </si>
  <si>
    <t>Wing F = B + Gr + 1st to 9th P + 10th to 54th Floor</t>
  </si>
  <si>
    <t>Basement Floor For Parking &amp; RW Tank</t>
  </si>
  <si>
    <t>Service Floor Inbetween 7th &amp; 8th Floor</t>
  </si>
  <si>
    <t>8th &amp; 9th Floor For Amenities (Pantry, Cafe, Banquet Hall, Club,
Business Center, Library, Music Room &amp; Pool Area)</t>
  </si>
  <si>
    <t>11th Floor For Residential</t>
  </si>
  <si>
    <t>5BHK Duplex with 12th Floor</t>
  </si>
  <si>
    <t>4BHK</t>
  </si>
  <si>
    <t>13th, 16th to 20th, 23rd to 27th, 30th to 34th, 37th to 41th, 44th to 49th &amp; 51st to 54th Floor</t>
  </si>
  <si>
    <t>15th, 22nd, 29th, 36th &amp; 43rd Floor (Part Refuge Area)</t>
  </si>
  <si>
    <t>50th Floor (Part Refuge Area)</t>
  </si>
  <si>
    <t>Service Floor In between 27th &amp; 28th Floor</t>
  </si>
  <si>
    <t>10th Floor For Service Area (Amenities Area Below)</t>
  </si>
  <si>
    <t>We have updated approved floor plan for Flats of D Wing - 4803, E Wing - 2302 &amp; F wing - 3004 only (on 30/05/2023).</t>
  </si>
  <si>
    <t>P51800046488</t>
  </si>
  <si>
    <t>22000 to 23000</t>
  </si>
  <si>
    <t>Basement Floor For Parking, Fire Tank, Pump Room</t>
  </si>
  <si>
    <t>Ground Floor For Parking &amp; Substation</t>
  </si>
  <si>
    <t>Service Floor Inbetween 27th &amp; 28th Floor</t>
  </si>
  <si>
    <t>Basement Floor For Parking, Domestic Tank &amp; Pump Room</t>
  </si>
  <si>
    <t>Ground Floor For Parking &amp; Substaion</t>
  </si>
  <si>
    <t>Service Floor In between 7th &amp; 8th Floor</t>
  </si>
  <si>
    <t>8th &amp; 9th Floor For Amenities ( Yoga, Gym, Zumba &amp; Rooms)</t>
  </si>
  <si>
    <t>10th Floor For Service Floor</t>
  </si>
  <si>
    <t>11th Floor</t>
  </si>
  <si>
    <t xml:space="preserve">1. Construction work is in process at the time of Visit (labour found). 
2. We considered  Saleable area as per our calculation.
3. We considered Carpet area as per Approved Plan.
4. We considered Gross carpet area = Net carpet + Enclose balcony + Deck Area.
5. We have considered rate by verifying it from market inquire.
6. Car parking is subjected to authentic documentation.
7. On Site, we meet Ms Sakina CRM.
8. We have updated the revised construction table on dated 21/11/2024, which is shared with us by the Godrej officials.
9. We have updated revised approved plan &amp; CC (on 21/03/2025).
10. Provide latest approved layout plan (dtd 27/02/2023).
</t>
  </si>
  <si>
    <t>Flats = 799</t>
  </si>
  <si>
    <t>As per RERA Site - Flats = 799</t>
  </si>
  <si>
    <t>8th &amp; 9th Floor For Amenities (Kids Play Area, Creche, Yoga, Gym &amp; Meditation Room)</t>
  </si>
  <si>
    <t>21000-22000 Rate revised by Sachin sir 
Due to unit report</t>
  </si>
  <si>
    <t>Ms.Reshma 8867832933</t>
  </si>
  <si>
    <t>07/07/2025  @04:00 PM</t>
  </si>
  <si>
    <t>Mr .Suraj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</si>
</sst>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sz val="11"/>
      <color rgb="FF333333"/>
      <name val="Arial"/>
      <family val="2"/>
    </font>
    <font>
      <u/>
      <sz val="11"/>
      <color theme="10"/>
      <name val="Calibri"/>
      <family val="2"/>
    </font>
    <font>
      <u/>
      <sz val="16"/>
      <color theme="10"/>
      <name val="Calibri"/>
      <family val="2"/>
    </font>
  </fonts>
  <fills count="7">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FFFFF"/>
        <bgColor indexed="64"/>
      </patternFill>
    </fill>
    <fill>
      <patternFill patternType="solid">
        <fgColor rgb="FFF9F9F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rgb="FFDDDDDD"/>
      </left>
      <right style="medium">
        <color rgb="FFDDDDDD"/>
      </right>
      <top style="medium">
        <color rgb="FFDDDDDD"/>
      </top>
      <bottom style="medium">
        <color rgb="FFDDDDDD"/>
      </bottom>
      <diagonal/>
    </border>
    <border>
      <left/>
      <right/>
      <top style="medium">
        <color rgb="FFDDDDDD"/>
      </top>
      <bottom/>
      <diagonal/>
    </border>
    <border>
      <left/>
      <right style="medium">
        <color rgb="FFDDDDDD"/>
      </right>
      <top style="medium">
        <color rgb="FFDDDDDD"/>
      </top>
      <bottom/>
      <diagonal/>
    </border>
    <border>
      <left/>
      <right style="medium">
        <color rgb="FFDDDDDD"/>
      </right>
      <top/>
      <bottom style="medium">
        <color rgb="FFDDDDDD"/>
      </bottom>
      <diagonal/>
    </border>
  </borders>
  <cellStyleXfs count="3">
    <xf numFmtId="0" fontId="0" fillId="0" borderId="0"/>
    <xf numFmtId="0" fontId="1" fillId="0" borderId="0"/>
    <xf numFmtId="0" fontId="11" fillId="0" borderId="0" applyNumberFormat="0" applyFill="0" applyBorder="0" applyAlignment="0" applyProtection="0"/>
  </cellStyleXfs>
  <cellXfs count="171">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0" fontId="8" fillId="0" borderId="18" xfId="0" applyFont="1" applyBorder="1" applyProtection="1">
      <protection hidden="1"/>
    </xf>
    <xf numFmtId="0" fontId="8" fillId="0" borderId="17" xfId="0" applyFont="1" applyBorder="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2" fillId="0" borderId="1" xfId="0" applyFont="1" applyBorder="1" applyAlignment="1">
      <alignment horizontal="left" vertical="top" wrapText="1"/>
    </xf>
    <xf numFmtId="14" fontId="4" fillId="4" borderId="1" xfId="0" applyNumberFormat="1" applyFont="1" applyFill="1" applyBorder="1" applyAlignment="1">
      <alignment horizontal="left" vertical="top" wrapText="1"/>
    </xf>
    <xf numFmtId="0" fontId="10" fillId="5" borderId="20" xfId="0" applyFont="1" applyFill="1" applyBorder="1" applyAlignment="1">
      <alignment horizontal="left" vertical="top" wrapText="1"/>
    </xf>
    <xf numFmtId="0" fontId="10" fillId="6" borderId="20" xfId="0" applyFont="1" applyFill="1" applyBorder="1" applyAlignment="1">
      <alignment horizontal="left" vertical="top" wrapText="1"/>
    </xf>
    <xf numFmtId="0" fontId="0" fillId="5" borderId="21" xfId="0" applyFill="1" applyBorder="1"/>
    <xf numFmtId="0" fontId="0" fillId="5" borderId="22" xfId="0" applyFill="1" applyBorder="1"/>
    <xf numFmtId="0" fontId="0" fillId="5" borderId="23" xfId="0" applyFill="1" applyBorder="1"/>
    <xf numFmtId="1" fontId="3" fillId="0" borderId="1" xfId="0" applyNumberFormat="1" applyFont="1" applyBorder="1" applyAlignment="1">
      <alignment horizontal="center" vertical="top"/>
    </xf>
    <xf numFmtId="0" fontId="4" fillId="4" borderId="9" xfId="0" applyFont="1" applyFill="1" applyBorder="1" applyAlignment="1">
      <alignment horizontal="center" vertical="top" wrapText="1"/>
    </xf>
    <xf numFmtId="0" fontId="3" fillId="0" borderId="9" xfId="0" applyFont="1" applyBorder="1" applyAlignment="1">
      <alignment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8" fillId="0" borderId="0" xfId="0" applyNumberFormat="1" applyFont="1" applyProtection="1">
      <protection hidden="1"/>
    </xf>
    <xf numFmtId="0" fontId="3" fillId="0" borderId="0" xfId="0" applyFont="1" applyAlignment="1">
      <alignment vertical="top" wrapText="1"/>
    </xf>
    <xf numFmtId="0" fontId="4" fillId="4"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top"/>
    </xf>
    <xf numFmtId="0" fontId="4" fillId="0" borderId="1" xfId="0" applyFont="1" applyBorder="1" applyAlignment="1">
      <alignment horizontal="center"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5" xfId="0" applyFont="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0" borderId="1" xfId="0" applyFont="1" applyBorder="1" applyAlignment="1">
      <alignment horizontal="left" vertical="top"/>
    </xf>
    <xf numFmtId="0" fontId="4" fillId="0" borderId="1" xfId="0" applyFont="1" applyBorder="1" applyAlignment="1">
      <alignment horizontal="left" vertical="top" wrapText="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2" fontId="4" fillId="4" borderId="1" xfId="0" applyNumberFormat="1" applyFont="1" applyFill="1" applyBorder="1" applyAlignment="1">
      <alignment horizontal="left" vertical="top" wrapText="1"/>
    </xf>
    <xf numFmtId="0" fontId="4" fillId="0" borderId="7" xfId="0" applyFont="1" applyBorder="1" applyAlignment="1">
      <alignment horizontal="left" vertical="top" wrapText="1"/>
    </xf>
    <xf numFmtId="0" fontId="4" fillId="0" borderId="11" xfId="0" applyFont="1" applyBorder="1" applyAlignment="1">
      <alignment horizontal="left" vertical="top" wrapText="1"/>
    </xf>
    <xf numFmtId="0" fontId="4" fillId="0" borderId="14" xfId="0" applyFont="1" applyBorder="1" applyAlignment="1">
      <alignment horizontal="left" vertical="top" wrapText="1"/>
    </xf>
    <xf numFmtId="0" fontId="4" fillId="0" borderId="15" xfId="0" applyFont="1" applyBorder="1" applyAlignment="1">
      <alignment horizontal="left" vertical="top" wrapText="1"/>
    </xf>
    <xf numFmtId="14" fontId="4" fillId="4" borderId="6" xfId="0" applyNumberFormat="1" applyFont="1" applyFill="1" applyBorder="1" applyAlignment="1">
      <alignment horizontal="left" vertical="top" wrapText="1"/>
    </xf>
    <xf numFmtId="14" fontId="4" fillId="4" borderId="8" xfId="0" applyNumberFormat="1"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4" fillId="4" borderId="1" xfId="0" applyFont="1" applyFill="1" applyBorder="1" applyAlignment="1">
      <alignment horizontal="left" vertical="top"/>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14" fontId="4" fillId="4" borderId="2"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12" fillId="4" borderId="1" xfId="2"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0" borderId="6" xfId="0" applyFont="1" applyBorder="1" applyAlignment="1">
      <alignment horizontal="left" vertical="top" wrapText="1"/>
    </xf>
    <xf numFmtId="14" fontId="4" fillId="4" borderId="3"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11" xfId="0" applyFont="1" applyFill="1" applyBorder="1" applyAlignment="1">
      <alignment horizontal="center" vertical="top" wrapText="1"/>
    </xf>
    <xf numFmtId="1" fontId="5" fillId="0" borderId="1" xfId="1" applyNumberFormat="1" applyFont="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2" fillId="0" borderId="1" xfId="0" applyFont="1" applyBorder="1" applyAlignment="1">
      <alignment horizontal="center" vertical="center" wrapText="1"/>
    </xf>
    <xf numFmtId="0" fontId="2" fillId="2" borderId="1" xfId="0" applyFont="1" applyFill="1" applyBorder="1" applyAlignment="1">
      <alignment horizontal="left" vertical="top"/>
    </xf>
    <xf numFmtId="0" fontId="4" fillId="0" borderId="4"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9" xfId="0" applyFont="1" applyBorder="1" applyAlignment="1">
      <alignment horizontal="left" vertical="top"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0" xfId="1" applyNumberFormat="1" applyFont="1" applyFill="1" applyAlignment="1">
      <alignment horizontal="center" vertical="center" wrapText="1"/>
    </xf>
    <xf numFmtId="1" fontId="6" fillId="4" borderId="9" xfId="1" applyNumberFormat="1" applyFont="1" applyFill="1" applyBorder="1" applyAlignment="1">
      <alignment horizontal="center" vertical="center" wrapText="1"/>
    </xf>
    <xf numFmtId="1" fontId="2" fillId="4" borderId="2"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1" fontId="2" fillId="4" borderId="15" xfId="1" applyNumberFormat="1" applyFont="1" applyFill="1" applyBorder="1" applyAlignment="1">
      <alignment horizontal="center" vertical="center" wrapText="1"/>
    </xf>
    <xf numFmtId="9" fontId="2"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0066"/>
      <color rgb="FFFCF56A"/>
      <color rgb="FFFFFFFF"/>
      <color rgb="FFCC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2133599</xdr:colOff>
      <xdr:row>416</xdr:row>
      <xdr:rowOff>1</xdr:rowOff>
    </xdr:from>
    <xdr:to>
      <xdr:col>7</xdr:col>
      <xdr:colOff>1295399</xdr:colOff>
      <xdr:row>442</xdr:row>
      <xdr:rowOff>76201</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2133599" y="129779487"/>
          <a:ext cx="6498771" cy="7151914"/>
          <a:chOff x="2133600" y="117478629"/>
          <a:chExt cx="6498644" cy="8554933"/>
        </a:xfrm>
      </xdr:grpSpPr>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33600" y="121860950"/>
            <a:ext cx="6498644" cy="4172612"/>
          </a:xfrm>
          <a:prstGeom prst="rect">
            <a:avLst/>
          </a:prstGeom>
          <a:ln>
            <a:solidFill>
              <a:schemeClr val="tx1"/>
            </a:solidFill>
          </a:ln>
        </xdr:spPr>
      </xdr:pic>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133600" y="117478629"/>
            <a:ext cx="6498644" cy="4172609"/>
          </a:xfrm>
          <a:prstGeom prst="rect">
            <a:avLst/>
          </a:prstGeom>
          <a:ln>
            <a:solidFill>
              <a:schemeClr val="tx1"/>
            </a:solidFill>
          </a:ln>
        </xdr:spPr>
      </xdr:pic>
    </xdr:grpSp>
    <xdr:clientData/>
  </xdr:twoCellAnchor>
  <xdr:twoCellAnchor editAs="oneCell">
    <xdr:from>
      <xdr:col>9</xdr:col>
      <xdr:colOff>277907</xdr:colOff>
      <xdr:row>46</xdr:row>
      <xdr:rowOff>403411</xdr:rowOff>
    </xdr:from>
    <xdr:to>
      <xdr:col>24</xdr:col>
      <xdr:colOff>314664</xdr:colOff>
      <xdr:row>52</xdr:row>
      <xdr:rowOff>91396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0967678" y="22283697"/>
          <a:ext cx="10063141" cy="3307485"/>
        </a:xfrm>
        <a:prstGeom prst="rect">
          <a:avLst/>
        </a:prstGeom>
      </xdr:spPr>
    </xdr:pic>
    <xdr:clientData/>
  </xdr:twoCellAnchor>
  <xdr:twoCellAnchor>
    <xdr:from>
      <xdr:col>9</xdr:col>
      <xdr:colOff>2002970</xdr:colOff>
      <xdr:row>375</xdr:row>
      <xdr:rowOff>214993</xdr:rowOff>
    </xdr:from>
    <xdr:to>
      <xdr:col>24</xdr:col>
      <xdr:colOff>174170</xdr:colOff>
      <xdr:row>413</xdr:row>
      <xdr:rowOff>266700</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12692741" y="120197336"/>
          <a:ext cx="8218715" cy="9032421"/>
          <a:chOff x="1134834" y="118820293"/>
          <a:chExt cx="7968344" cy="8583385"/>
        </a:xfrm>
      </xdr:grpSpPr>
      <xdr:pic>
        <xdr:nvPicPr>
          <xdr:cNvPr id="19" name="Picture 18" descr="https://vsjcllp.vsjadon.com/upload/insp-232586-845.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3823605" y="123942021"/>
            <a:ext cx="2588079" cy="34507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2586-850.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390649" y="118820293"/>
            <a:ext cx="3759654" cy="501287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32586-1046.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134834" y="123947464"/>
            <a:ext cx="2588079" cy="34507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32586-862.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5246914" y="118839341"/>
            <a:ext cx="3759654" cy="501287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32586-860.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6515099" y="123952907"/>
            <a:ext cx="2588079" cy="34507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1665514</xdr:colOff>
      <xdr:row>375</xdr:row>
      <xdr:rowOff>130629</xdr:rowOff>
    </xdr:from>
    <xdr:to>
      <xdr:col>7</xdr:col>
      <xdr:colOff>1654629</xdr:colOff>
      <xdr:row>406</xdr:row>
      <xdr:rowOff>1</xdr:rowOff>
    </xdr:to>
    <xdr:grpSp>
      <xdr:nvGrpSpPr>
        <xdr:cNvPr id="36" name="Group 35">
          <a:extLst>
            <a:ext uri="{FF2B5EF4-FFF2-40B4-BE49-F238E27FC236}">
              <a16:creationId xmlns:a16="http://schemas.microsoft.com/office/drawing/2014/main" id="{BC0EF074-EB26-E223-5085-2B9D9DCF06A6}"/>
            </a:ext>
          </a:extLst>
        </xdr:cNvPr>
        <xdr:cNvGrpSpPr/>
      </xdr:nvGrpSpPr>
      <xdr:grpSpPr>
        <a:xfrm>
          <a:off x="1665514" y="120112972"/>
          <a:ext cx="7326086" cy="8305800"/>
          <a:chOff x="339811" y="185352"/>
          <a:chExt cx="5920783" cy="6523589"/>
        </a:xfrm>
      </xdr:grpSpPr>
      <xdr:pic>
        <xdr:nvPicPr>
          <xdr:cNvPr id="37" name="Picture 36">
            <a:extLst>
              <a:ext uri="{FF2B5EF4-FFF2-40B4-BE49-F238E27FC236}">
                <a16:creationId xmlns:a16="http://schemas.microsoft.com/office/drawing/2014/main" id="{AFA2BF5C-5D5B-A875-236F-A920D301A91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29811" y="4188941"/>
            <a:ext cx="1890000" cy="2520000"/>
          </a:xfrm>
          <a:prstGeom prst="rect">
            <a:avLst/>
          </a:prstGeom>
          <a:ln>
            <a:solidFill>
              <a:schemeClr val="tx1"/>
            </a:solidFill>
          </a:ln>
        </xdr:spPr>
      </xdr:pic>
      <xdr:pic>
        <xdr:nvPicPr>
          <xdr:cNvPr id="38" name="Picture 37">
            <a:extLst>
              <a:ext uri="{FF2B5EF4-FFF2-40B4-BE49-F238E27FC236}">
                <a16:creationId xmlns:a16="http://schemas.microsoft.com/office/drawing/2014/main" id="{F6BF7C58-58D8-101C-F252-3E37B4378EE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9811" y="185352"/>
            <a:ext cx="2880000" cy="3840000"/>
          </a:xfrm>
          <a:prstGeom prst="rect">
            <a:avLst/>
          </a:prstGeom>
          <a:ln>
            <a:solidFill>
              <a:schemeClr val="tx1"/>
            </a:solidFill>
          </a:ln>
        </xdr:spPr>
      </xdr:pic>
      <xdr:pic>
        <xdr:nvPicPr>
          <xdr:cNvPr id="39" name="Picture 38">
            <a:extLst>
              <a:ext uri="{FF2B5EF4-FFF2-40B4-BE49-F238E27FC236}">
                <a16:creationId xmlns:a16="http://schemas.microsoft.com/office/drawing/2014/main" id="{BCAB49B0-98A2-E102-8628-5542E2A3B45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380594" y="185352"/>
            <a:ext cx="2880000" cy="3840000"/>
          </a:xfrm>
          <a:prstGeom prst="rect">
            <a:avLst/>
          </a:prstGeom>
          <a:ln>
            <a:solidFill>
              <a:schemeClr val="tx1"/>
            </a:solidFill>
          </a:ln>
        </xdr:spPr>
      </xdr:pic>
      <xdr:pic>
        <xdr:nvPicPr>
          <xdr:cNvPr id="40" name="Picture 39">
            <a:extLst>
              <a:ext uri="{FF2B5EF4-FFF2-40B4-BE49-F238E27FC236}">
                <a16:creationId xmlns:a16="http://schemas.microsoft.com/office/drawing/2014/main" id="{7A2A812C-588D-6703-B943-E386AEA6CF7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80594" y="4188941"/>
            <a:ext cx="1890000" cy="252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GHpdSw58Hxzxmpr9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58"/>
  <sheetViews>
    <sheetView tabSelected="1" view="pageBreakPreview" topLeftCell="A39" zoomScale="70" zoomScaleNormal="85" zoomScaleSheetLayoutView="70" zoomScalePageLayoutView="70" workbookViewId="0">
      <selection activeCell="L47" sqref="L47"/>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3" customWidth="1"/>
    <col min="5" max="6" width="27.109375" style="1" customWidth="1"/>
    <col min="7" max="7" width="1.44140625" style="1" customWidth="1"/>
    <col min="8" max="8" width="24.44140625" style="1" customWidth="1"/>
    <col min="9" max="9" width="24.44140625" style="13" customWidth="1"/>
    <col min="10" max="10" width="33.88671875" style="1" customWidth="1"/>
    <col min="11" max="12" width="15.5546875" style="1" bestFit="1" customWidth="1"/>
    <col min="13" max="20" width="9.109375" style="1"/>
    <col min="21" max="23" width="0" style="1" hidden="1" customWidth="1"/>
    <col min="24" max="26" width="9.109375" style="1"/>
    <col min="27" max="27" width="7.88671875" style="1" customWidth="1"/>
    <col min="28" max="16384" width="9.109375" style="1"/>
  </cols>
  <sheetData>
    <row r="1" spans="1:12" ht="21" x14ac:dyDescent="0.3">
      <c r="A1" s="93" t="s">
        <v>43</v>
      </c>
      <c r="B1" s="94"/>
      <c r="C1" s="94"/>
      <c r="D1" s="94"/>
      <c r="E1" s="94"/>
      <c r="F1" s="94"/>
      <c r="G1" s="94"/>
      <c r="H1" s="94"/>
      <c r="I1" s="95"/>
    </row>
    <row r="2" spans="1:12" ht="42" customHeight="1" x14ac:dyDescent="0.3">
      <c r="A2" s="136" t="s">
        <v>11</v>
      </c>
      <c r="B2" s="136"/>
      <c r="C2" s="136"/>
      <c r="D2" s="4" t="s">
        <v>4</v>
      </c>
      <c r="E2" s="137" t="s">
        <v>97</v>
      </c>
      <c r="F2" s="137"/>
      <c r="G2" s="87" t="s">
        <v>15</v>
      </c>
      <c r="H2" s="87"/>
      <c r="I2" s="52">
        <v>45840</v>
      </c>
    </row>
    <row r="3" spans="1:12" ht="20.25" customHeight="1" x14ac:dyDescent="0.3">
      <c r="A3" s="76" t="s">
        <v>44</v>
      </c>
      <c r="B3" s="77"/>
      <c r="C3" s="78"/>
      <c r="D3" s="20" t="s">
        <v>4</v>
      </c>
      <c r="E3" s="107" t="s">
        <v>225</v>
      </c>
      <c r="F3" s="108"/>
      <c r="G3" s="97" t="s">
        <v>192</v>
      </c>
      <c r="H3" s="98"/>
      <c r="I3" s="101" t="s">
        <v>299</v>
      </c>
    </row>
    <row r="4" spans="1:12" ht="42.75" customHeight="1" x14ac:dyDescent="0.3">
      <c r="A4" s="76" t="s">
        <v>221</v>
      </c>
      <c r="B4" s="77"/>
      <c r="C4" s="78"/>
      <c r="D4" s="20" t="s">
        <v>4</v>
      </c>
      <c r="E4" s="71" t="s">
        <v>252</v>
      </c>
      <c r="F4" s="72"/>
      <c r="G4" s="99"/>
      <c r="H4" s="100"/>
      <c r="I4" s="102"/>
      <c r="K4" s="170">
        <v>45773</v>
      </c>
      <c r="L4" s="170">
        <v>45845</v>
      </c>
    </row>
    <row r="5" spans="1:12" ht="43.5" customHeight="1" x14ac:dyDescent="0.3">
      <c r="A5" s="76" t="s">
        <v>41</v>
      </c>
      <c r="B5" s="77"/>
      <c r="C5" s="78"/>
      <c r="D5" s="27" t="s">
        <v>4</v>
      </c>
      <c r="E5" s="71" t="s">
        <v>298</v>
      </c>
      <c r="F5" s="73"/>
      <c r="G5" s="87" t="s">
        <v>38</v>
      </c>
      <c r="H5" s="87"/>
      <c r="I5" s="52" t="str">
        <f ca="1">TEXT(TODAY(),"DD/MM/YYYY")</f>
        <v>08/07/2025</v>
      </c>
      <c r="L5" s="1">
        <f>L4-K4</f>
        <v>72</v>
      </c>
    </row>
    <row r="6" spans="1:12" ht="21" x14ac:dyDescent="0.3">
      <c r="A6" s="68" t="s">
        <v>45</v>
      </c>
      <c r="B6" s="68"/>
      <c r="C6" s="68"/>
      <c r="D6" s="68"/>
      <c r="E6" s="68"/>
      <c r="F6" s="68"/>
      <c r="G6" s="68"/>
      <c r="H6" s="68"/>
      <c r="I6" s="118"/>
    </row>
    <row r="7" spans="1:12" ht="43.5" customHeight="1" x14ac:dyDescent="0.3">
      <c r="A7" s="126" t="s">
        <v>34</v>
      </c>
      <c r="B7" s="126"/>
      <c r="C7" s="126"/>
      <c r="D7" s="2" t="s">
        <v>4</v>
      </c>
      <c r="E7" s="21" t="s">
        <v>110</v>
      </c>
      <c r="F7" s="20" t="s">
        <v>40</v>
      </c>
      <c r="G7" s="2" t="s">
        <v>4</v>
      </c>
      <c r="H7" s="70" t="s">
        <v>300</v>
      </c>
      <c r="I7" s="70"/>
    </row>
    <row r="8" spans="1:12" ht="46.5" customHeight="1" x14ac:dyDescent="0.3">
      <c r="A8" s="126" t="s">
        <v>47</v>
      </c>
      <c r="B8" s="126"/>
      <c r="C8" s="126"/>
      <c r="D8" s="2" t="s">
        <v>4</v>
      </c>
      <c r="E8" s="5" t="s">
        <v>195</v>
      </c>
      <c r="F8" s="20" t="s">
        <v>48</v>
      </c>
      <c r="G8" s="2" t="s">
        <v>4</v>
      </c>
      <c r="H8" s="71" t="s">
        <v>226</v>
      </c>
      <c r="I8" s="73"/>
    </row>
    <row r="9" spans="1:12" ht="21" x14ac:dyDescent="0.3">
      <c r="A9" s="126" t="s">
        <v>49</v>
      </c>
      <c r="B9" s="126"/>
      <c r="C9" s="126"/>
      <c r="D9" s="2" t="s">
        <v>4</v>
      </c>
      <c r="E9" s="127" t="s">
        <v>194</v>
      </c>
      <c r="F9" s="127"/>
      <c r="G9" s="127"/>
      <c r="H9" s="127"/>
      <c r="I9" s="127"/>
    </row>
    <row r="10" spans="1:12" ht="60.6" customHeight="1" x14ac:dyDescent="0.3">
      <c r="A10" s="87" t="s">
        <v>180</v>
      </c>
      <c r="B10" s="20" t="s">
        <v>4</v>
      </c>
      <c r="C10" s="20" t="s">
        <v>46</v>
      </c>
      <c r="D10" s="2" t="s">
        <v>4</v>
      </c>
      <c r="E10" s="71" t="s">
        <v>228</v>
      </c>
      <c r="F10" s="72"/>
      <c r="G10" s="72"/>
      <c r="H10" s="72"/>
      <c r="I10" s="73"/>
    </row>
    <row r="11" spans="1:12" ht="66" customHeight="1" x14ac:dyDescent="0.3">
      <c r="A11" s="87"/>
      <c r="B11" s="20" t="s">
        <v>4</v>
      </c>
      <c r="C11" s="20" t="s">
        <v>14</v>
      </c>
      <c r="D11" s="2" t="s">
        <v>4</v>
      </c>
      <c r="E11" s="71" t="s">
        <v>227</v>
      </c>
      <c r="F11" s="72"/>
      <c r="G11" s="72"/>
      <c r="H11" s="72"/>
      <c r="I11" s="73"/>
    </row>
    <row r="12" spans="1:12" ht="42" customHeight="1" x14ac:dyDescent="0.3">
      <c r="A12" s="87"/>
      <c r="B12" s="20" t="s">
        <v>4</v>
      </c>
      <c r="C12" s="20" t="s">
        <v>5</v>
      </c>
      <c r="D12" s="2" t="s">
        <v>4</v>
      </c>
      <c r="E12" s="71" t="s">
        <v>229</v>
      </c>
      <c r="F12" s="72"/>
      <c r="G12" s="72"/>
      <c r="H12" s="72"/>
      <c r="I12" s="73"/>
    </row>
    <row r="13" spans="1:12" ht="21" x14ac:dyDescent="0.3">
      <c r="A13" s="87" t="s">
        <v>39</v>
      </c>
      <c r="B13" s="87"/>
      <c r="C13" s="87"/>
      <c r="D13" s="2" t="s">
        <v>4</v>
      </c>
      <c r="E13" s="70" t="s">
        <v>193</v>
      </c>
      <c r="F13" s="70"/>
      <c r="G13" s="70"/>
      <c r="H13" s="70"/>
      <c r="I13" s="70"/>
    </row>
    <row r="14" spans="1:12" ht="20.100000000000001" customHeight="1" x14ac:dyDescent="0.3">
      <c r="A14" s="68" t="s">
        <v>50</v>
      </c>
      <c r="B14" s="68"/>
      <c r="C14" s="68"/>
      <c r="D14" s="68"/>
      <c r="E14" s="68"/>
      <c r="F14" s="68"/>
      <c r="G14" s="68"/>
      <c r="H14" s="68"/>
      <c r="I14" s="68"/>
    </row>
    <row r="15" spans="1:12" ht="45.6" customHeight="1" x14ac:dyDescent="0.3">
      <c r="A15" s="20" t="s">
        <v>32</v>
      </c>
      <c r="B15" s="2" t="s">
        <v>4</v>
      </c>
      <c r="C15" s="103" t="s">
        <v>98</v>
      </c>
      <c r="D15" s="104"/>
      <c r="E15" s="105"/>
      <c r="F15" s="16" t="s">
        <v>51</v>
      </c>
      <c r="G15" s="2" t="s">
        <v>4</v>
      </c>
      <c r="H15" s="70" t="s">
        <v>196</v>
      </c>
      <c r="I15" s="70"/>
    </row>
    <row r="16" spans="1:12" ht="42" x14ac:dyDescent="0.3">
      <c r="A16" s="20" t="s">
        <v>52</v>
      </c>
      <c r="B16" s="2" t="s">
        <v>4</v>
      </c>
      <c r="C16" s="103" t="s">
        <v>282</v>
      </c>
      <c r="D16" s="104"/>
      <c r="E16" s="105"/>
      <c r="F16" s="20" t="s">
        <v>53</v>
      </c>
      <c r="G16" s="2" t="s">
        <v>4</v>
      </c>
      <c r="H16" s="124">
        <v>46568</v>
      </c>
      <c r="I16" s="70"/>
    </row>
    <row r="17" spans="1:12" ht="42" x14ac:dyDescent="0.3">
      <c r="A17" s="48" t="s">
        <v>54</v>
      </c>
      <c r="B17" s="2" t="s">
        <v>4</v>
      </c>
      <c r="C17" s="106">
        <v>44832</v>
      </c>
      <c r="D17" s="104"/>
      <c r="E17" s="105"/>
      <c r="F17" s="20" t="s">
        <v>55</v>
      </c>
      <c r="G17" s="2" t="s">
        <v>4</v>
      </c>
      <c r="H17" s="122">
        <v>44779</v>
      </c>
      <c r="I17" s="123"/>
    </row>
    <row r="18" spans="1:12" ht="63" x14ac:dyDescent="0.3">
      <c r="A18" s="48" t="s">
        <v>56</v>
      </c>
      <c r="B18" s="2" t="s">
        <v>4</v>
      </c>
      <c r="C18" s="106">
        <f>H16</f>
        <v>46568</v>
      </c>
      <c r="D18" s="104"/>
      <c r="E18" s="105"/>
      <c r="F18" s="20" t="s">
        <v>57</v>
      </c>
      <c r="G18" s="2" t="s">
        <v>4</v>
      </c>
      <c r="H18" s="71" t="s">
        <v>197</v>
      </c>
      <c r="I18" s="73"/>
    </row>
    <row r="19" spans="1:12" ht="42" x14ac:dyDescent="0.3">
      <c r="A19" s="48" t="s">
        <v>58</v>
      </c>
      <c r="B19" s="2" t="s">
        <v>4</v>
      </c>
      <c r="C19" s="103" t="s">
        <v>219</v>
      </c>
      <c r="D19" s="104"/>
      <c r="E19" s="105"/>
      <c r="F19" s="20" t="s">
        <v>113</v>
      </c>
      <c r="G19" s="2" t="s">
        <v>4</v>
      </c>
      <c r="H19" s="70">
        <v>23125</v>
      </c>
      <c r="I19" s="70"/>
      <c r="J19" s="1">
        <f>7191*3</f>
        <v>21573</v>
      </c>
    </row>
    <row r="20" spans="1:12" ht="42" x14ac:dyDescent="0.3">
      <c r="A20" s="20" t="s">
        <v>59</v>
      </c>
      <c r="B20" s="2" t="s">
        <v>4</v>
      </c>
      <c r="C20" s="103">
        <v>3</v>
      </c>
      <c r="D20" s="104"/>
      <c r="E20" s="105"/>
      <c r="F20" s="20" t="s">
        <v>112</v>
      </c>
      <c r="G20" s="2" t="s">
        <v>4</v>
      </c>
      <c r="H20" s="70">
        <v>79419.72</v>
      </c>
      <c r="I20" s="70"/>
    </row>
    <row r="21" spans="1:12" ht="42" x14ac:dyDescent="0.3">
      <c r="A21" s="20" t="s">
        <v>111</v>
      </c>
      <c r="B21" s="2" t="s">
        <v>4</v>
      </c>
      <c r="C21" s="103" t="s">
        <v>115</v>
      </c>
      <c r="D21" s="104"/>
      <c r="E21" s="105"/>
      <c r="F21" s="6" t="s">
        <v>60</v>
      </c>
      <c r="G21" s="2" t="s">
        <v>4</v>
      </c>
      <c r="H21" s="71" t="s">
        <v>295</v>
      </c>
      <c r="I21" s="73"/>
      <c r="J21" s="1">
        <f>28+36+1+26+28+40+1+2+21+1+2+2+22+30+30+14+26+80+2+14+1+52+56+21+12+22+14+88+4+94+78</f>
        <v>848</v>
      </c>
      <c r="K21" s="1">
        <f>830</f>
        <v>830</v>
      </c>
      <c r="L21" s="1">
        <f>6+6+6</f>
        <v>18</v>
      </c>
    </row>
    <row r="22" spans="1:12" ht="42" x14ac:dyDescent="0.3">
      <c r="A22" s="20" t="s">
        <v>61</v>
      </c>
      <c r="B22" s="2" t="s">
        <v>4</v>
      </c>
      <c r="C22" s="103" t="s">
        <v>294</v>
      </c>
      <c r="D22" s="104"/>
      <c r="E22" s="105"/>
      <c r="F22" s="20" t="s">
        <v>62</v>
      </c>
      <c r="G22" s="2" t="s">
        <v>4</v>
      </c>
      <c r="H22" s="70" t="s">
        <v>218</v>
      </c>
      <c r="I22" s="70"/>
    </row>
    <row r="23" spans="1:12" ht="21" x14ac:dyDescent="0.3">
      <c r="A23" s="48" t="s">
        <v>27</v>
      </c>
      <c r="B23" s="2" t="s">
        <v>4</v>
      </c>
      <c r="C23" s="103">
        <v>19.184488000000002</v>
      </c>
      <c r="D23" s="104"/>
      <c r="E23" s="105"/>
      <c r="F23" s="28" t="s">
        <v>28</v>
      </c>
      <c r="G23" s="28" t="s">
        <v>4</v>
      </c>
      <c r="H23" s="103">
        <v>72.940765999999996</v>
      </c>
      <c r="I23" s="105"/>
    </row>
    <row r="24" spans="1:12" ht="21" x14ac:dyDescent="0.3">
      <c r="A24" s="48" t="s">
        <v>253</v>
      </c>
      <c r="B24" s="2" t="s">
        <v>4</v>
      </c>
      <c r="C24" s="125" t="s">
        <v>254</v>
      </c>
      <c r="D24" s="70"/>
      <c r="E24" s="70"/>
      <c r="F24" s="70"/>
      <c r="G24" s="70"/>
      <c r="H24" s="70"/>
      <c r="I24" s="70"/>
    </row>
    <row r="25" spans="1:12" ht="108.75" customHeight="1" x14ac:dyDescent="0.3">
      <c r="A25" s="48" t="s">
        <v>30</v>
      </c>
      <c r="B25" s="2" t="s">
        <v>4</v>
      </c>
      <c r="C25" s="70" t="s">
        <v>114</v>
      </c>
      <c r="D25" s="70"/>
      <c r="E25" s="70"/>
      <c r="F25" s="70"/>
      <c r="G25" s="70"/>
      <c r="H25" s="70"/>
      <c r="I25" s="70"/>
    </row>
    <row r="26" spans="1:12" ht="24" customHeight="1" x14ac:dyDescent="0.3">
      <c r="A26" s="93" t="s">
        <v>23</v>
      </c>
      <c r="B26" s="94"/>
      <c r="C26" s="94"/>
      <c r="D26" s="94"/>
      <c r="E26" s="94"/>
      <c r="F26" s="94"/>
      <c r="G26" s="94"/>
      <c r="H26" s="94"/>
      <c r="I26" s="95"/>
    </row>
    <row r="27" spans="1:12" ht="42" x14ac:dyDescent="0.3">
      <c r="A27" s="20" t="s">
        <v>31</v>
      </c>
      <c r="B27" s="2" t="s">
        <v>4</v>
      </c>
      <c r="C27" s="70" t="s">
        <v>99</v>
      </c>
      <c r="D27" s="70"/>
      <c r="E27" s="70"/>
      <c r="F27" s="20" t="s">
        <v>16</v>
      </c>
      <c r="G27" s="2" t="s">
        <v>4</v>
      </c>
      <c r="H27" s="70" t="s">
        <v>198</v>
      </c>
      <c r="I27" s="70"/>
    </row>
    <row r="28" spans="1:12" ht="21" x14ac:dyDescent="0.3">
      <c r="A28" s="20" t="s">
        <v>17</v>
      </c>
      <c r="B28" s="2" t="s">
        <v>4</v>
      </c>
      <c r="C28" s="70" t="s">
        <v>117</v>
      </c>
      <c r="D28" s="70"/>
      <c r="E28" s="70"/>
      <c r="F28" s="20" t="s">
        <v>181</v>
      </c>
      <c r="G28" s="2" t="s">
        <v>4</v>
      </c>
      <c r="H28" s="70" t="s">
        <v>179</v>
      </c>
      <c r="I28" s="70"/>
    </row>
    <row r="29" spans="1:12" ht="42" x14ac:dyDescent="0.3">
      <c r="A29" s="20" t="s">
        <v>26</v>
      </c>
      <c r="B29" s="2" t="s">
        <v>4</v>
      </c>
      <c r="C29" s="70" t="s">
        <v>116</v>
      </c>
      <c r="D29" s="70"/>
      <c r="E29" s="70"/>
      <c r="F29" s="20" t="s">
        <v>19</v>
      </c>
      <c r="G29" s="2" t="s">
        <v>4</v>
      </c>
      <c r="H29" s="70" t="s">
        <v>201</v>
      </c>
      <c r="I29" s="70"/>
    </row>
    <row r="30" spans="1:12" ht="42" x14ac:dyDescent="0.3">
      <c r="A30" s="48" t="s">
        <v>138</v>
      </c>
      <c r="B30" s="2" t="s">
        <v>4</v>
      </c>
      <c r="C30" s="70" t="s">
        <v>202</v>
      </c>
      <c r="D30" s="70"/>
      <c r="E30" s="70"/>
      <c r="F30" s="20" t="s">
        <v>139</v>
      </c>
      <c r="G30" s="2" t="s">
        <v>4</v>
      </c>
      <c r="H30" s="71" t="s">
        <v>200</v>
      </c>
      <c r="I30" s="73"/>
    </row>
    <row r="31" spans="1:12" ht="84" customHeight="1" x14ac:dyDescent="0.3">
      <c r="A31" s="20" t="s">
        <v>20</v>
      </c>
      <c r="B31" s="2" t="s">
        <v>4</v>
      </c>
      <c r="C31" s="70" t="s">
        <v>203</v>
      </c>
      <c r="D31" s="70"/>
      <c r="E31" s="70"/>
      <c r="F31" s="20" t="s">
        <v>18</v>
      </c>
      <c r="G31" s="2" t="s">
        <v>4</v>
      </c>
      <c r="H31" s="70" t="s">
        <v>199</v>
      </c>
      <c r="I31" s="70"/>
    </row>
    <row r="32" spans="1:12" ht="21.75" customHeight="1" x14ac:dyDescent="0.3">
      <c r="A32" s="48" t="s">
        <v>144</v>
      </c>
      <c r="B32" s="2" t="s">
        <v>4</v>
      </c>
      <c r="C32" s="70" t="s">
        <v>145</v>
      </c>
      <c r="D32" s="70"/>
      <c r="E32" s="70"/>
      <c r="F32" s="20" t="s">
        <v>146</v>
      </c>
      <c r="G32" s="2" t="s">
        <v>4</v>
      </c>
      <c r="H32" s="71" t="s">
        <v>145</v>
      </c>
      <c r="I32" s="73"/>
    </row>
    <row r="33" spans="1:9" ht="21.75" customHeight="1" x14ac:dyDescent="0.3">
      <c r="A33" s="48" t="s">
        <v>147</v>
      </c>
      <c r="B33" s="2" t="s">
        <v>4</v>
      </c>
      <c r="C33" s="71" t="s">
        <v>145</v>
      </c>
      <c r="D33" s="72"/>
      <c r="E33" s="72"/>
      <c r="F33" s="72"/>
      <c r="G33" s="72"/>
      <c r="H33" s="72"/>
      <c r="I33" s="73"/>
    </row>
    <row r="34" spans="1:9" ht="21" x14ac:dyDescent="0.3">
      <c r="A34" s="119" t="s">
        <v>42</v>
      </c>
      <c r="B34" s="120"/>
      <c r="C34" s="120"/>
      <c r="D34" s="120"/>
      <c r="E34" s="120"/>
      <c r="F34" s="120"/>
      <c r="G34" s="120"/>
      <c r="H34" s="120"/>
      <c r="I34" s="121"/>
    </row>
    <row r="35" spans="1:9" ht="42" x14ac:dyDescent="0.3">
      <c r="A35" s="76" t="s">
        <v>21</v>
      </c>
      <c r="B35" s="77"/>
      <c r="C35" s="78"/>
      <c r="D35" s="2" t="s">
        <v>4</v>
      </c>
      <c r="E35" s="21" t="s">
        <v>118</v>
      </c>
      <c r="F35" s="20" t="s">
        <v>22</v>
      </c>
      <c r="G35" s="7" t="s">
        <v>4</v>
      </c>
      <c r="H35" s="71" t="s">
        <v>119</v>
      </c>
      <c r="I35" s="73"/>
    </row>
    <row r="36" spans="1:9" ht="42" x14ac:dyDescent="0.3">
      <c r="A36" s="76" t="s">
        <v>25</v>
      </c>
      <c r="B36" s="77"/>
      <c r="C36" s="78"/>
      <c r="D36" s="2" t="s">
        <v>4</v>
      </c>
      <c r="E36" s="21" t="s">
        <v>119</v>
      </c>
      <c r="F36" s="8" t="s">
        <v>37</v>
      </c>
      <c r="G36" s="2" t="s">
        <v>4</v>
      </c>
      <c r="H36" s="71" t="s">
        <v>119</v>
      </c>
      <c r="I36" s="73"/>
    </row>
    <row r="37" spans="1:9" ht="42" x14ac:dyDescent="0.3">
      <c r="A37" s="76" t="s">
        <v>36</v>
      </c>
      <c r="B37" s="77"/>
      <c r="C37" s="78"/>
      <c r="D37" s="2" t="s">
        <v>4</v>
      </c>
      <c r="E37" s="5" t="s">
        <v>120</v>
      </c>
      <c r="F37" s="20" t="s">
        <v>24</v>
      </c>
      <c r="G37" s="23" t="s">
        <v>4</v>
      </c>
      <c r="H37" s="71" t="s">
        <v>121</v>
      </c>
      <c r="I37" s="73"/>
    </row>
    <row r="38" spans="1:9" ht="21" x14ac:dyDescent="0.3">
      <c r="A38" s="93" t="s">
        <v>0</v>
      </c>
      <c r="B38" s="94"/>
      <c r="C38" s="94"/>
      <c r="D38" s="94"/>
      <c r="E38" s="94"/>
      <c r="F38" s="94"/>
      <c r="G38" s="94"/>
      <c r="H38" s="94"/>
      <c r="I38" s="95"/>
    </row>
    <row r="39" spans="1:9" ht="21" x14ac:dyDescent="0.3">
      <c r="A39" s="79" t="s">
        <v>0</v>
      </c>
      <c r="B39" s="80"/>
      <c r="C39" s="81"/>
      <c r="D39" s="2" t="s">
        <v>4</v>
      </c>
      <c r="E39" s="9" t="s">
        <v>1</v>
      </c>
      <c r="F39" s="9" t="s">
        <v>6</v>
      </c>
      <c r="G39" s="79" t="s">
        <v>2</v>
      </c>
      <c r="H39" s="81"/>
      <c r="I39" s="9" t="s">
        <v>3</v>
      </c>
    </row>
    <row r="40" spans="1:9" ht="21" x14ac:dyDescent="0.3">
      <c r="A40" s="76" t="s">
        <v>7</v>
      </c>
      <c r="B40" s="77"/>
      <c r="C40" s="78"/>
      <c r="D40" s="2" t="s">
        <v>4</v>
      </c>
      <c r="E40" s="22" t="s">
        <v>207</v>
      </c>
      <c r="F40" s="22" t="s">
        <v>206</v>
      </c>
      <c r="G40" s="82" t="s">
        <v>205</v>
      </c>
      <c r="H40" s="83"/>
      <c r="I40" s="22" t="s">
        <v>206</v>
      </c>
    </row>
    <row r="41" spans="1:9" ht="20.25" customHeight="1" x14ac:dyDescent="0.3">
      <c r="A41" s="76" t="s">
        <v>8</v>
      </c>
      <c r="B41" s="77"/>
      <c r="C41" s="78"/>
      <c r="D41" s="2" t="s">
        <v>4</v>
      </c>
      <c r="E41" s="22" t="s">
        <v>207</v>
      </c>
      <c r="F41" s="22" t="s">
        <v>206</v>
      </c>
      <c r="G41" s="82" t="s">
        <v>204</v>
      </c>
      <c r="H41" s="83"/>
      <c r="I41" s="22" t="s">
        <v>206</v>
      </c>
    </row>
    <row r="42" spans="1:9" ht="20.25" customHeight="1" x14ac:dyDescent="0.3">
      <c r="A42" s="76" t="s">
        <v>12</v>
      </c>
      <c r="B42" s="77"/>
      <c r="C42" s="78"/>
      <c r="D42" s="2" t="s">
        <v>4</v>
      </c>
      <c r="E42" s="17" t="s">
        <v>116</v>
      </c>
      <c r="F42" s="20" t="s">
        <v>13</v>
      </c>
      <c r="G42" s="2" t="s">
        <v>4</v>
      </c>
      <c r="H42" s="71" t="s">
        <v>115</v>
      </c>
      <c r="I42" s="73"/>
    </row>
    <row r="43" spans="1:9" ht="21" x14ac:dyDescent="0.3">
      <c r="A43" s="93" t="s">
        <v>63</v>
      </c>
      <c r="B43" s="94"/>
      <c r="C43" s="94"/>
      <c r="D43" s="94"/>
      <c r="E43" s="94"/>
      <c r="F43" s="94"/>
      <c r="G43" s="94"/>
      <c r="H43" s="94"/>
      <c r="I43" s="95"/>
    </row>
    <row r="44" spans="1:9" ht="21" customHeight="1" x14ac:dyDescent="0.3">
      <c r="A44" s="74" t="s">
        <v>64</v>
      </c>
      <c r="B44" s="74"/>
      <c r="C44" s="74" t="s">
        <v>65</v>
      </c>
      <c r="D44" s="74"/>
      <c r="E44" s="74" t="s">
        <v>178</v>
      </c>
      <c r="F44" s="74"/>
      <c r="G44" s="74"/>
      <c r="H44" s="74" t="s">
        <v>66</v>
      </c>
      <c r="I44" s="74"/>
    </row>
    <row r="45" spans="1:9" ht="33.75" customHeight="1" x14ac:dyDescent="0.3">
      <c r="A45" s="69" t="s">
        <v>230</v>
      </c>
      <c r="B45" s="69"/>
      <c r="C45" s="75" t="s">
        <v>100</v>
      </c>
      <c r="D45" s="75"/>
      <c r="E45" s="70" t="s">
        <v>266</v>
      </c>
      <c r="F45" s="70"/>
      <c r="G45" s="70"/>
      <c r="H45" s="70" t="s">
        <v>266</v>
      </c>
      <c r="I45" s="70"/>
    </row>
    <row r="46" spans="1:9" ht="33" customHeight="1" x14ac:dyDescent="0.3">
      <c r="A46" s="69" t="s">
        <v>231</v>
      </c>
      <c r="B46" s="69"/>
      <c r="C46" s="75" t="s">
        <v>100</v>
      </c>
      <c r="D46" s="75"/>
      <c r="E46" s="70" t="s">
        <v>266</v>
      </c>
      <c r="F46" s="70"/>
      <c r="G46" s="70"/>
      <c r="H46" s="70" t="s">
        <v>266</v>
      </c>
      <c r="I46" s="70"/>
    </row>
    <row r="47" spans="1:9" ht="33.75" customHeight="1" x14ac:dyDescent="0.3">
      <c r="A47" s="69" t="s">
        <v>232</v>
      </c>
      <c r="B47" s="69"/>
      <c r="C47" s="75" t="s">
        <v>100</v>
      </c>
      <c r="D47" s="75"/>
      <c r="E47" s="70" t="s">
        <v>266</v>
      </c>
      <c r="F47" s="70"/>
      <c r="G47" s="70"/>
      <c r="H47" s="70" t="s">
        <v>266</v>
      </c>
      <c r="I47" s="70"/>
    </row>
    <row r="48" spans="1:9" ht="21" x14ac:dyDescent="0.3">
      <c r="A48" s="68" t="s">
        <v>67</v>
      </c>
      <c r="B48" s="68"/>
      <c r="C48" s="68"/>
      <c r="D48" s="68"/>
      <c r="E48" s="68"/>
      <c r="F48" s="68"/>
      <c r="G48" s="68"/>
      <c r="H48" s="68"/>
      <c r="I48" s="68"/>
    </row>
    <row r="49" spans="1:12" ht="42.75" customHeight="1" x14ac:dyDescent="0.3">
      <c r="A49" s="51" t="s">
        <v>68</v>
      </c>
      <c r="B49" s="16" t="s">
        <v>4</v>
      </c>
      <c r="C49" s="71" t="s">
        <v>116</v>
      </c>
      <c r="D49" s="72"/>
      <c r="E49" s="72"/>
      <c r="F49" s="72"/>
      <c r="G49" s="72"/>
      <c r="H49" s="72"/>
      <c r="I49" s="73"/>
    </row>
    <row r="50" spans="1:12" ht="49.2" customHeight="1" x14ac:dyDescent="0.3">
      <c r="A50" s="51" t="s">
        <v>69</v>
      </c>
      <c r="B50" s="16" t="s">
        <v>4</v>
      </c>
      <c r="C50" s="71" t="s">
        <v>265</v>
      </c>
      <c r="D50" s="72"/>
      <c r="E50" s="72"/>
      <c r="F50" s="72"/>
      <c r="G50" s="72" t="s">
        <v>4</v>
      </c>
      <c r="H50" s="72"/>
      <c r="I50" s="73"/>
      <c r="L50" s="65"/>
    </row>
    <row r="51" spans="1:12" ht="43.95" customHeight="1" x14ac:dyDescent="0.3">
      <c r="A51" s="51" t="s">
        <v>70</v>
      </c>
      <c r="B51" s="16" t="s">
        <v>4</v>
      </c>
      <c r="C51" s="71" t="s">
        <v>262</v>
      </c>
      <c r="D51" s="72"/>
      <c r="E51" s="72"/>
      <c r="F51" s="72"/>
      <c r="G51" s="72"/>
      <c r="H51" s="72"/>
      <c r="I51" s="73"/>
      <c r="L51" s="65"/>
    </row>
    <row r="52" spans="1:12" ht="93" customHeight="1" x14ac:dyDescent="0.3">
      <c r="A52" s="51" t="s">
        <v>101</v>
      </c>
      <c r="B52" s="16" t="s">
        <v>4</v>
      </c>
      <c r="C52" s="71" t="s">
        <v>264</v>
      </c>
      <c r="D52" s="72"/>
      <c r="E52" s="72"/>
      <c r="F52" s="72"/>
      <c r="G52" s="72"/>
      <c r="H52" s="72"/>
      <c r="I52" s="73"/>
      <c r="L52" s="65" t="s">
        <v>263</v>
      </c>
    </row>
    <row r="53" spans="1:12" ht="66.75" customHeight="1" x14ac:dyDescent="0.3">
      <c r="A53" s="51" t="s">
        <v>71</v>
      </c>
      <c r="B53" s="16" t="s">
        <v>4</v>
      </c>
      <c r="C53" s="70" t="s">
        <v>209</v>
      </c>
      <c r="D53" s="70"/>
      <c r="E53" s="70"/>
      <c r="F53" s="51" t="s">
        <v>72</v>
      </c>
      <c r="G53" s="16" t="s">
        <v>4</v>
      </c>
      <c r="H53" s="70" t="s">
        <v>208</v>
      </c>
      <c r="I53" s="70"/>
    </row>
    <row r="54" spans="1:12" ht="45" hidden="1" customHeight="1" x14ac:dyDescent="0.3">
      <c r="A54" s="51" t="s">
        <v>73</v>
      </c>
      <c r="B54" s="16" t="s">
        <v>4</v>
      </c>
      <c r="C54" s="70" t="s">
        <v>115</v>
      </c>
      <c r="D54" s="70"/>
      <c r="E54" s="70"/>
      <c r="F54" s="51" t="s">
        <v>74</v>
      </c>
      <c r="G54" s="16" t="s">
        <v>4</v>
      </c>
      <c r="H54" s="70"/>
      <c r="I54" s="70"/>
    </row>
    <row r="55" spans="1:12" ht="21.6" thickBot="1" x14ac:dyDescent="0.35">
      <c r="A55" s="68" t="s">
        <v>75</v>
      </c>
      <c r="B55" s="68"/>
      <c r="C55" s="68"/>
      <c r="D55" s="68"/>
      <c r="E55" s="68"/>
      <c r="F55" s="68"/>
      <c r="G55" s="68"/>
      <c r="H55" s="68"/>
      <c r="I55" s="68"/>
    </row>
    <row r="56" spans="1:12" ht="20.25" customHeight="1" x14ac:dyDescent="0.4">
      <c r="A56" s="162" t="s">
        <v>267</v>
      </c>
      <c r="B56" s="162"/>
      <c r="C56" s="162"/>
      <c r="D56" s="158" t="s">
        <v>4</v>
      </c>
      <c r="E56" s="62" t="s">
        <v>148</v>
      </c>
      <c r="F56" s="159" t="s">
        <v>134</v>
      </c>
      <c r="G56" s="159"/>
      <c r="H56" s="62" t="s">
        <v>149</v>
      </c>
      <c r="I56" s="62" t="s">
        <v>150</v>
      </c>
      <c r="J56" s="37" t="str">
        <f ca="1">(IF(F59&gt;99%,"All work completed. Please provide OC.",IF(F59&gt;89.8%,"Plinth, RCC, Brick, Plaster, Flooring, Wooden, Plumbing, Electrification, etc., work Completed. Finishing work is in process.",IF(F59&lt;94%,(IF(C59=0,"Work not yet Started.",IF(E59=25%,"Piling work in process",IF(E59=50%,"Excavation work in process",IF(E59=100%,"Excavation work Completed. ","0")))&amp;(IF(C60=0%,"",IF(C60=K61,"Footing work is process",IF(C60=K62,"Footing work Completed",IF(C60=K63,"1st Basement Completed",IF(C60=K64,"1st &amp; 2nd Basement Completed",IF(C60=K65,"1st to 3rd Basement Completed",IF(C60=K66,"1st to 4th Basement Completed",IF(C60=K67,"Plinth work is process",IF(C60=K68,"Plinth work completed","0")))))))))))&amp;(IF(C61=(F57+H57+I57),", RCC Slab",IF(C61&gt;0,", RCC upto "&amp;C61&amp;" Slab",""))&amp;(IF(C62=I57,", Brickwork",IF(C62&gt;0,", Brickwork upto "&amp;C62&amp;" Floor",""))&amp;(IF(C63=I57,", Internal Plaster",IF(C63&gt;0,", Internal Plaster upto "&amp;C63&amp;" Floor",""))&amp;(IF(C64=I57,", External Plaster",IF(C64&gt;0,", External Plaster upto "&amp;C64&amp;" Floor",""))&amp;(IF(C65=I57,", External Plumbing, Elevation and Waterproofing",IF(C65&gt;0,", External Plumbing, Elevation and Waterproofing upto "&amp;C65&amp;" Floor",""))&amp;(IF(C66=I57,", Flooring &amp; Fitting",IF(C66&gt;0,", Flooring &amp; Fitting upto "&amp;C66&amp;" Floor",""))&amp;(IF(C67=I57,", Wooden Work",IF(C67&gt;0,", Wooden Work upto "&amp;C67&amp;" Floor",""))&amp;(IF(C68=I57,", Electrical &amp; Sanitary fittings",IF(C68&gt;0,", Electrical &amp; Sanitary fittings upto "&amp;C68&amp;" Floor",""))&amp;(IF(C69&gt;0,", Finishing upto "&amp;C69&amp;" Floor","")&amp;(IF(C61&gt;0.5," Completed",""))))))))))))))))</f>
        <v>Excavation work Completed. Plinth work completed, RCC upto 41 Slab, Brickwork upto 40 Floor, Internal Plaster upto 36 Floor, External Plaster upto 36 Floor, External Plumbing, Elevation and Waterproofing upto 20 Floor, Flooring &amp; Fitting upto 20 Floor Completed</v>
      </c>
      <c r="K56" s="39"/>
    </row>
    <row r="57" spans="1:12" ht="21" x14ac:dyDescent="0.4">
      <c r="A57" s="162"/>
      <c r="B57" s="162"/>
      <c r="C57" s="162"/>
      <c r="D57" s="158"/>
      <c r="E57" s="62">
        <v>1</v>
      </c>
      <c r="F57" s="159">
        <v>1</v>
      </c>
      <c r="G57" s="159"/>
      <c r="H57" s="62">
        <v>0</v>
      </c>
      <c r="I57" s="62">
        <f ca="1">--TRIM(RIGHT(SUBSTITUTE(LEFT(A56,_xlfn.AGGREGATE(16,6,FIND({0,1,2,3,4,5,6,7,8,9},A56,ROW(INDIRECT("1:"&amp;LEN(A56)))),1))," ",REPT(" ",LEN(A56))),LEN(A56)))</f>
        <v>54</v>
      </c>
      <c r="J57" s="38" t="s">
        <v>154</v>
      </c>
      <c r="K57" s="39"/>
    </row>
    <row r="58" spans="1:12" ht="20.25" customHeight="1" x14ac:dyDescent="0.4">
      <c r="A58" s="160" t="s">
        <v>152</v>
      </c>
      <c r="B58" s="160"/>
      <c r="C58" s="160" t="s">
        <v>163</v>
      </c>
      <c r="D58" s="160"/>
      <c r="E58" s="63" t="s">
        <v>164</v>
      </c>
      <c r="F58" s="160" t="s">
        <v>153</v>
      </c>
      <c r="G58" s="160"/>
      <c r="H58" s="47" t="s">
        <v>151</v>
      </c>
      <c r="I58" s="47"/>
      <c r="J58" s="41" t="s">
        <v>165</v>
      </c>
      <c r="K58" s="40">
        <f ca="1">I57*25%</f>
        <v>13.5</v>
      </c>
    </row>
    <row r="59" spans="1:12" ht="20.25" customHeight="1" x14ac:dyDescent="0.4">
      <c r="A59" s="161" t="s">
        <v>166</v>
      </c>
      <c r="B59" s="161"/>
      <c r="C59" s="159">
        <f ca="1">K60</f>
        <v>54</v>
      </c>
      <c r="D59" s="159"/>
      <c r="E59" s="61">
        <f ca="1">((100/I57)*C59)/100</f>
        <v>1</v>
      </c>
      <c r="F59" s="161">
        <f ca="1">(((C59/I57*5)+(C60/I57*20)+(25/(F57+H57+I57)*C61)+(5/(I57)*C62)+(2.5/(I57)*C63)+(2.5/(I57)*C64)+(5/I57*C65)+(10/I57*C66)+(2.5/I57*C67)+(2.5/I57*C68)+(10/I57*C69)+(10/I57*C70))/100)</f>
        <v>0.56228956228956228</v>
      </c>
      <c r="G59" s="161"/>
      <c r="H59" s="161" t="str">
        <f ca="1">J56</f>
        <v>Excavation work Completed. Plinth work completed, RCC upto 41 Slab, Brickwork upto 40 Floor, Internal Plaster upto 36 Floor, External Plaster upto 36 Floor, External Plumbing, Elevation and Waterproofing upto 20 Floor, Flooring &amp; Fitting upto 20 Floor Completed</v>
      </c>
      <c r="I59" s="161"/>
      <c r="J59" s="41" t="s">
        <v>155</v>
      </c>
      <c r="K59" s="43">
        <f ca="1">I57*50%</f>
        <v>27</v>
      </c>
    </row>
    <row r="60" spans="1:12" ht="21" x14ac:dyDescent="0.4">
      <c r="A60" s="161" t="s">
        <v>135</v>
      </c>
      <c r="B60" s="161"/>
      <c r="C60" s="163">
        <v>54</v>
      </c>
      <c r="D60" s="159"/>
      <c r="E60" s="61">
        <f ca="1">((100/I57)*C60)/100</f>
        <v>1</v>
      </c>
      <c r="F60" s="161"/>
      <c r="G60" s="161"/>
      <c r="H60" s="161"/>
      <c r="I60" s="161"/>
      <c r="J60" s="41" t="s">
        <v>156</v>
      </c>
      <c r="K60" s="43">
        <f ca="1">I57</f>
        <v>54</v>
      </c>
    </row>
    <row r="61" spans="1:12" ht="21" customHeight="1" x14ac:dyDescent="0.4">
      <c r="A61" s="161" t="s">
        <v>167</v>
      </c>
      <c r="B61" s="161"/>
      <c r="C61" s="159">
        <v>41</v>
      </c>
      <c r="D61" s="159"/>
      <c r="E61" s="61">
        <f ca="1">((100/(F57+H57+I57))*C61)/100</f>
        <v>0.74545454545454548</v>
      </c>
      <c r="F61" s="161"/>
      <c r="G61" s="161"/>
      <c r="H61" s="161"/>
      <c r="I61" s="161"/>
      <c r="J61" s="41" t="s">
        <v>157</v>
      </c>
      <c r="K61" s="44">
        <f ca="1">(IF(E57&gt;1,(I57/(E57+2)),I57/4))</f>
        <v>13.5</v>
      </c>
    </row>
    <row r="62" spans="1:12" ht="21" customHeight="1" x14ac:dyDescent="0.4">
      <c r="A62" s="161" t="s">
        <v>168</v>
      </c>
      <c r="B62" s="161"/>
      <c r="C62" s="159">
        <f>C61-F57</f>
        <v>40</v>
      </c>
      <c r="D62" s="159"/>
      <c r="E62" s="61">
        <f ca="1">((100/I57)*C62)/100</f>
        <v>0.74074074074074081</v>
      </c>
      <c r="F62" s="161"/>
      <c r="G62" s="161"/>
      <c r="H62" s="161"/>
      <c r="I62" s="161"/>
      <c r="J62" s="41" t="s">
        <v>158</v>
      </c>
      <c r="K62" s="44">
        <f ca="1">(IF(E57&gt;1,(I57/(E57+2)+K61),I57/4+K61))</f>
        <v>27</v>
      </c>
    </row>
    <row r="63" spans="1:12" ht="21" customHeight="1" x14ac:dyDescent="0.4">
      <c r="A63" s="164" t="s">
        <v>169</v>
      </c>
      <c r="B63" s="165"/>
      <c r="C63" s="163">
        <f>C62*0.9</f>
        <v>36</v>
      </c>
      <c r="D63" s="163"/>
      <c r="E63" s="61">
        <f ca="1">((100/I57)*C63)/100</f>
        <v>0.66666666666666674</v>
      </c>
      <c r="F63" s="161"/>
      <c r="G63" s="161"/>
      <c r="H63" s="161"/>
      <c r="I63" s="161"/>
      <c r="J63" s="41" t="s">
        <v>170</v>
      </c>
      <c r="K63" s="44">
        <f>(IF(E57&gt;1,(I57/(E57+2)+K62),0))</f>
        <v>0</v>
      </c>
    </row>
    <row r="64" spans="1:12" ht="21" customHeight="1" x14ac:dyDescent="0.4">
      <c r="A64" s="164" t="s">
        <v>258</v>
      </c>
      <c r="B64" s="165"/>
      <c r="C64" s="163">
        <f>C63</f>
        <v>36</v>
      </c>
      <c r="D64" s="163"/>
      <c r="E64" s="61">
        <f ca="1">((100/I57)*C64)/100</f>
        <v>0.66666666666666674</v>
      </c>
      <c r="F64" s="161"/>
      <c r="G64" s="161"/>
      <c r="H64" s="161"/>
      <c r="I64" s="161"/>
      <c r="J64" s="41" t="s">
        <v>171</v>
      </c>
      <c r="K64" s="44">
        <f>(IF(E57&gt;2,(I57/(E57+2)+K63),0))</f>
        <v>0</v>
      </c>
    </row>
    <row r="65" spans="1:13" ht="57.75" customHeight="1" x14ac:dyDescent="0.4">
      <c r="A65" s="164" t="s">
        <v>259</v>
      </c>
      <c r="B65" s="165"/>
      <c r="C65" s="159">
        <v>20</v>
      </c>
      <c r="D65" s="159"/>
      <c r="E65" s="61">
        <f ca="1">((100/(I57))*C65)/100</f>
        <v>0.37037037037037041</v>
      </c>
      <c r="F65" s="161"/>
      <c r="G65" s="161"/>
      <c r="H65" s="161"/>
      <c r="I65" s="161"/>
      <c r="J65" s="41" t="s">
        <v>173</v>
      </c>
      <c r="K65" s="45">
        <f>(IF(E57&gt;3,(I57/(E57+2)+K64),0))</f>
        <v>0</v>
      </c>
    </row>
    <row r="66" spans="1:13" ht="21" x14ac:dyDescent="0.4">
      <c r="A66" s="161" t="s">
        <v>172</v>
      </c>
      <c r="B66" s="161"/>
      <c r="C66" s="159">
        <v>20</v>
      </c>
      <c r="D66" s="159"/>
      <c r="E66" s="61">
        <f ca="1">((100/(I57))*C66)/100</f>
        <v>0.37037037037037041</v>
      </c>
      <c r="F66" s="161"/>
      <c r="G66" s="161"/>
      <c r="H66" s="161"/>
      <c r="I66" s="161"/>
      <c r="J66" s="41" t="s">
        <v>174</v>
      </c>
      <c r="K66" s="44">
        <f>(IF(E57&gt;4,(I57/(E57+2)+K65),0))</f>
        <v>0</v>
      </c>
    </row>
    <row r="67" spans="1:13" ht="21" customHeight="1" x14ac:dyDescent="0.4">
      <c r="A67" s="161" t="s">
        <v>260</v>
      </c>
      <c r="B67" s="161"/>
      <c r="C67" s="159">
        <v>0</v>
      </c>
      <c r="D67" s="159"/>
      <c r="E67" s="61">
        <f ca="1">((100/I57)*C67)/100</f>
        <v>0</v>
      </c>
      <c r="F67" s="161"/>
      <c r="G67" s="161"/>
      <c r="H67" s="161"/>
      <c r="I67" s="161"/>
      <c r="J67" s="41" t="s">
        <v>159</v>
      </c>
      <c r="K67" s="44">
        <f ca="1">(IF(E57=1,(I57/(E57+3)+K62),IF(E57=0,(I57/4+K62),IF(E57&gt;1,0))))</f>
        <v>40.5</v>
      </c>
    </row>
    <row r="68" spans="1:13" ht="41.25" customHeight="1" thickBot="1" x14ac:dyDescent="0.45">
      <c r="A68" s="161" t="s">
        <v>261</v>
      </c>
      <c r="B68" s="161"/>
      <c r="C68" s="159">
        <v>0</v>
      </c>
      <c r="D68" s="159"/>
      <c r="E68" s="61">
        <f ca="1">((100/I57)*C68)/100</f>
        <v>0</v>
      </c>
      <c r="F68" s="161"/>
      <c r="G68" s="161"/>
      <c r="H68" s="161"/>
      <c r="I68" s="161"/>
      <c r="J68" s="42" t="s">
        <v>160</v>
      </c>
      <c r="K68" s="46">
        <f ca="1">(IF(E57&gt;1.5,(I57/(E57+2)+K61+MAX(0,K62-K61)+MAX(0,K63-K62)+MAX(0,K64-K63)+MAX(0,K65-K64)+MAX(0,K66-K65)),IF(E57=1,(I57/(E57+3)+K67),IF(E57=0,I57/4+K67))))</f>
        <v>54</v>
      </c>
      <c r="M68" s="1" t="e">
        <f>(IF(D56&gt;1.5,(H56/(D56+2)+J61+MAX(0,J62-J61)+MAX(0,J63-J62)+MAX(0,J64-J63)+MAX(0,J65-J64)+MAX(0,J66-J65)),IF(D56=1,(H56/(D56+3)+J66),IF(D56=0,H56*0.3+J66))))</f>
        <v>#VALUE!</v>
      </c>
    </row>
    <row r="69" spans="1:13" ht="21" x14ac:dyDescent="0.3">
      <c r="A69" s="161" t="s">
        <v>175</v>
      </c>
      <c r="B69" s="161"/>
      <c r="C69" s="159">
        <v>0</v>
      </c>
      <c r="D69" s="159"/>
      <c r="E69" s="61">
        <f ca="1">((100/(I57))*C69)/100</f>
        <v>0</v>
      </c>
      <c r="F69" s="161"/>
      <c r="G69" s="161"/>
      <c r="H69" s="161"/>
      <c r="I69" s="161"/>
    </row>
    <row r="70" spans="1:13" ht="21" x14ac:dyDescent="0.3">
      <c r="A70" s="161" t="s">
        <v>176</v>
      </c>
      <c r="B70" s="161"/>
      <c r="C70" s="159">
        <v>0</v>
      </c>
      <c r="D70" s="159"/>
      <c r="E70" s="61">
        <f ca="1">((100/(I57))*C70)/100</f>
        <v>0</v>
      </c>
      <c r="F70" s="161"/>
      <c r="G70" s="161"/>
      <c r="H70" s="161"/>
      <c r="I70" s="161"/>
    </row>
    <row r="71" spans="1:13" ht="21.6" thickBot="1" x14ac:dyDescent="0.35">
      <c r="A71" s="68" t="s">
        <v>75</v>
      </c>
      <c r="B71" s="68"/>
      <c r="C71" s="68"/>
      <c r="D71" s="68"/>
      <c r="E71" s="68"/>
      <c r="F71" s="68"/>
      <c r="G71" s="68"/>
      <c r="H71" s="68"/>
      <c r="I71" s="68"/>
    </row>
    <row r="72" spans="1:13" ht="20.25" customHeight="1" x14ac:dyDescent="0.4">
      <c r="A72" s="162" t="s">
        <v>268</v>
      </c>
      <c r="B72" s="162"/>
      <c r="C72" s="162"/>
      <c r="D72" s="158" t="s">
        <v>4</v>
      </c>
      <c r="E72" s="62" t="s">
        <v>148</v>
      </c>
      <c r="F72" s="159" t="s">
        <v>134</v>
      </c>
      <c r="G72" s="159"/>
      <c r="H72" s="62" t="s">
        <v>149</v>
      </c>
      <c r="I72" s="62" t="s">
        <v>150</v>
      </c>
      <c r="J72" s="37" t="str">
        <f ca="1">(IF(F75&gt;99%,"All work completed. Please provide OC.",IF(F75&gt;89.8%,"Plinth, RCC, Brick, Plaster, Flooring, Wooden, Plumbing, Electrification, etc., work Completed. Finishing work is in process.",IF(F75&lt;94%,(IF(C75=0,"Work not yet Started.",IF(E75=25%,"Piling work in process",IF(E75=50%,"Excavation work in process",IF(E75=100%,"Excavation work Completed. ","0")))&amp;(IF(C76=0%,"",IF(C76=K77,"Footing work is process",IF(C76=K78,"Footing work Completed",IF(C76=K79,"1st Basement Completed",IF(C76=K80,"1st &amp; 2nd Basement Completed",IF(C76=K81,"1st to 3rd Basement Completed",IF(C76=K82,"1st to 4th Basement Completed",IF(C76=K83,"Plinth work is process",IF(C76=K84,"Plinth work completed","0")))))))))))&amp;(IF(C77=(F73+H73+I73),", RCC Slab",IF(C77&gt;0,", RCC upto "&amp;C77&amp;" Slab",""))&amp;(IF(C78=I73,", Brickwork",IF(C78&gt;0,", Brickwork upto "&amp;C78&amp;" Floor",""))&amp;(IF(C79=I73,", Internal Plaster",IF(C79&gt;0,", Internal Plaster upto "&amp;C79&amp;" Floor",""))&amp;(IF(C80=I73,", External Plaster",IF(C80&gt;0,", External Plaster upto "&amp;C80&amp;" Floor",""))&amp;(IF(C81=I73,", External Plumbing, Elevation and Waterproofing",IF(C81&gt;0,", External Plumbing, Elevation and Waterproofing upto "&amp;C81&amp;" Floor",""))&amp;(IF(C82=I73,", Flooring &amp; Fitting",IF(C82&gt;0,", Flooring &amp; Fitting upto "&amp;C82&amp;" Floor",""))&amp;(IF(C83=I73,", Wooden Work",IF(C83&gt;0,", Wooden Work upto "&amp;C83&amp;" Floor",""))&amp;(IF(C84=I73,", Electrical &amp; Sanitary fittings",IF(C84&gt;0,", Electrical &amp; Sanitary fittings upto "&amp;C84&amp;" Floor",""))&amp;(IF(C85&gt;0,", Finishing upto "&amp;C85&amp;" Floor","")&amp;(IF(C77&gt;0.5," Completed",""))))))))))))))))</f>
        <v>Excavation work Completed. Plinth work completed, RCC upto 42 Slab, Brickwork upto 41 Floor, Internal Plaster upto 32.8 Floor, External Plaster upto 32.8 Floor, External Plumbing, Elevation and Waterproofing upto 25 Floor, Flooring &amp; Fitting upto 25 Floor Completed</v>
      </c>
      <c r="K72" s="39"/>
    </row>
    <row r="73" spans="1:13" ht="21" x14ac:dyDescent="0.4">
      <c r="A73" s="162"/>
      <c r="B73" s="162"/>
      <c r="C73" s="162"/>
      <c r="D73" s="158"/>
      <c r="E73" s="62">
        <v>1</v>
      </c>
      <c r="F73" s="159">
        <v>1</v>
      </c>
      <c r="G73" s="159"/>
      <c r="H73" s="62">
        <v>0</v>
      </c>
      <c r="I73" s="62">
        <f ca="1">--TRIM(RIGHT(SUBSTITUTE(LEFT(A72,_xlfn.AGGREGATE(16,6,FIND({0,1,2,3,4,5,6,7,8,9},A72,ROW(INDIRECT("1:"&amp;LEN(A72)))),1))," ",REPT(" ",LEN(A72))),LEN(A72)))</f>
        <v>54</v>
      </c>
      <c r="J73" s="38" t="s">
        <v>154</v>
      </c>
      <c r="K73" s="39"/>
    </row>
    <row r="74" spans="1:13" ht="20.25" customHeight="1" x14ac:dyDescent="0.4">
      <c r="A74" s="160" t="s">
        <v>152</v>
      </c>
      <c r="B74" s="160"/>
      <c r="C74" s="160" t="s">
        <v>163</v>
      </c>
      <c r="D74" s="160"/>
      <c r="E74" s="63" t="s">
        <v>164</v>
      </c>
      <c r="F74" s="160" t="s">
        <v>153</v>
      </c>
      <c r="G74" s="160"/>
      <c r="H74" s="47" t="s">
        <v>151</v>
      </c>
      <c r="I74" s="47"/>
      <c r="J74" s="41" t="s">
        <v>165</v>
      </c>
      <c r="K74" s="40">
        <f ca="1">I73*25%</f>
        <v>13.5</v>
      </c>
    </row>
    <row r="75" spans="1:13" ht="20.25" customHeight="1" x14ac:dyDescent="0.4">
      <c r="A75" s="161" t="s">
        <v>166</v>
      </c>
      <c r="B75" s="161"/>
      <c r="C75" s="159">
        <f ca="1">K76</f>
        <v>54</v>
      </c>
      <c r="D75" s="159"/>
      <c r="E75" s="61">
        <f ca="1">((100/I73)*C75)/100</f>
        <v>1</v>
      </c>
      <c r="F75" s="161">
        <f ca="1">(((C75/I73*5)+(C76/I73*20)+(25/(F73+H73+I73)*C77)+(5/(I73)*C78)+(2.5/(I73)*C79)+(2.5/(I73)*C80)+(5/I73*C81)+(10/I73*C82)+(2.5/I73*C83)+(2.5/I73*C84)+(10/I73*C85)+(10/I73*C86))/100)</f>
        <v>0.5786868686868688</v>
      </c>
      <c r="G75" s="161"/>
      <c r="H75" s="161" t="str">
        <f ca="1">J72</f>
        <v>Excavation work Completed. Plinth work completed, RCC upto 42 Slab, Brickwork upto 41 Floor, Internal Plaster upto 32.8 Floor, External Plaster upto 32.8 Floor, External Plumbing, Elevation and Waterproofing upto 25 Floor, Flooring &amp; Fitting upto 25 Floor Completed</v>
      </c>
      <c r="I75" s="161"/>
      <c r="J75" s="41" t="s">
        <v>155</v>
      </c>
      <c r="K75" s="43">
        <f ca="1">I73*50%</f>
        <v>27</v>
      </c>
    </row>
    <row r="76" spans="1:13" ht="21" x14ac:dyDescent="0.4">
      <c r="A76" s="161" t="s">
        <v>135</v>
      </c>
      <c r="B76" s="161"/>
      <c r="C76" s="163">
        <v>54</v>
      </c>
      <c r="D76" s="159"/>
      <c r="E76" s="61">
        <f ca="1">((100/I73)*C76)/100</f>
        <v>1</v>
      </c>
      <c r="F76" s="161"/>
      <c r="G76" s="161"/>
      <c r="H76" s="161"/>
      <c r="I76" s="161"/>
      <c r="J76" s="41" t="s">
        <v>156</v>
      </c>
      <c r="K76" s="43">
        <f ca="1">I73</f>
        <v>54</v>
      </c>
    </row>
    <row r="77" spans="1:13" ht="21" customHeight="1" x14ac:dyDescent="0.4">
      <c r="A77" s="161" t="s">
        <v>167</v>
      </c>
      <c r="B77" s="161"/>
      <c r="C77" s="159">
        <v>42</v>
      </c>
      <c r="D77" s="159"/>
      <c r="E77" s="61">
        <f ca="1">((100/(F73+H73+I73))*C77)/100</f>
        <v>0.76363636363636356</v>
      </c>
      <c r="F77" s="161"/>
      <c r="G77" s="161"/>
      <c r="H77" s="161"/>
      <c r="I77" s="161"/>
      <c r="J77" s="41" t="s">
        <v>157</v>
      </c>
      <c r="K77" s="44">
        <f ca="1">(IF(E73&gt;1,(I73/(E73+2)),I73/4))</f>
        <v>13.5</v>
      </c>
    </row>
    <row r="78" spans="1:13" ht="21" customHeight="1" x14ac:dyDescent="0.4">
      <c r="A78" s="161" t="s">
        <v>168</v>
      </c>
      <c r="B78" s="161"/>
      <c r="C78" s="159">
        <f>C77-F73</f>
        <v>41</v>
      </c>
      <c r="D78" s="159"/>
      <c r="E78" s="61">
        <f ca="1">((100/I73)*C78)/100</f>
        <v>0.75925925925925919</v>
      </c>
      <c r="F78" s="161"/>
      <c r="G78" s="161"/>
      <c r="H78" s="161"/>
      <c r="I78" s="161"/>
      <c r="J78" s="41" t="s">
        <v>158</v>
      </c>
      <c r="K78" s="44">
        <f ca="1">(IF(E73&gt;1,(I73/(E73+2)+K77),I73/4+K77))</f>
        <v>27</v>
      </c>
    </row>
    <row r="79" spans="1:13" ht="21" customHeight="1" x14ac:dyDescent="0.4">
      <c r="A79" s="164" t="s">
        <v>169</v>
      </c>
      <c r="B79" s="165"/>
      <c r="C79" s="163">
        <f>C78*0.8</f>
        <v>32.800000000000004</v>
      </c>
      <c r="D79" s="163"/>
      <c r="E79" s="61">
        <f ca="1">((100/I73)*C79)/100</f>
        <v>0.60740740740740751</v>
      </c>
      <c r="F79" s="161"/>
      <c r="G79" s="161"/>
      <c r="H79" s="161"/>
      <c r="I79" s="161"/>
      <c r="J79" s="41" t="s">
        <v>170</v>
      </c>
      <c r="K79" s="44">
        <f>(IF(E73&gt;1,(I73/(E73+2)+K78),0))</f>
        <v>0</v>
      </c>
    </row>
    <row r="80" spans="1:13" ht="21" customHeight="1" x14ac:dyDescent="0.4">
      <c r="A80" s="164" t="s">
        <v>258</v>
      </c>
      <c r="B80" s="165"/>
      <c r="C80" s="163">
        <f>C79</f>
        <v>32.800000000000004</v>
      </c>
      <c r="D80" s="163"/>
      <c r="E80" s="61">
        <f ca="1">((100/I73)*C80)/100</f>
        <v>0.60740740740740751</v>
      </c>
      <c r="F80" s="161"/>
      <c r="G80" s="161"/>
      <c r="H80" s="161"/>
      <c r="I80" s="161"/>
      <c r="J80" s="41" t="s">
        <v>171</v>
      </c>
      <c r="K80" s="44">
        <f>(IF(E73&gt;2,(I73/(E73+2)+K79),0))</f>
        <v>0</v>
      </c>
    </row>
    <row r="81" spans="1:13" ht="57.75" customHeight="1" x14ac:dyDescent="0.4">
      <c r="A81" s="164" t="s">
        <v>259</v>
      </c>
      <c r="B81" s="165"/>
      <c r="C81" s="159">
        <v>25</v>
      </c>
      <c r="D81" s="159"/>
      <c r="E81" s="61">
        <f ca="1">((100/(I73))*C81)/100</f>
        <v>0.46296296296296297</v>
      </c>
      <c r="F81" s="161"/>
      <c r="G81" s="161"/>
      <c r="H81" s="161"/>
      <c r="I81" s="161"/>
      <c r="J81" s="41" t="s">
        <v>173</v>
      </c>
      <c r="K81" s="45">
        <f>(IF(E73&gt;3,(I73/(E73+2)+K80),0))</f>
        <v>0</v>
      </c>
    </row>
    <row r="82" spans="1:13" ht="21" x14ac:dyDescent="0.4">
      <c r="A82" s="161" t="s">
        <v>172</v>
      </c>
      <c r="B82" s="161"/>
      <c r="C82" s="159">
        <v>25</v>
      </c>
      <c r="D82" s="159"/>
      <c r="E82" s="61">
        <f ca="1">((100/(I73))*C82)/100</f>
        <v>0.46296296296296297</v>
      </c>
      <c r="F82" s="161"/>
      <c r="G82" s="161"/>
      <c r="H82" s="161"/>
      <c r="I82" s="161"/>
      <c r="J82" s="41" t="s">
        <v>174</v>
      </c>
      <c r="K82" s="44">
        <f>(IF(E73&gt;4,(I73/(E73+2)+K81),0))</f>
        <v>0</v>
      </c>
    </row>
    <row r="83" spans="1:13" ht="21" customHeight="1" x14ac:dyDescent="0.4">
      <c r="A83" s="161" t="s">
        <v>260</v>
      </c>
      <c r="B83" s="161"/>
      <c r="C83" s="159">
        <v>0</v>
      </c>
      <c r="D83" s="159"/>
      <c r="E83" s="61">
        <f ca="1">((100/I73)*C83)/100</f>
        <v>0</v>
      </c>
      <c r="F83" s="161"/>
      <c r="G83" s="161"/>
      <c r="H83" s="161"/>
      <c r="I83" s="161"/>
      <c r="J83" s="41" t="s">
        <v>159</v>
      </c>
      <c r="K83" s="44">
        <f ca="1">(IF(E73=1,(I73/(E73+3)+K78),IF(E73=0,(I73/4+K78),IF(E73&gt;1,0))))</f>
        <v>40.5</v>
      </c>
    </row>
    <row r="84" spans="1:13" ht="41.25" customHeight="1" thickBot="1" x14ac:dyDescent="0.45">
      <c r="A84" s="161" t="s">
        <v>261</v>
      </c>
      <c r="B84" s="161"/>
      <c r="C84" s="159">
        <v>0</v>
      </c>
      <c r="D84" s="159"/>
      <c r="E84" s="61">
        <f ca="1">((100/I73)*C84)/100</f>
        <v>0</v>
      </c>
      <c r="F84" s="161"/>
      <c r="G84" s="161"/>
      <c r="H84" s="161"/>
      <c r="I84" s="161"/>
      <c r="J84" s="42" t="s">
        <v>160</v>
      </c>
      <c r="K84" s="46">
        <f ca="1">(IF(E73&gt;1.5,(I73/(E73+2)+K77+MAX(0,K78-K77)+MAX(0,K79-K78)+MAX(0,K80-K79)+MAX(0,K81-K80)+MAX(0,K82-K81)),IF(E73=1,(I73/(E73+3)+K83),IF(E73=0,I73/4+K83))))</f>
        <v>54</v>
      </c>
      <c r="M84" s="1" t="e">
        <f>(IF(D72&gt;1.5,(H72/(D72+2)+J77+MAX(0,J78-J77)+MAX(0,J79-J78)+MAX(0,J80-J79)+MAX(0,J81-J80)+MAX(0,J82-J81)),IF(D72=1,(H72/(D72+3)+J82),IF(D72=0,H72*0.3+J82))))</f>
        <v>#VALUE!</v>
      </c>
    </row>
    <row r="85" spans="1:13" ht="21" x14ac:dyDescent="0.3">
      <c r="A85" s="161" t="s">
        <v>175</v>
      </c>
      <c r="B85" s="161"/>
      <c r="C85" s="159">
        <v>0</v>
      </c>
      <c r="D85" s="159"/>
      <c r="E85" s="61">
        <f ca="1">((100/(I73))*C85)/100</f>
        <v>0</v>
      </c>
      <c r="F85" s="161"/>
      <c r="G85" s="161"/>
      <c r="H85" s="161"/>
      <c r="I85" s="161"/>
    </row>
    <row r="86" spans="1:13" ht="21" x14ac:dyDescent="0.3">
      <c r="A86" s="161" t="s">
        <v>176</v>
      </c>
      <c r="B86" s="161"/>
      <c r="C86" s="159">
        <v>0</v>
      </c>
      <c r="D86" s="159"/>
      <c r="E86" s="61">
        <f ca="1">((100/(I73))*C86)/100</f>
        <v>0</v>
      </c>
      <c r="F86" s="161"/>
      <c r="G86" s="161"/>
      <c r="H86" s="161"/>
      <c r="I86" s="161"/>
    </row>
    <row r="87" spans="1:13" ht="21.6" thickBot="1" x14ac:dyDescent="0.35">
      <c r="A87" s="68" t="s">
        <v>75</v>
      </c>
      <c r="B87" s="68"/>
      <c r="C87" s="68"/>
      <c r="D87" s="68"/>
      <c r="E87" s="68"/>
      <c r="F87" s="68"/>
      <c r="G87" s="68"/>
      <c r="H87" s="68"/>
      <c r="I87" s="68"/>
    </row>
    <row r="88" spans="1:13" ht="20.25" customHeight="1" x14ac:dyDescent="0.4">
      <c r="A88" s="162" t="s">
        <v>269</v>
      </c>
      <c r="B88" s="162"/>
      <c r="C88" s="162"/>
      <c r="D88" s="158" t="s">
        <v>4</v>
      </c>
      <c r="E88" s="62" t="s">
        <v>148</v>
      </c>
      <c r="F88" s="159" t="s">
        <v>134</v>
      </c>
      <c r="G88" s="159"/>
      <c r="H88" s="62" t="s">
        <v>149</v>
      </c>
      <c r="I88" s="62" t="s">
        <v>150</v>
      </c>
      <c r="J88" s="37" t="str">
        <f ca="1">(IF(F91&gt;99%,"All work completed. Please provide OC.",IF(F91&gt;89.8%,"Plinth, RCC, Brick, Plaster, Flooring, Wooden, Plumbing, Electrification, etc., work Completed. Finishing work is in process.",IF(F91&lt;94%,(IF(C91=0,"Work not yet Started.",IF(E91=25%,"Piling work in process",IF(E91=50%,"Excavation work in process",IF(E91=100%,"Excavation work Completed. ","0")))&amp;(IF(C92=0%,"",IF(C92=K93,"Footing work is process",IF(C92=K94,"Footing work Completed",IF(C92=K95,"1st Basement Completed",IF(C92=K96,"1st &amp; 2nd Basement Completed",IF(C92=K97,"1st to 3rd Basement Completed",IF(C92=K98,"1st to 4th Basement Completed",IF(C92=K99,"Plinth work is process",IF(C92=K100,"Plinth work completed","0")))))))))))&amp;(IF(C93=(F89+H89+I89),", RCC Slab",IF(C93&gt;0,", RCC upto "&amp;C93&amp;" Slab",""))&amp;(IF(C94=I89,", Brickwork",IF(C94&gt;0,", Brickwork upto "&amp;C94&amp;" Floor",""))&amp;(IF(C95=I89,", Internal Plaster",IF(C95&gt;0,", Internal Plaster upto "&amp;C95&amp;" Floor",""))&amp;(IF(C96=I89,", External Plaster",IF(C96&gt;0,", External Plaster upto "&amp;C96&amp;" Floor",""))&amp;(IF(C97=I89,", External Plumbing, Elevation and Waterproofing",IF(C97&gt;0,", External Plumbing, Elevation and Waterproofing upto "&amp;C97&amp;" Floor",""))&amp;(IF(C98=I89,", Flooring &amp; Fitting",IF(C98&gt;0,", Flooring &amp; Fitting upto "&amp;C98&amp;" Floor",""))&amp;(IF(C99=I89,", Wooden Work",IF(C99&gt;0,", Wooden Work upto "&amp;C99&amp;" Floor",""))&amp;(IF(C100=I89,", Electrical &amp; Sanitary fittings",IF(C100&gt;0,", Electrical &amp; Sanitary fittings upto "&amp;C100&amp;" Floor",""))&amp;(IF(C101&gt;0,", Finishing upto "&amp;C101&amp;" Floor","")&amp;(IF(C93&gt;0.5," Completed",""))))))))))))))))</f>
        <v>Excavation work Completed. Plinth work completed, RCC upto 54 Slab, Brickwork upto 53 Floor, Internal Plaster upto 42.4 Floor, External Plaster upto 42.4 Floor, External Plumbing, Elevation and Waterproofing upto 35 Floor, Flooring &amp; Fitting upto 30 Floor, Wooden Work upto 20 Floor, Electrical &amp; Sanitary fittings upto 20 Floor Completed</v>
      </c>
      <c r="K88" s="39"/>
    </row>
    <row r="89" spans="1:13" ht="21" x14ac:dyDescent="0.4">
      <c r="A89" s="162"/>
      <c r="B89" s="162"/>
      <c r="C89" s="162"/>
      <c r="D89" s="158"/>
      <c r="E89" s="62">
        <v>1</v>
      </c>
      <c r="F89" s="159">
        <v>1</v>
      </c>
      <c r="G89" s="159"/>
      <c r="H89" s="62">
        <v>0</v>
      </c>
      <c r="I89" s="62">
        <f ca="1">--TRIM(RIGHT(SUBSTITUTE(LEFT(A88,_xlfn.AGGREGATE(16,6,FIND({0,1,2,3,4,5,6,7,8,9},A88,ROW(INDIRECT("1:"&amp;LEN(A88)))),1))," ",REPT(" ",LEN(A88))),LEN(A88)))</f>
        <v>54</v>
      </c>
      <c r="J89" s="38" t="s">
        <v>154</v>
      </c>
      <c r="K89" s="39"/>
    </row>
    <row r="90" spans="1:13" ht="20.25" customHeight="1" x14ac:dyDescent="0.4">
      <c r="A90" s="160" t="s">
        <v>152</v>
      </c>
      <c r="B90" s="160"/>
      <c r="C90" s="160" t="s">
        <v>163</v>
      </c>
      <c r="D90" s="160"/>
      <c r="E90" s="63" t="s">
        <v>164</v>
      </c>
      <c r="F90" s="160" t="s">
        <v>153</v>
      </c>
      <c r="G90" s="160"/>
      <c r="H90" s="47" t="s">
        <v>151</v>
      </c>
      <c r="I90" s="47"/>
      <c r="J90" s="41" t="s">
        <v>165</v>
      </c>
      <c r="K90" s="40">
        <f ca="1">I89*25%</f>
        <v>13.5</v>
      </c>
    </row>
    <row r="91" spans="1:13" ht="20.25" customHeight="1" x14ac:dyDescent="0.4">
      <c r="A91" s="161" t="s">
        <v>166</v>
      </c>
      <c r="B91" s="161"/>
      <c r="C91" s="159">
        <f ca="1">K92</f>
        <v>54</v>
      </c>
      <c r="D91" s="159"/>
      <c r="E91" s="61">
        <f ca="1">((100/I89)*C91)/100</f>
        <v>1</v>
      </c>
      <c r="F91" s="161">
        <f ca="1">(((C91/I89*5)+(C92/I89*20)+(25/(F89+H89+I89)*C93)+(5/(I89)*C94)+(2.5/(I89)*C95)+(2.5/(I89)*C96)+(5/I89*C97)+(10/I89*C98)+(2.5/I89*C99)+(2.5/I89*C100)+(10/I89*C101)+(10/I89*C102))/100)</f>
        <v>0.69026936026936014</v>
      </c>
      <c r="G91" s="161"/>
      <c r="H91" s="161" t="str">
        <f ca="1">J88</f>
        <v>Excavation work Completed. Plinth work completed, RCC upto 54 Slab, Brickwork upto 53 Floor, Internal Plaster upto 42.4 Floor, External Plaster upto 42.4 Floor, External Plumbing, Elevation and Waterproofing upto 35 Floor, Flooring &amp; Fitting upto 30 Floor, Wooden Work upto 20 Floor, Electrical &amp; Sanitary fittings upto 20 Floor Completed</v>
      </c>
      <c r="I91" s="161"/>
      <c r="J91" s="41" t="s">
        <v>155</v>
      </c>
      <c r="K91" s="43">
        <f ca="1">I89*50%</f>
        <v>27</v>
      </c>
    </row>
    <row r="92" spans="1:13" ht="21" x14ac:dyDescent="0.4">
      <c r="A92" s="161" t="s">
        <v>135</v>
      </c>
      <c r="B92" s="161"/>
      <c r="C92" s="163">
        <v>54</v>
      </c>
      <c r="D92" s="159"/>
      <c r="E92" s="61">
        <f ca="1">((100/I89)*C92)/100</f>
        <v>1</v>
      </c>
      <c r="F92" s="161"/>
      <c r="G92" s="161"/>
      <c r="H92" s="161"/>
      <c r="I92" s="161"/>
      <c r="J92" s="41" t="s">
        <v>156</v>
      </c>
      <c r="K92" s="43">
        <f ca="1">I89</f>
        <v>54</v>
      </c>
    </row>
    <row r="93" spans="1:13" ht="21" customHeight="1" x14ac:dyDescent="0.4">
      <c r="A93" s="161" t="s">
        <v>167</v>
      </c>
      <c r="B93" s="161"/>
      <c r="C93" s="159">
        <v>54</v>
      </c>
      <c r="D93" s="159"/>
      <c r="E93" s="61">
        <f ca="1">((100/(F89+H89+I89))*C93)/100</f>
        <v>0.9818181818181817</v>
      </c>
      <c r="F93" s="161"/>
      <c r="G93" s="161"/>
      <c r="H93" s="161"/>
      <c r="I93" s="161"/>
      <c r="J93" s="41" t="s">
        <v>157</v>
      </c>
      <c r="K93" s="44">
        <f ca="1">(IF(E89&gt;1,(I89/(E89+2)),I89/4))</f>
        <v>13.5</v>
      </c>
    </row>
    <row r="94" spans="1:13" ht="21" customHeight="1" x14ac:dyDescent="0.4">
      <c r="A94" s="161" t="s">
        <v>168</v>
      </c>
      <c r="B94" s="161"/>
      <c r="C94" s="159">
        <f>C93-F89</f>
        <v>53</v>
      </c>
      <c r="D94" s="159"/>
      <c r="E94" s="61">
        <f ca="1">((100/I89)*C94)/100</f>
        <v>0.98148148148148151</v>
      </c>
      <c r="F94" s="161"/>
      <c r="G94" s="161"/>
      <c r="H94" s="161"/>
      <c r="I94" s="161"/>
      <c r="J94" s="41" t="s">
        <v>158</v>
      </c>
      <c r="K94" s="44">
        <f ca="1">(IF(E89&gt;1,(I89/(E89+2)+K93),I89/4+K93))</f>
        <v>27</v>
      </c>
    </row>
    <row r="95" spans="1:13" ht="21" customHeight="1" x14ac:dyDescent="0.4">
      <c r="A95" s="164" t="s">
        <v>169</v>
      </c>
      <c r="B95" s="165"/>
      <c r="C95" s="163">
        <f>C94*0.8</f>
        <v>42.400000000000006</v>
      </c>
      <c r="D95" s="163"/>
      <c r="E95" s="61">
        <f ca="1">((100/I89)*C95)/100</f>
        <v>0.78518518518518532</v>
      </c>
      <c r="F95" s="161"/>
      <c r="G95" s="161"/>
      <c r="H95" s="161"/>
      <c r="I95" s="161"/>
      <c r="J95" s="41" t="s">
        <v>170</v>
      </c>
      <c r="K95" s="44">
        <f>(IF(E89&gt;1,(I89/(E89+2)+K94),0))</f>
        <v>0</v>
      </c>
    </row>
    <row r="96" spans="1:13" ht="21" customHeight="1" x14ac:dyDescent="0.4">
      <c r="A96" s="164" t="s">
        <v>258</v>
      </c>
      <c r="B96" s="165"/>
      <c r="C96" s="163">
        <f>C95</f>
        <v>42.400000000000006</v>
      </c>
      <c r="D96" s="163"/>
      <c r="E96" s="61">
        <f ca="1">((100/I89)*C96)/100</f>
        <v>0.78518518518518532</v>
      </c>
      <c r="F96" s="161"/>
      <c r="G96" s="161"/>
      <c r="H96" s="161"/>
      <c r="I96" s="161"/>
      <c r="J96" s="41" t="s">
        <v>171</v>
      </c>
      <c r="K96" s="44">
        <f>(IF(E89&gt;2,(I89/(E89+2)+K95),0))</f>
        <v>0</v>
      </c>
    </row>
    <row r="97" spans="1:13" ht="57.75" customHeight="1" x14ac:dyDescent="0.4">
      <c r="A97" s="164" t="s">
        <v>259</v>
      </c>
      <c r="B97" s="165"/>
      <c r="C97" s="159">
        <v>35</v>
      </c>
      <c r="D97" s="159"/>
      <c r="E97" s="61">
        <f ca="1">((100/(I89))*C97)/100</f>
        <v>0.64814814814814814</v>
      </c>
      <c r="F97" s="161"/>
      <c r="G97" s="161"/>
      <c r="H97" s="161"/>
      <c r="I97" s="161"/>
      <c r="J97" s="41" t="s">
        <v>173</v>
      </c>
      <c r="K97" s="45">
        <f>(IF(E89&gt;3,(I89/(E89+2)+K96),0))</f>
        <v>0</v>
      </c>
    </row>
    <row r="98" spans="1:13" ht="21" x14ac:dyDescent="0.4">
      <c r="A98" s="161" t="s">
        <v>172</v>
      </c>
      <c r="B98" s="161"/>
      <c r="C98" s="159">
        <v>30</v>
      </c>
      <c r="D98" s="159"/>
      <c r="E98" s="61">
        <f ca="1">((100/(I89))*C98)/100</f>
        <v>0.55555555555555558</v>
      </c>
      <c r="F98" s="161"/>
      <c r="G98" s="161"/>
      <c r="H98" s="161"/>
      <c r="I98" s="161"/>
      <c r="J98" s="41" t="s">
        <v>174</v>
      </c>
      <c r="K98" s="44">
        <f>(IF(E89&gt;4,(I89/(E89+2)+K97),0))</f>
        <v>0</v>
      </c>
    </row>
    <row r="99" spans="1:13" ht="21" customHeight="1" x14ac:dyDescent="0.4">
      <c r="A99" s="161" t="s">
        <v>260</v>
      </c>
      <c r="B99" s="161"/>
      <c r="C99" s="159">
        <v>20</v>
      </c>
      <c r="D99" s="159"/>
      <c r="E99" s="61">
        <f ca="1">((100/I89)*C99)/100</f>
        <v>0.37037037037037041</v>
      </c>
      <c r="F99" s="161"/>
      <c r="G99" s="161"/>
      <c r="H99" s="161"/>
      <c r="I99" s="161"/>
      <c r="J99" s="41" t="s">
        <v>159</v>
      </c>
      <c r="K99" s="44">
        <f ca="1">(IF(E89=1,(I89/(E89+3)+K94),IF(E89=0,(I89/4+K94),IF(E89&gt;1,0))))</f>
        <v>40.5</v>
      </c>
    </row>
    <row r="100" spans="1:13" ht="41.25" customHeight="1" thickBot="1" x14ac:dyDescent="0.45">
      <c r="A100" s="161" t="s">
        <v>261</v>
      </c>
      <c r="B100" s="161"/>
      <c r="C100" s="159">
        <v>20</v>
      </c>
      <c r="D100" s="159"/>
      <c r="E100" s="61">
        <f ca="1">((100/I89)*C100)/100</f>
        <v>0.37037037037037041</v>
      </c>
      <c r="F100" s="161"/>
      <c r="G100" s="161"/>
      <c r="H100" s="161"/>
      <c r="I100" s="161"/>
      <c r="J100" s="42" t="s">
        <v>160</v>
      </c>
      <c r="K100" s="46">
        <f ca="1">(IF(E89&gt;1.5,(I89/(E89+2)+K93+MAX(0,K94-K93)+MAX(0,K95-K94)+MAX(0,K96-K95)+MAX(0,K97-K96)+MAX(0,K98-K97)),IF(E89=1,(I89/(E89+3)+K99),IF(E89=0,I89/4+K99))))</f>
        <v>54</v>
      </c>
      <c r="M100" s="1" t="e">
        <f>(IF(D88&gt;1.5,(H88/(D88+2)+J93+MAX(0,J94-J93)+MAX(0,J95-J94)+MAX(0,J96-J95)+MAX(0,J97-J96)+MAX(0,J98-J97)),IF(D88=1,(H88/(D88+3)+J98),IF(D88=0,H88*0.3+J98))))</f>
        <v>#VALUE!</v>
      </c>
    </row>
    <row r="101" spans="1:13" ht="21" x14ac:dyDescent="0.3">
      <c r="A101" s="161" t="s">
        <v>175</v>
      </c>
      <c r="B101" s="161"/>
      <c r="C101" s="159">
        <v>0</v>
      </c>
      <c r="D101" s="159"/>
      <c r="E101" s="61">
        <f ca="1">((100/(I89))*C101)/100</f>
        <v>0</v>
      </c>
      <c r="F101" s="161"/>
      <c r="G101" s="161"/>
      <c r="H101" s="161"/>
      <c r="I101" s="161"/>
    </row>
    <row r="102" spans="1:13" ht="21" x14ac:dyDescent="0.3">
      <c r="A102" s="161" t="s">
        <v>176</v>
      </c>
      <c r="B102" s="161"/>
      <c r="C102" s="159">
        <v>0</v>
      </c>
      <c r="D102" s="159"/>
      <c r="E102" s="61">
        <f ca="1">((100/(I89))*C102)/100</f>
        <v>0</v>
      </c>
      <c r="F102" s="161"/>
      <c r="G102" s="161"/>
      <c r="H102" s="161"/>
      <c r="I102" s="161"/>
    </row>
    <row r="103" spans="1:13" ht="36.75" customHeight="1" x14ac:dyDescent="0.4">
      <c r="A103" s="166" t="s">
        <v>161</v>
      </c>
      <c r="B103" s="167"/>
      <c r="C103" s="167"/>
      <c r="D103" s="167"/>
      <c r="E103" s="167"/>
      <c r="F103" s="167"/>
      <c r="G103" s="167"/>
      <c r="H103" s="168">
        <f ca="1">AVERAGE(F59,F75,F91)</f>
        <v>0.61041526374859711</v>
      </c>
      <c r="I103" s="169"/>
      <c r="J103" s="41"/>
      <c r="K103" s="64"/>
      <c r="L103" s="64"/>
    </row>
    <row r="104" spans="1:13" ht="21" x14ac:dyDescent="0.3">
      <c r="A104" s="93" t="s">
        <v>79</v>
      </c>
      <c r="B104" s="94"/>
      <c r="C104" s="94"/>
      <c r="D104" s="94"/>
      <c r="E104" s="94"/>
      <c r="F104" s="94"/>
      <c r="G104" s="94"/>
      <c r="H104" s="94"/>
      <c r="I104" s="95"/>
    </row>
    <row r="105" spans="1:13" ht="63" x14ac:dyDescent="0.3">
      <c r="A105" s="87" t="s">
        <v>80</v>
      </c>
      <c r="B105" s="87"/>
      <c r="C105" s="87"/>
      <c r="D105" s="3" t="s">
        <v>4</v>
      </c>
      <c r="E105" s="14" t="s">
        <v>140</v>
      </c>
      <c r="F105" s="20" t="s">
        <v>177</v>
      </c>
      <c r="G105" s="3" t="s">
        <v>4</v>
      </c>
      <c r="H105" s="109" t="s">
        <v>223</v>
      </c>
      <c r="I105" s="109"/>
    </row>
    <row r="106" spans="1:13" ht="63" x14ac:dyDescent="0.3">
      <c r="A106" s="87" t="s">
        <v>190</v>
      </c>
      <c r="B106" s="87"/>
      <c r="C106" s="87"/>
      <c r="D106" s="2" t="s">
        <v>136</v>
      </c>
      <c r="E106" s="17" t="s">
        <v>283</v>
      </c>
      <c r="F106" s="20" t="s">
        <v>191</v>
      </c>
      <c r="G106" s="2" t="s">
        <v>4</v>
      </c>
      <c r="H106" s="70" t="s">
        <v>222</v>
      </c>
      <c r="I106" s="70"/>
      <c r="J106" s="65" t="s">
        <v>297</v>
      </c>
    </row>
    <row r="107" spans="1:13" ht="26.25" customHeight="1" x14ac:dyDescent="0.3">
      <c r="A107" s="86" t="s">
        <v>83</v>
      </c>
      <c r="B107" s="86"/>
      <c r="C107" s="86"/>
      <c r="D107" s="3" t="s">
        <v>4</v>
      </c>
      <c r="E107" s="17" t="s">
        <v>224</v>
      </c>
      <c r="F107" s="3" t="s">
        <v>133</v>
      </c>
      <c r="G107" s="3" t="s">
        <v>4</v>
      </c>
      <c r="H107" s="91" t="s">
        <v>141</v>
      </c>
      <c r="I107" s="92"/>
    </row>
    <row r="108" spans="1:13" ht="21" hidden="1" x14ac:dyDescent="0.3">
      <c r="A108" s="87" t="s">
        <v>123</v>
      </c>
      <c r="B108" s="87"/>
      <c r="C108" s="87"/>
      <c r="D108" s="2" t="s">
        <v>4</v>
      </c>
      <c r="E108" s="17" t="s">
        <v>124</v>
      </c>
      <c r="F108" s="20" t="s">
        <v>125</v>
      </c>
      <c r="G108" s="2" t="s">
        <v>4</v>
      </c>
      <c r="H108" s="70" t="s">
        <v>102</v>
      </c>
      <c r="I108" s="70"/>
    </row>
    <row r="109" spans="1:13" ht="63" hidden="1" x14ac:dyDescent="0.3">
      <c r="A109" s="87" t="s">
        <v>126</v>
      </c>
      <c r="B109" s="87"/>
      <c r="C109" s="87"/>
      <c r="D109" s="2" t="s">
        <v>4</v>
      </c>
      <c r="E109" s="17" t="s">
        <v>127</v>
      </c>
      <c r="F109" s="20" t="s">
        <v>128</v>
      </c>
      <c r="G109" s="2" t="s">
        <v>4</v>
      </c>
      <c r="H109" s="70" t="s">
        <v>129</v>
      </c>
      <c r="I109" s="70"/>
    </row>
    <row r="110" spans="1:13" ht="21" hidden="1" x14ac:dyDescent="0.3">
      <c r="A110" s="87" t="s">
        <v>82</v>
      </c>
      <c r="B110" s="87"/>
      <c r="C110" s="87"/>
      <c r="D110" s="2" t="s">
        <v>4</v>
      </c>
      <c r="E110" s="17" t="s">
        <v>104</v>
      </c>
      <c r="F110" s="20" t="s">
        <v>81</v>
      </c>
      <c r="G110" s="2" t="s">
        <v>4</v>
      </c>
      <c r="H110" s="71" t="s">
        <v>104</v>
      </c>
      <c r="I110" s="73"/>
    </row>
    <row r="111" spans="1:13" ht="21" hidden="1" x14ac:dyDescent="0.3">
      <c r="A111" s="87" t="s">
        <v>130</v>
      </c>
      <c r="B111" s="87"/>
      <c r="C111" s="87"/>
      <c r="D111" s="2" t="s">
        <v>4</v>
      </c>
      <c r="E111" s="17" t="s">
        <v>103</v>
      </c>
      <c r="F111" s="20" t="s">
        <v>83</v>
      </c>
      <c r="G111" s="2" t="s">
        <v>4</v>
      </c>
      <c r="H111" s="70" t="s">
        <v>122</v>
      </c>
      <c r="I111" s="70"/>
    </row>
    <row r="112" spans="1:13" ht="21" hidden="1" x14ac:dyDescent="0.3">
      <c r="A112" s="87" t="s">
        <v>131</v>
      </c>
      <c r="B112" s="87"/>
      <c r="C112" s="87"/>
      <c r="D112" s="2" t="s">
        <v>4</v>
      </c>
      <c r="E112" s="18" t="s">
        <v>115</v>
      </c>
      <c r="F112" s="20" t="s">
        <v>132</v>
      </c>
      <c r="G112" s="2" t="s">
        <v>4</v>
      </c>
      <c r="H112" s="88" t="s">
        <v>115</v>
      </c>
      <c r="I112" s="88"/>
    </row>
    <row r="113" spans="1:151 16227:16384" ht="18" hidden="1" customHeight="1" x14ac:dyDescent="0.3">
      <c r="A113" s="86" t="s">
        <v>133</v>
      </c>
      <c r="B113" s="86"/>
      <c r="C113" s="86"/>
      <c r="D113" s="3" t="s">
        <v>4</v>
      </c>
      <c r="E113" s="10"/>
      <c r="F113" s="3" t="s">
        <v>133</v>
      </c>
      <c r="G113" s="3" t="s">
        <v>4</v>
      </c>
      <c r="H113" s="89" t="s">
        <v>115</v>
      </c>
      <c r="I113" s="90"/>
    </row>
    <row r="114" spans="1:151 16227:16384" ht="21" x14ac:dyDescent="0.3">
      <c r="A114" s="93" t="s">
        <v>78</v>
      </c>
      <c r="B114" s="94"/>
      <c r="C114" s="94"/>
      <c r="D114" s="94"/>
      <c r="E114" s="94"/>
      <c r="F114" s="94"/>
      <c r="G114" s="94"/>
      <c r="H114" s="94"/>
      <c r="I114" s="95"/>
    </row>
    <row r="115" spans="1:151 16227:16384" ht="21" x14ac:dyDescent="0.3">
      <c r="A115" s="76" t="s">
        <v>9</v>
      </c>
      <c r="B115" s="77"/>
      <c r="C115" s="77"/>
      <c r="D115" s="77"/>
      <c r="E115" s="77"/>
      <c r="F115" s="78"/>
      <c r="G115" s="2" t="s">
        <v>4</v>
      </c>
      <c r="H115" s="130">
        <f>73360/10.764</f>
        <v>6815.3102935711631</v>
      </c>
      <c r="I115" s="131"/>
    </row>
    <row r="116" spans="1:151 16227:16384" ht="21" x14ac:dyDescent="0.3">
      <c r="A116" s="76" t="s">
        <v>33</v>
      </c>
      <c r="B116" s="77"/>
      <c r="C116" s="77"/>
      <c r="D116" s="77"/>
      <c r="E116" s="77"/>
      <c r="F116" s="78"/>
      <c r="G116" s="2" t="s">
        <v>4</v>
      </c>
      <c r="H116" s="96">
        <f>151460/10.764</f>
        <v>14070.977331846898</v>
      </c>
      <c r="I116" s="96"/>
    </row>
    <row r="117" spans="1:151 16227:16384" ht="21" x14ac:dyDescent="0.3">
      <c r="A117" s="76" t="s">
        <v>142</v>
      </c>
      <c r="B117" s="77"/>
      <c r="C117" s="77"/>
      <c r="D117" s="77"/>
      <c r="E117" s="77"/>
      <c r="F117" s="78"/>
      <c r="G117" s="2" t="s">
        <v>4</v>
      </c>
      <c r="H117" s="96">
        <f>H115*0.8</f>
        <v>5452.248234856931</v>
      </c>
      <c r="I117" s="96"/>
    </row>
    <row r="118" spans="1:151 16227:16384" ht="21" x14ac:dyDescent="0.3">
      <c r="A118" s="134" t="s">
        <v>87</v>
      </c>
      <c r="B118" s="135"/>
      <c r="C118" s="135"/>
      <c r="D118" s="135"/>
      <c r="E118" s="135"/>
      <c r="F118" s="135"/>
      <c r="G118" s="135"/>
      <c r="H118" s="135"/>
      <c r="I118" s="132"/>
    </row>
    <row r="119" spans="1:151 16227:16384" s="11" customFormat="1" ht="40.799999999999997" x14ac:dyDescent="0.3">
      <c r="A119" s="84" t="s">
        <v>186</v>
      </c>
      <c r="B119" s="85"/>
      <c r="C119" s="84" t="s">
        <v>187</v>
      </c>
      <c r="D119" s="85"/>
      <c r="E119" s="49" t="s">
        <v>188</v>
      </c>
      <c r="F119" s="84" t="s">
        <v>185</v>
      </c>
      <c r="G119" s="85"/>
      <c r="H119" s="49" t="s">
        <v>184</v>
      </c>
      <c r="I119" s="49" t="s">
        <v>183</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1" x14ac:dyDescent="0.3">
      <c r="A120" s="116" t="s">
        <v>230</v>
      </c>
      <c r="B120" s="117"/>
      <c r="C120" s="116" t="s">
        <v>100</v>
      </c>
      <c r="D120" s="117"/>
      <c r="E120" s="50" t="s">
        <v>216</v>
      </c>
      <c r="F120" s="116">
        <f>COUNT(F132:F133)+COUNT(F138:F139,F143)+COUNT(F145:F146,F150)+COUNT(F152:F153,F157)+COUNT(F159:F160,F164)+COUNT(F166:F167,F171)+COUNT(F176:F179)+COUNT(F181:F182,F184:F185)+COUNT(F187:F192)*31+COUNT(F195:F200)*5+COUNT(F204:F207)*5+COUNT(F210:F214)</f>
        <v>266</v>
      </c>
      <c r="G120" s="117"/>
      <c r="H120" s="50">
        <f>SUM(F132:F133)+SUM(F138:F139,F143)+SUM(F145:F146,F150)+SUM(F152:F153,F157)+SUM(F159:F160,F164)+SUM(F166:F167,F171)+SUM(F176:F179)+SUM(F181:F182,F184:F185)+SUM(F187:F192)*31+SUM(F195:F200)*5+SUM(F204:F207)*5+SUM(F210:F214)</f>
        <v>243301.2916868352</v>
      </c>
      <c r="I120" s="50">
        <f>SUM(I132:I133)+SUM(I138:I139,I143)+SUM(I145:I146,I150)+SUM(I152:I153,I157)+SUM(I159:I160,I164)+SUM(I166:I167,I171)+SUM(I176:I179)+SUM(I181:I182,I184:I185)+SUM(I187:I192)*31+SUM(I195:I200)*5+SUM(I204:I207)*5+SUM(I210:I214)</f>
        <v>389282.06669893628</v>
      </c>
      <c r="J120" s="1">
        <f>92+92+94+12</f>
        <v>290</v>
      </c>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1" x14ac:dyDescent="0.3">
      <c r="A121" s="116" t="s">
        <v>231</v>
      </c>
      <c r="B121" s="117"/>
      <c r="C121" s="116" t="s">
        <v>100</v>
      </c>
      <c r="D121" s="117"/>
      <c r="E121" s="50" t="s">
        <v>216</v>
      </c>
      <c r="F121" s="116">
        <f>COUNT(F220:F221)+COUNT(F227:F229,F232)+COUNT(F234:F236,F239)+COUNT(F241:F243,F246)+COUNT(F248:F250,F253)+COUNT(F255:F257,F260)+COUNT(F265:F268)+COUNT(F270:F275)+COUNT(F277:F282)*31+COUNT(F285:F290)*5+COUNT(F294:F297)*5+COUNT(F299,F301:F304)</f>
        <v>273</v>
      </c>
      <c r="G121" s="117"/>
      <c r="H121" s="50">
        <f>SUM(F220:F221)+SUM(F227:F229,F232)+SUM(F234:F236,F239)+SUM(F241:F243,F246)+SUM(F248:F250,F253)+SUM(F255:F257,F260)+SUM(F265:F268)+SUM(F270:F275)+SUM(F277:F282)*31+SUM(F285:F290)*5+SUM(F294:F297)*5+SUM(F299,F301:F304)</f>
        <v>227182.18858919997</v>
      </c>
      <c r="I121" s="50">
        <f>SUM(I220:I221)+SUM(I227:I229,I232)+SUM(I234:I236,I239)+SUM(I241:I243,I246)+SUM(I248:I250,I253)+SUM(I255:I257,I260)+SUM(I265:I268)+SUM(I270:I275)+SUM(I277:I282)*31+SUM(I285:I290)*5+SUM(I294:I297)*5+SUM(I299,I301:I304)</f>
        <v>363491.50174271996</v>
      </c>
      <c r="J121" s="1">
        <v>281</v>
      </c>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1" x14ac:dyDescent="0.3">
      <c r="A122" s="116" t="s">
        <v>232</v>
      </c>
      <c r="B122" s="117"/>
      <c r="C122" s="116" t="s">
        <v>100</v>
      </c>
      <c r="D122" s="117"/>
      <c r="E122" s="50" t="s">
        <v>216</v>
      </c>
      <c r="F122" s="116">
        <f>COUNT(F310)+COUNT(F312:F313)+COUNT(F315:F316)+COUNT(F318:F319)+COUNT(F321:F322)+COUNT(F324:F325)+COUNT(F330:F333)+COUNT(F335:F336,F338:F339)+COUNT(F341:F346)*31+COUNT(F349:F354)*5+COUNT(F358:F361)*5+COUNT(F363,F365:F368)</f>
        <v>260</v>
      </c>
      <c r="G122" s="117"/>
      <c r="H122" s="50">
        <f>SUM(F310)+SUM(F312:F313)+SUM(F315:F316)+SUM(F318:F319)+SUM(F321:F322)+SUM(F324:F325)+SUM(F330:F333)+SUM(F335:F336,F338:F339)+SUM(F341:F346)*31+SUM(F349:F354)*5+SUM(F358:F361)*5+SUM(F363,F365:F368)</f>
        <v>218959.34940359998</v>
      </c>
      <c r="I122" s="50">
        <f>SUM(I310)+SUM(I312:I313)+SUM(I315:I316)+SUM(I318:I319)+SUM(I321:I322)+SUM(I324:I325)+SUM(I330:I333)+SUM(I335:I336,I338:I339)+SUM(I341:I346)*31+SUM(I349:I354)*5+SUM(I358:I361)*5+SUM(I363,I365:I368)</f>
        <v>350334.95904575993</v>
      </c>
      <c r="J122" s="1">
        <v>277</v>
      </c>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1" x14ac:dyDescent="0.3">
      <c r="A123" s="84" t="s">
        <v>189</v>
      </c>
      <c r="B123" s="85"/>
      <c r="C123" s="84"/>
      <c r="D123" s="85"/>
      <c r="E123" s="49"/>
      <c r="F123" s="84">
        <f>SUM(F120:F122)</f>
        <v>799</v>
      </c>
      <c r="G123" s="85"/>
      <c r="H123" s="49">
        <f>SUM(H120:H122)</f>
        <v>689442.82967963512</v>
      </c>
      <c r="I123" s="49">
        <f>SUM(I120:I122)</f>
        <v>1103108.5274874161</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ht="21" x14ac:dyDescent="0.3">
      <c r="A124" s="119" t="s">
        <v>182</v>
      </c>
      <c r="B124" s="120"/>
      <c r="C124" s="120"/>
      <c r="D124" s="120"/>
      <c r="E124" s="120"/>
      <c r="F124" s="120"/>
      <c r="G124" s="120"/>
      <c r="H124" s="120"/>
      <c r="I124" s="132"/>
    </row>
    <row r="125" spans="1:151 16227:16384" ht="44.25" customHeight="1" x14ac:dyDescent="0.3">
      <c r="A125" s="133" t="s">
        <v>109</v>
      </c>
      <c r="B125" s="133"/>
      <c r="C125" s="133" t="s">
        <v>105</v>
      </c>
      <c r="D125" s="133"/>
      <c r="E125" s="133" t="s">
        <v>106</v>
      </c>
      <c r="F125" s="133" t="s">
        <v>107</v>
      </c>
      <c r="G125" s="133"/>
      <c r="H125" s="133" t="s">
        <v>108</v>
      </c>
      <c r="I125" s="35" t="s">
        <v>162</v>
      </c>
    </row>
    <row r="126" spans="1:151 16227:16384" s="11" customFormat="1" ht="21" x14ac:dyDescent="0.3">
      <c r="A126" s="133"/>
      <c r="B126" s="133"/>
      <c r="C126" s="133"/>
      <c r="D126" s="133"/>
      <c r="E126" s="133"/>
      <c r="F126" s="133"/>
      <c r="G126" s="133"/>
      <c r="H126" s="133"/>
      <c r="I126" s="36">
        <v>0.6</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1" x14ac:dyDescent="0.3">
      <c r="A127" s="110" t="s">
        <v>230</v>
      </c>
      <c r="B127" s="111"/>
      <c r="C127" s="111"/>
      <c r="D127" s="111"/>
      <c r="E127" s="111"/>
      <c r="F127" s="111"/>
      <c r="G127" s="111"/>
      <c r="H127" s="111"/>
      <c r="I127" s="11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21" x14ac:dyDescent="0.3">
      <c r="A128" s="110" t="s">
        <v>284</v>
      </c>
      <c r="B128" s="111"/>
      <c r="C128" s="111"/>
      <c r="D128" s="111"/>
      <c r="E128" s="111"/>
      <c r="F128" s="111"/>
      <c r="G128" s="111"/>
      <c r="H128" s="111"/>
      <c r="I128" s="11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6:16384" s="11" customFormat="1" ht="21" x14ac:dyDescent="0.3">
      <c r="A129" s="110" t="s">
        <v>285</v>
      </c>
      <c r="B129" s="111"/>
      <c r="C129" s="111"/>
      <c r="D129" s="111"/>
      <c r="E129" s="111"/>
      <c r="F129" s="111"/>
      <c r="G129" s="111"/>
      <c r="H129" s="111"/>
      <c r="I129" s="112"/>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6:16384" s="11" customFormat="1" ht="21" x14ac:dyDescent="0.3">
      <c r="A130" s="110" t="s">
        <v>211</v>
      </c>
      <c r="B130" s="111"/>
      <c r="C130" s="111"/>
      <c r="D130" s="111"/>
      <c r="E130" s="111"/>
      <c r="F130" s="111"/>
      <c r="G130" s="111"/>
      <c r="H130" s="111"/>
      <c r="I130" s="112"/>
      <c r="J130" s="1">
        <v>1</v>
      </c>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6:16384" s="11" customFormat="1" ht="21" x14ac:dyDescent="0.3">
      <c r="A131" s="110" t="s">
        <v>233</v>
      </c>
      <c r="B131" s="111"/>
      <c r="C131" s="111"/>
      <c r="D131" s="111"/>
      <c r="E131" s="111"/>
      <c r="F131" s="111"/>
      <c r="G131" s="111"/>
      <c r="H131" s="111"/>
      <c r="I131" s="112"/>
      <c r="J131" s="1">
        <v>1</v>
      </c>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6:16384" s="11" customFormat="1" ht="21" customHeight="1" x14ac:dyDescent="0.3">
      <c r="A132" s="145" t="str">
        <f>A131</f>
        <v>2nd Podium Floor For Residential ( Part Parking Area)</v>
      </c>
      <c r="B132" s="146"/>
      <c r="C132" s="113">
        <v>1</v>
      </c>
      <c r="D132" s="113"/>
      <c r="E132" s="19" t="s">
        <v>212</v>
      </c>
      <c r="F132" s="114">
        <f>(1.22*2.74+3.35*5.43+2.99*0.99+3.12*2.44+1.35*1.84+2.44*1.53+2.44*1.53+3.47*1+3.05*3.36+3.36*4.27+3.33*3.39+1.53*2.75+3.75*1.76)*10.764</f>
        <v>992.63455199999987</v>
      </c>
      <c r="G132" s="115"/>
      <c r="H132" s="19">
        <v>0</v>
      </c>
      <c r="I132" s="19">
        <f>F132*(($I$126)+1)+H132</f>
        <v>1588.2152831999999</v>
      </c>
      <c r="L132" s="1"/>
      <c r="M132" s="1">
        <f>943+69</f>
        <v>1012</v>
      </c>
      <c r="N132" s="58">
        <v>10.763999999999999</v>
      </c>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1 16226:16384" s="11" customFormat="1" ht="21" customHeight="1" x14ac:dyDescent="0.3">
      <c r="A133" s="147" t="str">
        <f t="shared" ref="A133:A136" si="0">A132</f>
        <v>2nd Podium Floor For Residential ( Part Parking Area)</v>
      </c>
      <c r="B133" s="148"/>
      <c r="C133" s="113">
        <f>C132+1</f>
        <v>2</v>
      </c>
      <c r="D133" s="113"/>
      <c r="E133" s="19" t="s">
        <v>212</v>
      </c>
      <c r="F133" s="114">
        <f>(1.22*2.74+3.35*5.43+2.99*0.99+3.12*2.44+1.35*1.84+2.44*1.53+2.44*1.53+3.47*1+3.05*3.36+3.36*4.27+3.33*3.39+1.53*2.75+3.75*1.76)*10.764</f>
        <v>992.63455199999987</v>
      </c>
      <c r="G133" s="115"/>
      <c r="H133" s="19">
        <v>0</v>
      </c>
      <c r="I133" s="19">
        <f>F133*(($I$126)+1)+H133</f>
        <v>1588.2152831999999</v>
      </c>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6:16384" s="11" customFormat="1" ht="21" customHeight="1" x14ac:dyDescent="0.3">
      <c r="A134" s="147" t="str">
        <f>A133</f>
        <v>2nd Podium Floor For Residential ( Part Parking Area)</v>
      </c>
      <c r="B134" s="148"/>
      <c r="C134" s="113">
        <v>3</v>
      </c>
      <c r="D134" s="113"/>
      <c r="E134" s="145" t="s">
        <v>214</v>
      </c>
      <c r="F134" s="152"/>
      <c r="G134" s="152"/>
      <c r="H134" s="152"/>
      <c r="I134" s="146"/>
      <c r="L134" s="1"/>
      <c r="M134" s="1">
        <f>943+69</f>
        <v>1012</v>
      </c>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1 16226:16384" s="11" customFormat="1" ht="21" customHeight="1" x14ac:dyDescent="0.3">
      <c r="A135" s="147" t="str">
        <f t="shared" si="0"/>
        <v>2nd Podium Floor For Residential ( Part Parking Area)</v>
      </c>
      <c r="B135" s="148"/>
      <c r="C135" s="113">
        <v>4</v>
      </c>
      <c r="D135" s="113"/>
      <c r="E135" s="149"/>
      <c r="F135" s="154"/>
      <c r="G135" s="154"/>
      <c r="H135" s="154"/>
      <c r="I135" s="150"/>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6:16384" s="11" customFormat="1" ht="21" customHeight="1" x14ac:dyDescent="0.3">
      <c r="A136" s="147" t="str">
        <f t="shared" si="0"/>
        <v>2nd Podium Floor For Residential ( Part Parking Area)</v>
      </c>
      <c r="B136" s="148"/>
      <c r="C136" s="113">
        <v>5</v>
      </c>
      <c r="D136" s="113"/>
      <c r="E136" s="114" t="s">
        <v>234</v>
      </c>
      <c r="F136" s="151"/>
      <c r="G136" s="151"/>
      <c r="H136" s="151"/>
      <c r="I136" s="115"/>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6:16384" s="11" customFormat="1" ht="21" x14ac:dyDescent="0.3">
      <c r="A137" s="110" t="s">
        <v>236</v>
      </c>
      <c r="B137" s="111"/>
      <c r="C137" s="111"/>
      <c r="D137" s="111"/>
      <c r="E137" s="111"/>
      <c r="F137" s="111"/>
      <c r="G137" s="111"/>
      <c r="H137" s="111"/>
      <c r="I137" s="112"/>
      <c r="J137" s="1">
        <v>1</v>
      </c>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6:16384" s="11" customFormat="1" ht="21" customHeight="1" x14ac:dyDescent="0.3">
      <c r="A138" s="145" t="str">
        <f>A137</f>
        <v>3rd Podium Floor (Part Parking Area)</v>
      </c>
      <c r="B138" s="146"/>
      <c r="C138" s="113">
        <v>1</v>
      </c>
      <c r="D138" s="113"/>
      <c r="E138" s="19" t="s">
        <v>212</v>
      </c>
      <c r="F138" s="114">
        <f>(1.22*2.74+3.35*5.43+2.99*0.99+3.12*2.44+1.35*1.84+2.44*1.53+2.44*1.53+3.47*1+3.05*3.36+3.36*4.27+3.33*3.39+1.53*2.75+3.75*1.76)*10.764</f>
        <v>992.63455199999987</v>
      </c>
      <c r="G138" s="115"/>
      <c r="H138" s="19">
        <v>0</v>
      </c>
      <c r="I138" s="19">
        <f>F138*(($I$126)+1)+H138</f>
        <v>1588.2152831999999</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6:16384" s="11" customFormat="1" ht="21" customHeight="1" x14ac:dyDescent="0.3">
      <c r="A139" s="147" t="str">
        <f t="shared" ref="A139:A143" si="1">A138</f>
        <v>3rd Podium Floor (Part Parking Area)</v>
      </c>
      <c r="B139" s="148"/>
      <c r="C139" s="113">
        <f>C138+1</f>
        <v>2</v>
      </c>
      <c r="D139" s="113"/>
      <c r="E139" s="19" t="s">
        <v>212</v>
      </c>
      <c r="F139" s="114">
        <f>(1.22*2.74+3.35*5.43+2.99*0.99+3.12*2.44+1.35*1.84+2.44*1.53+2.44*1.53+3.47*1+3.05*3.36+3.36*4.27+3.33*3.39+1.53*2.75+3.75*1.76)*10.764</f>
        <v>992.63455199999987</v>
      </c>
      <c r="G139" s="115"/>
      <c r="H139" s="19">
        <v>0</v>
      </c>
      <c r="I139" s="19">
        <f t="shared" ref="I139:I143" si="2">F139*(($I$126)+1)+H139</f>
        <v>1588.2152831999999</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6:16384" s="11" customFormat="1" ht="21" customHeight="1" x14ac:dyDescent="0.3">
      <c r="A140" s="147" t="str">
        <f t="shared" si="1"/>
        <v>3rd Podium Floor (Part Parking Area)</v>
      </c>
      <c r="B140" s="148"/>
      <c r="C140" s="113">
        <f t="shared" ref="C140:C143" si="3">C139+1</f>
        <v>3</v>
      </c>
      <c r="D140" s="113"/>
      <c r="E140" s="145" t="s">
        <v>214</v>
      </c>
      <c r="F140" s="152"/>
      <c r="G140" s="152"/>
      <c r="H140" s="152"/>
      <c r="I140" s="146"/>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6:16384" s="11" customFormat="1" ht="20.25" customHeight="1" x14ac:dyDescent="0.3">
      <c r="A141" s="147" t="str">
        <f t="shared" si="1"/>
        <v>3rd Podium Floor (Part Parking Area)</v>
      </c>
      <c r="B141" s="148"/>
      <c r="C141" s="113">
        <f t="shared" si="3"/>
        <v>4</v>
      </c>
      <c r="D141" s="113"/>
      <c r="E141" s="147"/>
      <c r="F141" s="153"/>
      <c r="G141" s="153"/>
      <c r="H141" s="153"/>
      <c r="I141" s="148"/>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6:16384" s="11" customFormat="1" ht="20.25" customHeight="1" x14ac:dyDescent="0.3">
      <c r="A142" s="147" t="str">
        <f t="shared" si="1"/>
        <v>3rd Podium Floor (Part Parking Area)</v>
      </c>
      <c r="B142" s="148"/>
      <c r="C142" s="113">
        <f t="shared" si="3"/>
        <v>5</v>
      </c>
      <c r="D142" s="113"/>
      <c r="E142" s="149"/>
      <c r="F142" s="154"/>
      <c r="G142" s="154"/>
      <c r="H142" s="154"/>
      <c r="I142" s="150"/>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6:16384" s="11" customFormat="1" ht="20.25" customHeight="1" x14ac:dyDescent="0.3">
      <c r="A143" s="149" t="str">
        <f t="shared" si="1"/>
        <v>3rd Podium Floor (Part Parking Area)</v>
      </c>
      <c r="B143" s="150"/>
      <c r="C143" s="113">
        <f t="shared" si="3"/>
        <v>6</v>
      </c>
      <c r="D143" s="113"/>
      <c r="E143" s="19" t="s">
        <v>213</v>
      </c>
      <c r="F143" s="114">
        <f>(3.05*5.83+2.14*3.1+3.54*0.76+1.22*2.14+1.7*1.35+3.05*3.36+3.05*4.45+1.53*2.14+2.44*1.53)*10.764</f>
        <v>676.40545439999983</v>
      </c>
      <c r="G143" s="115"/>
      <c r="H143" s="19">
        <v>0</v>
      </c>
      <c r="I143" s="19">
        <f t="shared" si="2"/>
        <v>1082.2487270399997</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6:16384" s="11" customFormat="1" ht="21" x14ac:dyDescent="0.3">
      <c r="A144" s="110" t="s">
        <v>237</v>
      </c>
      <c r="B144" s="111"/>
      <c r="C144" s="111"/>
      <c r="D144" s="111"/>
      <c r="E144" s="111"/>
      <c r="F144" s="111"/>
      <c r="G144" s="111"/>
      <c r="H144" s="111"/>
      <c r="I144" s="112"/>
      <c r="J144" s="1">
        <v>1</v>
      </c>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1" customHeight="1" x14ac:dyDescent="0.3">
      <c r="A145" s="145" t="str">
        <f>A144</f>
        <v>4th Podium Floor (Part Parking Area)</v>
      </c>
      <c r="B145" s="146"/>
      <c r="C145" s="113">
        <v>1</v>
      </c>
      <c r="D145" s="113"/>
      <c r="E145" s="19" t="s">
        <v>212</v>
      </c>
      <c r="F145" s="114">
        <f>(1.22*2.74+3.35*5.43+2.99*0.99+3.12*2.44+1.35*1.84+2.44*1.53+2.44*1.53+3.47*1+3.05*3.36+3.36*4.27+3.33*3.39+1.53*2.75+3.75*1.76)*10.764</f>
        <v>992.63455199999987</v>
      </c>
      <c r="G145" s="115"/>
      <c r="H145" s="19">
        <v>0</v>
      </c>
      <c r="I145" s="19">
        <f>F145*(($I$126)+1)+H145</f>
        <v>1588.2152831999999</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1" customHeight="1" x14ac:dyDescent="0.3">
      <c r="A146" s="147" t="str">
        <f t="shared" ref="A146:A150" si="4">A145</f>
        <v>4th Podium Floor (Part Parking Area)</v>
      </c>
      <c r="B146" s="148"/>
      <c r="C146" s="113">
        <f>C145+1</f>
        <v>2</v>
      </c>
      <c r="D146" s="113"/>
      <c r="E146" s="19" t="s">
        <v>212</v>
      </c>
      <c r="F146" s="114">
        <f>(1.22*2.74+3.35*5.43+2.99*0.99+3.12*2.44+1.35*1.84+2.44*1.53+2.44*1.53+3.47*1+3.05*3.36+3.36*4.27+3.33*3.39+1.53*2.75+3.75*1.76)*10.764</f>
        <v>992.63455199999987</v>
      </c>
      <c r="G146" s="115"/>
      <c r="H146" s="19">
        <v>0</v>
      </c>
      <c r="I146" s="19">
        <f t="shared" ref="I146:I150" si="5">F146*(($I$126)+1)+H146</f>
        <v>1588.2152831999999</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1" customHeight="1" x14ac:dyDescent="0.3">
      <c r="A147" s="147" t="str">
        <f t="shared" si="4"/>
        <v>4th Podium Floor (Part Parking Area)</v>
      </c>
      <c r="B147" s="148"/>
      <c r="C147" s="113">
        <f t="shared" ref="C147:C150" si="6">C146+1</f>
        <v>3</v>
      </c>
      <c r="D147" s="113"/>
      <c r="E147" s="145" t="s">
        <v>214</v>
      </c>
      <c r="F147" s="152"/>
      <c r="G147" s="152"/>
      <c r="H147" s="152"/>
      <c r="I147" s="146">
        <f t="shared" si="5"/>
        <v>0</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3">
      <c r="A148" s="147" t="str">
        <f t="shared" si="4"/>
        <v>4th Podium Floor (Part Parking Area)</v>
      </c>
      <c r="B148" s="148"/>
      <c r="C148" s="113">
        <f t="shared" si="6"/>
        <v>4</v>
      </c>
      <c r="D148" s="113"/>
      <c r="E148" s="147"/>
      <c r="F148" s="153"/>
      <c r="G148" s="153"/>
      <c r="H148" s="153"/>
      <c r="I148" s="148">
        <f t="shared" si="5"/>
        <v>0</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3">
      <c r="A149" s="147" t="str">
        <f t="shared" si="4"/>
        <v>4th Podium Floor (Part Parking Area)</v>
      </c>
      <c r="B149" s="148"/>
      <c r="C149" s="113">
        <f t="shared" si="6"/>
        <v>5</v>
      </c>
      <c r="D149" s="113"/>
      <c r="E149" s="149"/>
      <c r="F149" s="154"/>
      <c r="G149" s="154"/>
      <c r="H149" s="154"/>
      <c r="I149" s="150">
        <f t="shared" si="5"/>
        <v>0</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3">
      <c r="A150" s="149" t="str">
        <f t="shared" si="4"/>
        <v>4th Podium Floor (Part Parking Area)</v>
      </c>
      <c r="B150" s="150"/>
      <c r="C150" s="113">
        <f t="shared" si="6"/>
        <v>6</v>
      </c>
      <c r="D150" s="113"/>
      <c r="E150" s="19" t="s">
        <v>213</v>
      </c>
      <c r="F150" s="114">
        <f>(3.05*5.83+2.14*3.1+3.54*0.76+1.22*2.14+1.7*1.35+3.05*3.36+3.05*4.45+1.53*2.14+2.44*1.53)*10.764</f>
        <v>676.40545439999983</v>
      </c>
      <c r="G150" s="115"/>
      <c r="H150" s="19">
        <v>0</v>
      </c>
      <c r="I150" s="19">
        <f t="shared" si="5"/>
        <v>1082.2487270399997</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1" x14ac:dyDescent="0.3">
      <c r="A151" s="110" t="s">
        <v>238</v>
      </c>
      <c r="B151" s="111"/>
      <c r="C151" s="111"/>
      <c r="D151" s="111"/>
      <c r="E151" s="111"/>
      <c r="F151" s="111"/>
      <c r="G151" s="111"/>
      <c r="H151" s="111"/>
      <c r="I151" s="112"/>
      <c r="J151" s="1">
        <v>1</v>
      </c>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1" customHeight="1" x14ac:dyDescent="0.3">
      <c r="A152" s="145" t="str">
        <f>A151</f>
        <v>5th Podium Floor (Part Parking Area)</v>
      </c>
      <c r="B152" s="146"/>
      <c r="C152" s="113">
        <v>1</v>
      </c>
      <c r="D152" s="113"/>
      <c r="E152" s="19" t="s">
        <v>212</v>
      </c>
      <c r="F152" s="114">
        <f>(1.22*2.74+3.35*5.43+2.99*0.99+3.12*2.44+1.35*1.84+2.44*1.53+2.44*1.53+3.47*1+3.05*3.36+3.36*4.27+3.33*3.39+1.53*2.75+3.75*1.76)*10.764</f>
        <v>992.63455199999987</v>
      </c>
      <c r="G152" s="115"/>
      <c r="H152" s="19">
        <v>0</v>
      </c>
      <c r="I152" s="19">
        <f>F152*(($I$126)+1)+H152</f>
        <v>1588.2152831999999</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1" customHeight="1" x14ac:dyDescent="0.3">
      <c r="A153" s="147" t="str">
        <f t="shared" ref="A153:A157" si="7">A152</f>
        <v>5th Podium Floor (Part Parking Area)</v>
      </c>
      <c r="B153" s="148"/>
      <c r="C153" s="113">
        <f>C152+1</f>
        <v>2</v>
      </c>
      <c r="D153" s="113"/>
      <c r="E153" s="19" t="s">
        <v>212</v>
      </c>
      <c r="F153" s="114">
        <f>(1.22*2.74+3.35*5.43+2.99*0.99+3.12*2.44+1.35*1.84+2.44*1.53+2.44*1.53+3.47*1+3.05*3.36+3.36*4.27+3.33*3.39+1.53*2.75+3.75*1.76)*10.764</f>
        <v>992.63455199999987</v>
      </c>
      <c r="G153" s="115"/>
      <c r="H153" s="19">
        <v>0</v>
      </c>
      <c r="I153" s="19">
        <f t="shared" ref="I153:I157" si="8">F153*(($I$126)+1)+H153</f>
        <v>1588.2152831999999</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1" customHeight="1" x14ac:dyDescent="0.3">
      <c r="A154" s="147" t="str">
        <f t="shared" si="7"/>
        <v>5th Podium Floor (Part Parking Area)</v>
      </c>
      <c r="B154" s="148"/>
      <c r="C154" s="113">
        <f t="shared" ref="C154:C157" si="9">C153+1</f>
        <v>3</v>
      </c>
      <c r="D154" s="113"/>
      <c r="E154" s="145" t="s">
        <v>214</v>
      </c>
      <c r="F154" s="152"/>
      <c r="G154" s="152"/>
      <c r="H154" s="152"/>
      <c r="I154" s="146">
        <v>0</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3">
      <c r="A155" s="147" t="str">
        <f t="shared" si="7"/>
        <v>5th Podium Floor (Part Parking Area)</v>
      </c>
      <c r="B155" s="148"/>
      <c r="C155" s="113">
        <f t="shared" si="9"/>
        <v>4</v>
      </c>
      <c r="D155" s="113"/>
      <c r="E155" s="147"/>
      <c r="F155" s="153"/>
      <c r="G155" s="153"/>
      <c r="H155" s="153"/>
      <c r="I155" s="148">
        <v>0</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3">
      <c r="A156" s="147" t="str">
        <f t="shared" si="7"/>
        <v>5th Podium Floor (Part Parking Area)</v>
      </c>
      <c r="B156" s="148"/>
      <c r="C156" s="113">
        <f t="shared" si="9"/>
        <v>5</v>
      </c>
      <c r="D156" s="113"/>
      <c r="E156" s="149"/>
      <c r="F156" s="154"/>
      <c r="G156" s="154"/>
      <c r="H156" s="154"/>
      <c r="I156" s="150">
        <v>0</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3">
      <c r="A157" s="149" t="str">
        <f t="shared" si="7"/>
        <v>5th Podium Floor (Part Parking Area)</v>
      </c>
      <c r="B157" s="150"/>
      <c r="C157" s="113">
        <f t="shared" si="9"/>
        <v>6</v>
      </c>
      <c r="D157" s="113"/>
      <c r="E157" s="19" t="s">
        <v>213</v>
      </c>
      <c r="F157" s="114">
        <f>(3.05*5.83+2.14*3.1+3.54*0.76+1.22*2.14+1.7*1.35+3.05*3.36+3.05*4.45+1.53*2.14+2.44*1.53)*10.764</f>
        <v>676.40545439999983</v>
      </c>
      <c r="G157" s="115"/>
      <c r="H157" s="19">
        <v>0</v>
      </c>
      <c r="I157" s="19">
        <f t="shared" si="8"/>
        <v>1082.2487270399997</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1" x14ac:dyDescent="0.3">
      <c r="A158" s="110" t="s">
        <v>239</v>
      </c>
      <c r="B158" s="111"/>
      <c r="C158" s="111"/>
      <c r="D158" s="111"/>
      <c r="E158" s="111"/>
      <c r="F158" s="111"/>
      <c r="G158" s="111"/>
      <c r="H158" s="111"/>
      <c r="I158" s="112"/>
      <c r="J158" s="1">
        <v>1</v>
      </c>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1" customHeight="1" x14ac:dyDescent="0.3">
      <c r="A159" s="145" t="str">
        <f>A158</f>
        <v>6th Podium Floor (Part Parking Area)</v>
      </c>
      <c r="B159" s="146"/>
      <c r="C159" s="113">
        <v>1</v>
      </c>
      <c r="D159" s="113"/>
      <c r="E159" s="19" t="s">
        <v>212</v>
      </c>
      <c r="F159" s="114">
        <f>(1.22*2.74+3.35*5.43+2.99*0.99+3.12*2.44+1.35*1.84+2.44*1.53+2.44*1.53+3.47*1+3.05*3.36+3.36*4.27+3.33*3.39+1.53*2.75+3.75*1.76)*10.764</f>
        <v>992.63455199999987</v>
      </c>
      <c r="G159" s="115"/>
      <c r="H159" s="19">
        <v>0</v>
      </c>
      <c r="I159" s="19">
        <f>F159*(($I$126)+1)+H159</f>
        <v>1588.2152831999999</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1" customHeight="1" x14ac:dyDescent="0.3">
      <c r="A160" s="147" t="str">
        <f t="shared" ref="A160:A164" si="10">A159</f>
        <v>6th Podium Floor (Part Parking Area)</v>
      </c>
      <c r="B160" s="148"/>
      <c r="C160" s="113">
        <f>C159+1</f>
        <v>2</v>
      </c>
      <c r="D160" s="113"/>
      <c r="E160" s="19" t="s">
        <v>212</v>
      </c>
      <c r="F160" s="114">
        <f>(1.22*2.74+3.35*5.43+2.99*0.99+3.12*2.44+1.35*1.84+2.44*1.53+2.44*1.53+3.47*1+3.05*3.36+3.36*4.27+3.33*3.39+1.53*2.75+3.75*1.76)*10.764</f>
        <v>992.63455199999987</v>
      </c>
      <c r="G160" s="115"/>
      <c r="H160" s="19">
        <v>0</v>
      </c>
      <c r="I160" s="19">
        <f t="shared" ref="I160:I164" si="11">F160*(($I$126)+1)+H160</f>
        <v>1588.2152831999999</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1" customHeight="1" x14ac:dyDescent="0.3">
      <c r="A161" s="147" t="str">
        <f t="shared" si="10"/>
        <v>6th Podium Floor (Part Parking Area)</v>
      </c>
      <c r="B161" s="148"/>
      <c r="C161" s="113">
        <f t="shared" ref="C161:C164" si="12">C160+1</f>
        <v>3</v>
      </c>
      <c r="D161" s="113"/>
      <c r="E161" s="145" t="s">
        <v>214</v>
      </c>
      <c r="F161" s="152"/>
      <c r="G161" s="152"/>
      <c r="H161" s="152"/>
      <c r="I161" s="146">
        <f t="shared" ref="I161" si="13">F161*(($I$126)+1)+H161</f>
        <v>0</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3">
      <c r="A162" s="147" t="str">
        <f t="shared" si="10"/>
        <v>6th Podium Floor (Part Parking Area)</v>
      </c>
      <c r="B162" s="148"/>
      <c r="C162" s="113">
        <f t="shared" si="12"/>
        <v>4</v>
      </c>
      <c r="D162" s="113"/>
      <c r="E162" s="147" t="s">
        <v>214</v>
      </c>
      <c r="F162" s="153"/>
      <c r="G162" s="153"/>
      <c r="H162" s="153"/>
      <c r="I162" s="148">
        <f t="shared" si="11"/>
        <v>0</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3">
      <c r="A163" s="147" t="str">
        <f t="shared" si="10"/>
        <v>6th Podium Floor (Part Parking Area)</v>
      </c>
      <c r="B163" s="148"/>
      <c r="C163" s="113">
        <f t="shared" si="12"/>
        <v>5</v>
      </c>
      <c r="D163" s="113"/>
      <c r="E163" s="149" t="s">
        <v>214</v>
      </c>
      <c r="F163" s="154"/>
      <c r="G163" s="154"/>
      <c r="H163" s="154"/>
      <c r="I163" s="150">
        <f t="shared" si="11"/>
        <v>0</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3">
      <c r="A164" s="149" t="str">
        <f t="shared" si="10"/>
        <v>6th Podium Floor (Part Parking Area)</v>
      </c>
      <c r="B164" s="150"/>
      <c r="C164" s="113">
        <f t="shared" si="12"/>
        <v>6</v>
      </c>
      <c r="D164" s="113"/>
      <c r="E164" s="19" t="s">
        <v>213</v>
      </c>
      <c r="F164" s="114">
        <f>(3.05*5.83+2.14*3.1+3.54*0.76+1.22*2.14+1.7*1.35+3.05*3.36+3.05*4.45+1.53*2.14+2.44*1.53)*10.764</f>
        <v>676.40545439999983</v>
      </c>
      <c r="G164" s="115"/>
      <c r="H164" s="19">
        <v>0</v>
      </c>
      <c r="I164" s="19">
        <f t="shared" si="11"/>
        <v>1082.2487270399997</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3">
      <c r="A165" s="110" t="s">
        <v>240</v>
      </c>
      <c r="B165" s="111"/>
      <c r="C165" s="111"/>
      <c r="D165" s="111"/>
      <c r="E165" s="111"/>
      <c r="F165" s="111"/>
      <c r="G165" s="111"/>
      <c r="H165" s="111"/>
      <c r="I165" s="112"/>
      <c r="J165" s="1">
        <v>1</v>
      </c>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1" customHeight="1" x14ac:dyDescent="0.3">
      <c r="A166" s="145" t="str">
        <f>A165</f>
        <v>7th Podium Floor (Part Parking Area)</v>
      </c>
      <c r="B166" s="146"/>
      <c r="C166" s="113">
        <v>1</v>
      </c>
      <c r="D166" s="113"/>
      <c r="E166" s="19" t="s">
        <v>212</v>
      </c>
      <c r="F166" s="114">
        <f>(1.22*2.74+3.35*5.43+2.99*0.99+3.12*2.44+1.35*1.84+2.44*1.53+2.44*1.53+3.47*1+3.05*3.36+3.36*4.27+3.33*3.39+1.53*2.75+3.75*1.76)*10.764</f>
        <v>992.63455199999987</v>
      </c>
      <c r="G166" s="115"/>
      <c r="H166" s="19">
        <v>0</v>
      </c>
      <c r="I166" s="19">
        <f>F166*(($I$126)+1)+H166</f>
        <v>1588.2152831999999</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1" customHeight="1" x14ac:dyDescent="0.3">
      <c r="A167" s="147" t="str">
        <f t="shared" ref="A167:A171" si="14">A166</f>
        <v>7th Podium Floor (Part Parking Area)</v>
      </c>
      <c r="B167" s="148"/>
      <c r="C167" s="113">
        <v>2</v>
      </c>
      <c r="D167" s="113"/>
      <c r="E167" s="19" t="s">
        <v>212</v>
      </c>
      <c r="F167" s="114">
        <f>(1.22*2.74+3.35*5.43+2.99*0.99+3.12*2.44+1.35*1.84+2.44*1.53+2.44*1.53+3.47*1+3.05*3.36+3.36*4.27+3.33*3.39+1.53*2.75+3.75*1.76)*10.764</f>
        <v>992.63455199999987</v>
      </c>
      <c r="G167" s="115"/>
      <c r="H167" s="19">
        <v>0</v>
      </c>
      <c r="I167" s="19">
        <f t="shared" ref="I167" si="15">F167*(($I$126)+1)+H167</f>
        <v>1588.2152831999999</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1" customHeight="1" x14ac:dyDescent="0.3">
      <c r="A168" s="147" t="str">
        <f>A167</f>
        <v>7th Podium Floor (Part Parking Area)</v>
      </c>
      <c r="B168" s="148"/>
      <c r="C168" s="113">
        <v>3</v>
      </c>
      <c r="D168" s="113"/>
      <c r="E168" s="145" t="s">
        <v>214</v>
      </c>
      <c r="F168" s="152"/>
      <c r="G168" s="152"/>
      <c r="H168" s="152"/>
      <c r="I168" s="146">
        <f>F168*(($I$126)+1)+H168</f>
        <v>0</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1" customHeight="1" x14ac:dyDescent="0.3">
      <c r="A169" s="147" t="str">
        <f t="shared" si="14"/>
        <v>7th Podium Floor (Part Parking Area)</v>
      </c>
      <c r="B169" s="148"/>
      <c r="C169" s="113">
        <v>4</v>
      </c>
      <c r="D169" s="113"/>
      <c r="E169" s="147" t="s">
        <v>214</v>
      </c>
      <c r="F169" s="153"/>
      <c r="G169" s="153"/>
      <c r="H169" s="153"/>
      <c r="I169" s="148">
        <f t="shared" ref="I169" si="16">F169*(($I$126)+1)+H169</f>
        <v>0</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1" customHeight="1" x14ac:dyDescent="0.3">
      <c r="A170" s="147" t="str">
        <f>A169</f>
        <v>7th Podium Floor (Part Parking Area)</v>
      </c>
      <c r="B170" s="148"/>
      <c r="C170" s="113">
        <v>5</v>
      </c>
      <c r="D170" s="113"/>
      <c r="E170" s="149" t="s">
        <v>214</v>
      </c>
      <c r="F170" s="154"/>
      <c r="G170" s="154"/>
      <c r="H170" s="154"/>
      <c r="I170" s="150">
        <f>F170*(($I$126)+1)+H170</f>
        <v>0</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1" customHeight="1" x14ac:dyDescent="0.3">
      <c r="A171" s="149" t="str">
        <f t="shared" si="14"/>
        <v>7th Podium Floor (Part Parking Area)</v>
      </c>
      <c r="B171" s="150"/>
      <c r="C171" s="113">
        <v>6</v>
      </c>
      <c r="D171" s="113"/>
      <c r="E171" s="19" t="s">
        <v>213</v>
      </c>
      <c r="F171" s="114">
        <f>(3.05*5.83+2.14*3.1+3.54*0.76+1.22*2.14+1.7*1.35+3.05*3.36+3.05*4.45+1.53*2.14+2.44*1.53)*10.764</f>
        <v>676.40545439999983</v>
      </c>
      <c r="G171" s="115"/>
      <c r="H171" s="19">
        <v>0</v>
      </c>
      <c r="I171" s="19">
        <f t="shared" ref="I171" si="17">F171*(($I$126)+1)+H171</f>
        <v>1082.2487270399997</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1" x14ac:dyDescent="0.3">
      <c r="A172" s="110" t="s">
        <v>289</v>
      </c>
      <c r="B172" s="111"/>
      <c r="C172" s="111"/>
      <c r="D172" s="111"/>
      <c r="E172" s="111"/>
      <c r="F172" s="111"/>
      <c r="G172" s="111"/>
      <c r="H172" s="111"/>
      <c r="I172" s="112"/>
      <c r="J172" s="1">
        <v>1</v>
      </c>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1" x14ac:dyDescent="0.3">
      <c r="A173" s="110" t="s">
        <v>296</v>
      </c>
      <c r="B173" s="111"/>
      <c r="C173" s="111"/>
      <c r="D173" s="111"/>
      <c r="E173" s="111"/>
      <c r="F173" s="111"/>
      <c r="G173" s="111"/>
      <c r="H173" s="111"/>
      <c r="I173" s="112"/>
      <c r="J173" s="1">
        <v>1</v>
      </c>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1" x14ac:dyDescent="0.3">
      <c r="A174" s="110" t="s">
        <v>241</v>
      </c>
      <c r="B174" s="111"/>
      <c r="C174" s="111"/>
      <c r="D174" s="111"/>
      <c r="E174" s="111"/>
      <c r="F174" s="111"/>
      <c r="G174" s="111"/>
      <c r="H174" s="111"/>
      <c r="I174" s="112"/>
      <c r="J174" s="1">
        <v>1</v>
      </c>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1" x14ac:dyDescent="0.3">
      <c r="A175" s="155" t="s">
        <v>242</v>
      </c>
      <c r="B175" s="156"/>
      <c r="C175" s="156"/>
      <c r="D175" s="156"/>
      <c r="E175" s="156"/>
      <c r="F175" s="156"/>
      <c r="G175" s="156"/>
      <c r="H175" s="156"/>
      <c r="I175" s="157"/>
      <c r="J175" s="1">
        <v>1</v>
      </c>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1" x14ac:dyDescent="0.3">
      <c r="A176" s="145" t="str">
        <f>A175</f>
        <v xml:space="preserve">11th Floor </v>
      </c>
      <c r="B176" s="146"/>
      <c r="C176" s="113">
        <v>1</v>
      </c>
      <c r="D176" s="113"/>
      <c r="E176" s="19" t="s">
        <v>212</v>
      </c>
      <c r="F176" s="114">
        <f>(1.22*2.74+3.35*5.43+2.99*0.99+3.12*2.44+1.35*1.84+2.44*1.53+2.44*1.53+3.47*1+3.05*3.36+3.36*4.27+3.33*3.39+1.53*2.75+3.75*1.76)*10.764</f>
        <v>992.63455199999987</v>
      </c>
      <c r="G176" s="115"/>
      <c r="H176" s="19">
        <v>0</v>
      </c>
      <c r="I176" s="19">
        <f>F176*(($I$126)+1)+H176</f>
        <v>1588.2152831999999</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1" x14ac:dyDescent="0.3">
      <c r="A177" s="147" t="str">
        <f t="shared" ref="A177:A179" si="18">A176</f>
        <v xml:space="preserve">11th Floor </v>
      </c>
      <c r="B177" s="148"/>
      <c r="C177" s="113">
        <v>2</v>
      </c>
      <c r="D177" s="113"/>
      <c r="E177" s="19" t="s">
        <v>212</v>
      </c>
      <c r="F177" s="114">
        <f>(1.22*2.74+3.35*5.43+2.99*0.99+3.12*2.44+1.35*1.84+2.44*1.53+2.44*1.53+3.47*1+3.05*3.36+3.36*4.27+3.33*3.39+1.53*2.75+3.75*1.76)*10.764</f>
        <v>992.63455199999987</v>
      </c>
      <c r="G177" s="115"/>
      <c r="H177" s="19">
        <v>0</v>
      </c>
      <c r="I177" s="19">
        <f t="shared" ref="I177" si="19">F177*(($I$126)+1)+H177</f>
        <v>1588.2152831999999</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42" x14ac:dyDescent="0.3">
      <c r="A178" s="147" t="str">
        <f>A177</f>
        <v xml:space="preserve">11th Floor </v>
      </c>
      <c r="B178" s="148"/>
      <c r="C178" s="113">
        <v>3</v>
      </c>
      <c r="D178" s="113"/>
      <c r="E178" s="19" t="s">
        <v>243</v>
      </c>
      <c r="F178" s="114">
        <f>(2.37*2.74+6.85*5.43+3.94*2.44+0.99*2.99+3.15*3.36+3.36*4.26+1.53*2.75+3.33*3.39+3.47*1+3.15*3.36+3.36*5.37+1.57*1+2.44*1.53+2.13*2.44+2.78*2.29+1.53*3.9+2.37*2.74+4.24*2.59+3.94*2.44+1.33*1.4+2.44*1.53+4.96*3.39+3.47*1+3.36*4.26+1.53*2.75+3.15*2.46+3.15*3.36+1.57*1+2.44*1.53+3.36*5.37+2.13*2.44+1.53*3.9+2.78*2.29+2.13*2.44)*10.764</f>
        <v>3094.4810051999998</v>
      </c>
      <c r="G178" s="115"/>
      <c r="H178" s="19">
        <v>0</v>
      </c>
      <c r="I178" s="19">
        <f>F178*(($I$126)+1)+H178</f>
        <v>4951.1696083200004</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1" x14ac:dyDescent="0.3">
      <c r="A179" s="147" t="str">
        <f t="shared" si="18"/>
        <v xml:space="preserve">11th Floor </v>
      </c>
      <c r="B179" s="148"/>
      <c r="C179" s="113">
        <v>6</v>
      </c>
      <c r="D179" s="113"/>
      <c r="E179" s="19" t="s">
        <v>212</v>
      </c>
      <c r="F179" s="114">
        <f>(3.05*5.85+3.05*4.61+2.14*3.11+2.1*1.3+3.05*3.36+3.05*4.46+6.2*4.46+2.59*1.53+1.53*2.44+1.53*2.44+2.44*1.53+5.88*2.52+7.2*0.76)*10.764</f>
        <v>1380.4108811999997</v>
      </c>
      <c r="G179" s="115"/>
      <c r="H179" s="19">
        <v>0</v>
      </c>
      <c r="I179" s="19">
        <f t="shared" ref="I179" si="20">F179*(($I$126)+1)+H179</f>
        <v>2208.6574099199997</v>
      </c>
      <c r="J179" s="1"/>
      <c r="K179" s="58">
        <v>10.763999999999999</v>
      </c>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1" x14ac:dyDescent="0.3">
      <c r="A180" s="155" t="s">
        <v>244</v>
      </c>
      <c r="B180" s="156"/>
      <c r="C180" s="156"/>
      <c r="D180" s="156"/>
      <c r="E180" s="156"/>
      <c r="F180" s="156"/>
      <c r="G180" s="156"/>
      <c r="H180" s="156"/>
      <c r="I180" s="157"/>
      <c r="J180" s="1">
        <v>1</v>
      </c>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1" x14ac:dyDescent="0.3">
      <c r="A181" s="145" t="str">
        <f>A180</f>
        <v>12th Floor</v>
      </c>
      <c r="B181" s="146"/>
      <c r="C181" s="113">
        <v>1</v>
      </c>
      <c r="D181" s="113"/>
      <c r="E181" s="19" t="s">
        <v>212</v>
      </c>
      <c r="F181" s="114">
        <f>(1.22*2.74+3.35*5.43+2.99*0.99+3.12*2.44+1.35*1.84+2.44*1.53+2.44*1.53+3.47*1+3.05*3.36+3.36*4.27+3.33*3.39+1.53*2.75+3.75*1.76)*10.764</f>
        <v>992.63455199999987</v>
      </c>
      <c r="G181" s="115"/>
      <c r="H181" s="19">
        <v>0</v>
      </c>
      <c r="I181" s="19">
        <f>F181*(($I$126)+1)+H181</f>
        <v>1588.2152831999999</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1" x14ac:dyDescent="0.3">
      <c r="A182" s="147" t="str">
        <f t="shared" ref="A182:A185" si="21">A181</f>
        <v>12th Floor</v>
      </c>
      <c r="B182" s="148"/>
      <c r="C182" s="113">
        <f>C181+1</f>
        <v>2</v>
      </c>
      <c r="D182" s="113"/>
      <c r="E182" s="19" t="s">
        <v>212</v>
      </c>
      <c r="F182" s="114">
        <f>(1.22*2.74+3.35*5.43+2.99*0.99+3.12*2.44+1.35*1.84+2.44*1.53+2.44*1.53+3.47*1+3.05*3.36+3.36*4.27+3.33*3.39+1.53*2.75+3.75*1.76)*10.764</f>
        <v>992.63455199999987</v>
      </c>
      <c r="G182" s="115"/>
      <c r="H182" s="19">
        <v>0</v>
      </c>
      <c r="I182" s="19">
        <f t="shared" ref="I182:I185" si="22">F182*(($I$126)+1)+H182</f>
        <v>1588.2152831999999</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1" x14ac:dyDescent="0.3">
      <c r="A183" s="147" t="str">
        <f t="shared" si="21"/>
        <v>12th Floor</v>
      </c>
      <c r="B183" s="148"/>
      <c r="C183" s="113">
        <f t="shared" ref="C183:C185" si="23">C182+1</f>
        <v>3</v>
      </c>
      <c r="D183" s="113"/>
      <c r="E183" s="114" t="s">
        <v>245</v>
      </c>
      <c r="F183" s="151"/>
      <c r="G183" s="151"/>
      <c r="H183" s="115"/>
      <c r="I183" s="19"/>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3">
      <c r="A184" s="147" t="str">
        <f t="shared" si="21"/>
        <v>12th Floor</v>
      </c>
      <c r="B184" s="148"/>
      <c r="C184" s="113">
        <v>5</v>
      </c>
      <c r="D184" s="113"/>
      <c r="E184" s="19" t="s">
        <v>213</v>
      </c>
      <c r="F184" s="114">
        <f>(2.54*1.22+2.14*3.11+2.04*1.3+3*1.62+3.05*5.83+0.76*3.54+1.53*2.44+2.44*1.53+3.05*4.46+3.05*3.36+1.83*1)*10.764</f>
        <v>763.0115219999999</v>
      </c>
      <c r="G184" s="115"/>
      <c r="H184" s="19">
        <v>0</v>
      </c>
      <c r="I184" s="19">
        <f t="shared" si="22"/>
        <v>1220.8184351999998</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3">
      <c r="A185" s="147" t="str">
        <f t="shared" si="21"/>
        <v>12th Floor</v>
      </c>
      <c r="B185" s="148"/>
      <c r="C185" s="113">
        <f t="shared" si="23"/>
        <v>6</v>
      </c>
      <c r="D185" s="113"/>
      <c r="E185" s="19" t="s">
        <v>213</v>
      </c>
      <c r="F185" s="114">
        <f>(2.54*1.22+2.14*3.11+2.04*1.3+3*1.62+3.05*5.83+0.76*3.54+1.53*2.44+2.44*1.53+3.05*4.46+3.05*3.36+1.83*1)*10.764</f>
        <v>763.0115219999999</v>
      </c>
      <c r="G185" s="115"/>
      <c r="H185" s="19">
        <v>0</v>
      </c>
      <c r="I185" s="19">
        <f t="shared" si="22"/>
        <v>1220.8184351999998</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1" x14ac:dyDescent="0.3">
      <c r="A186" s="110" t="s">
        <v>276</v>
      </c>
      <c r="B186" s="111"/>
      <c r="C186" s="111"/>
      <c r="D186" s="111"/>
      <c r="E186" s="111"/>
      <c r="F186" s="111"/>
      <c r="G186" s="111"/>
      <c r="H186" s="111"/>
      <c r="I186" s="112"/>
      <c r="J186" s="1">
        <f>1+5+5+5+5+6+4</f>
        <v>31</v>
      </c>
      <c r="K186" s="1">
        <v>5</v>
      </c>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1" customHeight="1" x14ac:dyDescent="0.3">
      <c r="A187" s="145" t="str">
        <f>A186</f>
        <v>13th, 16th to 20th, 23rd to 27th, 30th to 34th, 37th to 41th, 44th to 49th &amp; 51st to 54th Floor</v>
      </c>
      <c r="B187" s="146"/>
      <c r="C187" s="113">
        <v>1</v>
      </c>
      <c r="D187" s="113"/>
      <c r="E187" s="19" t="s">
        <v>212</v>
      </c>
      <c r="F187" s="114">
        <f>(1.22*2.74+3.35*5.43+2.99*0.99+3.12*2.44+1.35*1.84+2.44*1.53+2.44*1.53+3.47*1+3.05*3.36+3.36*4.27+3.33*3.39+1.53*2.75+3.75*1.76)*10.764</f>
        <v>992.63455199999987</v>
      </c>
      <c r="G187" s="115"/>
      <c r="H187" s="19">
        <v>0</v>
      </c>
      <c r="I187" s="19">
        <f>F187*(($I$126)+1)+H187</f>
        <v>1588.2152831999999</v>
      </c>
      <c r="J187" s="1"/>
      <c r="K187" s="1">
        <v>5</v>
      </c>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1" customHeight="1" x14ac:dyDescent="0.3">
      <c r="A188" s="147" t="str">
        <f t="shared" ref="A188:A192" si="24">A187</f>
        <v>13th, 16th to 20th, 23rd to 27th, 30th to 34th, 37th to 41th, 44th to 49th &amp; 51st to 54th Floor</v>
      </c>
      <c r="B188" s="148"/>
      <c r="C188" s="113">
        <f>C187+1</f>
        <v>2</v>
      </c>
      <c r="D188" s="113"/>
      <c r="E188" s="19" t="s">
        <v>212</v>
      </c>
      <c r="F188" s="114">
        <f>(1.22*2.74+3.35*5.43+2.99*0.99+3.12*2.44+1.35*1.84+2.44*1.53+2.44*1.53+3.47*1+3.05*3.36+3.36*4.27+3.33*3.39+1.53*2.75+3.75*1.76)*10.764</f>
        <v>992.63455199999987</v>
      </c>
      <c r="G188" s="115"/>
      <c r="H188" s="19">
        <v>0</v>
      </c>
      <c r="I188" s="19">
        <f t="shared" ref="I188:I190" si="25">F188*(($I$126)+1)+H188</f>
        <v>1588.2152831999999</v>
      </c>
      <c r="J188" s="1"/>
      <c r="K188" s="1">
        <v>5</v>
      </c>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1" customHeight="1" x14ac:dyDescent="0.3">
      <c r="A189" s="147" t="str">
        <f t="shared" si="24"/>
        <v>13th, 16th to 20th, 23rd to 27th, 30th to 34th, 37th to 41th, 44th to 49th &amp; 51st to 54th Floor</v>
      </c>
      <c r="B189" s="148"/>
      <c r="C189" s="113">
        <f t="shared" ref="C189:C192" si="26">C188+1</f>
        <v>3</v>
      </c>
      <c r="D189" s="113"/>
      <c r="E189" s="19" t="s">
        <v>212</v>
      </c>
      <c r="F189" s="114">
        <f>(1.22*2.84+3.1*2.44+0.9*2.9+3.38*3.43+3.06*3.36+3.36*4.27+3.38*3.39+1.5*2.75+2.45*1.53*2.44*1.53+3.75*1.76+0.9*0.9)*10.764</f>
        <v>934.83295055279984</v>
      </c>
      <c r="G189" s="115"/>
      <c r="H189" s="19">
        <v>0</v>
      </c>
      <c r="I189" s="19">
        <f t="shared" si="25"/>
        <v>1495.7327208844799</v>
      </c>
      <c r="J189" s="1"/>
      <c r="K189" s="1">
        <v>5</v>
      </c>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3">
      <c r="A190" s="147" t="str">
        <f t="shared" si="24"/>
        <v>13th, 16th to 20th, 23rd to 27th, 30th to 34th, 37th to 41th, 44th to 49th &amp; 51st to 54th Floor</v>
      </c>
      <c r="B190" s="148"/>
      <c r="C190" s="113">
        <f t="shared" si="26"/>
        <v>4</v>
      </c>
      <c r="D190" s="113"/>
      <c r="E190" s="19" t="s">
        <v>212</v>
      </c>
      <c r="F190" s="114">
        <f>(1.22*2.84+3.1*2.44+0.9*2.9+3.38*3.43+3.06*3.36+3.36*4.27+3.38*3.39+1.5*2.75+2.45*1.53*2.44*1.53+3.75*1.76+0.9*0.9)*10.764</f>
        <v>934.83295055279984</v>
      </c>
      <c r="G190" s="115"/>
      <c r="H190" s="19">
        <v>0</v>
      </c>
      <c r="I190" s="19">
        <f t="shared" si="25"/>
        <v>1495.7327208844799</v>
      </c>
      <c r="J190" s="1"/>
      <c r="K190" s="1">
        <v>3</v>
      </c>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3">
      <c r="A191" s="147" t="str">
        <f t="shared" si="24"/>
        <v>13th, 16th to 20th, 23rd to 27th, 30th to 34th, 37th to 41th, 44th to 49th &amp; 51st to 54th Floor</v>
      </c>
      <c r="B191" s="148"/>
      <c r="C191" s="113">
        <f t="shared" si="26"/>
        <v>5</v>
      </c>
      <c r="D191" s="113"/>
      <c r="E191" s="19" t="s">
        <v>213</v>
      </c>
      <c r="F191" s="114">
        <f>(2.54*1.22+2.14*3.11+2.04*1.3+3*1.62+3.05*5.83+0.76*3.54+1.53*2.44+2.44*1.53+3.05*4.46+3.05*3.36+1.83*1)*10.764</f>
        <v>763.0115219999999</v>
      </c>
      <c r="G191" s="115"/>
      <c r="H191" s="19">
        <v>0</v>
      </c>
      <c r="I191" s="19">
        <f t="shared" ref="I191:I192" si="27">F191*(($I$126)+1)+H191</f>
        <v>1220.8184351999998</v>
      </c>
      <c r="J191" s="1"/>
      <c r="K191" s="1">
        <f>SUM(K186:K190)</f>
        <v>23</v>
      </c>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3">
      <c r="A192" s="149" t="str">
        <f t="shared" si="24"/>
        <v>13th, 16th to 20th, 23rd to 27th, 30th to 34th, 37th to 41th, 44th to 49th &amp; 51st to 54th Floor</v>
      </c>
      <c r="B192" s="150"/>
      <c r="C192" s="113">
        <f t="shared" si="26"/>
        <v>6</v>
      </c>
      <c r="D192" s="113"/>
      <c r="E192" s="19" t="s">
        <v>213</v>
      </c>
      <c r="F192" s="114">
        <f>(2.54*1.22+2.14*3.11+2.04*1.3+3*1.62+3.05*5.83+0.76*3.54+1.53*2.44+2.44*1.53+3.05*4.46+3.05*3.36+1.83*1)*10.764</f>
        <v>763.0115219999999</v>
      </c>
      <c r="G192" s="115"/>
      <c r="H192" s="19">
        <v>0</v>
      </c>
      <c r="I192" s="19">
        <f t="shared" si="27"/>
        <v>1220.8184351999998</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1" x14ac:dyDescent="0.3">
      <c r="A193" s="110" t="s">
        <v>286</v>
      </c>
      <c r="B193" s="111"/>
      <c r="C193" s="111"/>
      <c r="D193" s="111"/>
      <c r="E193" s="111"/>
      <c r="F193" s="111"/>
      <c r="G193" s="111"/>
      <c r="H193" s="111"/>
      <c r="I193" s="112"/>
      <c r="J193" s="1"/>
      <c r="K193" s="1">
        <v>5</v>
      </c>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1" x14ac:dyDescent="0.3">
      <c r="A194" s="110" t="s">
        <v>246</v>
      </c>
      <c r="B194" s="111"/>
      <c r="C194" s="111"/>
      <c r="D194" s="111"/>
      <c r="E194" s="111"/>
      <c r="F194" s="111"/>
      <c r="G194" s="111"/>
      <c r="H194" s="111"/>
      <c r="I194" s="112"/>
      <c r="J194" s="1">
        <v>5</v>
      </c>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1" customHeight="1" x14ac:dyDescent="0.3">
      <c r="A195" s="145" t="str">
        <f>A194</f>
        <v xml:space="preserve">14th, 21st, 28th, 35th &amp; 42nd Floor </v>
      </c>
      <c r="B195" s="146"/>
      <c r="C195" s="113">
        <v>1</v>
      </c>
      <c r="D195" s="113"/>
      <c r="E195" s="19" t="s">
        <v>212</v>
      </c>
      <c r="F195" s="114">
        <f>(1.22*2.74+3.35*5.43+2.99*0.99+3.12*2.44+1.35*1.84+2.44*1.53+2.44*1.53+3.47*1+3.05*3.36+3.36*4.27+3.33*3.39+1.53*2.75+3.75*1.76)*10.764</f>
        <v>992.63455199999987</v>
      </c>
      <c r="G195" s="115"/>
      <c r="H195" s="19">
        <v>0</v>
      </c>
      <c r="I195" s="19">
        <f>F195*(($I$126)+1)+H195</f>
        <v>1588.2152831999999</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63" x14ac:dyDescent="0.3">
      <c r="A196" s="147" t="str">
        <f t="shared" ref="A196:A200" si="28">A195</f>
        <v xml:space="preserve">14th, 21st, 28th, 35th &amp; 42nd Floor </v>
      </c>
      <c r="B196" s="148"/>
      <c r="C196" s="113">
        <f>C195+1</f>
        <v>2</v>
      </c>
      <c r="D196" s="113"/>
      <c r="E196" s="19" t="s">
        <v>247</v>
      </c>
      <c r="F196" s="114">
        <f>(1.22*2.74+3.35*5.43+2.99*0.99+3.12*2.44+1.35*1.84+2.44*1.53+2.44*1.53+3.47*1+3.05*3.36+3.36*4.27+3.33*3.39+1.53*2.75+3.75*1.76+3.33*3.39+2.44*1.53+3.36*4.27+3.05*3.46+1.53*2.75+1.35*2.75+0.9*0.25+0.9*4.53+1.5*1.84)*10.764</f>
        <v>1583.6222843999999</v>
      </c>
      <c r="G196" s="115"/>
      <c r="H196" s="19">
        <v>0</v>
      </c>
      <c r="I196" s="19">
        <f t="shared" ref="I196:I200" si="29">F196*(($I$126)+1)+H196</f>
        <v>2533.7956550399999</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1" customHeight="1" x14ac:dyDescent="0.3">
      <c r="A197" s="147" t="str">
        <f t="shared" si="28"/>
        <v xml:space="preserve">14th, 21st, 28th, 35th &amp; 42nd Floor </v>
      </c>
      <c r="B197" s="148"/>
      <c r="C197" s="113">
        <f t="shared" ref="C197:C200" si="30">C196+1</f>
        <v>3</v>
      </c>
      <c r="D197" s="113"/>
      <c r="E197" s="19" t="s">
        <v>212</v>
      </c>
      <c r="F197" s="114">
        <f>(1.22*2.84+3.1*2.44+0.9*2.9+3.38*3.43+3.06*3.36+3.36*4.27+3.38*3.39+1.5*2.75+2.45*1.53*2.44*1.53+3.75*1.76+0.9*0.9)*10.764</f>
        <v>934.83295055279984</v>
      </c>
      <c r="G197" s="115"/>
      <c r="H197" s="19">
        <v>0</v>
      </c>
      <c r="I197" s="19">
        <f t="shared" si="29"/>
        <v>1495.7327208844799</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3">
      <c r="A198" s="147" t="str">
        <f t="shared" si="28"/>
        <v xml:space="preserve">14th, 21st, 28th, 35th &amp; 42nd Floor </v>
      </c>
      <c r="B198" s="148"/>
      <c r="C198" s="113">
        <f t="shared" si="30"/>
        <v>4</v>
      </c>
      <c r="D198" s="113"/>
      <c r="E198" s="19" t="s">
        <v>212</v>
      </c>
      <c r="F198" s="114">
        <f>(1.22*2.84+3.1*2.44+0.9*2.9+3.38*3.43+3.06*3.36+3.36*4.27+3.38*3.39+1.5*2.75+2.45*1.53*2.44*1.53+3.75*1.76+0.9*0.9)*10.764</f>
        <v>934.83295055279984</v>
      </c>
      <c r="G198" s="115"/>
      <c r="H198" s="19">
        <v>0</v>
      </c>
      <c r="I198" s="19">
        <f t="shared" si="29"/>
        <v>1495.7327208844799</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3">
      <c r="A199" s="147" t="str">
        <f t="shared" si="28"/>
        <v xml:space="preserve">14th, 21st, 28th, 35th &amp; 42nd Floor </v>
      </c>
      <c r="B199" s="148"/>
      <c r="C199" s="113">
        <f t="shared" si="30"/>
        <v>5</v>
      </c>
      <c r="D199" s="113"/>
      <c r="E199" s="19" t="s">
        <v>213</v>
      </c>
      <c r="F199" s="114">
        <f>(2.54*1.22+2.14*3.11+2.04*1.3+3*1.62+3.05*5.83+0.76*3.54+1.53*2.44+2.44*1.53+3.05*4.46+3.05*3.36+1.83*1)*10.764</f>
        <v>763.0115219999999</v>
      </c>
      <c r="G199" s="115"/>
      <c r="H199" s="19">
        <v>0</v>
      </c>
      <c r="I199" s="19">
        <f t="shared" si="29"/>
        <v>1220.8184351999998</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3">
      <c r="A200" s="149" t="str">
        <f t="shared" si="28"/>
        <v xml:space="preserve">14th, 21st, 28th, 35th &amp; 42nd Floor </v>
      </c>
      <c r="B200" s="150"/>
      <c r="C200" s="113">
        <f t="shared" si="30"/>
        <v>6</v>
      </c>
      <c r="D200" s="113"/>
      <c r="E200" s="19" t="s">
        <v>213</v>
      </c>
      <c r="F200" s="114">
        <f>(2.54*1.22+2.14*3.11+2.04*1.3+3*1.62+3.05*5.83+0.76*3.54+1.53*2.44+2.44*1.53+3.05*4.46+3.05*3.36+1.83*1)*10.764</f>
        <v>763.0115219999999</v>
      </c>
      <c r="G200" s="115"/>
      <c r="H200" s="19">
        <v>0</v>
      </c>
      <c r="I200" s="19">
        <f t="shared" si="29"/>
        <v>1220.8184351999998</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1" x14ac:dyDescent="0.3">
      <c r="A201" s="110" t="s">
        <v>215</v>
      </c>
      <c r="B201" s="111"/>
      <c r="C201" s="111"/>
      <c r="D201" s="111"/>
      <c r="E201" s="111"/>
      <c r="F201" s="111"/>
      <c r="G201" s="111"/>
      <c r="H201" s="111"/>
      <c r="I201" s="112"/>
      <c r="J201" s="1">
        <v>5</v>
      </c>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1" customHeight="1" x14ac:dyDescent="0.3">
      <c r="A202" s="145" t="str">
        <f>A201</f>
        <v>15th, 22nd, 29th, 36th &amp; 43rd Floor For Residential (Part Refuge Area)</v>
      </c>
      <c r="B202" s="146"/>
      <c r="C202" s="113">
        <v>1</v>
      </c>
      <c r="D202" s="113"/>
      <c r="E202" s="114" t="s">
        <v>217</v>
      </c>
      <c r="F202" s="151"/>
      <c r="G202" s="151"/>
      <c r="H202" s="115"/>
      <c r="I202" s="19">
        <f>F202*(($I$126)+1)+H202</f>
        <v>0</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1" customHeight="1" x14ac:dyDescent="0.3">
      <c r="A203" s="147" t="str">
        <f t="shared" ref="A203:A207" si="31">A202</f>
        <v>15th, 22nd, 29th, 36th &amp; 43rd Floor For Residential (Part Refuge Area)</v>
      </c>
      <c r="B203" s="148"/>
      <c r="C203" s="113">
        <f>C202+1</f>
        <v>2</v>
      </c>
      <c r="D203" s="113"/>
      <c r="E203" s="114" t="s">
        <v>248</v>
      </c>
      <c r="F203" s="151"/>
      <c r="G203" s="151"/>
      <c r="H203" s="115"/>
      <c r="I203" s="19">
        <v>0</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1" customHeight="1" x14ac:dyDescent="0.3">
      <c r="A204" s="147" t="str">
        <f t="shared" si="31"/>
        <v>15th, 22nd, 29th, 36th &amp; 43rd Floor For Residential (Part Refuge Area)</v>
      </c>
      <c r="B204" s="148"/>
      <c r="C204" s="113">
        <f t="shared" ref="C204:C207" si="32">C203+1</f>
        <v>3</v>
      </c>
      <c r="D204" s="113"/>
      <c r="E204" s="19" t="s">
        <v>212</v>
      </c>
      <c r="F204" s="114">
        <f t="shared" ref="F204" si="33">(1.22*2.84+3.1*2.44+0.9*2.9+3.38*3.43+3.06*3.36+3.36*4.27+3.38*3.39+1.5*2.75+2.45*1.53*2.44*1.53+3.75*1.76+0.9*0.9)*10.764</f>
        <v>934.83295055279984</v>
      </c>
      <c r="G204" s="115"/>
      <c r="H204" s="19">
        <v>0</v>
      </c>
      <c r="I204" s="19">
        <f t="shared" ref="I204:I207" si="34">F204*(($I$126)+1)+H204</f>
        <v>1495.7327208844799</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3">
      <c r="A205" s="147" t="str">
        <f t="shared" si="31"/>
        <v>15th, 22nd, 29th, 36th &amp; 43rd Floor For Residential (Part Refuge Area)</v>
      </c>
      <c r="B205" s="148"/>
      <c r="C205" s="113">
        <f t="shared" si="32"/>
        <v>4</v>
      </c>
      <c r="D205" s="113"/>
      <c r="E205" s="19" t="s">
        <v>212</v>
      </c>
      <c r="F205" s="114">
        <f>(1.22*2.84+3.1*2.44+0.9*2.9+3.38*3.43+3.06*3.36+3.36*4.27+3.38*3.39+1.5*2.75+2.45*1.53*2.44*1.53+3.75*1.76+0.9*0.9)*10.764</f>
        <v>934.83295055279984</v>
      </c>
      <c r="G205" s="115"/>
      <c r="H205" s="19">
        <v>0</v>
      </c>
      <c r="I205" s="19">
        <f t="shared" si="34"/>
        <v>1495.7327208844799</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3">
      <c r="A206" s="147" t="str">
        <f t="shared" si="31"/>
        <v>15th, 22nd, 29th, 36th &amp; 43rd Floor For Residential (Part Refuge Area)</v>
      </c>
      <c r="B206" s="148"/>
      <c r="C206" s="113">
        <f t="shared" si="32"/>
        <v>5</v>
      </c>
      <c r="D206" s="113"/>
      <c r="E206" s="19" t="s">
        <v>213</v>
      </c>
      <c r="F206" s="114">
        <f>(2.54*1.22+2.14*3.11+2.04*1.3+3*1.62+3.05*5.83+0.76*3.54+1.53*2.44+2.44*1.53+3.05*4.46+3.05*3.36+1.83*1)*10.764</f>
        <v>763.0115219999999</v>
      </c>
      <c r="G206" s="115"/>
      <c r="H206" s="19">
        <v>0</v>
      </c>
      <c r="I206" s="19">
        <f t="shared" si="34"/>
        <v>1220.8184351999998</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3">
      <c r="A207" s="149" t="str">
        <f t="shared" si="31"/>
        <v>15th, 22nd, 29th, 36th &amp; 43rd Floor For Residential (Part Refuge Area)</v>
      </c>
      <c r="B207" s="150"/>
      <c r="C207" s="113">
        <f t="shared" si="32"/>
        <v>6</v>
      </c>
      <c r="D207" s="113"/>
      <c r="E207" s="19" t="s">
        <v>213</v>
      </c>
      <c r="F207" s="114">
        <f>(2.54*1.22+2.14*3.11+2.04*1.3+3*1.62+3.05*5.83+0.76*3.54+1.53*2.44+2.44*1.53+3.05*4.46+3.05*3.36+1.83*1)*10.764</f>
        <v>763.0115219999999</v>
      </c>
      <c r="G207" s="115"/>
      <c r="H207" s="19">
        <v>0</v>
      </c>
      <c r="I207" s="19">
        <f t="shared" si="34"/>
        <v>1220.8184351999998</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1" x14ac:dyDescent="0.3">
      <c r="A208" s="110" t="s">
        <v>278</v>
      </c>
      <c r="B208" s="111"/>
      <c r="C208" s="111"/>
      <c r="D208" s="111"/>
      <c r="E208" s="111"/>
      <c r="F208" s="111"/>
      <c r="G208" s="111"/>
      <c r="H208" s="111"/>
      <c r="I208" s="112"/>
      <c r="J208" s="1">
        <v>1</v>
      </c>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1" customHeight="1" x14ac:dyDescent="0.3">
      <c r="A209" s="145" t="str">
        <f>A208</f>
        <v>50th Floor (Part Refuge Area)</v>
      </c>
      <c r="B209" s="146"/>
      <c r="C209" s="113">
        <v>1</v>
      </c>
      <c r="D209" s="113"/>
      <c r="E209" s="114" t="s">
        <v>217</v>
      </c>
      <c r="F209" s="151"/>
      <c r="G209" s="151"/>
      <c r="H209" s="115"/>
      <c r="I209" s="19">
        <v>0</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1" customHeight="1" x14ac:dyDescent="0.3">
      <c r="A210" s="147"/>
      <c r="B210" s="148"/>
      <c r="C210" s="113">
        <f>C209+1</f>
        <v>2</v>
      </c>
      <c r="D210" s="113"/>
      <c r="E210" s="19" t="s">
        <v>212</v>
      </c>
      <c r="F210" s="114">
        <f>(1.22*2.74+3.35*5.43+2.99*0.99+3.12*2.44+1.35*1.84+2.44*1.53+2.44*1.53+3.47*1+3.05*3.36+3.36*4.27+3.33*3.39+1.53*2.75+3.75*1.76)*10.764</f>
        <v>992.63455199999987</v>
      </c>
      <c r="G210" s="115"/>
      <c r="H210" s="19">
        <v>0</v>
      </c>
      <c r="I210" s="19">
        <f t="shared" ref="I210:I214" si="35">F210*(($I$126)+1)+H210</f>
        <v>1588.2152831999999</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1" customHeight="1" x14ac:dyDescent="0.3">
      <c r="A211" s="147"/>
      <c r="B211" s="148"/>
      <c r="C211" s="113">
        <f t="shared" ref="C211:C214" si="36">C210+1</f>
        <v>3</v>
      </c>
      <c r="D211" s="113"/>
      <c r="E211" s="19" t="s">
        <v>212</v>
      </c>
      <c r="F211" s="114">
        <f>(1.22*2.84+3.1*2.44+0.9*2.9+3.38*3.43+3.06*3.36+3.36*4.27+3.38*3.39+1.5*2.75+2.45*1.53*2.44*1.53+3.75*1.76+0.9*0.9)*10.764</f>
        <v>934.83295055279984</v>
      </c>
      <c r="G211" s="115"/>
      <c r="H211" s="19">
        <v>0</v>
      </c>
      <c r="I211" s="19">
        <f t="shared" si="35"/>
        <v>1495.7327208844799</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1" customHeight="1" x14ac:dyDescent="0.3">
      <c r="A212" s="147"/>
      <c r="B212" s="148"/>
      <c r="C212" s="113">
        <f t="shared" si="36"/>
        <v>4</v>
      </c>
      <c r="D212" s="113"/>
      <c r="E212" s="19" t="s">
        <v>212</v>
      </c>
      <c r="F212" s="114">
        <f>(1.22*2.84+3.1*2.44+0.9*2.9+3.38*3.43+3.06*3.36+3.36*4.27+3.38*3.39+1.5*2.75+2.45*1.53*2.44*1.53+3.75*1.76+0.9*0.9)*10.764</f>
        <v>934.83295055279984</v>
      </c>
      <c r="G212" s="115"/>
      <c r="H212" s="19">
        <v>0</v>
      </c>
      <c r="I212" s="19">
        <f t="shared" si="35"/>
        <v>1495.7327208844799</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1" customHeight="1" x14ac:dyDescent="0.3">
      <c r="A213" s="147"/>
      <c r="B213" s="148"/>
      <c r="C213" s="113">
        <f t="shared" si="36"/>
        <v>5</v>
      </c>
      <c r="D213" s="113"/>
      <c r="E213" s="19" t="s">
        <v>213</v>
      </c>
      <c r="F213" s="114">
        <f>(2.54*1.22+2.14*3.11+2.04*1.3+3*1.62+3.05*5.83+0.76*3.54+1.53*2.44+2.44*1.53+3.05*4.46+3.05*3.36+1.83*1)*10.764</f>
        <v>763.0115219999999</v>
      </c>
      <c r="G213" s="115"/>
      <c r="H213" s="19">
        <v>0</v>
      </c>
      <c r="I213" s="19">
        <f t="shared" si="35"/>
        <v>1220.8184351999998</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1" customHeight="1" x14ac:dyDescent="0.3">
      <c r="A214" s="149"/>
      <c r="B214" s="150"/>
      <c r="C214" s="113">
        <f t="shared" si="36"/>
        <v>6</v>
      </c>
      <c r="D214" s="113"/>
      <c r="E214" s="19" t="s">
        <v>213</v>
      </c>
      <c r="F214" s="114">
        <f>(2.54*1.22+2.14*3.11+2.04*1.3+3*1.62+3.05*5.83+0.76*3.54+1.53*2.44+2.44*1.53+3.05*4.46+3.05*3.36+1.83*1)*10.764</f>
        <v>763.0115219999999</v>
      </c>
      <c r="G214" s="115"/>
      <c r="H214" s="19">
        <v>0</v>
      </c>
      <c r="I214" s="19">
        <f t="shared" si="35"/>
        <v>1220.8184351999998</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1" x14ac:dyDescent="0.3">
      <c r="A215" s="110" t="s">
        <v>231</v>
      </c>
      <c r="B215" s="111"/>
      <c r="C215" s="111"/>
      <c r="D215" s="111"/>
      <c r="E215" s="111"/>
      <c r="F215" s="111"/>
      <c r="G215" s="111"/>
      <c r="H215" s="111"/>
      <c r="I215" s="11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1" x14ac:dyDescent="0.3">
      <c r="A216" s="110" t="s">
        <v>287</v>
      </c>
      <c r="B216" s="111"/>
      <c r="C216" s="111"/>
      <c r="D216" s="111"/>
      <c r="E216" s="111"/>
      <c r="F216" s="111"/>
      <c r="G216" s="111"/>
      <c r="H216" s="111"/>
      <c r="I216" s="11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1" x14ac:dyDescent="0.3">
      <c r="A217" s="110" t="s">
        <v>288</v>
      </c>
      <c r="B217" s="111"/>
      <c r="C217" s="111"/>
      <c r="D217" s="111"/>
      <c r="E217" s="111"/>
      <c r="F217" s="111"/>
      <c r="G217" s="111"/>
      <c r="H217" s="111"/>
      <c r="I217" s="11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1" x14ac:dyDescent="0.3">
      <c r="A218" s="110" t="s">
        <v>211</v>
      </c>
      <c r="B218" s="111"/>
      <c r="C218" s="111"/>
      <c r="D218" s="111"/>
      <c r="E218" s="111"/>
      <c r="F218" s="111"/>
      <c r="G218" s="111"/>
      <c r="H218" s="111"/>
      <c r="I218" s="112"/>
      <c r="J218" s="1">
        <v>1</v>
      </c>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3">
      <c r="A219" s="110" t="s">
        <v>235</v>
      </c>
      <c r="B219" s="111"/>
      <c r="C219" s="111"/>
      <c r="D219" s="111"/>
      <c r="E219" s="111"/>
      <c r="F219" s="111"/>
      <c r="G219" s="111"/>
      <c r="H219" s="111"/>
      <c r="I219" s="112"/>
      <c r="J219" s="1">
        <v>1</v>
      </c>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1" customHeight="1" x14ac:dyDescent="0.3">
      <c r="A220" s="145" t="str">
        <f>A219</f>
        <v>2nd Podium Floor For Residential ( Void Lobby Area)</v>
      </c>
      <c r="B220" s="146"/>
      <c r="C220" s="113">
        <v>1</v>
      </c>
      <c r="D220" s="113"/>
      <c r="E220" s="19" t="s">
        <v>212</v>
      </c>
      <c r="F220" s="114">
        <f>(1.22*2.74+3.35*5.43+0.99*2.99+3.12*2.44+3.05*3.36+3.36*4.27+3.33*3.39+2.44*1.53+2.44*1.53+1.53*2.75+3.75*1.76)*10.764</f>
        <v>928.54569599999979</v>
      </c>
      <c r="G220" s="115"/>
      <c r="H220" s="19">
        <v>0</v>
      </c>
      <c r="I220" s="19">
        <f>F220*(($I$126)+1)+H220</f>
        <v>1485.6731135999999</v>
      </c>
      <c r="J220" s="1"/>
      <c r="K220" s="58">
        <v>10.763999999999999</v>
      </c>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1" customHeight="1" x14ac:dyDescent="0.3">
      <c r="A221" s="147"/>
      <c r="B221" s="148"/>
      <c r="C221" s="113">
        <v>2</v>
      </c>
      <c r="D221" s="113"/>
      <c r="E221" s="19" t="s">
        <v>212</v>
      </c>
      <c r="F221" s="114">
        <f>(1.22*2.74+3.35*5.43+0.99*2.99+3.12*2.44+3.05*3.36+3.36*4.27+3.33*3.39+2.44*1.53+2.44*1.53+1.53*2.75+3.75*1.76)*10.764</f>
        <v>928.54569599999979</v>
      </c>
      <c r="G221" s="115"/>
      <c r="H221" s="19">
        <v>0</v>
      </c>
      <c r="I221" s="19">
        <f t="shared" ref="I221" si="37">F221*(($I$126)+1)+H221</f>
        <v>1485.6731135999999</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1" customHeight="1" x14ac:dyDescent="0.3">
      <c r="A222" s="147"/>
      <c r="B222" s="148"/>
      <c r="C222" s="113">
        <v>3</v>
      </c>
      <c r="D222" s="113"/>
      <c r="E222" s="145" t="s">
        <v>234</v>
      </c>
      <c r="F222" s="152"/>
      <c r="G222" s="152"/>
      <c r="H222" s="152"/>
      <c r="I222" s="146"/>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1" customHeight="1" x14ac:dyDescent="0.3">
      <c r="A223" s="147"/>
      <c r="B223" s="148"/>
      <c r="C223" s="113">
        <v>4</v>
      </c>
      <c r="D223" s="113"/>
      <c r="E223" s="147"/>
      <c r="F223" s="153"/>
      <c r="G223" s="153"/>
      <c r="H223" s="153"/>
      <c r="I223" s="148"/>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1" customHeight="1" x14ac:dyDescent="0.3">
      <c r="A224" s="147"/>
      <c r="B224" s="148"/>
      <c r="C224" s="113">
        <v>5</v>
      </c>
      <c r="D224" s="113"/>
      <c r="E224" s="147"/>
      <c r="F224" s="153"/>
      <c r="G224" s="153"/>
      <c r="H224" s="153"/>
      <c r="I224" s="148"/>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1" customHeight="1" x14ac:dyDescent="0.3">
      <c r="A225" s="149"/>
      <c r="B225" s="150"/>
      <c r="C225" s="113">
        <v>6</v>
      </c>
      <c r="D225" s="113"/>
      <c r="E225" s="149"/>
      <c r="F225" s="154"/>
      <c r="G225" s="154"/>
      <c r="H225" s="154"/>
      <c r="I225" s="150"/>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1" x14ac:dyDescent="0.3">
      <c r="A226" s="110" t="s">
        <v>236</v>
      </c>
      <c r="B226" s="111"/>
      <c r="C226" s="111"/>
      <c r="D226" s="111"/>
      <c r="E226" s="111"/>
      <c r="F226" s="111"/>
      <c r="G226" s="111"/>
      <c r="H226" s="111"/>
      <c r="I226" s="112"/>
      <c r="J226" s="1">
        <v>1</v>
      </c>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1" customHeight="1" x14ac:dyDescent="0.3">
      <c r="A227" s="145" t="str">
        <f>A226</f>
        <v>3rd Podium Floor (Part Parking Area)</v>
      </c>
      <c r="B227" s="146"/>
      <c r="C227" s="113">
        <v>1</v>
      </c>
      <c r="D227" s="113"/>
      <c r="E227" s="19" t="s">
        <v>212</v>
      </c>
      <c r="F227" s="114">
        <f>(1.22*2.74+3.35*5.43+0.99*2.99+3.12*2.44+3.05*3.36+3.36*4.27+3.33*3.39+2.44*1.53+2.44*1.53+1.53*2.75+3.75*1.76)*10.764</f>
        <v>928.54569599999979</v>
      </c>
      <c r="G227" s="115"/>
      <c r="H227" s="19">
        <v>0</v>
      </c>
      <c r="I227" s="19">
        <f>F227*(($I$126)+1)+H227</f>
        <v>1485.6731135999999</v>
      </c>
      <c r="K227" s="1">
        <f>22800000/F227</f>
        <v>24554.526608887543</v>
      </c>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1" customHeight="1" x14ac:dyDescent="0.3">
      <c r="A228" s="147"/>
      <c r="B228" s="148"/>
      <c r="C228" s="113">
        <f>C227+1</f>
        <v>2</v>
      </c>
      <c r="D228" s="113"/>
      <c r="E228" s="19" t="s">
        <v>212</v>
      </c>
      <c r="F228" s="114">
        <f>(1.22*2.74+3.35*5.43+0.99*2.99+3.12*2.44+3.05*3.36+3.36*4.27+3.33*3.39+2.44*1.53+2.44*1.53+1.53*2.75+3.75*1.76)*10.764</f>
        <v>928.54569599999979</v>
      </c>
      <c r="G228" s="115"/>
      <c r="H228" s="19">
        <v>0</v>
      </c>
      <c r="I228" s="19">
        <f t="shared" ref="I228:I232" si="38">F228*(($I$126)+1)+H228</f>
        <v>1485.6731135999999</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1" customHeight="1" x14ac:dyDescent="0.3">
      <c r="A229" s="147"/>
      <c r="B229" s="148"/>
      <c r="C229" s="113">
        <f t="shared" ref="C229:C232" si="39">C228+1</f>
        <v>3</v>
      </c>
      <c r="D229" s="113"/>
      <c r="E229" s="19" t="s">
        <v>213</v>
      </c>
      <c r="F229" s="114">
        <f>(3.05*5.83+3.54*0.76+1.22*2.14+2.14*3.1+1.7*1.35+3.05*3.36+3.05*4.46+2.44*1.53+1.53*2.44+1*3.05)*10.764</f>
        <v>714.50463239999988</v>
      </c>
      <c r="G229" s="115"/>
      <c r="H229" s="19">
        <v>0</v>
      </c>
      <c r="I229" s="19">
        <f t="shared" si="38"/>
        <v>1143.2074118399998</v>
      </c>
      <c r="K229" s="1">
        <f>15900000/F229</f>
        <v>22253.179726200473</v>
      </c>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3">
      <c r="A230" s="147"/>
      <c r="B230" s="148"/>
      <c r="C230" s="113">
        <f t="shared" si="39"/>
        <v>4</v>
      </c>
      <c r="D230" s="113"/>
      <c r="E230" s="114" t="s">
        <v>214</v>
      </c>
      <c r="F230" s="151"/>
      <c r="G230" s="151"/>
      <c r="H230" s="151"/>
      <c r="I230" s="115">
        <f t="shared" si="38"/>
        <v>0</v>
      </c>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3">
      <c r="A231" s="147"/>
      <c r="B231" s="148"/>
      <c r="C231" s="113">
        <f t="shared" si="39"/>
        <v>5</v>
      </c>
      <c r="D231" s="113"/>
      <c r="E231" s="114" t="s">
        <v>214</v>
      </c>
      <c r="F231" s="151"/>
      <c r="G231" s="151"/>
      <c r="H231" s="151"/>
      <c r="I231" s="115">
        <f t="shared" si="38"/>
        <v>0</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3">
      <c r="A232" s="149"/>
      <c r="B232" s="150"/>
      <c r="C232" s="113">
        <f t="shared" si="39"/>
        <v>6</v>
      </c>
      <c r="D232" s="113"/>
      <c r="E232" s="19" t="s">
        <v>213</v>
      </c>
      <c r="F232" s="114">
        <f>(3.05*5.83+3.54*0.76+1.22*2.14+2.14*3.1+1.7*1.35+3.05*3.36+3.05*4.46+2.44*1.53+1.53*2.44+1*3.05)*10.764</f>
        <v>714.50463239999988</v>
      </c>
      <c r="G232" s="115"/>
      <c r="H232" s="19">
        <v>0</v>
      </c>
      <c r="I232" s="19">
        <f t="shared" si="38"/>
        <v>1143.2074118399998</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1" x14ac:dyDescent="0.3">
      <c r="A233" s="110" t="s">
        <v>249</v>
      </c>
      <c r="B233" s="111"/>
      <c r="C233" s="111"/>
      <c r="D233" s="111"/>
      <c r="E233" s="111"/>
      <c r="F233" s="111"/>
      <c r="G233" s="111"/>
      <c r="H233" s="111"/>
      <c r="I233" s="112"/>
      <c r="J233" s="1">
        <v>1</v>
      </c>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1" customHeight="1" x14ac:dyDescent="0.3">
      <c r="A234" s="145" t="str">
        <f>A233</f>
        <v xml:space="preserve"> 4th Podium Floor (Part Parking Area)</v>
      </c>
      <c r="B234" s="146"/>
      <c r="C234" s="113">
        <v>1</v>
      </c>
      <c r="D234" s="113"/>
      <c r="E234" s="19" t="s">
        <v>212</v>
      </c>
      <c r="F234" s="114">
        <f>(1.22*2.74+3.35*5.43+0.99*2.99+3.12*2.44+3.05*3.36+3.36*4.27+3.33*3.39+2.44*1.53+2.44*1.53+1.53*2.75+3.75*1.76)*10.764</f>
        <v>928.54569599999979</v>
      </c>
      <c r="G234" s="115"/>
      <c r="H234" s="19">
        <v>0</v>
      </c>
      <c r="I234" s="19">
        <f>F234*(($I$126)+1)+H234</f>
        <v>1485.6731135999999</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1" customHeight="1" x14ac:dyDescent="0.3">
      <c r="A235" s="147"/>
      <c r="B235" s="148"/>
      <c r="C235" s="113">
        <f>C234+1</f>
        <v>2</v>
      </c>
      <c r="D235" s="113"/>
      <c r="E235" s="19" t="s">
        <v>212</v>
      </c>
      <c r="F235" s="114">
        <f>(1.22*2.74+3.35*5.43+0.99*2.99+3.12*2.44+3.05*3.36+3.36*4.27+3.33*3.39+2.44*1.53+2.44*1.53+1.53*2.75+3.75*1.76)*10.764</f>
        <v>928.54569599999979</v>
      </c>
      <c r="G235" s="115"/>
      <c r="H235" s="19">
        <v>0</v>
      </c>
      <c r="I235" s="19">
        <f t="shared" ref="I235:I239" si="40">F235*(($I$126)+1)+H235</f>
        <v>1485.6731135999999</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1" customHeight="1" x14ac:dyDescent="0.3">
      <c r="A236" s="147"/>
      <c r="B236" s="148"/>
      <c r="C236" s="113">
        <f t="shared" ref="C236:C239" si="41">C235+1</f>
        <v>3</v>
      </c>
      <c r="D236" s="113"/>
      <c r="E236" s="19" t="s">
        <v>213</v>
      </c>
      <c r="F236" s="114">
        <f>(3.05*5.83+3.54*0.76+1.22*2.14+2.14*3.1+1.7*1.35+3.05*3.36+3.05*4.46+2.44*1.53+1.53*2.44+1*3.05)*10.764</f>
        <v>714.50463239999988</v>
      </c>
      <c r="G236" s="115"/>
      <c r="H236" s="19">
        <v>0</v>
      </c>
      <c r="I236" s="19">
        <f t="shared" si="40"/>
        <v>1143.2074118399998</v>
      </c>
      <c r="K236" s="1">
        <f>15900000/F236</f>
        <v>22253.179726200473</v>
      </c>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3">
      <c r="A237" s="147"/>
      <c r="B237" s="148"/>
      <c r="C237" s="113">
        <f t="shared" si="41"/>
        <v>4</v>
      </c>
      <c r="D237" s="113"/>
      <c r="E237" s="114" t="s">
        <v>214</v>
      </c>
      <c r="F237" s="151"/>
      <c r="G237" s="151"/>
      <c r="H237" s="151"/>
      <c r="I237" s="115">
        <f t="shared" si="40"/>
        <v>0</v>
      </c>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3">
      <c r="A238" s="147"/>
      <c r="B238" s="148"/>
      <c r="C238" s="113">
        <f t="shared" si="41"/>
        <v>5</v>
      </c>
      <c r="D238" s="113"/>
      <c r="E238" s="114" t="s">
        <v>214</v>
      </c>
      <c r="F238" s="151"/>
      <c r="G238" s="151"/>
      <c r="H238" s="151"/>
      <c r="I238" s="115">
        <f t="shared" si="40"/>
        <v>0</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3">
      <c r="A239" s="149"/>
      <c r="B239" s="150"/>
      <c r="C239" s="113">
        <f t="shared" si="41"/>
        <v>6</v>
      </c>
      <c r="D239" s="113"/>
      <c r="E239" s="19" t="s">
        <v>213</v>
      </c>
      <c r="F239" s="114">
        <f>(3.05*5.83+3.54*0.76+1.22*2.14+2.14*3.1+1.7*1.35+3.05*3.36+3.05*4.46+2.44*1.53+1.53*2.44+1*3.05)*10.764</f>
        <v>714.50463239999988</v>
      </c>
      <c r="G239" s="115"/>
      <c r="H239" s="19">
        <v>0</v>
      </c>
      <c r="I239" s="19">
        <f t="shared" si="40"/>
        <v>1143.2074118399998</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1" x14ac:dyDescent="0.3">
      <c r="A240" s="110" t="s">
        <v>238</v>
      </c>
      <c r="B240" s="111"/>
      <c r="C240" s="111"/>
      <c r="D240" s="111"/>
      <c r="E240" s="111"/>
      <c r="F240" s="111"/>
      <c r="G240" s="111"/>
      <c r="H240" s="111"/>
      <c r="I240" s="112"/>
      <c r="J240" s="1">
        <v>1</v>
      </c>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1" customHeight="1" x14ac:dyDescent="0.3">
      <c r="A241" s="145" t="str">
        <f>A240</f>
        <v>5th Podium Floor (Part Parking Area)</v>
      </c>
      <c r="B241" s="146"/>
      <c r="C241" s="113">
        <v>1</v>
      </c>
      <c r="D241" s="113"/>
      <c r="E241" s="19" t="s">
        <v>212</v>
      </c>
      <c r="F241" s="114">
        <f>(1.22*2.74+3.35*5.43+0.99*2.99+3.12*2.44+3.05*3.36+3.36*4.27+3.33*3.39+2.44*1.53+2.44*1.53+1.53*2.75+3.75*1.76)*10.764</f>
        <v>928.54569599999979</v>
      </c>
      <c r="G241" s="115"/>
      <c r="H241" s="19">
        <v>0</v>
      </c>
      <c r="I241" s="19">
        <f>F241*(($I$126)+1)+H241</f>
        <v>1485.6731135999999</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1" customHeight="1" x14ac:dyDescent="0.3">
      <c r="A242" s="147"/>
      <c r="B242" s="148"/>
      <c r="C242" s="113">
        <f>C241+1</f>
        <v>2</v>
      </c>
      <c r="D242" s="113"/>
      <c r="E242" s="19" t="s">
        <v>212</v>
      </c>
      <c r="F242" s="114">
        <f>(1.22*2.74+3.35*5.43+0.99*2.99+3.12*2.44+3.05*3.36+3.36*4.27+3.33*3.39+2.44*1.53+2.44*1.53+1.53*2.75+3.75*1.76)*10.764</f>
        <v>928.54569599999979</v>
      </c>
      <c r="G242" s="115"/>
      <c r="H242" s="19">
        <v>0</v>
      </c>
      <c r="I242" s="19">
        <f t="shared" ref="I242:I246" si="42">F242*(($I$126)+1)+H242</f>
        <v>1485.6731135999999</v>
      </c>
      <c r="J242" s="1" t="s">
        <v>250</v>
      </c>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1" customHeight="1" x14ac:dyDescent="0.3">
      <c r="A243" s="147"/>
      <c r="B243" s="148"/>
      <c r="C243" s="113">
        <f t="shared" ref="C243:C246" si="43">C242+1</f>
        <v>3</v>
      </c>
      <c r="D243" s="113"/>
      <c r="E243" s="19" t="s">
        <v>213</v>
      </c>
      <c r="F243" s="114">
        <f>(3.05*5.83+3.54*0.76+1.22*2.14+2.14*3.1+1.7*1.35+3.05*3.36+3.05*4.46+2.44*1.53+1.53*2.44+1*3.05)*10.764</f>
        <v>714.50463239999988</v>
      </c>
      <c r="G243" s="115"/>
      <c r="H243" s="19">
        <v>0</v>
      </c>
      <c r="I243" s="19">
        <f t="shared" si="42"/>
        <v>1143.2074118399998</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customHeight="1" x14ac:dyDescent="0.3">
      <c r="A244" s="147"/>
      <c r="B244" s="148"/>
      <c r="C244" s="113">
        <f t="shared" si="43"/>
        <v>4</v>
      </c>
      <c r="D244" s="113"/>
      <c r="E244" s="114" t="s">
        <v>214</v>
      </c>
      <c r="F244" s="151"/>
      <c r="G244" s="151"/>
      <c r="H244" s="151"/>
      <c r="I244" s="115">
        <f t="shared" si="42"/>
        <v>0</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3">
      <c r="A245" s="147"/>
      <c r="B245" s="148"/>
      <c r="C245" s="113">
        <f t="shared" si="43"/>
        <v>5</v>
      </c>
      <c r="D245" s="113"/>
      <c r="E245" s="114" t="s">
        <v>214</v>
      </c>
      <c r="F245" s="151"/>
      <c r="G245" s="151"/>
      <c r="H245" s="151"/>
      <c r="I245" s="115">
        <f t="shared" si="42"/>
        <v>0</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3">
      <c r="A246" s="149"/>
      <c r="B246" s="150"/>
      <c r="C246" s="113">
        <f t="shared" si="43"/>
        <v>6</v>
      </c>
      <c r="D246" s="113"/>
      <c r="E246" s="19" t="s">
        <v>213</v>
      </c>
      <c r="F246" s="114">
        <f>(3.05*5.83+3.54*0.76+1.22*2.14+2.14*3.1+1.7*1.35+3.05*3.36+3.05*4.46+2.44*1.53+1.53*2.44+1*3.05)*10.764</f>
        <v>714.50463239999988</v>
      </c>
      <c r="G246" s="115"/>
      <c r="H246" s="19">
        <v>0</v>
      </c>
      <c r="I246" s="19">
        <f t="shared" si="42"/>
        <v>1143.2074118399998</v>
      </c>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1" x14ac:dyDescent="0.3">
      <c r="A247" s="110" t="s">
        <v>257</v>
      </c>
      <c r="B247" s="111"/>
      <c r="C247" s="111"/>
      <c r="D247" s="111"/>
      <c r="E247" s="111"/>
      <c r="F247" s="111"/>
      <c r="G247" s="111"/>
      <c r="H247" s="111"/>
      <c r="I247" s="112"/>
      <c r="J247" s="1">
        <v>1</v>
      </c>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1" customHeight="1" x14ac:dyDescent="0.3">
      <c r="A248" s="145" t="str">
        <f>A247</f>
        <v>6th Podium Floor (Part Amenity Area)</v>
      </c>
      <c r="B248" s="146"/>
      <c r="C248" s="113">
        <v>1</v>
      </c>
      <c r="D248" s="113"/>
      <c r="E248" s="19" t="s">
        <v>212</v>
      </c>
      <c r="F248" s="114">
        <f>(1.22*2.74+3.35*5.43+0.99*2.99+3.12*2.44+3.05*3.36+3.36*4.27+3.33*3.39+2.44*1.53+2.44*1.53+1.53*2.75+3.75*1.76)*10.764</f>
        <v>928.54569599999979</v>
      </c>
      <c r="G248" s="115"/>
      <c r="H248" s="19">
        <v>0</v>
      </c>
      <c r="I248" s="19">
        <f>F248*(($I$126)+1)+H248</f>
        <v>1485.6731135999999</v>
      </c>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1" customHeight="1" x14ac:dyDescent="0.3">
      <c r="A249" s="147"/>
      <c r="B249" s="148"/>
      <c r="C249" s="113">
        <f>C248+1</f>
        <v>2</v>
      </c>
      <c r="D249" s="113"/>
      <c r="E249" s="19" t="s">
        <v>212</v>
      </c>
      <c r="F249" s="114">
        <f>(1.22*2.74+3.35*5.43+0.99*2.99+3.12*2.44+3.05*3.36+3.36*4.27+3.33*3.39+2.44*1.53+2.44*1.53+1.53*2.75+3.75*1.76)*10.764</f>
        <v>928.54569599999979</v>
      </c>
      <c r="G249" s="115"/>
      <c r="H249" s="19">
        <v>0</v>
      </c>
      <c r="I249" s="19">
        <f t="shared" ref="I249:I253" si="44">F249*(($I$126)+1)+H249</f>
        <v>1485.6731135999999</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1" customHeight="1" x14ac:dyDescent="0.3">
      <c r="A250" s="147"/>
      <c r="B250" s="148"/>
      <c r="C250" s="113">
        <f t="shared" ref="C250:C253" si="45">C249+1</f>
        <v>3</v>
      </c>
      <c r="D250" s="113"/>
      <c r="E250" s="19" t="s">
        <v>213</v>
      </c>
      <c r="F250" s="114">
        <f>(3.05*5.83+3.54*0.76+1.22*2.14+2.14*3.1+1.7*1.35+3.05*3.36+3.05*4.46+2.44*1.53+1.53*2.44+1*3.05)*10.764</f>
        <v>714.50463239999988</v>
      </c>
      <c r="G250" s="115"/>
      <c r="H250" s="19">
        <v>0</v>
      </c>
      <c r="I250" s="19">
        <f t="shared" si="44"/>
        <v>1143.2074118399998</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3">
      <c r="A251" s="147"/>
      <c r="B251" s="148"/>
      <c r="C251" s="113">
        <f t="shared" si="45"/>
        <v>4</v>
      </c>
      <c r="D251" s="113"/>
      <c r="E251" s="114" t="s">
        <v>256</v>
      </c>
      <c r="F251" s="151"/>
      <c r="G251" s="151"/>
      <c r="H251" s="151"/>
      <c r="I251" s="115">
        <f t="shared" si="44"/>
        <v>0</v>
      </c>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3">
      <c r="A252" s="147"/>
      <c r="B252" s="148"/>
      <c r="C252" s="113">
        <f t="shared" si="45"/>
        <v>5</v>
      </c>
      <c r="D252" s="113"/>
      <c r="E252" s="114" t="s">
        <v>256</v>
      </c>
      <c r="F252" s="151"/>
      <c r="G252" s="151"/>
      <c r="H252" s="151"/>
      <c r="I252" s="115">
        <f t="shared" ref="I252" si="46">F252*(($I$126)+1)+H252</f>
        <v>0</v>
      </c>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customHeight="1" x14ac:dyDescent="0.3">
      <c r="A253" s="149"/>
      <c r="B253" s="150"/>
      <c r="C253" s="113">
        <f t="shared" si="45"/>
        <v>6</v>
      </c>
      <c r="D253" s="113"/>
      <c r="E253" s="19" t="s">
        <v>213</v>
      </c>
      <c r="F253" s="114">
        <f>(3.05*5.83+3.54*0.76+1.22*2.14+2.14*3.1+1.7*1.35+3.05*3.36+3.05*4.46+2.44*1.53+1.53*2.44+1*3.05)*10.764</f>
        <v>714.50463239999988</v>
      </c>
      <c r="G253" s="115"/>
      <c r="H253" s="19">
        <v>0</v>
      </c>
      <c r="I253" s="19">
        <f t="shared" si="44"/>
        <v>1143.2074118399998</v>
      </c>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1" x14ac:dyDescent="0.3">
      <c r="A254" s="110" t="s">
        <v>255</v>
      </c>
      <c r="B254" s="111"/>
      <c r="C254" s="111"/>
      <c r="D254" s="111"/>
      <c r="E254" s="111"/>
      <c r="F254" s="111"/>
      <c r="G254" s="111"/>
      <c r="H254" s="111"/>
      <c r="I254" s="112"/>
      <c r="J254" s="1">
        <v>1</v>
      </c>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1" customHeight="1" x14ac:dyDescent="0.3">
      <c r="A255" s="145" t="str">
        <f>A254</f>
        <v>7th Podium Floor (Part Amenity Area)</v>
      </c>
      <c r="B255" s="146"/>
      <c r="C255" s="113">
        <v>1</v>
      </c>
      <c r="D255" s="113"/>
      <c r="E255" s="19" t="s">
        <v>212</v>
      </c>
      <c r="F255" s="114">
        <f>(1.22*2.74+3.35*5.43+0.99*2.99+3.12*2.44+3.05*3.36+3.36*4.27+3.33*3.39+2.44*1.53+2.44*1.53+1.53*2.75+3.75*1.76)*10.764</f>
        <v>928.54569599999979</v>
      </c>
      <c r="G255" s="115"/>
      <c r="H255" s="19">
        <v>0</v>
      </c>
      <c r="I255" s="19">
        <f>F255*(($I$126)+1)+H255</f>
        <v>1485.6731135999999</v>
      </c>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1" customHeight="1" x14ac:dyDescent="0.3">
      <c r="A256" s="147"/>
      <c r="B256" s="148"/>
      <c r="C256" s="113">
        <v>2</v>
      </c>
      <c r="D256" s="113"/>
      <c r="E256" s="19" t="s">
        <v>212</v>
      </c>
      <c r="F256" s="114">
        <f>(1.22*2.74+3.35*5.43+0.99*2.99+3.12*2.44+3.05*3.36+3.36*4.27+3.33*3.39+2.44*1.53+2.44*1.53+1.53*2.75+3.75*1.76)*10.764</f>
        <v>928.54569599999979</v>
      </c>
      <c r="G256" s="115"/>
      <c r="H256" s="19">
        <v>0</v>
      </c>
      <c r="I256" s="19">
        <f t="shared" ref="I256:I260" si="47">F256*(($I$126)+1)+H256</f>
        <v>1485.6731135999999</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1" customHeight="1" x14ac:dyDescent="0.3">
      <c r="A257" s="147"/>
      <c r="B257" s="148"/>
      <c r="C257" s="113">
        <f t="shared" ref="C257:C260" si="48">C256+1</f>
        <v>3</v>
      </c>
      <c r="D257" s="113"/>
      <c r="E257" s="19" t="s">
        <v>213</v>
      </c>
      <c r="F257" s="114">
        <f>(3.05*5.83+3.54*0.76+1.22*2.14+2.14*3.1+1.7*1.35+3.05*3.36+3.05*4.46+2.44*1.53+1.53*2.44+1*3.05)*10.764</f>
        <v>714.50463239999988</v>
      </c>
      <c r="G257" s="115"/>
      <c r="H257" s="19">
        <v>0</v>
      </c>
      <c r="I257" s="19">
        <f t="shared" si="47"/>
        <v>1143.2074118399998</v>
      </c>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3">
      <c r="A258" s="147"/>
      <c r="B258" s="148"/>
      <c r="C258" s="113">
        <f t="shared" si="48"/>
        <v>4</v>
      </c>
      <c r="D258" s="113"/>
      <c r="E258" s="114" t="s">
        <v>256</v>
      </c>
      <c r="F258" s="151"/>
      <c r="G258" s="151"/>
      <c r="H258" s="151"/>
      <c r="I258" s="115">
        <f t="shared" si="47"/>
        <v>0</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3">
      <c r="A259" s="147"/>
      <c r="B259" s="148"/>
      <c r="C259" s="113">
        <f t="shared" si="48"/>
        <v>5</v>
      </c>
      <c r="D259" s="113"/>
      <c r="E259" s="114" t="s">
        <v>256</v>
      </c>
      <c r="F259" s="151"/>
      <c r="G259" s="151"/>
      <c r="H259" s="151"/>
      <c r="I259" s="115">
        <f t="shared" si="47"/>
        <v>0</v>
      </c>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3">
      <c r="A260" s="149"/>
      <c r="B260" s="150"/>
      <c r="C260" s="113">
        <f t="shared" si="48"/>
        <v>6</v>
      </c>
      <c r="D260" s="113"/>
      <c r="E260" s="19" t="s">
        <v>213</v>
      </c>
      <c r="F260" s="114">
        <f>(3.05*5.83+3.54*0.76+1.22*2.14+2.14*3.1+1.7*1.35+3.05*3.36+3.05*4.46+2.44*1.53+1.53*2.44+1*3.05)*10.764</f>
        <v>714.50463239999988</v>
      </c>
      <c r="G260" s="115"/>
      <c r="H260" s="19">
        <v>0</v>
      </c>
      <c r="I260" s="19">
        <f t="shared" si="47"/>
        <v>1143.2074118399998</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1" x14ac:dyDescent="0.3">
      <c r="A261" s="110" t="s">
        <v>289</v>
      </c>
      <c r="B261" s="111"/>
      <c r="C261" s="111"/>
      <c r="D261" s="111"/>
      <c r="E261" s="111"/>
      <c r="F261" s="111"/>
      <c r="G261" s="111"/>
      <c r="H261" s="111"/>
      <c r="I261" s="11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1" x14ac:dyDescent="0.3">
      <c r="A262" s="110" t="s">
        <v>290</v>
      </c>
      <c r="B262" s="111"/>
      <c r="C262" s="111"/>
      <c r="D262" s="111"/>
      <c r="E262" s="111"/>
      <c r="F262" s="111"/>
      <c r="G262" s="111"/>
      <c r="H262" s="111"/>
      <c r="I262" s="112"/>
      <c r="J262" s="1">
        <v>2</v>
      </c>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1" x14ac:dyDescent="0.3">
      <c r="A263" s="110" t="s">
        <v>291</v>
      </c>
      <c r="B263" s="111"/>
      <c r="C263" s="111"/>
      <c r="D263" s="111"/>
      <c r="E263" s="111"/>
      <c r="F263" s="111"/>
      <c r="G263" s="111"/>
      <c r="H263" s="111"/>
      <c r="I263" s="112"/>
      <c r="J263" s="1">
        <v>1</v>
      </c>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1" x14ac:dyDescent="0.3">
      <c r="A264" s="110" t="s">
        <v>292</v>
      </c>
      <c r="B264" s="111"/>
      <c r="C264" s="111"/>
      <c r="D264" s="111"/>
      <c r="E264" s="111"/>
      <c r="F264" s="111"/>
      <c r="G264" s="111"/>
      <c r="H264" s="111"/>
      <c r="I264" s="112"/>
      <c r="J264" s="1">
        <v>1</v>
      </c>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1" x14ac:dyDescent="0.3">
      <c r="A265" s="145" t="str">
        <f>A264</f>
        <v>11th Floor</v>
      </c>
      <c r="B265" s="146"/>
      <c r="C265" s="113">
        <v>1</v>
      </c>
      <c r="D265" s="113"/>
      <c r="E265" s="19" t="s">
        <v>212</v>
      </c>
      <c r="F265" s="114">
        <f t="shared" ref="F265:G266" si="49">(1.22*2.74+3.35*5.43+0.99*2.99+3.12*2.44+3.05*3.36+3.36*4.27+3.33*3.39+2.44*1.53+2.44*1.53+1.53*2.75+3.75*1.76)*10.764</f>
        <v>928.54569599999979</v>
      </c>
      <c r="G265" s="115">
        <f t="shared" si="49"/>
        <v>928.54569599999979</v>
      </c>
      <c r="H265" s="19">
        <v>0</v>
      </c>
      <c r="I265" s="19">
        <f>F265*(($I$126)+1)+H265</f>
        <v>1485.6731135999999</v>
      </c>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1" x14ac:dyDescent="0.3">
      <c r="A266" s="147"/>
      <c r="B266" s="148"/>
      <c r="C266" s="113">
        <v>2</v>
      </c>
      <c r="D266" s="113"/>
      <c r="E266" s="19" t="s">
        <v>212</v>
      </c>
      <c r="F266" s="114">
        <f t="shared" si="49"/>
        <v>928.54569599999979</v>
      </c>
      <c r="G266" s="115">
        <f t="shared" si="49"/>
        <v>928.54569599999979</v>
      </c>
      <c r="H266" s="19">
        <v>0</v>
      </c>
      <c r="I266" s="19">
        <f t="shared" ref="I266:I268" si="50">F266*(($I$126)+1)+H266</f>
        <v>1485.6731135999999</v>
      </c>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1" x14ac:dyDescent="0.3">
      <c r="A267" s="147"/>
      <c r="B267" s="148"/>
      <c r="C267" s="113">
        <v>3</v>
      </c>
      <c r="D267" s="113"/>
      <c r="E267" s="19" t="s">
        <v>212</v>
      </c>
      <c r="F267" s="114">
        <f>(6*6.13+3.81*3.38+2.13*5.52+3.05*2.29+3.05*3.35+3.05*4.45+2*(2.4*1.525)+2*(1.52*2.44)+5.2*4.45+3*0.9+5.73*1.7)*(10.764)</f>
        <v>1533.9614939999997</v>
      </c>
      <c r="G267" s="115">
        <f>(6*6.13+3.81*3.38+2.13*5.52+3.05*2.29+3.05*3.35+3.05*4.45+2*(2.4*1.525)+2*(1.52*2.44)+5.2*4.45+3*0.9+5.73*1.7)*(10.764)</f>
        <v>1533.9614939999997</v>
      </c>
      <c r="H267" s="19">
        <v>0</v>
      </c>
      <c r="I267" s="19">
        <f t="shared" si="50"/>
        <v>2454.3383903999998</v>
      </c>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1" x14ac:dyDescent="0.3">
      <c r="A268" s="149"/>
      <c r="B268" s="150"/>
      <c r="C268" s="113">
        <v>6</v>
      </c>
      <c r="D268" s="113"/>
      <c r="E268" s="19" t="s">
        <v>275</v>
      </c>
      <c r="F268" s="114">
        <f>(6.04*5.13+3.81*3.38+2.13*5.57+3.05*2.29+3.05*3.35+3.05*4.45+2*(2.4*1.525)+2*(1.52*2.44)+2*(3.05*1)+3.05*3.35+3.05*4.45+5.73*1.7)*(10.764)</f>
        <v>1516.3268327999995</v>
      </c>
      <c r="G268" s="115">
        <f>(6.04*5.13+3.81*3.38+2.13*5.57+3.05*2.29+3.05*3.35+3.05*4.45+2*(2.4*1.525)+2*(1.52*2.44)+2*(3.05*1)+3.05*3.35+3.05*4.45+5.73*1.7)*(10.764)</f>
        <v>1516.3268327999995</v>
      </c>
      <c r="H268" s="19">
        <v>0</v>
      </c>
      <c r="I268" s="19">
        <f t="shared" si="50"/>
        <v>2426.1229324799992</v>
      </c>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1" x14ac:dyDescent="0.3">
      <c r="A269" s="110" t="s">
        <v>244</v>
      </c>
      <c r="B269" s="111"/>
      <c r="C269" s="111"/>
      <c r="D269" s="111"/>
      <c r="E269" s="111"/>
      <c r="F269" s="111"/>
      <c r="G269" s="111"/>
      <c r="H269" s="111"/>
      <c r="I269" s="112"/>
      <c r="J269" s="1">
        <v>1</v>
      </c>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1" x14ac:dyDescent="0.3">
      <c r="A270" s="145" t="str">
        <f>A269</f>
        <v>12th Floor</v>
      </c>
      <c r="B270" s="146"/>
      <c r="C270" s="113">
        <v>1</v>
      </c>
      <c r="D270" s="113"/>
      <c r="E270" s="19" t="s">
        <v>212</v>
      </c>
      <c r="F270" s="114">
        <f t="shared" ref="F270:G271" si="51">(1.22*2.74+3.35*5.43+0.99*2.99+3.12*2.44+3.05*3.36+3.36*4.27+3.33*3.39+2.44*1.53+2.44*1.53+1.53*2.75+3.75*1.76)*10.764</f>
        <v>928.54569599999979</v>
      </c>
      <c r="G270" s="115">
        <f t="shared" si="51"/>
        <v>928.54569599999979</v>
      </c>
      <c r="H270" s="19">
        <v>0</v>
      </c>
      <c r="I270" s="19">
        <f>F270*(($I$126)+1)+H270</f>
        <v>1485.6731135999999</v>
      </c>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1" x14ac:dyDescent="0.3">
      <c r="A271" s="147"/>
      <c r="B271" s="148"/>
      <c r="C271" s="113">
        <f>C270+1</f>
        <v>2</v>
      </c>
      <c r="D271" s="113"/>
      <c r="E271" s="19" t="s">
        <v>212</v>
      </c>
      <c r="F271" s="114">
        <f t="shared" si="51"/>
        <v>928.54569599999979</v>
      </c>
      <c r="G271" s="115">
        <f t="shared" si="51"/>
        <v>928.54569599999979</v>
      </c>
      <c r="H271" s="19">
        <v>0</v>
      </c>
      <c r="I271" s="19">
        <f t="shared" ref="I271:I273" si="52">F271*(($I$126)+1)+H271</f>
        <v>1485.6731135999999</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1" x14ac:dyDescent="0.3">
      <c r="A272" s="147"/>
      <c r="B272" s="148"/>
      <c r="C272" s="113">
        <f t="shared" ref="C272:C275" si="53">C271+1</f>
        <v>3</v>
      </c>
      <c r="D272" s="113"/>
      <c r="E272" s="19" t="s">
        <v>213</v>
      </c>
      <c r="F272" s="114">
        <f t="shared" ref="F272:G275" si="54">(3.05*5.83+3.54*0.76+1.22*2.14+2.14*3.1+1.7*1.35+3.05*3.36+3.05*4.46+2.44*1.53+1.53*2.44+1*3.05)*10.764</f>
        <v>714.50463239999988</v>
      </c>
      <c r="G272" s="115">
        <f t="shared" si="54"/>
        <v>714.50463239999988</v>
      </c>
      <c r="H272" s="19">
        <v>0</v>
      </c>
      <c r="I272" s="19">
        <f t="shared" si="52"/>
        <v>1143.2074118399998</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1" x14ac:dyDescent="0.3">
      <c r="A273" s="147"/>
      <c r="B273" s="148"/>
      <c r="C273" s="113">
        <f t="shared" si="53"/>
        <v>4</v>
      </c>
      <c r="D273" s="113"/>
      <c r="E273" s="19" t="s">
        <v>213</v>
      </c>
      <c r="F273" s="114">
        <f t="shared" si="54"/>
        <v>714.50463239999988</v>
      </c>
      <c r="G273" s="115">
        <f t="shared" si="54"/>
        <v>714.50463239999988</v>
      </c>
      <c r="H273" s="19">
        <v>0</v>
      </c>
      <c r="I273" s="19">
        <f t="shared" si="52"/>
        <v>1143.2074118399998</v>
      </c>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1" x14ac:dyDescent="0.3">
      <c r="A274" s="147"/>
      <c r="B274" s="148"/>
      <c r="C274" s="113">
        <f t="shared" si="53"/>
        <v>5</v>
      </c>
      <c r="D274" s="113"/>
      <c r="E274" s="19" t="s">
        <v>213</v>
      </c>
      <c r="F274" s="114">
        <f t="shared" si="54"/>
        <v>714.50463239999988</v>
      </c>
      <c r="G274" s="115">
        <f t="shared" si="54"/>
        <v>714.50463239999988</v>
      </c>
      <c r="H274" s="19">
        <v>0</v>
      </c>
      <c r="I274" s="19">
        <f t="shared" ref="I274:I275" si="55">F274*(($I$126)+1)+H274</f>
        <v>1143.2074118399998</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1" x14ac:dyDescent="0.3">
      <c r="A275" s="149"/>
      <c r="B275" s="150"/>
      <c r="C275" s="113">
        <f t="shared" si="53"/>
        <v>6</v>
      </c>
      <c r="D275" s="113"/>
      <c r="E275" s="19" t="s">
        <v>213</v>
      </c>
      <c r="F275" s="114">
        <f t="shared" si="54"/>
        <v>714.50463239999988</v>
      </c>
      <c r="G275" s="115">
        <f t="shared" si="54"/>
        <v>714.50463239999988</v>
      </c>
      <c r="H275" s="19">
        <v>0</v>
      </c>
      <c r="I275" s="19">
        <f t="shared" si="55"/>
        <v>1143.2074118399998</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1" x14ac:dyDescent="0.3">
      <c r="A276" s="110" t="s">
        <v>276</v>
      </c>
      <c r="B276" s="111"/>
      <c r="C276" s="111"/>
      <c r="D276" s="111"/>
      <c r="E276" s="111"/>
      <c r="F276" s="111"/>
      <c r="G276" s="111"/>
      <c r="H276" s="111"/>
      <c r="I276" s="112"/>
      <c r="J276" s="1">
        <f>1+5+5+5+5+6+4</f>
        <v>31</v>
      </c>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1" customHeight="1" x14ac:dyDescent="0.3">
      <c r="A277" s="145" t="str">
        <f>A276</f>
        <v>13th, 16th to 20th, 23rd to 27th, 30th to 34th, 37th to 41th, 44th to 49th &amp; 51st to 54th Floor</v>
      </c>
      <c r="B277" s="146"/>
      <c r="C277" s="113">
        <v>1</v>
      </c>
      <c r="D277" s="113"/>
      <c r="E277" s="19" t="s">
        <v>212</v>
      </c>
      <c r="F277" s="114">
        <f t="shared" ref="F277:G278" si="56">(1.22*2.74+3.35*5.43+0.99*2.99+3.12*2.44+3.05*3.36+3.36*4.27+3.33*3.39+2.44*1.53+2.44*1.53+1.53*2.75+3.75*1.76)*10.764</f>
        <v>928.54569599999979</v>
      </c>
      <c r="G277" s="115">
        <f t="shared" si="56"/>
        <v>928.54569599999979</v>
      </c>
      <c r="H277" s="19">
        <v>0</v>
      </c>
      <c r="I277" s="19">
        <f>F277*(($I$126)+1)+H277</f>
        <v>1485.6731135999999</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1" customHeight="1" x14ac:dyDescent="0.3">
      <c r="A278" s="147"/>
      <c r="B278" s="148"/>
      <c r="C278" s="113">
        <f>C277+1</f>
        <v>2</v>
      </c>
      <c r="D278" s="113"/>
      <c r="E278" s="19" t="s">
        <v>212</v>
      </c>
      <c r="F278" s="114">
        <f t="shared" si="56"/>
        <v>928.54569599999979</v>
      </c>
      <c r="G278" s="115">
        <f t="shared" si="56"/>
        <v>928.54569599999979</v>
      </c>
      <c r="H278" s="19">
        <v>0</v>
      </c>
      <c r="I278" s="19">
        <f t="shared" ref="I278:I282" si="57">F278*(($I$126)+1)+H278</f>
        <v>1485.6731135999999</v>
      </c>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1" customHeight="1" x14ac:dyDescent="0.3">
      <c r="A279" s="147"/>
      <c r="B279" s="148"/>
      <c r="C279" s="113">
        <f t="shared" ref="C279:C282" si="58">C278+1</f>
        <v>3</v>
      </c>
      <c r="D279" s="113"/>
      <c r="E279" s="19" t="s">
        <v>213</v>
      </c>
      <c r="F279" s="114">
        <f>(3.05*5.83+3.54*0.76+1.22*2.14+2.14*3.1+1.7*1.35+3.05*3.36+3.05*4.46+2.44*1.53+1.53*2.44+1*3.05+3*1.52)*10.764</f>
        <v>763.58847239999989</v>
      </c>
      <c r="G279" s="115">
        <f>(3.05*5.83+3.54*0.76+1.22*2.14+2.14*3.1+1.7*1.35+3.05*3.36+3.05*4.46+2.44*1.53+1.53*2.44+1*3.05+3*1.52)*10.764</f>
        <v>763.58847239999989</v>
      </c>
      <c r="H279" s="19">
        <v>0</v>
      </c>
      <c r="I279" s="19">
        <f t="shared" si="57"/>
        <v>1221.7415558399998</v>
      </c>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1" customHeight="1" x14ac:dyDescent="0.3">
      <c r="A280" s="147"/>
      <c r="B280" s="148"/>
      <c r="C280" s="113">
        <f t="shared" si="58"/>
        <v>4</v>
      </c>
      <c r="D280" s="113"/>
      <c r="E280" s="19" t="s">
        <v>213</v>
      </c>
      <c r="F280" s="114">
        <f>(3.05*5.83+3.54*0.76+1.22*2.14+2.14*3.1+1.7*1.35+3.05*3.36+3.05*4.46+2.44*1.53+1.53*2.44+1*3.05+3*1.52)*10.764</f>
        <v>763.58847239999989</v>
      </c>
      <c r="G280" s="115">
        <f>(3.05*5.83+3.54*0.76+1.22*2.14+2.14*3.1+1.7*1.35+3.05*3.36+3.05*4.46+2.44*1.53+1.53*2.44+1*3.05+3*1.52)*10.764</f>
        <v>763.58847239999989</v>
      </c>
      <c r="H280" s="19">
        <v>0</v>
      </c>
      <c r="I280" s="19">
        <f t="shared" si="57"/>
        <v>1221.7415558399998</v>
      </c>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1" customHeight="1" x14ac:dyDescent="0.3">
      <c r="A281" s="147"/>
      <c r="B281" s="148"/>
      <c r="C281" s="113">
        <f t="shared" si="58"/>
        <v>5</v>
      </c>
      <c r="D281" s="113"/>
      <c r="E281" s="19" t="s">
        <v>213</v>
      </c>
      <c r="F281" s="114">
        <f t="shared" ref="F281:G282" si="59">(3.05*5.83+3.54*0.76+1.22*2.14+2.14*3.1+1.7*1.35+3.05*3.36+3.05*4.46+2.44*1.53+1.53*2.44+1*3.05+3*1.52)*10.764</f>
        <v>763.58847239999989</v>
      </c>
      <c r="G281" s="115">
        <f t="shared" si="59"/>
        <v>763.58847239999989</v>
      </c>
      <c r="H281" s="19">
        <v>0</v>
      </c>
      <c r="I281" s="19">
        <f t="shared" si="57"/>
        <v>1221.7415558399998</v>
      </c>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1" customHeight="1" x14ac:dyDescent="0.3">
      <c r="A282" s="149"/>
      <c r="B282" s="150"/>
      <c r="C282" s="113">
        <f t="shared" si="58"/>
        <v>6</v>
      </c>
      <c r="D282" s="113"/>
      <c r="E282" s="19" t="s">
        <v>213</v>
      </c>
      <c r="F282" s="114">
        <f t="shared" si="59"/>
        <v>763.58847239999989</v>
      </c>
      <c r="G282" s="115">
        <f t="shared" si="59"/>
        <v>763.58847239999989</v>
      </c>
      <c r="H282" s="19">
        <v>0</v>
      </c>
      <c r="I282" s="19">
        <f t="shared" si="57"/>
        <v>1221.7415558399998</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1" x14ac:dyDescent="0.3">
      <c r="A283" s="110" t="s">
        <v>286</v>
      </c>
      <c r="B283" s="111"/>
      <c r="C283" s="111"/>
      <c r="D283" s="111"/>
      <c r="E283" s="111"/>
      <c r="F283" s="111"/>
      <c r="G283" s="111"/>
      <c r="H283" s="111"/>
      <c r="I283" s="11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1" x14ac:dyDescent="0.3">
      <c r="A284" s="110" t="s">
        <v>246</v>
      </c>
      <c r="B284" s="111"/>
      <c r="C284" s="111"/>
      <c r="D284" s="111"/>
      <c r="E284" s="111"/>
      <c r="F284" s="111"/>
      <c r="G284" s="111"/>
      <c r="H284" s="111"/>
      <c r="I284" s="112"/>
      <c r="J284" s="1">
        <v>5</v>
      </c>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63" x14ac:dyDescent="0.3">
      <c r="A285" s="145" t="str">
        <f>A284</f>
        <v xml:space="preserve">14th, 21st, 28th, 35th &amp; 42nd Floor </v>
      </c>
      <c r="B285" s="146"/>
      <c r="C285" s="113">
        <v>1</v>
      </c>
      <c r="D285" s="113"/>
      <c r="E285" s="19" t="s">
        <v>247</v>
      </c>
      <c r="F285" s="114">
        <f>(1.22*2.74+3.35*5.43+0.99*2.99+3.12*2.44+3.05*3.36+3.36*4.27+3.33*3.39+2.44*1.53+2.44*1.53+1.53*2.75+3.75*1.76+1.8*2.5+(3.05*3.46+3.36*4.27+3.3*3.3+1.53*2.15+2.44*1.53+1.5*1.84+0.9*4.53+0.9*3.3))*10.764</f>
        <v>1543.3842995999996</v>
      </c>
      <c r="G285" s="115">
        <f>(1.22*2.74+3.35*5.43+0.99*2.99+3.12*2.44+3.05*3.36+3.36*4.27+3.33*3.39+2.44*1.53+2.44*1.53+1.53*2.75+3.75*1.76+1.8*2.5+(3.05*3.46+3.36*4.27+3.3*3.3+1.53*2.15+2.44*1.53+1.5*1.84+0.9*4.53+0.9*3.3))*10.764</f>
        <v>1543.3842995999996</v>
      </c>
      <c r="H285" s="19">
        <v>0</v>
      </c>
      <c r="I285" s="19">
        <f>F285*(($I$126)+1)+H285</f>
        <v>2469.4148793599998</v>
      </c>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1" customHeight="1" x14ac:dyDescent="0.3">
      <c r="A286" s="147"/>
      <c r="B286" s="148"/>
      <c r="C286" s="113">
        <f>C285+1</f>
        <v>2</v>
      </c>
      <c r="D286" s="113"/>
      <c r="E286" s="19" t="s">
        <v>212</v>
      </c>
      <c r="F286" s="114">
        <f t="shared" ref="F286:G286" si="60">(1.22*2.74+3.35*5.43+0.99*2.99+3.12*2.44+3.05*3.36+3.36*4.27+3.33*3.39+2.44*1.53+2.44*1.53+1.53*2.75+3.75*1.76)*10.764</f>
        <v>928.54569599999979</v>
      </c>
      <c r="G286" s="115">
        <f t="shared" si="60"/>
        <v>928.54569599999979</v>
      </c>
      <c r="H286" s="19">
        <v>0</v>
      </c>
      <c r="I286" s="19">
        <f t="shared" ref="I286:I290" si="61">F286*(($I$126)+1)+H286</f>
        <v>1485.6731135999999</v>
      </c>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1" customHeight="1" x14ac:dyDescent="0.3">
      <c r="A287" s="147"/>
      <c r="B287" s="148"/>
      <c r="C287" s="113">
        <f t="shared" ref="C287:C290" si="62">C286+1</f>
        <v>3</v>
      </c>
      <c r="D287" s="113"/>
      <c r="E287" s="19" t="s">
        <v>213</v>
      </c>
      <c r="F287" s="114">
        <f>(3.05*5.83+3.54*0.76+1.22*2.14+2.14*3.1+1.7*1.35+3.05*3.36+3.05*4.46+2.44*1.53+1.53*2.44+1*3.05+3*1.52)*10.764</f>
        <v>763.58847239999989</v>
      </c>
      <c r="G287" s="115">
        <f>(3.05*5.83+3.54*0.76+1.22*2.14+2.14*3.1+1.7*1.35+3.05*3.36+3.05*4.46+2.44*1.53+1.53*2.44+1*3.05+3*1.52)*10.764</f>
        <v>763.58847239999989</v>
      </c>
      <c r="H287" s="19">
        <v>0</v>
      </c>
      <c r="I287" s="19">
        <f t="shared" si="61"/>
        <v>1221.7415558399998</v>
      </c>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1" customHeight="1" x14ac:dyDescent="0.3">
      <c r="A288" s="147"/>
      <c r="B288" s="148"/>
      <c r="C288" s="113">
        <f t="shared" si="62"/>
        <v>4</v>
      </c>
      <c r="D288" s="113"/>
      <c r="E288" s="19" t="s">
        <v>213</v>
      </c>
      <c r="F288" s="114">
        <f>(3.05*5.83+3.54*0.76+1.22*2.14+2.14*3.1+1.7*1.35+3.05*3.36+3.05*4.46+2.44*1.53+1.53*2.44+1*3.05+3*1.52)*10.764</f>
        <v>763.58847239999989</v>
      </c>
      <c r="G288" s="115">
        <f>(3.05*5.83+3.54*0.76+1.22*2.14+2.14*3.1+1.7*1.35+3.05*3.36+3.05*4.46+2.44*1.53+1.53*2.44+1*3.05+3*1.52)*10.764</f>
        <v>763.58847239999989</v>
      </c>
      <c r="H288" s="19">
        <v>0</v>
      </c>
      <c r="I288" s="19">
        <f t="shared" si="61"/>
        <v>1221.7415558399998</v>
      </c>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1" customHeight="1" x14ac:dyDescent="0.3">
      <c r="A289" s="147"/>
      <c r="B289" s="148"/>
      <c r="C289" s="113">
        <f t="shared" si="62"/>
        <v>5</v>
      </c>
      <c r="D289" s="113"/>
      <c r="E289" s="19" t="s">
        <v>213</v>
      </c>
      <c r="F289" s="114">
        <f t="shared" ref="F289:G290" si="63">(3.05*5.83+3.54*0.76+1.22*2.14+2.14*3.1+1.7*1.35+3.05*3.36+3.05*4.46+2.44*1.53+1.53*2.44+1*3.05+3*1.52)*10.764</f>
        <v>763.58847239999989</v>
      </c>
      <c r="G289" s="115">
        <f t="shared" si="63"/>
        <v>763.58847239999989</v>
      </c>
      <c r="H289" s="19">
        <v>0</v>
      </c>
      <c r="I289" s="19">
        <f t="shared" si="61"/>
        <v>1221.7415558399998</v>
      </c>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1" customHeight="1" x14ac:dyDescent="0.3">
      <c r="A290" s="149"/>
      <c r="B290" s="150"/>
      <c r="C290" s="113">
        <f t="shared" si="62"/>
        <v>6</v>
      </c>
      <c r="D290" s="113"/>
      <c r="E290" s="19" t="s">
        <v>213</v>
      </c>
      <c r="F290" s="114">
        <f t="shared" si="63"/>
        <v>763.58847239999989</v>
      </c>
      <c r="G290" s="115">
        <f t="shared" si="63"/>
        <v>763.58847239999989</v>
      </c>
      <c r="H290" s="19">
        <v>0</v>
      </c>
      <c r="I290" s="19">
        <f t="shared" si="61"/>
        <v>1221.7415558399998</v>
      </c>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1" x14ac:dyDescent="0.3">
      <c r="A291" s="110" t="s">
        <v>277</v>
      </c>
      <c r="B291" s="111"/>
      <c r="C291" s="111"/>
      <c r="D291" s="111"/>
      <c r="E291" s="111"/>
      <c r="F291" s="111"/>
      <c r="G291" s="111"/>
      <c r="H291" s="111"/>
      <c r="I291" s="112"/>
      <c r="J291" s="1">
        <v>5</v>
      </c>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1" customHeight="1" x14ac:dyDescent="0.3">
      <c r="A292" s="145" t="str">
        <f>A291</f>
        <v>15th, 22nd, 29th, 36th &amp; 43rd Floor (Part Refuge Area)</v>
      </c>
      <c r="B292" s="146"/>
      <c r="C292" s="113">
        <v>1</v>
      </c>
      <c r="D292" s="113"/>
      <c r="E292" s="114" t="s">
        <v>248</v>
      </c>
      <c r="F292" s="151"/>
      <c r="G292" s="151"/>
      <c r="H292" s="151"/>
      <c r="I292" s="115"/>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1" customHeight="1" x14ac:dyDescent="0.3">
      <c r="A293" s="147"/>
      <c r="B293" s="148"/>
      <c r="C293" s="113">
        <f>C292+1</f>
        <v>2</v>
      </c>
      <c r="D293" s="113"/>
      <c r="E293" s="114" t="s">
        <v>217</v>
      </c>
      <c r="F293" s="151"/>
      <c r="G293" s="151"/>
      <c r="H293" s="151"/>
      <c r="I293" s="115"/>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1" customHeight="1" x14ac:dyDescent="0.3">
      <c r="A294" s="147"/>
      <c r="B294" s="148"/>
      <c r="C294" s="113">
        <f t="shared" ref="C294:C297" si="64">C293+1</f>
        <v>3</v>
      </c>
      <c r="D294" s="113"/>
      <c r="E294" s="19" t="s">
        <v>213</v>
      </c>
      <c r="F294" s="114">
        <f>(3.05*5.83+3.54*0.76+1.22*2.14+2.14*3.1+1.7*1.35+3.05*3.36+3.05*4.46+2.44*1.53+1.53*2.44+1*3.05+3*1.52)*10.764</f>
        <v>763.58847239999989</v>
      </c>
      <c r="G294" s="115">
        <f>(3.05*5.83+3.54*0.76+1.22*2.14+2.14*3.1+1.7*1.35+3.05*3.36+3.05*4.46+2.44*1.53+1.53*2.44+1*3.05+3*1.52)*10.764</f>
        <v>763.58847239999989</v>
      </c>
      <c r="H294" s="19">
        <v>0</v>
      </c>
      <c r="I294" s="19">
        <f t="shared" ref="I294:I297" si="65">F294*(($I$126)+1)+H294</f>
        <v>1221.7415558399998</v>
      </c>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1" customHeight="1" x14ac:dyDescent="0.3">
      <c r="A295" s="147"/>
      <c r="B295" s="148"/>
      <c r="C295" s="113">
        <f t="shared" si="64"/>
        <v>4</v>
      </c>
      <c r="D295" s="113"/>
      <c r="E295" s="19" t="s">
        <v>213</v>
      </c>
      <c r="F295" s="114">
        <f>(3.05*5.83+3.54*0.76+1.22*2.14+2.14*3.1+1.7*1.35+3.05*3.36+3.05*4.46+2.44*1.53+1.53*2.44+1*3.05+3*1.52)*10.764</f>
        <v>763.58847239999989</v>
      </c>
      <c r="G295" s="115">
        <f>(3.05*5.83+3.54*0.76+1.22*2.14+2.14*3.1+1.7*1.35+3.05*3.36+3.05*4.46+2.44*1.53+1.53*2.44+1*3.05+3*1.52)*10.764</f>
        <v>763.58847239999989</v>
      </c>
      <c r="H295" s="19">
        <v>0</v>
      </c>
      <c r="I295" s="19">
        <f t="shared" si="65"/>
        <v>1221.7415558399998</v>
      </c>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1" customHeight="1" x14ac:dyDescent="0.3">
      <c r="A296" s="147"/>
      <c r="B296" s="148"/>
      <c r="C296" s="113">
        <f t="shared" si="64"/>
        <v>5</v>
      </c>
      <c r="D296" s="113"/>
      <c r="E296" s="19" t="s">
        <v>213</v>
      </c>
      <c r="F296" s="114">
        <f t="shared" ref="F296:G297" si="66">(3.05*5.83+3.54*0.76+1.22*2.14+2.14*3.1+1.7*1.35+3.05*3.36+3.05*4.46+2.44*1.53+1.53*2.44+1*3.05+3*1.52)*10.764</f>
        <v>763.58847239999989</v>
      </c>
      <c r="G296" s="115">
        <f t="shared" si="66"/>
        <v>763.58847239999989</v>
      </c>
      <c r="H296" s="19">
        <v>0</v>
      </c>
      <c r="I296" s="19">
        <f t="shared" si="65"/>
        <v>1221.7415558399998</v>
      </c>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1" customHeight="1" x14ac:dyDescent="0.3">
      <c r="A297" s="149"/>
      <c r="B297" s="150"/>
      <c r="C297" s="113">
        <f t="shared" si="64"/>
        <v>6</v>
      </c>
      <c r="D297" s="113"/>
      <c r="E297" s="19" t="s">
        <v>213</v>
      </c>
      <c r="F297" s="114">
        <f t="shared" si="66"/>
        <v>763.58847239999989</v>
      </c>
      <c r="G297" s="115">
        <f t="shared" si="66"/>
        <v>763.58847239999989</v>
      </c>
      <c r="H297" s="19">
        <v>0</v>
      </c>
      <c r="I297" s="19">
        <f t="shared" si="65"/>
        <v>1221.7415558399998</v>
      </c>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1" x14ac:dyDescent="0.3">
      <c r="A298" s="110" t="s">
        <v>278</v>
      </c>
      <c r="B298" s="111"/>
      <c r="C298" s="111"/>
      <c r="D298" s="111"/>
      <c r="E298" s="111"/>
      <c r="F298" s="111"/>
      <c r="G298" s="111"/>
      <c r="H298" s="111"/>
      <c r="I298" s="112"/>
      <c r="J298" s="1">
        <v>1</v>
      </c>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1" customHeight="1" x14ac:dyDescent="0.3">
      <c r="A299" s="145" t="str">
        <f>A298</f>
        <v>50th Floor (Part Refuge Area)</v>
      </c>
      <c r="B299" s="146"/>
      <c r="C299" s="113">
        <v>1</v>
      </c>
      <c r="D299" s="113"/>
      <c r="E299" s="19" t="s">
        <v>212</v>
      </c>
      <c r="F299" s="114">
        <f>(1.22*2.74+4.36*5.43+0.99*2.99+3.12*2.44+3.05*3.36+3.36*4.27+3.33*3.39+2.44*1.53+2.44*1.53+1.53*2.75+7.56*1.76)*10.764</f>
        <v>1059.7577795999998</v>
      </c>
      <c r="G299" s="115">
        <f>(1.22*2.74+3.35*5.43+0.99*2.99+3.12*2.44+3.05*3.36+3.36*4.27+3.33*3.39+2.44*1.53+2.44*1.53+1.53*2.75+3.75*1.76+1.8*2.5+(3.05*3.46+3.36*4.27+3.3*3.3+1.53*2.15+2.44*1.53+1.5*1.84+0.9*4.53+0.9*3.3))*10.764</f>
        <v>1543.3842995999996</v>
      </c>
      <c r="H299" s="19">
        <v>0</v>
      </c>
      <c r="I299" s="19">
        <f>F299*(($I$126)+1)+H299</f>
        <v>1695.6124473599998</v>
      </c>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1" customHeight="1" x14ac:dyDescent="0.3">
      <c r="A300" s="147"/>
      <c r="B300" s="148"/>
      <c r="C300" s="113">
        <f>C299+1</f>
        <v>2</v>
      </c>
      <c r="D300" s="113"/>
      <c r="E300" s="114" t="s">
        <v>217</v>
      </c>
      <c r="F300" s="151"/>
      <c r="G300" s="151"/>
      <c r="H300" s="151"/>
      <c r="I300" s="115"/>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1" customHeight="1" x14ac:dyDescent="0.3">
      <c r="A301" s="147"/>
      <c r="B301" s="148"/>
      <c r="C301" s="113">
        <f t="shared" ref="C301:C304" si="67">C300+1</f>
        <v>3</v>
      </c>
      <c r="D301" s="113"/>
      <c r="E301" s="19" t="s">
        <v>213</v>
      </c>
      <c r="F301" s="114">
        <f>(3.05*5.83+3.54*0.76+1.22*2.14+2.14*3.1+1.7*1.35+3.05*3.36+3.05*4.46+2.44*1.53+1.53*2.44+1*3.05+3*1.52)*10.764</f>
        <v>763.58847239999989</v>
      </c>
      <c r="G301" s="115">
        <f>(3.05*5.83+3.54*0.76+1.22*2.14+2.14*3.1+1.7*1.35+3.05*3.36+3.05*4.46+2.44*1.53+1.53*2.44+1*3.05+3*1.52)*10.764</f>
        <v>763.58847239999989</v>
      </c>
      <c r="H301" s="19">
        <v>0</v>
      </c>
      <c r="I301" s="19">
        <f t="shared" ref="I301:I304" si="68">F301*(($I$126)+1)+H301</f>
        <v>1221.7415558399998</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1" customHeight="1" x14ac:dyDescent="0.3">
      <c r="A302" s="147"/>
      <c r="B302" s="148"/>
      <c r="C302" s="113">
        <f t="shared" si="67"/>
        <v>4</v>
      </c>
      <c r="D302" s="113"/>
      <c r="E302" s="19" t="s">
        <v>213</v>
      </c>
      <c r="F302" s="114">
        <f>(3.05*5.83+3.54*0.76+1.22*2.14+2.14*3.1+1.7*1.35+3.05*3.36+3.05*4.46+2.44*1.53+1.53*2.44+1*3.05+3*1.52)*10.764</f>
        <v>763.58847239999989</v>
      </c>
      <c r="G302" s="115">
        <f>(3.05*5.83+3.54*0.76+1.22*2.14+2.14*3.1+1.7*1.35+3.05*3.36+3.05*4.46+2.44*1.53+1.53*2.44+1*3.05+3*1.52)*10.764</f>
        <v>763.58847239999989</v>
      </c>
      <c r="H302" s="19">
        <v>0</v>
      </c>
      <c r="I302" s="19">
        <f t="shared" si="68"/>
        <v>1221.7415558399998</v>
      </c>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1" customHeight="1" x14ac:dyDescent="0.3">
      <c r="A303" s="147"/>
      <c r="B303" s="148"/>
      <c r="C303" s="113">
        <f t="shared" si="67"/>
        <v>5</v>
      </c>
      <c r="D303" s="113"/>
      <c r="E303" s="19" t="s">
        <v>213</v>
      </c>
      <c r="F303" s="114">
        <f t="shared" ref="F303:G304" si="69">(3.05*5.83+3.54*0.76+1.22*2.14+2.14*3.1+1.7*1.35+3.05*3.36+3.05*4.46+2.44*1.53+1.53*2.44+1*3.05+3*1.52)*10.764</f>
        <v>763.58847239999989</v>
      </c>
      <c r="G303" s="115">
        <f t="shared" si="69"/>
        <v>763.58847239999989</v>
      </c>
      <c r="H303" s="19">
        <v>0</v>
      </c>
      <c r="I303" s="19">
        <f t="shared" si="68"/>
        <v>1221.7415558399998</v>
      </c>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1" customHeight="1" x14ac:dyDescent="0.3">
      <c r="A304" s="149"/>
      <c r="B304" s="150"/>
      <c r="C304" s="113">
        <f t="shared" si="67"/>
        <v>6</v>
      </c>
      <c r="D304" s="113"/>
      <c r="E304" s="19" t="s">
        <v>213</v>
      </c>
      <c r="F304" s="114">
        <f t="shared" si="69"/>
        <v>763.58847239999989</v>
      </c>
      <c r="G304" s="115">
        <f t="shared" si="69"/>
        <v>763.58847239999989</v>
      </c>
      <c r="H304" s="19">
        <v>0</v>
      </c>
      <c r="I304" s="19">
        <f t="shared" si="68"/>
        <v>1221.7415558399998</v>
      </c>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1" x14ac:dyDescent="0.3">
      <c r="A305" s="110" t="s">
        <v>232</v>
      </c>
      <c r="B305" s="111"/>
      <c r="C305" s="111"/>
      <c r="D305" s="111"/>
      <c r="E305" s="111"/>
      <c r="F305" s="111"/>
      <c r="G305" s="111"/>
      <c r="H305" s="111"/>
      <c r="I305" s="11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1" x14ac:dyDescent="0.3">
      <c r="A306" s="110" t="s">
        <v>270</v>
      </c>
      <c r="B306" s="111"/>
      <c r="C306" s="111"/>
      <c r="D306" s="111"/>
      <c r="E306" s="111"/>
      <c r="F306" s="111"/>
      <c r="G306" s="111"/>
      <c r="H306" s="111"/>
      <c r="I306" s="11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1" x14ac:dyDescent="0.3">
      <c r="A307" s="110" t="s">
        <v>210</v>
      </c>
      <c r="B307" s="111"/>
      <c r="C307" s="111"/>
      <c r="D307" s="111"/>
      <c r="E307" s="111"/>
      <c r="F307" s="111"/>
      <c r="G307" s="111"/>
      <c r="H307" s="111"/>
      <c r="I307" s="11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1" x14ac:dyDescent="0.3">
      <c r="A308" s="110" t="s">
        <v>211</v>
      </c>
      <c r="B308" s="111"/>
      <c r="C308" s="111"/>
      <c r="D308" s="111"/>
      <c r="E308" s="111"/>
      <c r="F308" s="111"/>
      <c r="G308" s="111"/>
      <c r="H308" s="111"/>
      <c r="I308" s="112"/>
      <c r="J308" s="1">
        <v>1</v>
      </c>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1" x14ac:dyDescent="0.3">
      <c r="A309" s="110" t="s">
        <v>251</v>
      </c>
      <c r="B309" s="111"/>
      <c r="C309" s="111"/>
      <c r="D309" s="111"/>
      <c r="E309" s="111"/>
      <c r="F309" s="111"/>
      <c r="G309" s="111"/>
      <c r="H309" s="111"/>
      <c r="I309" s="112"/>
      <c r="J309" s="1">
        <v>1</v>
      </c>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1" x14ac:dyDescent="0.3">
      <c r="A310" s="113" t="str">
        <f>A309</f>
        <v>2nd Podium Floor For Residential (Part Void Lobby Area)</v>
      </c>
      <c r="B310" s="113"/>
      <c r="C310" s="113">
        <v>1</v>
      </c>
      <c r="D310" s="113"/>
      <c r="E310" s="19" t="s">
        <v>212</v>
      </c>
      <c r="F310" s="114">
        <f>(1.1*2.74+2.9*2.44+0.92*2.83+3.2*5.27+1.35*2.14+2.44*1.53+2.44*1.53+2.44*3+3.4*3.23+3.2*3.95+1.53*2.75+3.6*1.76)*10.764</f>
        <v>876.17345399999977</v>
      </c>
      <c r="G310" s="115"/>
      <c r="H310" s="19">
        <v>0</v>
      </c>
      <c r="I310" s="19">
        <f>F310*(($I$126)+1)+H310</f>
        <v>1401.8775263999996</v>
      </c>
      <c r="J310" s="1"/>
      <c r="K310" s="58">
        <v>10.763999999999999</v>
      </c>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1" x14ac:dyDescent="0.3">
      <c r="A311" s="110" t="s">
        <v>236</v>
      </c>
      <c r="B311" s="111"/>
      <c r="C311" s="111"/>
      <c r="D311" s="111"/>
      <c r="E311" s="111"/>
      <c r="F311" s="111"/>
      <c r="G311" s="111"/>
      <c r="H311" s="111"/>
      <c r="I311" s="112"/>
      <c r="J311" s="1">
        <v>1</v>
      </c>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1" customHeight="1" x14ac:dyDescent="0.3">
      <c r="A312" s="145" t="str">
        <f>A311</f>
        <v>3rd Podium Floor (Part Parking Area)</v>
      </c>
      <c r="B312" s="146"/>
      <c r="C312" s="113">
        <v>1</v>
      </c>
      <c r="D312" s="113"/>
      <c r="E312" s="19" t="s">
        <v>212</v>
      </c>
      <c r="F312" s="114">
        <f>(1.1*2.74+2.9*2.44+0.92*2.83+3.2*5.27+1.35*2.14+2.44*1.53+2.44*1.53+2.44*3+3.4*3.23+3.2*3.95+1.53*2.75+3.6*1.76)*10.764</f>
        <v>876.17345399999977</v>
      </c>
      <c r="G312" s="115"/>
      <c r="H312" s="19">
        <v>0</v>
      </c>
      <c r="I312" s="19">
        <f>F312*(($I$126)+1)+H312</f>
        <v>1401.8775263999996</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1" customHeight="1" x14ac:dyDescent="0.3">
      <c r="A313" s="149"/>
      <c r="B313" s="150"/>
      <c r="C313" s="113">
        <v>6</v>
      </c>
      <c r="D313" s="113"/>
      <c r="E313" s="19" t="s">
        <v>213</v>
      </c>
      <c r="F313" s="114">
        <f>(3.05*5.83+3.54*0.76+1.22*2.14+2.14*3.1+1.7*1.35+3.05*3.36+3.05*4.46+2.44*1.53+1.53*2.44+1*3.05)*10.764</f>
        <v>714.50463239999988</v>
      </c>
      <c r="G313" s="115"/>
      <c r="H313" s="19">
        <v>0</v>
      </c>
      <c r="I313" s="19">
        <f t="shared" ref="I313" si="70">F313*(($I$126)+1)+H313</f>
        <v>1143.2074118399998</v>
      </c>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1" x14ac:dyDescent="0.3">
      <c r="A314" s="110" t="s">
        <v>237</v>
      </c>
      <c r="B314" s="111"/>
      <c r="C314" s="111"/>
      <c r="D314" s="111"/>
      <c r="E314" s="111"/>
      <c r="F314" s="111"/>
      <c r="G314" s="111"/>
      <c r="H314" s="111"/>
      <c r="I314" s="112"/>
      <c r="J314" s="1">
        <v>1</v>
      </c>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1" customHeight="1" x14ac:dyDescent="0.3">
      <c r="A315" s="145" t="str">
        <f>A314</f>
        <v>4th Podium Floor (Part Parking Area)</v>
      </c>
      <c r="B315" s="146"/>
      <c r="C315" s="113">
        <v>1</v>
      </c>
      <c r="D315" s="113"/>
      <c r="E315" s="19" t="s">
        <v>212</v>
      </c>
      <c r="F315" s="114">
        <f>(1.1*2.74+2.9*2.44+0.92*2.83+3.2*5.27+1.35*2.14+2.44*1.53+2.44*1.53+2.44*3+3.4*3.23+3.2*3.95+1.53*2.75+3.6*1.76)*10.764</f>
        <v>876.17345399999977</v>
      </c>
      <c r="G315" s="115"/>
      <c r="H315" s="19">
        <v>0</v>
      </c>
      <c r="I315" s="19">
        <f>F315*(($I$126)+1)+H315</f>
        <v>1401.8775263999996</v>
      </c>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1" customHeight="1" x14ac:dyDescent="0.3">
      <c r="A316" s="149"/>
      <c r="B316" s="150"/>
      <c r="C316" s="113">
        <v>6</v>
      </c>
      <c r="D316" s="113"/>
      <c r="E316" s="19" t="s">
        <v>213</v>
      </c>
      <c r="F316" s="114">
        <f>(3.05*5.83+3.54*0.76+1.22*2.14+2.14*3.1+1.7*1.35+3.05*3.36+3.05*4.46+2.44*1.53+1.53*2.44+1*3.05)*10.764</f>
        <v>714.50463239999988</v>
      </c>
      <c r="G316" s="115"/>
      <c r="H316" s="19">
        <v>0</v>
      </c>
      <c r="I316" s="19">
        <f t="shared" ref="I316" si="71">F316*(($I$126)+1)+H316</f>
        <v>1143.2074118399998</v>
      </c>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1" x14ac:dyDescent="0.3">
      <c r="A317" s="110" t="s">
        <v>238</v>
      </c>
      <c r="B317" s="111"/>
      <c r="C317" s="111"/>
      <c r="D317" s="111"/>
      <c r="E317" s="111"/>
      <c r="F317" s="111"/>
      <c r="G317" s="111"/>
      <c r="H317" s="111"/>
      <c r="I317" s="112"/>
      <c r="J317" s="1">
        <v>1</v>
      </c>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1" customHeight="1" x14ac:dyDescent="0.3">
      <c r="A318" s="145" t="str">
        <f>A317</f>
        <v>5th Podium Floor (Part Parking Area)</v>
      </c>
      <c r="B318" s="146"/>
      <c r="C318" s="113">
        <v>1</v>
      </c>
      <c r="D318" s="113"/>
      <c r="E318" s="19" t="s">
        <v>212</v>
      </c>
      <c r="F318" s="114">
        <f>(1.1*2.74+2.9*2.44+0.92*2.83+3.2*5.27+1.35*2.14+2.44*1.53+2.44*1.53+2.44*3+3.4*3.23+3.2*3.95+1.53*2.75+3.6*1.76)*10.764</f>
        <v>876.17345399999977</v>
      </c>
      <c r="G318" s="115"/>
      <c r="H318" s="19">
        <v>0</v>
      </c>
      <c r="I318" s="19">
        <f>F318*(($I$126)+1)+H318</f>
        <v>1401.8775263999996</v>
      </c>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1" customHeight="1" x14ac:dyDescent="0.3">
      <c r="A319" s="149"/>
      <c r="B319" s="150"/>
      <c r="C319" s="113">
        <v>6</v>
      </c>
      <c r="D319" s="113"/>
      <c r="E319" s="19" t="s">
        <v>213</v>
      </c>
      <c r="F319" s="114">
        <f>(3.05*5.83+3.54*0.76+1.22*2.14+2.14*3.1+1.7*1.35+3.05*3.36+3.05*4.46+2.44*1.53+1.53*2.44+1*3.05)*10.764</f>
        <v>714.50463239999988</v>
      </c>
      <c r="G319" s="115"/>
      <c r="H319" s="19">
        <v>0</v>
      </c>
      <c r="I319" s="19">
        <f t="shared" ref="I319" si="72">F319*(($I$126)+1)+H319</f>
        <v>1143.2074118399998</v>
      </c>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1" x14ac:dyDescent="0.3">
      <c r="A320" s="110" t="s">
        <v>257</v>
      </c>
      <c r="B320" s="111"/>
      <c r="C320" s="111"/>
      <c r="D320" s="111"/>
      <c r="E320" s="111"/>
      <c r="F320" s="111"/>
      <c r="G320" s="111"/>
      <c r="H320" s="111"/>
      <c r="I320" s="112"/>
      <c r="J320" s="1">
        <v>1</v>
      </c>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1" customHeight="1" x14ac:dyDescent="0.3">
      <c r="A321" s="145" t="str">
        <f>A320</f>
        <v>6th Podium Floor (Part Amenity Area)</v>
      </c>
      <c r="B321" s="146"/>
      <c r="C321" s="113">
        <v>1</v>
      </c>
      <c r="D321" s="113"/>
      <c r="E321" s="19" t="s">
        <v>212</v>
      </c>
      <c r="F321" s="114">
        <f>(1.1*2.74+2.9*2.44+0.92*2.83+3.2*5.27+1.35*2.14+2.44*1.53+2.44*1.53+2.44*3+3.4*3.23+3.2*3.95+1.53*2.75+3.6*1.76)*10.764</f>
        <v>876.17345399999977</v>
      </c>
      <c r="G321" s="115"/>
      <c r="H321" s="19">
        <v>0</v>
      </c>
      <c r="I321" s="19">
        <f>F321*(($I$126)+1)+H321</f>
        <v>1401.8775263999996</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1" customHeight="1" x14ac:dyDescent="0.3">
      <c r="A322" s="149"/>
      <c r="B322" s="150"/>
      <c r="C322" s="113">
        <v>6</v>
      </c>
      <c r="D322" s="113"/>
      <c r="E322" s="19" t="s">
        <v>213</v>
      </c>
      <c r="F322" s="114">
        <f>(3.05*5.83+3.54*0.76+1.22*2.14+2.14*3.1+1.7*1.35+3.05*3.36+3.05*4.46+2.44*1.53+1.53*2.44+1*3.05)*10.764</f>
        <v>714.50463239999988</v>
      </c>
      <c r="G322" s="115"/>
      <c r="H322" s="19">
        <v>0</v>
      </c>
      <c r="I322" s="19">
        <f t="shared" ref="I322" si="73">F322*(($I$126)+1)+H322</f>
        <v>1143.2074118399998</v>
      </c>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1" x14ac:dyDescent="0.3">
      <c r="A323" s="110" t="s">
        <v>255</v>
      </c>
      <c r="B323" s="111"/>
      <c r="C323" s="111"/>
      <c r="D323" s="111"/>
      <c r="E323" s="111"/>
      <c r="F323" s="111"/>
      <c r="G323" s="111"/>
      <c r="H323" s="111"/>
      <c r="I323" s="112"/>
      <c r="J323" s="1">
        <v>1</v>
      </c>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1" customHeight="1" x14ac:dyDescent="0.3">
      <c r="A324" s="145" t="str">
        <f>A323</f>
        <v>7th Podium Floor (Part Amenity Area)</v>
      </c>
      <c r="B324" s="146"/>
      <c r="C324" s="113">
        <v>1</v>
      </c>
      <c r="D324" s="113"/>
      <c r="E324" s="19" t="s">
        <v>212</v>
      </c>
      <c r="F324" s="114">
        <f>(1.1*2.74+2.9*2.44+0.92*2.83+3.2*5.27+1.35*2.14+2.44*1.53+2.44*1.53+2.44*3+3.4*3.23+3.2*3.95+1.53*2.75+3.6*1.76)*10.764</f>
        <v>876.17345399999977</v>
      </c>
      <c r="G324" s="115"/>
      <c r="H324" s="19">
        <v>0</v>
      </c>
      <c r="I324" s="19">
        <f>F324*(($I$126)+1)+H324</f>
        <v>1401.8775263999996</v>
      </c>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1" customHeight="1" x14ac:dyDescent="0.3">
      <c r="A325" s="149"/>
      <c r="B325" s="150"/>
      <c r="C325" s="113">
        <v>6</v>
      </c>
      <c r="D325" s="113"/>
      <c r="E325" s="19" t="s">
        <v>213</v>
      </c>
      <c r="F325" s="114">
        <f>(3.05*5.83+3.54*0.76+1.22*2.14+2.14*3.1+1.7*1.35+3.05*3.36+3.05*4.46+2.44*1.53+1.53*2.44+1*3.05)*10.764</f>
        <v>714.50463239999988</v>
      </c>
      <c r="G325" s="115"/>
      <c r="H325" s="19">
        <v>0</v>
      </c>
      <c r="I325" s="19">
        <f t="shared" ref="I325" si="74">F325*(($I$126)+1)+H325</f>
        <v>1143.2074118399998</v>
      </c>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1" x14ac:dyDescent="0.3">
      <c r="A326" s="110" t="s">
        <v>271</v>
      </c>
      <c r="B326" s="111"/>
      <c r="C326" s="111"/>
      <c r="D326" s="111"/>
      <c r="E326" s="111"/>
      <c r="F326" s="111"/>
      <c r="G326" s="111"/>
      <c r="H326" s="111"/>
      <c r="I326" s="11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46.95" customHeight="1" x14ac:dyDescent="0.3">
      <c r="A327" s="110" t="s">
        <v>272</v>
      </c>
      <c r="B327" s="111"/>
      <c r="C327" s="111"/>
      <c r="D327" s="111"/>
      <c r="E327" s="111"/>
      <c r="F327" s="111"/>
      <c r="G327" s="111"/>
      <c r="H327" s="111"/>
      <c r="I327" s="112"/>
      <c r="J327" s="1">
        <v>2</v>
      </c>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1" x14ac:dyDescent="0.3">
      <c r="A328" s="110" t="s">
        <v>280</v>
      </c>
      <c r="B328" s="111"/>
      <c r="C328" s="111"/>
      <c r="D328" s="111"/>
      <c r="E328" s="111"/>
      <c r="F328" s="111"/>
      <c r="G328" s="111"/>
      <c r="H328" s="111"/>
      <c r="I328" s="112"/>
      <c r="J328" s="1">
        <v>1</v>
      </c>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1" x14ac:dyDescent="0.3">
      <c r="A329" s="110" t="s">
        <v>273</v>
      </c>
      <c r="B329" s="111"/>
      <c r="C329" s="111"/>
      <c r="D329" s="111"/>
      <c r="E329" s="111"/>
      <c r="F329" s="111"/>
      <c r="G329" s="111"/>
      <c r="H329" s="111"/>
      <c r="I329" s="112"/>
      <c r="J329" s="1">
        <v>1</v>
      </c>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1" customHeight="1" x14ac:dyDescent="0.3">
      <c r="A330" s="145" t="str">
        <f>A329</f>
        <v>11th Floor For Residential</v>
      </c>
      <c r="B330" s="146"/>
      <c r="C330" s="113">
        <v>1</v>
      </c>
      <c r="D330" s="113"/>
      <c r="E330" s="19" t="s">
        <v>212</v>
      </c>
      <c r="F330" s="114">
        <f>(1.1*2.74+2.9*2.44+0.92*2.83+3.2*5.27+1.35*2.14+2.44*1.53+2.44*1.53+2.44*3+3.4*3.23+3.2*3.95+1.53*2.75+3.6*1.76)*10.764</f>
        <v>876.17345399999977</v>
      </c>
      <c r="G330" s="115">
        <f>(1.1*2.74+2.9*2.44+0.92*2.83+3.2*5.27+1.35*2.14+2.44*1.53+2.44*1.53+2.44*3+3.4*3.23+3.2*3.95+1.53*2.75+3.6*1.76)*10.764</f>
        <v>876.17345399999977</v>
      </c>
      <c r="H330" s="19">
        <v>0</v>
      </c>
      <c r="I330" s="19">
        <f>F330*(($I$126)+1)+H330</f>
        <v>1401.8775263999996</v>
      </c>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1" customHeight="1" x14ac:dyDescent="0.3">
      <c r="A331" s="147"/>
      <c r="B331" s="148"/>
      <c r="C331" s="113">
        <v>2</v>
      </c>
      <c r="D331" s="113"/>
      <c r="E331" s="19" t="s">
        <v>212</v>
      </c>
      <c r="F331" s="114">
        <f>(1.1*2.74+2.9*2.44+0.92*2.83+3.2*5.27+1.35*2.14+2.44*1.53+2.44*1.53+2.44*3+3.4*3.23+3.2*3.95+1.53*2.75+3.6*1.76)*10.764</f>
        <v>876.17345399999977</v>
      </c>
      <c r="G331" s="115">
        <f>(1.1*2.74+2.9*2.44+0.92*2.83+3.2*5.27+1.35*2.14+2.44*1.53+2.44*1.53+2.44*3+3.4*3.23+3.2*3.95+1.53*2.75+3.6*1.76)*10.764</f>
        <v>876.17345399999977</v>
      </c>
      <c r="H331" s="19">
        <v>0</v>
      </c>
      <c r="I331" s="19">
        <f t="shared" ref="I331" si="75">F331*(($I$126)+1)+H331</f>
        <v>1401.8775263999996</v>
      </c>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42" x14ac:dyDescent="0.3">
      <c r="A332" s="147"/>
      <c r="B332" s="148"/>
      <c r="C332" s="113">
        <v>3</v>
      </c>
      <c r="D332" s="113"/>
      <c r="E332" s="19" t="s">
        <v>274</v>
      </c>
      <c r="F332" s="114">
        <f>((1.53*4.24+3.31*3.74+1.2*1.5+2.44*1.53+3.4*3.22+1.53*2.75+3.2*3.95+2.54*3+3.5*1+6.55*3.91+2.54*3.05+3.2*4.05+3.4*3.23+1.53*2.75+2.44*1.53+1.93*1+2.3*1.54+3*2+1.5*1.5+6.55*2.8+2.9*1.95+2.9*1.95)+(5.48*4.99+2*2+2.44*1.53+3.4*3.22+1.53*2.75+3.2*3.95+2.54*3+2.54*3+3.3*4.9+1.53*2.75+3.4*3.23+2.44*1.53+1.93*1+3.3*1.5+0.9*2.44))*10.764</f>
        <v>3166.8775163999999</v>
      </c>
      <c r="G332" s="115">
        <f>((1.53*4.24+3.31*3.74+1.2*1.5+2.44*1.53+3.4*3.22+1.53*2.75+3.2*3.95+2.54*3+3.5*1+6.55*3.91+2.54*3.05+3.2*4.05+3.4*3.23+1.53*2.75+2.44*1.53+1.93*1+2.3*1.54+3*2+1.5*1.5+6.55*2.8+2.9*1.95+2.9*1.95)+(5.48*4.99+2*2+2.44*1.53+3.4*3.22+1.53*2.75+3.2*3.95+2.54*3+2.54*3+3.3*4.9+1.53*2.75+3.4*3.23+2.44*1.53+1.93*1+3.3*1.5+0.9*2.44))*10.764</f>
        <v>3166.8775163999999</v>
      </c>
      <c r="H332" s="19">
        <v>0</v>
      </c>
      <c r="I332" s="19">
        <f t="shared" ref="I332:I333" si="76">F332*(($I$126)+1)+H332</f>
        <v>5067.0040262399998</v>
      </c>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1" customHeight="1" x14ac:dyDescent="0.3">
      <c r="A333" s="149"/>
      <c r="B333" s="150"/>
      <c r="C333" s="113">
        <v>6</v>
      </c>
      <c r="D333" s="113"/>
      <c r="E333" s="19" t="s">
        <v>275</v>
      </c>
      <c r="F333" s="114">
        <f>(6.04*5.13+3.81*3.38+2.13*5.57+3.05*2.29+3.05*3.35+3.05*4.45+2*(2.4*1.525)+2*(1.52*2.44)+2*(3.05*1)+3.05*3.35+3.05*4.45+5.73*1.7)*(10.764)</f>
        <v>1516.3268327999995</v>
      </c>
      <c r="G333" s="115">
        <f>(6.04*5.13+3.81*3.38+2.13*5.57+3.05*2.29+3.05*3.35+3.05*4.45+2*(2.4*1.525)+2*(1.52*2.44)+2*(3.05*1)+3.05*3.35+3.05*4.45+5.73*1.7)*(10.764)</f>
        <v>1516.3268327999995</v>
      </c>
      <c r="H333" s="19">
        <v>0</v>
      </c>
      <c r="I333" s="19">
        <f t="shared" si="76"/>
        <v>2426.1229324799992</v>
      </c>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1" x14ac:dyDescent="0.3">
      <c r="A334" s="110" t="s">
        <v>244</v>
      </c>
      <c r="B334" s="111"/>
      <c r="C334" s="111"/>
      <c r="D334" s="111"/>
      <c r="E334" s="111"/>
      <c r="F334" s="111"/>
      <c r="G334" s="111"/>
      <c r="H334" s="111"/>
      <c r="I334" s="112"/>
      <c r="J334" s="1">
        <v>1</v>
      </c>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11" customFormat="1" ht="21" x14ac:dyDescent="0.3">
      <c r="A335" s="145" t="str">
        <f>A334</f>
        <v>12th Floor</v>
      </c>
      <c r="B335" s="146"/>
      <c r="C335" s="113">
        <v>1</v>
      </c>
      <c r="D335" s="113"/>
      <c r="E335" s="19" t="s">
        <v>212</v>
      </c>
      <c r="F335" s="114">
        <f>(1.1*2.74+2.9*2.44+0.92*2.83+3.2*5.27+1.35*2.14+2.44*1.53+2.44*1.53+2.44*3+3.4*3.23+3.2*3.95+1.53*2.75+3.6*1.76)*10.764</f>
        <v>876.17345399999977</v>
      </c>
      <c r="G335" s="115">
        <f>(1.1*2.74+2.9*2.44+0.92*2.83+3.2*5.27+1.35*2.14+2.44*1.53+2.44*1.53+2.44*3+3.4*3.23+3.2*3.95+1.53*2.75+3.6*1.76)*10.764</f>
        <v>876.17345399999977</v>
      </c>
      <c r="H335" s="19">
        <v>0</v>
      </c>
      <c r="I335" s="19">
        <f>F335*(($I$126)+1)+H335</f>
        <v>1401.8775263999996</v>
      </c>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27:16384" s="11" customFormat="1" ht="21" x14ac:dyDescent="0.3">
      <c r="A336" s="147"/>
      <c r="B336" s="148"/>
      <c r="C336" s="113">
        <v>2</v>
      </c>
      <c r="D336" s="113"/>
      <c r="E336" s="19" t="s">
        <v>212</v>
      </c>
      <c r="F336" s="114">
        <f>(1.1*2.74+2.9*2.44+0.92*2.83+3.2*5.27+1.35*2.14+2.44*1.53+2.44*1.53+2.44*3+3.4*3.23+3.2*3.95+1.53*2.75+3.6*1.76)*10.764</f>
        <v>876.17345399999977</v>
      </c>
      <c r="G336" s="115">
        <f>(1.1*2.74+2.9*2.44+0.92*2.83+3.2*5.27+1.35*2.14+2.44*1.53+2.44*1.53+2.44*3+3.4*3.23+3.2*3.95+1.53*2.75+3.6*1.76)*10.764</f>
        <v>876.17345399999977</v>
      </c>
      <c r="H336" s="19">
        <v>0</v>
      </c>
      <c r="I336" s="19">
        <f t="shared" ref="I336:I339" si="77">F336*(($I$126)+1)+H336</f>
        <v>1401.8775263999996</v>
      </c>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c r="XFD336" s="1"/>
    </row>
    <row r="337" spans="1:151 16227:16384" s="11" customFormat="1" ht="21" x14ac:dyDescent="0.3">
      <c r="A337" s="147"/>
      <c r="B337" s="148"/>
      <c r="C337" s="113">
        <v>3</v>
      </c>
      <c r="D337" s="113"/>
      <c r="E337" s="114" t="s">
        <v>245</v>
      </c>
      <c r="F337" s="151"/>
      <c r="G337" s="151"/>
      <c r="H337" s="151"/>
      <c r="I337" s="115"/>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c r="XFD337" s="1"/>
    </row>
    <row r="338" spans="1:151 16227:16384" s="11" customFormat="1" ht="21" x14ac:dyDescent="0.3">
      <c r="A338" s="147"/>
      <c r="B338" s="148"/>
      <c r="C338" s="113">
        <v>5</v>
      </c>
      <c r="D338" s="113"/>
      <c r="E338" s="19" t="s">
        <v>213</v>
      </c>
      <c r="F338" s="114">
        <f t="shared" ref="F338:G339" si="78">(3.05*5.83+3.54*0.76+1.22*2.14+2.14*3.1+1.7*1.35+3.05*3.36+3.05*4.46+2.44*1.53+1.53*2.44+1*3.05)*10.764</f>
        <v>714.50463239999988</v>
      </c>
      <c r="G338" s="115">
        <f t="shared" si="78"/>
        <v>714.50463239999988</v>
      </c>
      <c r="H338" s="19">
        <v>0</v>
      </c>
      <c r="I338" s="19">
        <f t="shared" ref="I338" si="79">F338*(($I$126)+1)+H338</f>
        <v>1143.2074118399998</v>
      </c>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21" x14ac:dyDescent="0.3">
      <c r="A339" s="149"/>
      <c r="B339" s="150"/>
      <c r="C339" s="113">
        <v>6</v>
      </c>
      <c r="D339" s="113"/>
      <c r="E339" s="19" t="s">
        <v>213</v>
      </c>
      <c r="F339" s="114">
        <f t="shared" si="78"/>
        <v>714.50463239999988</v>
      </c>
      <c r="G339" s="115">
        <f t="shared" si="78"/>
        <v>714.50463239999988</v>
      </c>
      <c r="H339" s="19">
        <v>0</v>
      </c>
      <c r="I339" s="19">
        <f t="shared" si="77"/>
        <v>1143.2074118399998</v>
      </c>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21" x14ac:dyDescent="0.3">
      <c r="A340" s="110" t="s">
        <v>276</v>
      </c>
      <c r="B340" s="111"/>
      <c r="C340" s="111"/>
      <c r="D340" s="111"/>
      <c r="E340" s="111"/>
      <c r="F340" s="111"/>
      <c r="G340" s="111"/>
      <c r="H340" s="111"/>
      <c r="I340" s="112"/>
      <c r="J340" s="1">
        <f>1+5+5+5+5+6+4</f>
        <v>31</v>
      </c>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s="11" customFormat="1" ht="21" customHeight="1" x14ac:dyDescent="0.3">
      <c r="A341" s="145" t="str">
        <f>A340</f>
        <v>13th, 16th to 20th, 23rd to 27th, 30th to 34th, 37th to 41th, 44th to 49th &amp; 51st to 54th Floor</v>
      </c>
      <c r="B341" s="146"/>
      <c r="C341" s="113">
        <v>1</v>
      </c>
      <c r="D341" s="113"/>
      <c r="E341" s="19" t="s">
        <v>212</v>
      </c>
      <c r="F341" s="114">
        <f t="shared" ref="F341:G342" si="80">(1.1*2.74+2.9*2.44+0.92*2.83+3.2*5.27+1.35*2.14+2.44*1.53+2.44*1.53+2.44*3+3.4*3.23+3.2*3.95+1.53*2.75+3.6*1.76)*10.764</f>
        <v>876.17345399999977</v>
      </c>
      <c r="G341" s="115">
        <f t="shared" si="80"/>
        <v>876.17345399999977</v>
      </c>
      <c r="H341" s="19">
        <v>0</v>
      </c>
      <c r="I341" s="19">
        <f>F341*(($I$126)+1)+H341</f>
        <v>1401.8775263999996</v>
      </c>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c r="XFD341" s="1"/>
    </row>
    <row r="342" spans="1:151 16227:16384" s="11" customFormat="1" ht="21" customHeight="1" x14ac:dyDescent="0.3">
      <c r="A342" s="147"/>
      <c r="B342" s="148"/>
      <c r="C342" s="113">
        <f>C341+1</f>
        <v>2</v>
      </c>
      <c r="D342" s="113"/>
      <c r="E342" s="19" t="s">
        <v>212</v>
      </c>
      <c r="F342" s="114">
        <f t="shared" si="80"/>
        <v>876.17345399999977</v>
      </c>
      <c r="G342" s="115">
        <f t="shared" si="80"/>
        <v>876.17345399999977</v>
      </c>
      <c r="H342" s="19">
        <v>0</v>
      </c>
      <c r="I342" s="19">
        <f t="shared" ref="I342" si="81">F342*(($I$126)+1)+H342</f>
        <v>1401.8775263999996</v>
      </c>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c r="XFD342" s="1"/>
    </row>
    <row r="343" spans="1:151 16227:16384" s="11" customFormat="1" ht="21" customHeight="1" x14ac:dyDescent="0.3">
      <c r="A343" s="147"/>
      <c r="B343" s="148"/>
      <c r="C343" s="113">
        <f t="shared" ref="C343:C346" si="82">C342+1</f>
        <v>3</v>
      </c>
      <c r="D343" s="113"/>
      <c r="E343" s="19" t="s">
        <v>212</v>
      </c>
      <c r="F343" s="114">
        <f>(1.22*2.44+2.9*2.44+1*2.44+0.9*2.43+3.2*5.27+2.4*3.05+3.2*3.05+1.53*2.75+3.4*3.23+2.44*1.53+2.44*1+3.5*1.76)*10.764</f>
        <v>819.64092599999981</v>
      </c>
      <c r="G343" s="115">
        <f>(1.22*2.44+2.9*2.44+1*2.44+0.9*2.43+3.2*5.27+2.4*3.05+3.2*3.05+1.53*2.75+3.4*3.23+2.44*1.53+2.44*1+3.5*1.76)*10.764</f>
        <v>819.64092599999981</v>
      </c>
      <c r="H343" s="19">
        <v>0</v>
      </c>
      <c r="I343" s="19">
        <f t="shared" ref="I343:I344" si="83">F343*(($I$126)+1)+H343</f>
        <v>1311.4254815999998</v>
      </c>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c r="XFD343" s="1"/>
    </row>
    <row r="344" spans="1:151 16227:16384" s="11" customFormat="1" ht="21" customHeight="1" x14ac:dyDescent="0.3">
      <c r="A344" s="147"/>
      <c r="B344" s="148"/>
      <c r="C344" s="113">
        <f t="shared" si="82"/>
        <v>4</v>
      </c>
      <c r="D344" s="113"/>
      <c r="E344" s="19" t="s">
        <v>212</v>
      </c>
      <c r="F344" s="114">
        <f>(1.22*2.44+2.9*2.44+1*2.44+0.9*2.43+3.2*5.27+2.4*3.05+3.2*3.05+1.53*2.75+3.4*3.23+2.44*1.53+2.44*1+3.5*1.76)*10.764</f>
        <v>819.64092599999981</v>
      </c>
      <c r="G344" s="115">
        <f>(1.22*2.44+2.9*2.44+1*2.44+0.9*2.43+3.2*5.27+2.4*3.05+3.2*3.05+1.53*2.75+3.4*3.23+2.44*1.53+2.44*1+3.5*1.76)*10.764</f>
        <v>819.64092599999981</v>
      </c>
      <c r="H344" s="19">
        <v>0</v>
      </c>
      <c r="I344" s="19">
        <f t="shared" si="83"/>
        <v>1311.4254815999998</v>
      </c>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c r="XFD344" s="1"/>
    </row>
    <row r="345" spans="1:151 16227:16384" s="11" customFormat="1" ht="21" customHeight="1" x14ac:dyDescent="0.3">
      <c r="A345" s="147"/>
      <c r="B345" s="148"/>
      <c r="C345" s="113">
        <f t="shared" si="82"/>
        <v>5</v>
      </c>
      <c r="D345" s="113"/>
      <c r="E345" s="19" t="s">
        <v>213</v>
      </c>
      <c r="F345" s="114">
        <f>(3.05*5.83+3.54*0.76+1.22*2.14+2.14*3.1+1.7*1.35+3.05*3.36+3.05*4.46+2.44*1.53+1.53*2.44+1*3.05+3*1.82)*10.764</f>
        <v>773.27607239999986</v>
      </c>
      <c r="G345" s="115">
        <f>(3.05*5.83+3.54*0.76+1.22*2.14+2.14*3.1+1.7*1.35+3.05*3.36+3.05*4.46+2.44*1.53+1.53*2.44+1*3.05+3*1.82)*10.764</f>
        <v>773.27607239999986</v>
      </c>
      <c r="H345" s="19">
        <v>0</v>
      </c>
      <c r="I345" s="19">
        <f t="shared" ref="I345:I346" si="84">F345*(($I$126)+1)+H345</f>
        <v>1237.2417158399999</v>
      </c>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27:16384" s="11" customFormat="1" ht="21" customHeight="1" x14ac:dyDescent="0.3">
      <c r="A346" s="149"/>
      <c r="B346" s="150"/>
      <c r="C346" s="113">
        <f t="shared" si="82"/>
        <v>6</v>
      </c>
      <c r="D346" s="113"/>
      <c r="E346" s="19" t="s">
        <v>213</v>
      </c>
      <c r="F346" s="114">
        <f>(3.05*5.83+3.54*0.76+1.22*2.14+2.14*3.1+1.7*1.35+3.05*3.36+3.05*4.46+2.44*1.53+1.53*2.44+1*3.05+3*1.82)*10.764</f>
        <v>773.27607239999986</v>
      </c>
      <c r="G346" s="115">
        <f>(3.05*5.83+3.54*0.76+1.22*2.14+2.14*3.1+1.7*1.35+3.05*3.36+3.05*4.46+2.44*1.53+1.53*2.44+1*3.05+3*1.82)*10.764</f>
        <v>773.27607239999986</v>
      </c>
      <c r="H346" s="19">
        <v>0</v>
      </c>
      <c r="I346" s="19">
        <f t="shared" si="84"/>
        <v>1237.2417158399999</v>
      </c>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c r="XFD346" s="1"/>
    </row>
    <row r="347" spans="1:151 16227:16384" s="11" customFormat="1" ht="21" x14ac:dyDescent="0.3">
      <c r="A347" s="110" t="s">
        <v>279</v>
      </c>
      <c r="B347" s="111"/>
      <c r="C347" s="111"/>
      <c r="D347" s="111"/>
      <c r="E347" s="111"/>
      <c r="F347" s="111"/>
      <c r="G347" s="111"/>
      <c r="H347" s="111"/>
      <c r="I347" s="112"/>
      <c r="J347" s="1">
        <v>5</v>
      </c>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c r="XFD347" s="1"/>
    </row>
    <row r="348" spans="1:151 16227:16384" s="11" customFormat="1" ht="21" x14ac:dyDescent="0.3">
      <c r="A348" s="110" t="s">
        <v>246</v>
      </c>
      <c r="B348" s="111"/>
      <c r="C348" s="111"/>
      <c r="D348" s="111"/>
      <c r="E348" s="111"/>
      <c r="F348" s="111"/>
      <c r="G348" s="111"/>
      <c r="H348" s="111"/>
      <c r="I348" s="11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c r="XFD348" s="1"/>
    </row>
    <row r="349" spans="1:151 16227:16384" s="11" customFormat="1" ht="75.599999999999994" customHeight="1" x14ac:dyDescent="0.3">
      <c r="A349" s="145" t="str">
        <f>A348</f>
        <v xml:space="preserve">14th, 21st, 28th, 35th &amp; 42nd Floor </v>
      </c>
      <c r="B349" s="146"/>
      <c r="C349" s="113">
        <v>1</v>
      </c>
      <c r="D349" s="113"/>
      <c r="E349" s="19" t="s">
        <v>247</v>
      </c>
      <c r="F349" s="114">
        <f>((1.1*2.74+2.9*2.44+0.92*2.83+3.2*5.27+1.35*2.14+2.44*1.53+2.44*1.53+2.44*3+3.4*3.23+3.2*3.95+1.53*2.75+3.6*1.76)+(3.2*3.95+3.4*3.22+1.53*2.75+2.45*1.53+3*4+0.9*2+2*1.5+3*0.9))*10.764</f>
        <v>1425.6110699999999</v>
      </c>
      <c r="G349" s="115">
        <f t="shared" ref="G349:G350" si="85">(1.1*2.74+2.9*2.44+0.92*2.83+3.2*5.27+1.35*2.14+2.44*1.53+2.44*1.53+2.44*3+3.4*3.23+3.2*3.95+1.53*2.75+3.6*1.76)*10.764</f>
        <v>876.17345399999977</v>
      </c>
      <c r="H349" s="19">
        <v>0</v>
      </c>
      <c r="I349" s="19">
        <f>F349*(($I$126)+1)+H349</f>
        <v>2280.9777119999999</v>
      </c>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c r="XFD349" s="1"/>
    </row>
    <row r="350" spans="1:151 16227:16384" s="11" customFormat="1" ht="21" customHeight="1" x14ac:dyDescent="0.3">
      <c r="A350" s="147"/>
      <c r="B350" s="148"/>
      <c r="C350" s="113">
        <f>C349+1</f>
        <v>2</v>
      </c>
      <c r="D350" s="113"/>
      <c r="E350" s="19" t="s">
        <v>212</v>
      </c>
      <c r="F350" s="114">
        <f>(1.1*2.74+2.9*2.44+0.92*2.83+3.2*5.27+1.35*2.14+2.44*1.53+2.44*1.53+2.44*3+3.4*3.23+3.2*3.95+1.53*2.75+3.6*1.76)*10.764</f>
        <v>876.17345399999977</v>
      </c>
      <c r="G350" s="115">
        <f t="shared" si="85"/>
        <v>876.17345399999977</v>
      </c>
      <c r="H350" s="19">
        <v>0</v>
      </c>
      <c r="I350" s="19">
        <f t="shared" ref="I350:I354" si="86">F350*(($I$126)+1)+H350</f>
        <v>1401.8775263999996</v>
      </c>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c r="XFD350" s="1"/>
    </row>
    <row r="351" spans="1:151 16227:16384" s="11" customFormat="1" ht="21" customHeight="1" x14ac:dyDescent="0.3">
      <c r="A351" s="147"/>
      <c r="B351" s="148"/>
      <c r="C351" s="113">
        <f t="shared" ref="C351:C354" si="87">C350+1</f>
        <v>3</v>
      </c>
      <c r="D351" s="113"/>
      <c r="E351" s="19" t="s">
        <v>212</v>
      </c>
      <c r="F351" s="114">
        <f>(1.22*2.44+2.9*2.44+1*2.44+0.9*2.43+3.2*5.27+2.4*3.05+3.2*3.05+1.53*2.75+3.4*3.23+2.44*1.53+2.44*1+3.5*1.76)*10.764</f>
        <v>819.64092599999981</v>
      </c>
      <c r="G351" s="115">
        <f>(1.22*2.44+2.9*2.44+1*2.44+0.9*2.43+3.2*5.27+2.4*3.05+3.2*3.05+1.53*2.75+3.4*3.23+2.44*1.53+2.44*1+3.5*1.76)*10.764</f>
        <v>819.64092599999981</v>
      </c>
      <c r="H351" s="19">
        <v>0</v>
      </c>
      <c r="I351" s="19">
        <f t="shared" si="86"/>
        <v>1311.4254815999998</v>
      </c>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c r="XFD351" s="1"/>
    </row>
    <row r="352" spans="1:151 16227:16384" s="11" customFormat="1" ht="21" customHeight="1" x14ac:dyDescent="0.3">
      <c r="A352" s="147"/>
      <c r="B352" s="148"/>
      <c r="C352" s="113">
        <f t="shared" si="87"/>
        <v>4</v>
      </c>
      <c r="D352" s="113"/>
      <c r="E352" s="19" t="s">
        <v>212</v>
      </c>
      <c r="F352" s="114">
        <f>(1.22*2.44+2.9*2.44+1*2.44+0.9*2.43+3.2*5.27+2.4*3.05+3.2*3.05+1.53*2.75+3.4*3.23+2.44*1.53+2.44*1+3.5*1.76)*10.764</f>
        <v>819.64092599999981</v>
      </c>
      <c r="G352" s="115">
        <f>(1.22*2.44+2.9*2.44+1*2.44+0.9*2.43+3.2*5.27+2.4*3.05+3.2*3.05+1.53*2.75+3.4*3.23+2.44*1.53+2.44*1+3.5*1.76)*10.764</f>
        <v>819.64092599999981</v>
      </c>
      <c r="H352" s="19">
        <v>0</v>
      </c>
      <c r="I352" s="19">
        <f t="shared" si="86"/>
        <v>1311.4254815999998</v>
      </c>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c r="XFD352" s="1"/>
    </row>
    <row r="353" spans="1:151 16227:16384" s="11" customFormat="1" ht="21" customHeight="1" x14ac:dyDescent="0.3">
      <c r="A353" s="147"/>
      <c r="B353" s="148"/>
      <c r="C353" s="113">
        <f t="shared" si="87"/>
        <v>5</v>
      </c>
      <c r="D353" s="113"/>
      <c r="E353" s="19" t="s">
        <v>213</v>
      </c>
      <c r="F353" s="114">
        <f>(3.05*5.83+3.54*0.76+1.22*2.14+2.14*3.1+1.7*1.35+3.05*3.36+3.05*4.46+2.44*1.53+1.53*2.44+1*3.05+3*1.82)*10.764</f>
        <v>773.27607239999986</v>
      </c>
      <c r="G353" s="115">
        <f>(3.05*5.83+3.54*0.76+1.22*2.14+2.14*3.1+1.7*1.35+3.05*3.36+3.05*4.46+2.44*1.53+1.53*2.44+1*3.05+3*1.82)*10.764</f>
        <v>773.27607239999986</v>
      </c>
      <c r="H353" s="19">
        <v>0</v>
      </c>
      <c r="I353" s="19">
        <f t="shared" si="86"/>
        <v>1237.2417158399999</v>
      </c>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c r="XFD353" s="1"/>
    </row>
    <row r="354" spans="1:151 16227:16384" s="11" customFormat="1" ht="21" customHeight="1" x14ac:dyDescent="0.3">
      <c r="A354" s="149"/>
      <c r="B354" s="150"/>
      <c r="C354" s="113">
        <f t="shared" si="87"/>
        <v>6</v>
      </c>
      <c r="D354" s="113"/>
      <c r="E354" s="19" t="s">
        <v>213</v>
      </c>
      <c r="F354" s="114">
        <f>(3.05*5.83+3.54*0.76+1.22*2.14+2.14*3.1+1.7*1.35+3.05*3.36+3.05*4.46+2.44*1.53+1.53*2.44+1*3.05+3*1.82)*10.764</f>
        <v>773.27607239999986</v>
      </c>
      <c r="G354" s="115">
        <f>(3.05*5.83+3.54*0.76+1.22*2.14+2.14*3.1+1.7*1.35+3.05*3.36+3.05*4.46+2.44*1.53+1.53*2.44+1*3.05+3*1.82)*10.764</f>
        <v>773.27607239999986</v>
      </c>
      <c r="H354" s="19">
        <v>0</v>
      </c>
      <c r="I354" s="19">
        <f t="shared" si="86"/>
        <v>1237.2417158399999</v>
      </c>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c r="XFD354" s="1"/>
    </row>
    <row r="355" spans="1:151 16227:16384" s="11" customFormat="1" ht="21" x14ac:dyDescent="0.3">
      <c r="A355" s="110" t="s">
        <v>277</v>
      </c>
      <c r="B355" s="111"/>
      <c r="C355" s="111"/>
      <c r="D355" s="111"/>
      <c r="E355" s="111"/>
      <c r="F355" s="111"/>
      <c r="G355" s="111"/>
      <c r="H355" s="111"/>
      <c r="I355" s="112"/>
      <c r="J355" s="1">
        <v>5</v>
      </c>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c r="XFD355" s="1"/>
    </row>
    <row r="356" spans="1:151 16227:16384" s="11" customFormat="1" ht="21" x14ac:dyDescent="0.3">
      <c r="A356" s="145" t="str">
        <f>A355</f>
        <v>15th, 22nd, 29th, 36th &amp; 43rd Floor (Part Refuge Area)</v>
      </c>
      <c r="B356" s="146"/>
      <c r="C356" s="113">
        <v>1</v>
      </c>
      <c r="D356" s="113"/>
      <c r="E356" s="114" t="s">
        <v>248</v>
      </c>
      <c r="F356" s="151"/>
      <c r="G356" s="151"/>
      <c r="H356" s="151"/>
      <c r="I356" s="115"/>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c r="XFD356" s="1"/>
    </row>
    <row r="357" spans="1:151 16227:16384" s="11" customFormat="1" ht="21" customHeight="1" x14ac:dyDescent="0.3">
      <c r="A357" s="147"/>
      <c r="B357" s="148"/>
      <c r="C357" s="113">
        <f>C356+1</f>
        <v>2</v>
      </c>
      <c r="D357" s="113"/>
      <c r="E357" s="114" t="s">
        <v>217</v>
      </c>
      <c r="F357" s="151"/>
      <c r="G357" s="151"/>
      <c r="H357" s="151"/>
      <c r="I357" s="115"/>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c r="XFD357" s="1"/>
    </row>
    <row r="358" spans="1:151 16227:16384" s="11" customFormat="1" ht="21" customHeight="1" x14ac:dyDescent="0.3">
      <c r="A358" s="147"/>
      <c r="B358" s="148"/>
      <c r="C358" s="113">
        <f t="shared" ref="C358:C361" si="88">C357+1</f>
        <v>3</v>
      </c>
      <c r="D358" s="113"/>
      <c r="E358" s="19" t="s">
        <v>212</v>
      </c>
      <c r="F358" s="114">
        <f>(1.22*2.44+2.9*2.44+1*2.44+0.9*2.43+3.2*5.27+2.4*3.05+3.2*3.05+1.53*2.75+3.4*3.23+2.44*1.53+2.44*1+3.5*1.76)*10.764</f>
        <v>819.64092599999981</v>
      </c>
      <c r="G358" s="115">
        <f>(1.22*2.44+2.9*2.44+1*2.44+0.9*2.43+3.2*5.27+2.4*3.05+3.2*3.05+1.53*2.75+3.4*3.23+2.44*1.53+2.44*1+3.5*1.76)*10.764</f>
        <v>819.64092599999981</v>
      </c>
      <c r="H358" s="19">
        <v>0</v>
      </c>
      <c r="I358" s="19">
        <f t="shared" ref="I358:I361" si="89">F358*(($I$126)+1)+H358</f>
        <v>1311.4254815999998</v>
      </c>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c r="XFD358" s="1"/>
    </row>
    <row r="359" spans="1:151 16227:16384" s="11" customFormat="1" ht="21" customHeight="1" x14ac:dyDescent="0.3">
      <c r="A359" s="147"/>
      <c r="B359" s="148"/>
      <c r="C359" s="113">
        <f t="shared" si="88"/>
        <v>4</v>
      </c>
      <c r="D359" s="113"/>
      <c r="E359" s="19" t="s">
        <v>212</v>
      </c>
      <c r="F359" s="114">
        <f>(1.22*2.44+2.9*2.44+1*2.44+0.9*2.43+3.2*5.27+2.4*3.05+3.2*3.05+1.53*2.75+3.4*3.23+2.44*1.53+2.44*1+3.5*1.76)*10.764</f>
        <v>819.64092599999981</v>
      </c>
      <c r="G359" s="115">
        <f>(1.22*2.44+2.9*2.44+1*2.44+0.9*2.43+3.2*5.27+2.4*3.05+3.2*3.05+1.53*2.75+3.4*3.23+2.44*1.53+2.44*1+3.5*1.76)*10.764</f>
        <v>819.64092599999981</v>
      </c>
      <c r="H359" s="19">
        <v>0</v>
      </c>
      <c r="I359" s="19">
        <f t="shared" si="89"/>
        <v>1311.4254815999998</v>
      </c>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c r="XFD359" s="1"/>
    </row>
    <row r="360" spans="1:151 16227:16384" s="11" customFormat="1" ht="21" customHeight="1" x14ac:dyDescent="0.3">
      <c r="A360" s="147"/>
      <c r="B360" s="148"/>
      <c r="C360" s="113">
        <f t="shared" si="88"/>
        <v>5</v>
      </c>
      <c r="D360" s="113"/>
      <c r="E360" s="19" t="s">
        <v>213</v>
      </c>
      <c r="F360" s="114">
        <f>(3.05*5.83+3.54*0.76+1.22*2.14+2.14*3.1+1.7*1.35+3.05*3.36+3.05*4.46+2.44*1.53+1.53*2.44+1*3.05+3*1.82)*10.764</f>
        <v>773.27607239999986</v>
      </c>
      <c r="G360" s="115">
        <f>(3.05*5.83+3.54*0.76+1.22*2.14+2.14*3.1+1.7*1.35+3.05*3.36+3.05*4.46+2.44*1.53+1.53*2.44+1*3.05+3*1.82)*10.764</f>
        <v>773.27607239999986</v>
      </c>
      <c r="H360" s="19">
        <v>0</v>
      </c>
      <c r="I360" s="19">
        <f t="shared" si="89"/>
        <v>1237.2417158399999</v>
      </c>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c r="XFD360" s="1"/>
    </row>
    <row r="361" spans="1:151 16227:16384" s="11" customFormat="1" ht="21" customHeight="1" x14ac:dyDescent="0.3">
      <c r="A361" s="149"/>
      <c r="B361" s="150"/>
      <c r="C361" s="113">
        <f t="shared" si="88"/>
        <v>6</v>
      </c>
      <c r="D361" s="113"/>
      <c r="E361" s="19" t="s">
        <v>213</v>
      </c>
      <c r="F361" s="114">
        <f>(3.05*5.83+3.54*0.76+1.22*2.14+2.14*3.1+1.7*1.35+3.05*3.36+3.05*4.46+2.44*1.53+1.53*2.44+1*3.05+3*1.82)*10.764</f>
        <v>773.27607239999986</v>
      </c>
      <c r="G361" s="115">
        <f>(3.05*5.83+3.54*0.76+1.22*2.14+2.14*3.1+1.7*1.35+3.05*3.36+3.05*4.46+2.44*1.53+1.53*2.44+1*3.05+3*1.82)*10.764</f>
        <v>773.27607239999986</v>
      </c>
      <c r="H361" s="19">
        <v>0</v>
      </c>
      <c r="I361" s="19">
        <f t="shared" si="89"/>
        <v>1237.2417158399999</v>
      </c>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c r="XFD361" s="1"/>
    </row>
    <row r="362" spans="1:151 16227:16384" s="11" customFormat="1" ht="21" x14ac:dyDescent="0.3">
      <c r="A362" s="110" t="s">
        <v>278</v>
      </c>
      <c r="B362" s="111"/>
      <c r="C362" s="111"/>
      <c r="D362" s="111"/>
      <c r="E362" s="111"/>
      <c r="F362" s="111"/>
      <c r="G362" s="111"/>
      <c r="H362" s="111"/>
      <c r="I362" s="112"/>
      <c r="J362" s="1">
        <v>1</v>
      </c>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c r="XFD362" s="1"/>
    </row>
    <row r="363" spans="1:151 16227:16384" s="11" customFormat="1" ht="21" x14ac:dyDescent="0.3">
      <c r="A363" s="145" t="str">
        <f>A362</f>
        <v>50th Floor (Part Refuge Area)</v>
      </c>
      <c r="B363" s="146"/>
      <c r="C363" s="113">
        <v>1</v>
      </c>
      <c r="D363" s="113"/>
      <c r="E363" s="19" t="s">
        <v>212</v>
      </c>
      <c r="F363" s="114">
        <f>(1.1*2.74+2.9*2.44+0.92*2.83+3.2*5.27+1.35*2.14+2.44*1.53+2.44*1.53+2.44*3+3.4*3.23+3.2*3.95+1.53*2.75+3.6*1.76)*10.764</f>
        <v>876.17345399999977</v>
      </c>
      <c r="G363" s="115">
        <f t="shared" ref="G363" si="90">(1.1*2.74+2.9*2.44+0.92*2.83+3.2*5.27+1.35*2.14+2.44*1.53+2.44*1.53+2.44*3+3.4*3.23+3.2*3.95+1.53*2.75+3.6*1.76)*10.764</f>
        <v>876.17345399999977</v>
      </c>
      <c r="H363" s="19">
        <v>0</v>
      </c>
      <c r="I363" s="19">
        <f>F363*(($I$126)+1)+H363</f>
        <v>1401.8775263999996</v>
      </c>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c r="XFD363" s="1"/>
    </row>
    <row r="364" spans="1:151 16227:16384" s="11" customFormat="1" ht="21" customHeight="1" x14ac:dyDescent="0.3">
      <c r="A364" s="147"/>
      <c r="B364" s="148"/>
      <c r="C364" s="113">
        <f>C363+1</f>
        <v>2</v>
      </c>
      <c r="D364" s="113"/>
      <c r="E364" s="114" t="s">
        <v>217</v>
      </c>
      <c r="F364" s="151"/>
      <c r="G364" s="151"/>
      <c r="H364" s="151"/>
      <c r="I364" s="115"/>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c r="XFD364" s="1"/>
    </row>
    <row r="365" spans="1:151 16227:16384" s="11" customFormat="1" ht="21" customHeight="1" x14ac:dyDescent="0.3">
      <c r="A365" s="147"/>
      <c r="B365" s="148"/>
      <c r="C365" s="113">
        <f t="shared" ref="C365:C368" si="91">C364+1</f>
        <v>3</v>
      </c>
      <c r="D365" s="113"/>
      <c r="E365" s="19" t="s">
        <v>212</v>
      </c>
      <c r="F365" s="114">
        <f>(1.22*2.44+2.9*2.44+1*2.44+0.9*2.43+3.2*5.27+2.4*3.05+3.2*3.05+1.53*2.75+3.4*3.23+2.44*1.53+2.44*1+3.5*1.76)*10.764</f>
        <v>819.64092599999981</v>
      </c>
      <c r="G365" s="115">
        <f>(1.22*2.44+2.9*2.44+1*2.44+0.9*2.43+3.2*5.27+2.4*3.05+3.2*3.05+1.53*2.75+3.4*3.23+2.44*1.53+2.44*1+3.5*1.76)*10.764</f>
        <v>819.64092599999981</v>
      </c>
      <c r="H365" s="19">
        <v>0</v>
      </c>
      <c r="I365" s="19">
        <f t="shared" ref="I365:I368" si="92">F365*(($I$126)+1)+H365</f>
        <v>1311.4254815999998</v>
      </c>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c r="XFD365" s="1"/>
    </row>
    <row r="366" spans="1:151 16227:16384" s="11" customFormat="1" ht="21" customHeight="1" x14ac:dyDescent="0.3">
      <c r="A366" s="147"/>
      <c r="B366" s="148"/>
      <c r="C366" s="113">
        <f t="shared" si="91"/>
        <v>4</v>
      </c>
      <c r="D366" s="113"/>
      <c r="E366" s="19" t="s">
        <v>212</v>
      </c>
      <c r="F366" s="114">
        <f>(1.22*2.44+2.9*2.44+1*2.44+0.9*2.43+3.2*5.27+2.4*3.05+3.2*3.05+1.53*2.75+3.4*3.23+2.44*1.53+2.44*1+3.5*1.76)*10.764</f>
        <v>819.64092599999981</v>
      </c>
      <c r="G366" s="115">
        <f>(1.22*2.44+2.9*2.44+1*2.44+0.9*2.43+3.2*5.27+2.4*3.05+3.2*3.05+1.53*2.75+3.4*3.23+2.44*1.53+2.44*1+3.5*1.76)*10.764</f>
        <v>819.64092599999981</v>
      </c>
      <c r="H366" s="19">
        <v>0</v>
      </c>
      <c r="I366" s="19">
        <f t="shared" si="92"/>
        <v>1311.4254815999998</v>
      </c>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c r="XFD366" s="1"/>
    </row>
    <row r="367" spans="1:151 16227:16384" s="11" customFormat="1" ht="21" customHeight="1" x14ac:dyDescent="0.3">
      <c r="A367" s="147"/>
      <c r="B367" s="148"/>
      <c r="C367" s="113">
        <f t="shared" si="91"/>
        <v>5</v>
      </c>
      <c r="D367" s="113"/>
      <c r="E367" s="19" t="s">
        <v>213</v>
      </c>
      <c r="F367" s="114">
        <f>(3.05*5.83+3.54*0.76+1.22*2.14+2.14*3.1+1.7*1.35+3.05*3.36+3.05*4.46+2.44*1.53+1.53*2.44+1*3.05+3*1.82)*10.764</f>
        <v>773.27607239999986</v>
      </c>
      <c r="G367" s="115">
        <f>(3.05*5.83+3.54*0.76+1.22*2.14+2.14*3.1+1.7*1.35+3.05*3.36+3.05*4.46+2.44*1.53+1.53*2.44+1*3.05+3*1.82)*10.764</f>
        <v>773.27607239999986</v>
      </c>
      <c r="H367" s="19">
        <v>0</v>
      </c>
      <c r="I367" s="19">
        <f t="shared" si="92"/>
        <v>1237.2417158399999</v>
      </c>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c r="XFD367" s="1"/>
    </row>
    <row r="368" spans="1:151 16227:16384" s="11" customFormat="1" ht="21" customHeight="1" x14ac:dyDescent="0.3">
      <c r="A368" s="149"/>
      <c r="B368" s="150"/>
      <c r="C368" s="113">
        <f t="shared" si="91"/>
        <v>6</v>
      </c>
      <c r="D368" s="113"/>
      <c r="E368" s="19" t="s">
        <v>213</v>
      </c>
      <c r="F368" s="114">
        <f>(3.05*5.83+3.54*0.76+1.22*2.14+2.14*3.1+1.7*1.35+3.05*3.36+3.05*4.46+2.44*1.53+1.53*2.44+1*3.05+3*1.82)*10.764</f>
        <v>773.27607239999986</v>
      </c>
      <c r="G368" s="115">
        <f>(3.05*5.83+3.54*0.76+1.22*2.14+2.14*3.1+1.7*1.35+3.05*3.36+3.05*4.46+2.44*1.53+1.53*2.44+1*3.05+3*1.82)*10.764</f>
        <v>773.27607239999986</v>
      </c>
      <c r="H368" s="19">
        <v>0</v>
      </c>
      <c r="I368" s="19">
        <f t="shared" si="92"/>
        <v>1237.2417158399999</v>
      </c>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c r="XFD368" s="1"/>
    </row>
    <row r="369" spans="1:10" ht="21" x14ac:dyDescent="0.3">
      <c r="A369" s="93" t="s">
        <v>76</v>
      </c>
      <c r="B369" s="94"/>
      <c r="C369" s="94"/>
      <c r="D369" s="94"/>
      <c r="E369" s="94"/>
      <c r="F369" s="94"/>
      <c r="G369" s="94"/>
      <c r="H369" s="94"/>
      <c r="I369" s="95"/>
    </row>
    <row r="370" spans="1:10" ht="230.25" customHeight="1" x14ac:dyDescent="0.3">
      <c r="A370" s="9" t="s">
        <v>84</v>
      </c>
      <c r="B370" s="12" t="s">
        <v>4</v>
      </c>
      <c r="C370" s="71" t="s">
        <v>293</v>
      </c>
      <c r="D370" s="72"/>
      <c r="E370" s="72"/>
      <c r="F370" s="72"/>
      <c r="G370" s="72"/>
      <c r="H370" s="72"/>
      <c r="I370" s="73"/>
      <c r="J370" s="1" t="s">
        <v>281</v>
      </c>
    </row>
    <row r="371" spans="1:10" ht="21" x14ac:dyDescent="0.3">
      <c r="A371" s="139" t="s">
        <v>85</v>
      </c>
      <c r="B371" s="139"/>
      <c r="C371" s="139"/>
      <c r="D371" s="139"/>
      <c r="E371" s="139"/>
      <c r="F371" s="139"/>
      <c r="G371" s="139"/>
      <c r="H371" s="139"/>
      <c r="I371" s="139"/>
    </row>
    <row r="372" spans="1:10" ht="21" x14ac:dyDescent="0.3">
      <c r="A372" s="87" t="s">
        <v>77</v>
      </c>
      <c r="B372" s="87"/>
      <c r="C372" s="87"/>
      <c r="D372" s="2" t="s">
        <v>4</v>
      </c>
      <c r="E372" s="71" t="str">
        <f>E3</f>
        <v>Bellanza Phase 2 ­ Wing D, E, F</v>
      </c>
      <c r="F372" s="72"/>
      <c r="G372" s="72"/>
      <c r="H372" s="72"/>
      <c r="I372" s="73"/>
    </row>
    <row r="373" spans="1:10" ht="45.6" customHeight="1" x14ac:dyDescent="0.3">
      <c r="A373" s="87" t="s">
        <v>137</v>
      </c>
      <c r="B373" s="87"/>
      <c r="C373" s="87"/>
      <c r="D373" s="2" t="s">
        <v>4</v>
      </c>
      <c r="E373" s="71" t="str">
        <f>E10</f>
        <v>Bellanza Phase 2 ­ Wing D, E, F at The Prestige City, Village. Mulund, Situated Near. Veena Nagar, Road - Agrawal Road, Mulund West, Kurla, Mumbai, Maharashtra - 400080</v>
      </c>
      <c r="F373" s="72"/>
      <c r="G373" s="72"/>
      <c r="H373" s="72"/>
      <c r="I373" s="73"/>
    </row>
    <row r="374" spans="1:10" ht="20.25" customHeight="1" x14ac:dyDescent="0.3">
      <c r="A374" s="128" t="s">
        <v>143</v>
      </c>
      <c r="B374" s="128"/>
      <c r="C374" s="128"/>
      <c r="D374" s="15" t="s">
        <v>4</v>
      </c>
      <c r="E374" s="122" t="str">
        <f>I3</f>
        <v>07/07/2025  @04:00 PM</v>
      </c>
      <c r="F374" s="129"/>
      <c r="G374" s="129"/>
      <c r="H374" s="129"/>
      <c r="I374" s="123"/>
    </row>
    <row r="375" spans="1:10" ht="21" x14ac:dyDescent="0.3">
      <c r="A375" s="29"/>
      <c r="B375" s="30"/>
      <c r="C375" s="30"/>
      <c r="D375" s="30"/>
      <c r="E375" s="30"/>
      <c r="F375" s="30"/>
      <c r="G375" s="30"/>
      <c r="H375" s="30"/>
      <c r="I375" s="24"/>
    </row>
    <row r="376" spans="1:10" ht="21" x14ac:dyDescent="0.3">
      <c r="A376" s="32"/>
      <c r="B376" s="32"/>
      <c r="C376" s="32"/>
      <c r="D376" s="32"/>
      <c r="E376" s="32"/>
      <c r="F376" s="32"/>
      <c r="G376" s="32"/>
      <c r="H376" s="32"/>
      <c r="I376" s="25"/>
    </row>
    <row r="377" spans="1:10" ht="21" x14ac:dyDescent="0.3">
      <c r="A377" s="31"/>
      <c r="B377" s="32"/>
      <c r="C377" s="32"/>
      <c r="D377" s="32"/>
      <c r="E377" s="32"/>
      <c r="F377" s="32"/>
      <c r="G377" s="32"/>
      <c r="H377" s="32"/>
      <c r="I377" s="25"/>
    </row>
    <row r="378" spans="1:10" ht="21" x14ac:dyDescent="0.3">
      <c r="A378" s="31"/>
      <c r="B378" s="32"/>
      <c r="C378" s="32"/>
      <c r="D378" s="32"/>
      <c r="E378" s="32"/>
      <c r="F378" s="32"/>
      <c r="G378" s="32"/>
      <c r="H378" s="32"/>
      <c r="I378" s="25"/>
    </row>
    <row r="379" spans="1:10" ht="21" x14ac:dyDescent="0.3">
      <c r="A379" s="31"/>
      <c r="B379" s="32"/>
      <c r="C379" s="32"/>
      <c r="D379" s="32"/>
      <c r="E379" s="32"/>
      <c r="F379" s="32"/>
      <c r="G379" s="32"/>
      <c r="H379" s="32"/>
      <c r="I379" s="25"/>
    </row>
    <row r="380" spans="1:10" ht="21" x14ac:dyDescent="0.3">
      <c r="A380" s="31"/>
      <c r="B380" s="32"/>
      <c r="C380" s="32"/>
      <c r="D380" s="32"/>
      <c r="E380" s="32"/>
      <c r="F380" s="32"/>
      <c r="G380" s="32"/>
      <c r="H380" s="32"/>
      <c r="I380" s="25"/>
    </row>
    <row r="381" spans="1:10" ht="21" x14ac:dyDescent="0.3">
      <c r="A381" s="31"/>
      <c r="B381" s="32"/>
      <c r="C381" s="32"/>
      <c r="D381" s="32"/>
      <c r="E381" s="32"/>
      <c r="F381" s="32"/>
      <c r="G381" s="32"/>
      <c r="H381" s="32"/>
      <c r="I381" s="25"/>
    </row>
    <row r="382" spans="1:10" ht="21" x14ac:dyDescent="0.3">
      <c r="A382" s="31"/>
      <c r="B382" s="32"/>
      <c r="C382" s="32"/>
      <c r="D382" s="32"/>
      <c r="E382" s="32"/>
      <c r="F382" s="32"/>
      <c r="G382" s="32"/>
      <c r="H382" s="32"/>
      <c r="I382" s="25"/>
    </row>
    <row r="383" spans="1:10" ht="21" x14ac:dyDescent="0.3">
      <c r="A383" s="31"/>
      <c r="B383" s="32"/>
      <c r="C383" s="32"/>
      <c r="D383" s="32"/>
      <c r="E383" s="32"/>
      <c r="F383" s="32"/>
      <c r="G383" s="32"/>
      <c r="H383" s="32"/>
      <c r="I383" s="25"/>
    </row>
    <row r="384" spans="1:10" ht="21" x14ac:dyDescent="0.3">
      <c r="A384" s="31"/>
      <c r="B384" s="32"/>
      <c r="C384" s="32"/>
      <c r="D384" s="32"/>
      <c r="E384" s="32"/>
      <c r="F384" s="32"/>
      <c r="G384" s="32"/>
      <c r="H384" s="32"/>
      <c r="I384" s="25"/>
    </row>
    <row r="385" spans="1:9" ht="21" x14ac:dyDescent="0.3">
      <c r="A385" s="31"/>
      <c r="B385" s="32"/>
      <c r="C385" s="32"/>
      <c r="D385" s="32"/>
      <c r="E385" s="32"/>
      <c r="F385" s="32"/>
      <c r="G385" s="32"/>
      <c r="H385" s="32"/>
      <c r="I385" s="25"/>
    </row>
    <row r="386" spans="1:9" ht="21" x14ac:dyDescent="0.3">
      <c r="A386" s="31"/>
      <c r="B386" s="32"/>
      <c r="C386" s="32"/>
      <c r="D386" s="32"/>
      <c r="E386" s="32"/>
      <c r="F386" s="32"/>
      <c r="G386" s="32"/>
      <c r="H386" s="32"/>
      <c r="I386" s="25"/>
    </row>
    <row r="387" spans="1:9" ht="21" x14ac:dyDescent="0.3">
      <c r="A387" s="31"/>
      <c r="B387" s="32"/>
      <c r="C387" s="32"/>
      <c r="D387" s="32"/>
      <c r="E387" s="32"/>
      <c r="F387" s="32"/>
      <c r="G387" s="32"/>
      <c r="H387" s="32"/>
      <c r="I387" s="25"/>
    </row>
    <row r="388" spans="1:9" ht="21" x14ac:dyDescent="0.3">
      <c r="A388" s="31"/>
      <c r="B388" s="32"/>
      <c r="C388" s="32"/>
      <c r="D388" s="32"/>
      <c r="E388" s="32"/>
      <c r="F388" s="32"/>
      <c r="G388" s="32"/>
      <c r="H388" s="32"/>
      <c r="I388" s="25"/>
    </row>
    <row r="389" spans="1:9" ht="21" x14ac:dyDescent="0.3">
      <c r="A389" s="31"/>
      <c r="B389" s="32"/>
      <c r="C389" s="32"/>
      <c r="D389" s="32"/>
      <c r="E389" s="32"/>
      <c r="F389" s="32"/>
      <c r="G389" s="32"/>
      <c r="H389" s="32"/>
      <c r="I389" s="25"/>
    </row>
    <row r="390" spans="1:9" ht="21" x14ac:dyDescent="0.3">
      <c r="A390" s="31"/>
      <c r="B390" s="32"/>
      <c r="C390" s="32"/>
      <c r="D390" s="32"/>
      <c r="E390" s="32"/>
      <c r="F390" s="32"/>
      <c r="G390" s="32"/>
      <c r="H390" s="32"/>
      <c r="I390" s="25"/>
    </row>
    <row r="391" spans="1:9" ht="21" x14ac:dyDescent="0.3">
      <c r="A391" s="31"/>
      <c r="B391" s="32"/>
      <c r="C391" s="32"/>
      <c r="D391" s="32"/>
      <c r="E391" s="32"/>
      <c r="F391" s="32"/>
      <c r="G391" s="32"/>
      <c r="H391" s="32"/>
      <c r="I391" s="25"/>
    </row>
    <row r="392" spans="1:9" ht="21" x14ac:dyDescent="0.3">
      <c r="A392" s="31"/>
      <c r="B392" s="32"/>
      <c r="C392"/>
      <c r="D392" s="32"/>
      <c r="E392" s="32"/>
      <c r="F392" s="32"/>
      <c r="G392" s="32"/>
      <c r="H392" s="32"/>
      <c r="I392" s="25"/>
    </row>
    <row r="393" spans="1:9" ht="21" x14ac:dyDescent="0.3">
      <c r="A393" s="31"/>
      <c r="B393" s="32"/>
      <c r="C393" s="32"/>
      <c r="D393" s="32"/>
      <c r="E393" s="32"/>
      <c r="F393" s="32"/>
      <c r="G393" s="32"/>
      <c r="H393" s="32"/>
      <c r="I393" s="25"/>
    </row>
    <row r="394" spans="1:9" ht="21" x14ac:dyDescent="0.3">
      <c r="A394" s="31"/>
      <c r="B394" s="32"/>
      <c r="C394" s="32"/>
      <c r="D394" s="32"/>
      <c r="E394" s="32"/>
      <c r="F394" s="32"/>
      <c r="G394" s="32"/>
      <c r="H394" s="32"/>
      <c r="I394" s="25"/>
    </row>
    <row r="395" spans="1:9" ht="21" x14ac:dyDescent="0.3">
      <c r="A395" s="31"/>
      <c r="B395" s="32"/>
      <c r="C395" s="32"/>
      <c r="D395" s="32"/>
      <c r="E395" s="32"/>
      <c r="F395" s="32"/>
      <c r="G395" s="32"/>
      <c r="H395" s="32"/>
      <c r="I395" s="25"/>
    </row>
    <row r="396" spans="1:9" ht="21" x14ac:dyDescent="0.3">
      <c r="A396" s="31"/>
      <c r="B396" s="32"/>
      <c r="C396" s="32"/>
      <c r="D396" s="32"/>
      <c r="E396" s="32"/>
      <c r="F396" s="32"/>
      <c r="G396" s="32"/>
      <c r="H396" s="32"/>
      <c r="I396" s="25"/>
    </row>
    <row r="397" spans="1:9" ht="21" x14ac:dyDescent="0.3">
      <c r="A397" s="31"/>
      <c r="B397" s="32"/>
      <c r="C397" s="32"/>
      <c r="D397" s="32"/>
      <c r="E397" s="32"/>
      <c r="F397" s="32"/>
      <c r="G397" s="32"/>
      <c r="H397" s="32"/>
      <c r="I397" s="25"/>
    </row>
    <row r="398" spans="1:9" ht="21" x14ac:dyDescent="0.3">
      <c r="A398" s="31"/>
      <c r="B398"/>
      <c r="C398" s="32"/>
      <c r="D398" s="32"/>
      <c r="E398" s="32"/>
      <c r="F398" s="32"/>
      <c r="G398" s="32"/>
      <c r="H398" s="32"/>
      <c r="I398" s="25"/>
    </row>
    <row r="399" spans="1:9" ht="21" x14ac:dyDescent="0.3">
      <c r="A399" s="31"/>
      <c r="B399" s="32"/>
      <c r="C399" s="32"/>
      <c r="D399" s="32"/>
      <c r="E399" s="32"/>
      <c r="F399" s="32"/>
      <c r="G399" s="32"/>
      <c r="H399" s="32"/>
      <c r="I399" s="25"/>
    </row>
    <row r="400" spans="1:9" ht="21" x14ac:dyDescent="0.3">
      <c r="A400" s="31"/>
      <c r="B400" s="32"/>
      <c r="C400" s="32"/>
      <c r="D400" s="32"/>
      <c r="E400" s="32"/>
      <c r="F400" s="32"/>
      <c r="G400" s="32"/>
      <c r="H400" s="32"/>
      <c r="I400" s="25"/>
    </row>
    <row r="401" spans="1:9" ht="21" x14ac:dyDescent="0.3">
      <c r="A401" s="31"/>
      <c r="B401" s="32"/>
      <c r="C401" s="32"/>
      <c r="D401" s="32"/>
      <c r="E401" s="32"/>
      <c r="F401" s="32"/>
      <c r="G401" s="32"/>
      <c r="H401" s="32"/>
      <c r="I401" s="25"/>
    </row>
    <row r="402" spans="1:9" ht="21" x14ac:dyDescent="0.3">
      <c r="A402" s="31"/>
      <c r="B402" s="32"/>
      <c r="C402" s="32"/>
      <c r="D402" s="32"/>
      <c r="E402" s="32"/>
      <c r="F402" s="32"/>
      <c r="G402" s="32"/>
      <c r="H402" s="32"/>
      <c r="I402" s="25"/>
    </row>
    <row r="403" spans="1:9" ht="21" x14ac:dyDescent="0.3">
      <c r="A403" s="31"/>
      <c r="B403" s="32"/>
      <c r="C403" s="32"/>
      <c r="D403" s="32"/>
      <c r="E403" s="32"/>
      <c r="F403" s="32"/>
      <c r="G403" s="32"/>
      <c r="H403" s="32"/>
      <c r="I403" s="25"/>
    </row>
    <row r="404" spans="1:9" ht="21" x14ac:dyDescent="0.3">
      <c r="A404" s="31"/>
      <c r="B404" s="32"/>
      <c r="C404" s="32"/>
      <c r="D404" s="32"/>
      <c r="E404" s="32"/>
      <c r="F404" s="32"/>
      <c r="G404" s="32"/>
      <c r="H404" s="32"/>
      <c r="I404" s="25"/>
    </row>
    <row r="405" spans="1:9" ht="21" x14ac:dyDescent="0.3">
      <c r="A405" s="31"/>
      <c r="B405" s="32"/>
      <c r="C405" s="32"/>
      <c r="D405" s="32"/>
      <c r="E405" s="32"/>
      <c r="F405" s="32"/>
      <c r="G405" s="32"/>
      <c r="H405" s="32"/>
      <c r="I405" s="25"/>
    </row>
    <row r="406" spans="1:9" ht="21" x14ac:dyDescent="0.3">
      <c r="A406" s="31"/>
      <c r="B406" s="32"/>
      <c r="C406" s="32"/>
      <c r="D406" s="32"/>
      <c r="E406" s="32"/>
      <c r="F406" s="32"/>
      <c r="G406" s="32"/>
      <c r="H406" s="32"/>
      <c r="I406" s="25"/>
    </row>
    <row r="407" spans="1:9" ht="21" x14ac:dyDescent="0.3">
      <c r="A407" s="31"/>
      <c r="B407" s="32"/>
      <c r="C407" s="32"/>
      <c r="D407" s="32"/>
      <c r="E407" s="32"/>
      <c r="F407" s="32"/>
      <c r="G407" s="32"/>
      <c r="H407" s="32"/>
      <c r="I407" s="25"/>
    </row>
    <row r="408" spans="1:9" ht="21" x14ac:dyDescent="0.3">
      <c r="A408" s="31"/>
      <c r="B408" s="32"/>
      <c r="C408" s="32"/>
      <c r="D408" s="32"/>
      <c r="E408" s="32"/>
      <c r="F408" s="32"/>
      <c r="G408" s="32"/>
      <c r="H408" s="32"/>
      <c r="I408" s="25"/>
    </row>
    <row r="409" spans="1:9" ht="21" hidden="1" x14ac:dyDescent="0.3">
      <c r="A409" s="31"/>
      <c r="B409" s="32"/>
      <c r="C409" s="32"/>
      <c r="D409" s="32"/>
      <c r="E409" s="32"/>
      <c r="F409" s="32"/>
      <c r="G409" s="32"/>
      <c r="H409" s="32"/>
      <c r="I409" s="25"/>
    </row>
    <row r="410" spans="1:9" ht="21" hidden="1" x14ac:dyDescent="0.3">
      <c r="A410" s="31"/>
      <c r="B410" s="32"/>
      <c r="C410" s="32"/>
      <c r="D410" s="32"/>
      <c r="E410" s="32"/>
      <c r="F410" s="32"/>
      <c r="G410" s="32"/>
      <c r="H410" s="32"/>
      <c r="I410" s="25"/>
    </row>
    <row r="411" spans="1:9" ht="21" hidden="1" x14ac:dyDescent="0.3">
      <c r="A411" s="31"/>
      <c r="B411" s="32"/>
      <c r="C411" s="32"/>
      <c r="D411" s="32"/>
      <c r="E411" s="32"/>
      <c r="F411" s="32"/>
      <c r="G411" s="32"/>
      <c r="H411" s="32"/>
      <c r="I411" s="25"/>
    </row>
    <row r="412" spans="1:9" ht="21" hidden="1" x14ac:dyDescent="0.3">
      <c r="A412" s="31"/>
      <c r="B412" s="32"/>
      <c r="C412" s="32"/>
      <c r="D412" s="32"/>
      <c r="E412" s="32"/>
      <c r="F412" s="32"/>
      <c r="G412" s="32"/>
      <c r="H412" s="32"/>
      <c r="I412" s="25"/>
    </row>
    <row r="413" spans="1:9" ht="21" hidden="1" x14ac:dyDescent="0.3">
      <c r="A413" s="31"/>
      <c r="B413" s="32"/>
      <c r="C413" s="32"/>
      <c r="D413" s="32"/>
      <c r="E413" s="32"/>
      <c r="F413" s="32"/>
      <c r="G413" s="32"/>
      <c r="H413" s="32"/>
      <c r="I413" s="25"/>
    </row>
    <row r="414" spans="1:9" s="60" customFormat="1" ht="21" x14ac:dyDescent="0.3">
      <c r="A414" s="34"/>
      <c r="B414" s="34"/>
      <c r="C414" s="34"/>
      <c r="D414" s="34"/>
      <c r="E414" s="34"/>
      <c r="F414" s="34"/>
      <c r="G414" s="34"/>
      <c r="H414" s="34"/>
      <c r="I414" s="59"/>
    </row>
    <row r="415" spans="1:9" ht="21" x14ac:dyDescent="0.3">
      <c r="A415" s="118" t="s">
        <v>86</v>
      </c>
      <c r="B415" s="118"/>
      <c r="C415" s="118"/>
      <c r="D415" s="118"/>
      <c r="E415" s="118"/>
      <c r="F415" s="118"/>
      <c r="G415" s="118"/>
      <c r="H415" s="118"/>
      <c r="I415" s="118"/>
    </row>
    <row r="416" spans="1:9" ht="21" x14ac:dyDescent="0.3">
      <c r="A416" s="29"/>
      <c r="B416" s="30"/>
      <c r="C416" s="30"/>
      <c r="D416" s="30"/>
      <c r="E416" s="30"/>
      <c r="F416" s="30"/>
      <c r="G416" s="30"/>
      <c r="H416" s="30"/>
      <c r="I416" s="24"/>
    </row>
    <row r="417" spans="1:9" ht="21" x14ac:dyDescent="0.3">
      <c r="A417" s="31"/>
      <c r="B417" s="32"/>
      <c r="C417" s="32"/>
      <c r="D417" s="32"/>
      <c r="E417" s="32"/>
      <c r="F417" s="32"/>
      <c r="G417" s="32"/>
      <c r="H417" s="32"/>
      <c r="I417" s="25"/>
    </row>
    <row r="418" spans="1:9" ht="21" x14ac:dyDescent="0.3">
      <c r="A418" s="31"/>
      <c r="B418" s="32"/>
      <c r="C418" s="32"/>
      <c r="D418" s="32"/>
      <c r="E418" s="32"/>
      <c r="F418" s="32"/>
      <c r="G418" s="32"/>
      <c r="H418" s="32"/>
      <c r="I418" s="25"/>
    </row>
    <row r="419" spans="1:9" ht="21" x14ac:dyDescent="0.3">
      <c r="A419" s="31"/>
      <c r="B419" s="32"/>
      <c r="C419" s="32"/>
      <c r="D419" s="32"/>
      <c r="E419" s="32"/>
      <c r="F419" s="32"/>
      <c r="G419" s="32"/>
      <c r="H419" s="32"/>
      <c r="I419" s="25"/>
    </row>
    <row r="420" spans="1:9" ht="21" x14ac:dyDescent="0.3">
      <c r="A420" s="31"/>
      <c r="B420" s="32"/>
      <c r="C420" s="32"/>
      <c r="D420" s="32"/>
      <c r="E420" s="32"/>
      <c r="F420" s="32"/>
      <c r="G420" s="32"/>
      <c r="H420" s="32"/>
      <c r="I420" s="25"/>
    </row>
    <row r="421" spans="1:9" ht="21" x14ac:dyDescent="0.3">
      <c r="A421" s="31"/>
      <c r="B421" s="32"/>
      <c r="C421" s="32"/>
      <c r="D421" s="32"/>
      <c r="E421" s="32"/>
      <c r="F421" s="32"/>
      <c r="G421" s="32"/>
      <c r="H421" s="32"/>
      <c r="I421" s="25"/>
    </row>
    <row r="422" spans="1:9" ht="21" x14ac:dyDescent="0.3">
      <c r="A422" s="31"/>
      <c r="B422" s="32"/>
      <c r="C422" s="32"/>
      <c r="D422" s="32"/>
      <c r="E422" s="32"/>
      <c r="F422" s="32"/>
      <c r="G422" s="32"/>
      <c r="H422" s="32"/>
      <c r="I422" s="25"/>
    </row>
    <row r="423" spans="1:9" ht="21" x14ac:dyDescent="0.3">
      <c r="A423" s="31"/>
      <c r="B423" s="32"/>
      <c r="C423" s="32"/>
      <c r="D423" s="32"/>
      <c r="E423" s="32"/>
      <c r="F423" s="32"/>
      <c r="G423" s="32"/>
      <c r="H423" s="32"/>
      <c r="I423" s="25"/>
    </row>
    <row r="424" spans="1:9" ht="21" x14ac:dyDescent="0.3">
      <c r="A424" s="31"/>
      <c r="B424" s="32"/>
      <c r="C424" s="32"/>
      <c r="D424" s="32"/>
      <c r="E424" s="32"/>
      <c r="F424" s="32"/>
      <c r="G424" s="32"/>
      <c r="H424" s="32"/>
      <c r="I424" s="25"/>
    </row>
    <row r="425" spans="1:9" ht="21" x14ac:dyDescent="0.3">
      <c r="A425" s="31"/>
      <c r="B425" s="32"/>
      <c r="C425" s="32"/>
      <c r="D425" s="32"/>
      <c r="E425" s="32"/>
      <c r="F425" s="32"/>
      <c r="G425" s="32"/>
      <c r="H425" s="32"/>
      <c r="I425" s="25"/>
    </row>
    <row r="426" spans="1:9" ht="21" x14ac:dyDescent="0.3">
      <c r="A426" s="31"/>
      <c r="B426" s="32"/>
      <c r="C426" s="32"/>
      <c r="D426" s="32"/>
      <c r="E426" s="32"/>
      <c r="F426" s="32"/>
      <c r="G426" s="32"/>
      <c r="H426" s="32"/>
      <c r="I426" s="25"/>
    </row>
    <row r="427" spans="1:9" ht="21" x14ac:dyDescent="0.3">
      <c r="A427" s="31"/>
      <c r="B427" s="32"/>
      <c r="C427" s="32"/>
      <c r="D427" s="32"/>
      <c r="E427" s="32"/>
      <c r="F427" s="32"/>
      <c r="G427" s="32"/>
      <c r="H427" s="32"/>
      <c r="I427" s="25"/>
    </row>
    <row r="428" spans="1:9" ht="21" x14ac:dyDescent="0.3">
      <c r="A428" s="31"/>
      <c r="B428" s="32"/>
      <c r="C428" s="32"/>
      <c r="D428" s="32"/>
      <c r="E428" s="32"/>
      <c r="F428" s="32"/>
      <c r="G428" s="32"/>
      <c r="H428" s="32"/>
      <c r="I428" s="25"/>
    </row>
    <row r="429" spans="1:9" ht="21" x14ac:dyDescent="0.3">
      <c r="A429" s="31"/>
      <c r="B429" s="32"/>
      <c r="C429" s="32"/>
      <c r="D429" s="32"/>
      <c r="E429" s="32"/>
      <c r="F429" s="32"/>
      <c r="G429" s="32"/>
      <c r="H429" s="32"/>
      <c r="I429" s="25"/>
    </row>
    <row r="430" spans="1:9" ht="21" x14ac:dyDescent="0.3">
      <c r="A430" s="31"/>
      <c r="B430" s="32"/>
      <c r="C430" s="32"/>
      <c r="D430" s="32"/>
      <c r="E430" s="32"/>
      <c r="F430" s="32"/>
      <c r="G430" s="32"/>
      <c r="H430" s="32"/>
      <c r="I430" s="25"/>
    </row>
    <row r="431" spans="1:9" ht="21" x14ac:dyDescent="0.3">
      <c r="A431" s="31"/>
      <c r="B431" s="32"/>
      <c r="C431" s="32"/>
      <c r="D431" s="32"/>
      <c r="E431" s="32"/>
      <c r="F431" s="32"/>
      <c r="G431" s="32"/>
      <c r="H431" s="32"/>
      <c r="I431" s="25"/>
    </row>
    <row r="432" spans="1:9" ht="21" x14ac:dyDescent="0.3">
      <c r="A432" s="31"/>
      <c r="B432" s="32"/>
      <c r="C432" s="32"/>
      <c r="D432" s="32"/>
      <c r="E432" s="32"/>
      <c r="F432" s="32"/>
      <c r="G432" s="32"/>
      <c r="H432" s="32"/>
      <c r="I432" s="25"/>
    </row>
    <row r="433" spans="1:9" ht="21" x14ac:dyDescent="0.3">
      <c r="A433" s="31"/>
      <c r="B433" s="32"/>
      <c r="C433" s="32"/>
      <c r="D433" s="32"/>
      <c r="E433" s="32"/>
      <c r="F433" s="32"/>
      <c r="G433" s="32"/>
      <c r="H433" s="32"/>
      <c r="I433" s="25"/>
    </row>
    <row r="434" spans="1:9" ht="21" x14ac:dyDescent="0.3">
      <c r="A434" s="31"/>
      <c r="B434" s="32"/>
      <c r="C434" s="32"/>
      <c r="D434" s="32"/>
      <c r="E434" s="32"/>
      <c r="F434" s="32"/>
      <c r="G434" s="32"/>
      <c r="H434" s="32"/>
      <c r="I434" s="25"/>
    </row>
    <row r="435" spans="1:9" ht="21" x14ac:dyDescent="0.3">
      <c r="A435" s="31"/>
      <c r="B435" s="32"/>
      <c r="C435" s="32"/>
      <c r="D435" s="32"/>
      <c r="E435" s="32"/>
      <c r="F435" s="32"/>
      <c r="G435" s="32"/>
      <c r="H435" s="32"/>
      <c r="I435" s="25"/>
    </row>
    <row r="436" spans="1:9" ht="21" x14ac:dyDescent="0.3">
      <c r="A436" s="31"/>
      <c r="B436" s="32"/>
      <c r="C436" s="32"/>
      <c r="D436" s="32"/>
      <c r="E436" s="32"/>
      <c r="F436" s="32"/>
      <c r="G436" s="32"/>
      <c r="H436" s="32"/>
      <c r="I436" s="25"/>
    </row>
    <row r="437" spans="1:9" ht="21" x14ac:dyDescent="0.3">
      <c r="A437" s="31"/>
      <c r="B437" s="32"/>
      <c r="C437" s="32"/>
      <c r="D437" s="32"/>
      <c r="E437" s="32"/>
      <c r="F437" s="32"/>
      <c r="G437" s="32"/>
      <c r="H437" s="32"/>
      <c r="I437" s="25"/>
    </row>
    <row r="438" spans="1:9" ht="21" x14ac:dyDescent="0.3">
      <c r="A438" s="31"/>
      <c r="B438" s="32"/>
      <c r="C438" s="32"/>
      <c r="D438" s="32"/>
      <c r="E438" s="32"/>
      <c r="F438" s="32"/>
      <c r="G438" s="32"/>
      <c r="H438" s="32"/>
      <c r="I438" s="25"/>
    </row>
    <row r="439" spans="1:9" ht="21" x14ac:dyDescent="0.3">
      <c r="A439" s="31"/>
      <c r="B439" s="32"/>
      <c r="C439" s="32"/>
      <c r="D439" s="32"/>
      <c r="E439" s="32"/>
      <c r="F439" s="32"/>
      <c r="G439" s="32"/>
      <c r="H439" s="32"/>
      <c r="I439" s="25"/>
    </row>
    <row r="440" spans="1:9" ht="21" x14ac:dyDescent="0.3">
      <c r="A440" s="31"/>
      <c r="B440" s="32"/>
      <c r="C440" s="32"/>
      <c r="D440" s="32"/>
      <c r="E440" s="32"/>
      <c r="F440" s="32"/>
      <c r="G440" s="32"/>
      <c r="H440" s="32"/>
      <c r="I440" s="25"/>
    </row>
    <row r="441" spans="1:9" ht="21" x14ac:dyDescent="0.3">
      <c r="A441" s="31"/>
      <c r="B441" s="32"/>
      <c r="C441" s="32"/>
      <c r="D441" s="32"/>
      <c r="E441" s="32"/>
      <c r="F441" s="32"/>
      <c r="G441" s="32"/>
      <c r="H441" s="32"/>
      <c r="I441" s="25"/>
    </row>
    <row r="442" spans="1:9" ht="21" x14ac:dyDescent="0.3">
      <c r="A442" s="31"/>
      <c r="B442" s="32"/>
      <c r="C442" s="32"/>
      <c r="D442" s="32"/>
      <c r="E442" s="32"/>
      <c r="F442" s="32"/>
      <c r="G442" s="32"/>
      <c r="H442" s="32"/>
      <c r="I442" s="25"/>
    </row>
    <row r="443" spans="1:9" ht="21" x14ac:dyDescent="0.3">
      <c r="A443" s="31"/>
      <c r="B443" s="32"/>
      <c r="C443" s="32"/>
      <c r="D443" s="32"/>
      <c r="E443" s="32"/>
      <c r="F443" s="32"/>
      <c r="G443" s="32"/>
      <c r="H443" s="32"/>
      <c r="I443" s="25"/>
    </row>
    <row r="444" spans="1:9" ht="21" x14ac:dyDescent="0.3">
      <c r="A444" s="31"/>
      <c r="B444" s="32"/>
      <c r="C444" s="32"/>
      <c r="D444" s="32"/>
      <c r="E444" s="32"/>
      <c r="F444" s="32"/>
      <c r="G444" s="32"/>
      <c r="H444" s="32"/>
      <c r="I444" s="25"/>
    </row>
    <row r="445" spans="1:9" ht="21" x14ac:dyDescent="0.3">
      <c r="A445" s="31"/>
      <c r="B445" s="32"/>
      <c r="C445" s="32"/>
      <c r="D445" s="32"/>
      <c r="E445" s="32"/>
      <c r="F445" s="32"/>
      <c r="G445" s="32"/>
      <c r="H445" s="32"/>
      <c r="I445" s="25"/>
    </row>
    <row r="446" spans="1:9" ht="21" hidden="1" x14ac:dyDescent="0.3">
      <c r="A446" s="31"/>
      <c r="B446" s="32"/>
      <c r="C446" s="32"/>
      <c r="D446" s="32"/>
      <c r="E446" s="32"/>
      <c r="F446" s="32"/>
      <c r="G446" s="32"/>
      <c r="H446" s="32"/>
      <c r="I446" s="25"/>
    </row>
    <row r="447" spans="1:9" ht="21" hidden="1" x14ac:dyDescent="0.3">
      <c r="A447" s="33"/>
      <c r="B447" s="34"/>
      <c r="C447" s="34"/>
      <c r="D447" s="34"/>
      <c r="E447" s="34"/>
      <c r="F447" s="34"/>
      <c r="G447" s="34"/>
      <c r="H447" s="34"/>
      <c r="I447" s="26"/>
    </row>
    <row r="448" spans="1:9" ht="21" x14ac:dyDescent="0.3">
      <c r="A448" s="68" t="s">
        <v>29</v>
      </c>
      <c r="B448" s="68"/>
      <c r="C448" s="68"/>
      <c r="D448" s="68"/>
      <c r="E448" s="68"/>
      <c r="F448" s="68"/>
      <c r="G448" s="68"/>
      <c r="H448" s="68"/>
      <c r="I448" s="68"/>
    </row>
    <row r="449" spans="1:9" ht="21" x14ac:dyDescent="0.3">
      <c r="A449" s="97" t="s">
        <v>88</v>
      </c>
      <c r="B449" s="140"/>
      <c r="C449" s="140"/>
      <c r="D449" s="140"/>
      <c r="E449" s="140"/>
      <c r="F449" s="140"/>
      <c r="G449" s="140"/>
      <c r="H449" s="140"/>
      <c r="I449" s="98"/>
    </row>
    <row r="450" spans="1:9" ht="21" x14ac:dyDescent="0.3">
      <c r="A450" s="141" t="s">
        <v>89</v>
      </c>
      <c r="B450" s="142"/>
      <c r="C450" s="142"/>
      <c r="D450" s="142"/>
      <c r="E450" s="142"/>
      <c r="F450" s="142"/>
      <c r="G450" s="142"/>
      <c r="H450" s="142"/>
      <c r="I450" s="143"/>
    </row>
    <row r="451" spans="1:9" ht="45" customHeight="1" x14ac:dyDescent="0.3">
      <c r="A451" s="141" t="s">
        <v>90</v>
      </c>
      <c r="B451" s="142"/>
      <c r="C451" s="142"/>
      <c r="D451" s="142"/>
      <c r="E451" s="142"/>
      <c r="F451" s="142"/>
      <c r="G451" s="142"/>
      <c r="H451" s="142"/>
      <c r="I451" s="143"/>
    </row>
    <row r="452" spans="1:9" ht="42.75" customHeight="1" x14ac:dyDescent="0.3">
      <c r="A452" s="141" t="s">
        <v>91</v>
      </c>
      <c r="B452" s="142"/>
      <c r="C452" s="142"/>
      <c r="D452" s="142"/>
      <c r="E452" s="142"/>
      <c r="F452" s="142"/>
      <c r="G452" s="142"/>
      <c r="H452" s="142"/>
      <c r="I452" s="143"/>
    </row>
    <row r="453" spans="1:9" ht="21" x14ac:dyDescent="0.3">
      <c r="A453" s="141" t="s">
        <v>92</v>
      </c>
      <c r="B453" s="142"/>
      <c r="C453" s="142"/>
      <c r="D453" s="142"/>
      <c r="E453" s="142"/>
      <c r="F453" s="142"/>
      <c r="G453" s="142"/>
      <c r="H453" s="142"/>
      <c r="I453" s="143"/>
    </row>
    <row r="454" spans="1:9" ht="21" x14ac:dyDescent="0.3">
      <c r="A454" s="141" t="s">
        <v>93</v>
      </c>
      <c r="B454" s="142"/>
      <c r="C454" s="142"/>
      <c r="D454" s="142"/>
      <c r="E454" s="142"/>
      <c r="F454" s="142"/>
      <c r="G454" s="142"/>
      <c r="H454" s="142"/>
      <c r="I454" s="143"/>
    </row>
    <row r="455" spans="1:9" ht="45" customHeight="1" x14ac:dyDescent="0.3">
      <c r="A455" s="141" t="s">
        <v>94</v>
      </c>
      <c r="B455" s="142"/>
      <c r="C455" s="142"/>
      <c r="D455" s="142"/>
      <c r="E455" s="142"/>
      <c r="F455" s="142"/>
      <c r="G455" s="142"/>
      <c r="H455" s="142"/>
      <c r="I455" s="143"/>
    </row>
    <row r="456" spans="1:9" ht="45" hidden="1" customHeight="1" x14ac:dyDescent="0.3">
      <c r="A456" s="141" t="s">
        <v>95</v>
      </c>
      <c r="B456" s="142"/>
      <c r="C456" s="142"/>
      <c r="D456" s="142"/>
      <c r="E456" s="142"/>
      <c r="F456" s="142"/>
      <c r="G456" s="142"/>
      <c r="H456" s="142"/>
      <c r="I456" s="143"/>
    </row>
    <row r="457" spans="1:9" ht="21" x14ac:dyDescent="0.3">
      <c r="A457" s="99" t="s">
        <v>96</v>
      </c>
      <c r="B457" s="144"/>
      <c r="C457" s="144"/>
      <c r="D457" s="144"/>
      <c r="E457" s="144"/>
      <c r="F457" s="144"/>
      <c r="G457" s="144"/>
      <c r="H457" s="144"/>
      <c r="I457" s="100"/>
    </row>
    <row r="458" spans="1:9" ht="70.5" customHeight="1" x14ac:dyDescent="0.3">
      <c r="A458" s="138" t="s">
        <v>35</v>
      </c>
      <c r="B458" s="138"/>
      <c r="C458" s="138"/>
      <c r="D458" s="2" t="s">
        <v>4</v>
      </c>
      <c r="E458" s="66" t="s">
        <v>220</v>
      </c>
      <c r="F458" s="67" t="s">
        <v>10</v>
      </c>
      <c r="G458" s="2" t="s">
        <v>4</v>
      </c>
      <c r="H458" s="75"/>
      <c r="I458" s="75"/>
    </row>
  </sheetData>
  <mergeCells count="723">
    <mergeCell ref="A312:B313"/>
    <mergeCell ref="A315:B316"/>
    <mergeCell ref="A318:B319"/>
    <mergeCell ref="A321:B322"/>
    <mergeCell ref="A324:B325"/>
    <mergeCell ref="A172:I172"/>
    <mergeCell ref="A220:B225"/>
    <mergeCell ref="A227:B232"/>
    <mergeCell ref="A234:B239"/>
    <mergeCell ref="A241:B246"/>
    <mergeCell ref="A248:B253"/>
    <mergeCell ref="A255:B260"/>
    <mergeCell ref="A265:B268"/>
    <mergeCell ref="A270:B275"/>
    <mergeCell ref="A277:B282"/>
    <mergeCell ref="C302:D302"/>
    <mergeCell ref="F302:G302"/>
    <mergeCell ref="C303:D303"/>
    <mergeCell ref="F303:G303"/>
    <mergeCell ref="C304:D304"/>
    <mergeCell ref="F304:G304"/>
    <mergeCell ref="A299:B304"/>
    <mergeCell ref="A298:I298"/>
    <mergeCell ref="C299:D299"/>
    <mergeCell ref="F299:G299"/>
    <mergeCell ref="C300:D300"/>
    <mergeCell ref="C301:D301"/>
    <mergeCell ref="F301:G301"/>
    <mergeCell ref="E300:I300"/>
    <mergeCell ref="C295:D295"/>
    <mergeCell ref="F295:G295"/>
    <mergeCell ref="C296:D296"/>
    <mergeCell ref="F296:G296"/>
    <mergeCell ref="C297:D297"/>
    <mergeCell ref="F297:G297"/>
    <mergeCell ref="A292:B297"/>
    <mergeCell ref="A291:I291"/>
    <mergeCell ref="C292:D292"/>
    <mergeCell ref="C293:D293"/>
    <mergeCell ref="C294:D294"/>
    <mergeCell ref="F294:G294"/>
    <mergeCell ref="E292:I292"/>
    <mergeCell ref="E293:I293"/>
    <mergeCell ref="C288:D288"/>
    <mergeCell ref="F288:G288"/>
    <mergeCell ref="C289:D289"/>
    <mergeCell ref="F289:G289"/>
    <mergeCell ref="C290:D290"/>
    <mergeCell ref="F290:G290"/>
    <mergeCell ref="A285:B290"/>
    <mergeCell ref="C286:D286"/>
    <mergeCell ref="F286:G286"/>
    <mergeCell ref="C287:D287"/>
    <mergeCell ref="F287:G287"/>
    <mergeCell ref="C280:D280"/>
    <mergeCell ref="F280:G280"/>
    <mergeCell ref="C281:D281"/>
    <mergeCell ref="F281:G281"/>
    <mergeCell ref="C282:D282"/>
    <mergeCell ref="F282:G282"/>
    <mergeCell ref="F273:G273"/>
    <mergeCell ref="C274:D274"/>
    <mergeCell ref="F274:G274"/>
    <mergeCell ref="C275:D275"/>
    <mergeCell ref="F275:G275"/>
    <mergeCell ref="A283:I283"/>
    <mergeCell ref="A284:I284"/>
    <mergeCell ref="C285:D285"/>
    <mergeCell ref="F285:G285"/>
    <mergeCell ref="C213:D213"/>
    <mergeCell ref="C166:D166"/>
    <mergeCell ref="C203:D203"/>
    <mergeCell ref="C204:D204"/>
    <mergeCell ref="A194:I194"/>
    <mergeCell ref="C195:D195"/>
    <mergeCell ref="F195:G195"/>
    <mergeCell ref="C196:D196"/>
    <mergeCell ref="F196:G196"/>
    <mergeCell ref="C197:D197"/>
    <mergeCell ref="F197:G197"/>
    <mergeCell ref="C190:D190"/>
    <mergeCell ref="C191:D191"/>
    <mergeCell ref="F191:G191"/>
    <mergeCell ref="C192:D192"/>
    <mergeCell ref="F192:G192"/>
    <mergeCell ref="F213:G213"/>
    <mergeCell ref="C214:D214"/>
    <mergeCell ref="F214:G214"/>
    <mergeCell ref="E209:H209"/>
    <mergeCell ref="A209:B214"/>
    <mergeCell ref="A193:I193"/>
    <mergeCell ref="C210:D210"/>
    <mergeCell ref="F210:G210"/>
    <mergeCell ref="C211:D211"/>
    <mergeCell ref="F211:G211"/>
    <mergeCell ref="C212:D212"/>
    <mergeCell ref="F212:G212"/>
    <mergeCell ref="A202:B207"/>
    <mergeCell ref="A195:B200"/>
    <mergeCell ref="A208:I208"/>
    <mergeCell ref="C209:D209"/>
    <mergeCell ref="C205:D205"/>
    <mergeCell ref="F205:G205"/>
    <mergeCell ref="C206:D206"/>
    <mergeCell ref="F206:G206"/>
    <mergeCell ref="C207:D207"/>
    <mergeCell ref="F207:G207"/>
    <mergeCell ref="A201:I201"/>
    <mergeCell ref="C202:D202"/>
    <mergeCell ref="F204:G204"/>
    <mergeCell ref="E203:H203"/>
    <mergeCell ref="E202:H202"/>
    <mergeCell ref="C198:D198"/>
    <mergeCell ref="A362:I362"/>
    <mergeCell ref="A363:B368"/>
    <mergeCell ref="C363:D363"/>
    <mergeCell ref="F363:G363"/>
    <mergeCell ref="C364:D364"/>
    <mergeCell ref="C365:D365"/>
    <mergeCell ref="F365:G365"/>
    <mergeCell ref="C366:D366"/>
    <mergeCell ref="F366:G366"/>
    <mergeCell ref="C367:D367"/>
    <mergeCell ref="F367:G367"/>
    <mergeCell ref="C368:D368"/>
    <mergeCell ref="F368:G368"/>
    <mergeCell ref="E364:I364"/>
    <mergeCell ref="A355:I355"/>
    <mergeCell ref="A356:B361"/>
    <mergeCell ref="C356:D356"/>
    <mergeCell ref="C357:D357"/>
    <mergeCell ref="C358:D358"/>
    <mergeCell ref="F358:G358"/>
    <mergeCell ref="C359:D359"/>
    <mergeCell ref="F359:G359"/>
    <mergeCell ref="C360:D360"/>
    <mergeCell ref="F360:G360"/>
    <mergeCell ref="C361:D361"/>
    <mergeCell ref="F361:G361"/>
    <mergeCell ref="E356:I356"/>
    <mergeCell ref="E357:I357"/>
    <mergeCell ref="A347:I347"/>
    <mergeCell ref="A348:I348"/>
    <mergeCell ref="A349:B354"/>
    <mergeCell ref="C349:D349"/>
    <mergeCell ref="F349:G349"/>
    <mergeCell ref="C350:D350"/>
    <mergeCell ref="F350:G350"/>
    <mergeCell ref="C351:D351"/>
    <mergeCell ref="F351:G351"/>
    <mergeCell ref="C352:D352"/>
    <mergeCell ref="F352:G352"/>
    <mergeCell ref="C353:D353"/>
    <mergeCell ref="F353:G353"/>
    <mergeCell ref="C354:D354"/>
    <mergeCell ref="F354:G354"/>
    <mergeCell ref="C346:D346"/>
    <mergeCell ref="F346:G346"/>
    <mergeCell ref="A341:B346"/>
    <mergeCell ref="A330:B333"/>
    <mergeCell ref="A335:B339"/>
    <mergeCell ref="F343:G343"/>
    <mergeCell ref="C344:D344"/>
    <mergeCell ref="F344:G344"/>
    <mergeCell ref="C342:D342"/>
    <mergeCell ref="F342:G342"/>
    <mergeCell ref="C343:D343"/>
    <mergeCell ref="C345:D345"/>
    <mergeCell ref="F345:G345"/>
    <mergeCell ref="C339:D339"/>
    <mergeCell ref="F339:G339"/>
    <mergeCell ref="C338:D338"/>
    <mergeCell ref="F338:G338"/>
    <mergeCell ref="E337:I337"/>
    <mergeCell ref="A340:I340"/>
    <mergeCell ref="C341:D341"/>
    <mergeCell ref="F341:G341"/>
    <mergeCell ref="A334:I334"/>
    <mergeCell ref="C335:D335"/>
    <mergeCell ref="F335:G335"/>
    <mergeCell ref="C336:D336"/>
    <mergeCell ref="F336:G336"/>
    <mergeCell ref="C337:D337"/>
    <mergeCell ref="C331:D331"/>
    <mergeCell ref="F331:G331"/>
    <mergeCell ref="C332:D332"/>
    <mergeCell ref="F332:G332"/>
    <mergeCell ref="C333:D333"/>
    <mergeCell ref="F333:G333"/>
    <mergeCell ref="C50:I50"/>
    <mergeCell ref="C51:I51"/>
    <mergeCell ref="C52:I52"/>
    <mergeCell ref="A326:I326"/>
    <mergeCell ref="A329:I329"/>
    <mergeCell ref="C330:D330"/>
    <mergeCell ref="F330:G330"/>
    <mergeCell ref="A328:I328"/>
    <mergeCell ref="C101:D101"/>
    <mergeCell ref="A102:B102"/>
    <mergeCell ref="C102:D102"/>
    <mergeCell ref="C94:D94"/>
    <mergeCell ref="A95:B95"/>
    <mergeCell ref="C95:D95"/>
    <mergeCell ref="A96:B96"/>
    <mergeCell ref="C96:D96"/>
    <mergeCell ref="A97:B97"/>
    <mergeCell ref="C97:D97"/>
    <mergeCell ref="A98:B98"/>
    <mergeCell ref="C98:D98"/>
    <mergeCell ref="A103:G103"/>
    <mergeCell ref="H103:I103"/>
    <mergeCell ref="A87:I87"/>
    <mergeCell ref="A88:C89"/>
    <mergeCell ref="D88:D89"/>
    <mergeCell ref="F88:G88"/>
    <mergeCell ref="F89:G89"/>
    <mergeCell ref="A90:B90"/>
    <mergeCell ref="C90:D90"/>
    <mergeCell ref="F90:G90"/>
    <mergeCell ref="A91:B91"/>
    <mergeCell ref="C91:D91"/>
    <mergeCell ref="F91:G102"/>
    <mergeCell ref="H91:I102"/>
    <mergeCell ref="A92:B92"/>
    <mergeCell ref="C92:D92"/>
    <mergeCell ref="A93:B93"/>
    <mergeCell ref="C93:D93"/>
    <mergeCell ref="A94:B94"/>
    <mergeCell ref="A99:B99"/>
    <mergeCell ref="C99:D99"/>
    <mergeCell ref="A100:B100"/>
    <mergeCell ref="C100:D100"/>
    <mergeCell ref="A101:B101"/>
    <mergeCell ref="A82:B82"/>
    <mergeCell ref="C82:D82"/>
    <mergeCell ref="A83:B83"/>
    <mergeCell ref="C83:D83"/>
    <mergeCell ref="A84:B84"/>
    <mergeCell ref="C84:D84"/>
    <mergeCell ref="A85:B85"/>
    <mergeCell ref="C85:D85"/>
    <mergeCell ref="A86:B86"/>
    <mergeCell ref="C86:D86"/>
    <mergeCell ref="A71:I71"/>
    <mergeCell ref="A72:C73"/>
    <mergeCell ref="D72:D73"/>
    <mergeCell ref="F72:G72"/>
    <mergeCell ref="F73:G73"/>
    <mergeCell ref="A74:B74"/>
    <mergeCell ref="C74:D74"/>
    <mergeCell ref="F74:G74"/>
    <mergeCell ref="A75:B75"/>
    <mergeCell ref="C75:D75"/>
    <mergeCell ref="F75:G86"/>
    <mergeCell ref="H75:I86"/>
    <mergeCell ref="A76:B76"/>
    <mergeCell ref="C76:D76"/>
    <mergeCell ref="A77:B77"/>
    <mergeCell ref="C77:D77"/>
    <mergeCell ref="A78:B78"/>
    <mergeCell ref="C78:D78"/>
    <mergeCell ref="A79:B79"/>
    <mergeCell ref="C79:D79"/>
    <mergeCell ref="A80:B80"/>
    <mergeCell ref="C80:D80"/>
    <mergeCell ref="A81:B81"/>
    <mergeCell ref="C81:D81"/>
    <mergeCell ref="H59:I70"/>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67:B67"/>
    <mergeCell ref="C67:D67"/>
    <mergeCell ref="A68:B68"/>
    <mergeCell ref="C68:D68"/>
    <mergeCell ref="A69:B69"/>
    <mergeCell ref="C69:D69"/>
    <mergeCell ref="A70:B70"/>
    <mergeCell ref="C70:D70"/>
    <mergeCell ref="D56:D57"/>
    <mergeCell ref="F56:G56"/>
    <mergeCell ref="F57:G57"/>
    <mergeCell ref="A58:B58"/>
    <mergeCell ref="C58:D58"/>
    <mergeCell ref="F58:G58"/>
    <mergeCell ref="A59:B59"/>
    <mergeCell ref="C59:D59"/>
    <mergeCell ref="F59:G70"/>
    <mergeCell ref="A56:C57"/>
    <mergeCell ref="F325:G325"/>
    <mergeCell ref="A327:I327"/>
    <mergeCell ref="A306:I306"/>
    <mergeCell ref="A307:I307"/>
    <mergeCell ref="A308:I308"/>
    <mergeCell ref="A309:I309"/>
    <mergeCell ref="A310:B310"/>
    <mergeCell ref="C260:D260"/>
    <mergeCell ref="F260:G260"/>
    <mergeCell ref="A262:I262"/>
    <mergeCell ref="A263:I263"/>
    <mergeCell ref="F312:G312"/>
    <mergeCell ref="A264:I264"/>
    <mergeCell ref="C265:D265"/>
    <mergeCell ref="C324:D324"/>
    <mergeCell ref="C325:D325"/>
    <mergeCell ref="F319:G319"/>
    <mergeCell ref="A269:I269"/>
    <mergeCell ref="C270:D270"/>
    <mergeCell ref="F270:G270"/>
    <mergeCell ref="C271:D271"/>
    <mergeCell ref="F271:G271"/>
    <mergeCell ref="C272:D272"/>
    <mergeCell ref="F272:G272"/>
    <mergeCell ref="A314:I314"/>
    <mergeCell ref="A317:I317"/>
    <mergeCell ref="C318:D318"/>
    <mergeCell ref="F318:G318"/>
    <mergeCell ref="C319:D319"/>
    <mergeCell ref="C313:D313"/>
    <mergeCell ref="F313:G313"/>
    <mergeCell ref="C315:D315"/>
    <mergeCell ref="C255:D255"/>
    <mergeCell ref="A261:I261"/>
    <mergeCell ref="C266:D266"/>
    <mergeCell ref="F266:G266"/>
    <mergeCell ref="C267:D267"/>
    <mergeCell ref="F267:G267"/>
    <mergeCell ref="C268:D268"/>
    <mergeCell ref="F268:G268"/>
    <mergeCell ref="A276:I276"/>
    <mergeCell ref="C277:D277"/>
    <mergeCell ref="F277:G277"/>
    <mergeCell ref="C278:D278"/>
    <mergeCell ref="F278:G278"/>
    <mergeCell ref="C279:D279"/>
    <mergeCell ref="F279:G279"/>
    <mergeCell ref="C273:D273"/>
    <mergeCell ref="F321:G321"/>
    <mergeCell ref="F322:G322"/>
    <mergeCell ref="A320:I320"/>
    <mergeCell ref="F324:G324"/>
    <mergeCell ref="A323:I323"/>
    <mergeCell ref="C321:D321"/>
    <mergeCell ref="C322:D322"/>
    <mergeCell ref="F315:G315"/>
    <mergeCell ref="C316:D316"/>
    <mergeCell ref="F316:G316"/>
    <mergeCell ref="C312:D312"/>
    <mergeCell ref="C259:D259"/>
    <mergeCell ref="E259:I259"/>
    <mergeCell ref="C134:D134"/>
    <mergeCell ref="E134:I135"/>
    <mergeCell ref="C252:D252"/>
    <mergeCell ref="E252:I252"/>
    <mergeCell ref="C253:D253"/>
    <mergeCell ref="F253:G253"/>
    <mergeCell ref="C256:D256"/>
    <mergeCell ref="F256:G256"/>
    <mergeCell ref="C257:D257"/>
    <mergeCell ref="F257:G257"/>
    <mergeCell ref="C258:D258"/>
    <mergeCell ref="E258:I258"/>
    <mergeCell ref="F265:G265"/>
    <mergeCell ref="C310:D310"/>
    <mergeCell ref="F310:G310"/>
    <mergeCell ref="A311:I311"/>
    <mergeCell ref="A254:I254"/>
    <mergeCell ref="F166:G166"/>
    <mergeCell ref="C167:D167"/>
    <mergeCell ref="F167:G167"/>
    <mergeCell ref="C168:D168"/>
    <mergeCell ref="F255:G255"/>
    <mergeCell ref="C249:D249"/>
    <mergeCell ref="F249:G249"/>
    <mergeCell ref="C250:D250"/>
    <mergeCell ref="C251:D251"/>
    <mergeCell ref="E251:I251"/>
    <mergeCell ref="F250:G250"/>
    <mergeCell ref="C245:D245"/>
    <mergeCell ref="C246:D246"/>
    <mergeCell ref="F246:G246"/>
    <mergeCell ref="A247:I247"/>
    <mergeCell ref="C248:D248"/>
    <mergeCell ref="F248:G248"/>
    <mergeCell ref="E245:I245"/>
    <mergeCell ref="C242:D242"/>
    <mergeCell ref="F242:G242"/>
    <mergeCell ref="C243:D243"/>
    <mergeCell ref="F243:G243"/>
    <mergeCell ref="C244:D244"/>
    <mergeCell ref="E244:I244"/>
    <mergeCell ref="C238:D238"/>
    <mergeCell ref="E238:I238"/>
    <mergeCell ref="C239:D239"/>
    <mergeCell ref="F239:G239"/>
    <mergeCell ref="A240:I240"/>
    <mergeCell ref="C241:D241"/>
    <mergeCell ref="F241:G241"/>
    <mergeCell ref="C235:D235"/>
    <mergeCell ref="F235:G235"/>
    <mergeCell ref="C236:D236"/>
    <mergeCell ref="F236:G236"/>
    <mergeCell ref="C237:D237"/>
    <mergeCell ref="E237:I237"/>
    <mergeCell ref="C231:D231"/>
    <mergeCell ref="E231:I231"/>
    <mergeCell ref="C232:D232"/>
    <mergeCell ref="F232:G232"/>
    <mergeCell ref="A233:I233"/>
    <mergeCell ref="C234:D234"/>
    <mergeCell ref="F234:G234"/>
    <mergeCell ref="C228:D228"/>
    <mergeCell ref="F228:G228"/>
    <mergeCell ref="C229:D229"/>
    <mergeCell ref="F229:G229"/>
    <mergeCell ref="C230:D230"/>
    <mergeCell ref="E230:I230"/>
    <mergeCell ref="A215:I215"/>
    <mergeCell ref="F221:G221"/>
    <mergeCell ref="C221:D221"/>
    <mergeCell ref="A226:I226"/>
    <mergeCell ref="C227:D227"/>
    <mergeCell ref="F227:G227"/>
    <mergeCell ref="A216:I216"/>
    <mergeCell ref="A217:I217"/>
    <mergeCell ref="A218:I218"/>
    <mergeCell ref="A219:I219"/>
    <mergeCell ref="C220:D220"/>
    <mergeCell ref="F220:G220"/>
    <mergeCell ref="C222:D222"/>
    <mergeCell ref="C223:D223"/>
    <mergeCell ref="C224:D224"/>
    <mergeCell ref="C225:D225"/>
    <mergeCell ref="E222:I225"/>
    <mergeCell ref="F198:G198"/>
    <mergeCell ref="C199:D199"/>
    <mergeCell ref="F199:G199"/>
    <mergeCell ref="C200:D200"/>
    <mergeCell ref="F200:G200"/>
    <mergeCell ref="F190:G190"/>
    <mergeCell ref="A187:B192"/>
    <mergeCell ref="F182:G182"/>
    <mergeCell ref="A186:I186"/>
    <mergeCell ref="C187:D187"/>
    <mergeCell ref="F187:G187"/>
    <mergeCell ref="C188:D188"/>
    <mergeCell ref="F188:G188"/>
    <mergeCell ref="C189:D189"/>
    <mergeCell ref="F189:G189"/>
    <mergeCell ref="A181:B185"/>
    <mergeCell ref="C178:D178"/>
    <mergeCell ref="F178:G178"/>
    <mergeCell ref="C171:D171"/>
    <mergeCell ref="C185:D185"/>
    <mergeCell ref="F185:G185"/>
    <mergeCell ref="C183:D183"/>
    <mergeCell ref="C184:D184"/>
    <mergeCell ref="F184:G184"/>
    <mergeCell ref="C177:D177"/>
    <mergeCell ref="F177:G177"/>
    <mergeCell ref="A180:I180"/>
    <mergeCell ref="C181:D181"/>
    <mergeCell ref="F181:G181"/>
    <mergeCell ref="F179:G179"/>
    <mergeCell ref="E183:H183"/>
    <mergeCell ref="C182:D182"/>
    <mergeCell ref="A176:B179"/>
    <mergeCell ref="A166:B171"/>
    <mergeCell ref="C179:D179"/>
    <mergeCell ref="C160:D160"/>
    <mergeCell ref="F160:G160"/>
    <mergeCell ref="C161:D161"/>
    <mergeCell ref="C163:D163"/>
    <mergeCell ref="A175:I175"/>
    <mergeCell ref="C176:D176"/>
    <mergeCell ref="F176:G176"/>
    <mergeCell ref="F171:G171"/>
    <mergeCell ref="A173:I173"/>
    <mergeCell ref="A174:I174"/>
    <mergeCell ref="C169:D169"/>
    <mergeCell ref="C170:D170"/>
    <mergeCell ref="E161:I163"/>
    <mergeCell ref="E168:I170"/>
    <mergeCell ref="C164:D164"/>
    <mergeCell ref="F164:G164"/>
    <mergeCell ref="A165:I165"/>
    <mergeCell ref="C162:D162"/>
    <mergeCell ref="A159:B164"/>
    <mergeCell ref="C146:D146"/>
    <mergeCell ref="F146:G146"/>
    <mergeCell ref="C159:D159"/>
    <mergeCell ref="F159:G159"/>
    <mergeCell ref="E147:I149"/>
    <mergeCell ref="E154:I156"/>
    <mergeCell ref="A158:I158"/>
    <mergeCell ref="C154:D154"/>
    <mergeCell ref="C156:D156"/>
    <mergeCell ref="C157:D157"/>
    <mergeCell ref="F157:G157"/>
    <mergeCell ref="C155:D155"/>
    <mergeCell ref="C147:D147"/>
    <mergeCell ref="A152:B157"/>
    <mergeCell ref="A145:B150"/>
    <mergeCell ref="C132:D132"/>
    <mergeCell ref="F132:G132"/>
    <mergeCell ref="C133:D133"/>
    <mergeCell ref="F133:G133"/>
    <mergeCell ref="A127:I127"/>
    <mergeCell ref="A128:I128"/>
    <mergeCell ref="C145:D145"/>
    <mergeCell ref="F145:G145"/>
    <mergeCell ref="A138:B143"/>
    <mergeCell ref="A132:B136"/>
    <mergeCell ref="A144:I144"/>
    <mergeCell ref="C139:D139"/>
    <mergeCell ref="F139:G139"/>
    <mergeCell ref="C140:D140"/>
    <mergeCell ref="C141:D141"/>
    <mergeCell ref="E136:I136"/>
    <mergeCell ref="E140:I142"/>
    <mergeCell ref="C136:D136"/>
    <mergeCell ref="F138:G138"/>
    <mergeCell ref="C142:D142"/>
    <mergeCell ref="C143:D143"/>
    <mergeCell ref="F143:G143"/>
    <mergeCell ref="A129:I129"/>
    <mergeCell ref="A130:I130"/>
    <mergeCell ref="G2:H2"/>
    <mergeCell ref="A458:C458"/>
    <mergeCell ref="H458:I458"/>
    <mergeCell ref="A371:I371"/>
    <mergeCell ref="E373:I373"/>
    <mergeCell ref="A449:I449"/>
    <mergeCell ref="A455:I455"/>
    <mergeCell ref="A456:I456"/>
    <mergeCell ref="A457:I457"/>
    <mergeCell ref="A450:I450"/>
    <mergeCell ref="A451:I451"/>
    <mergeCell ref="A452:I452"/>
    <mergeCell ref="A453:I453"/>
    <mergeCell ref="A373:C373"/>
    <mergeCell ref="A448:I448"/>
    <mergeCell ref="A454:I454"/>
    <mergeCell ref="A415:I415"/>
    <mergeCell ref="E372:I372"/>
    <mergeCell ref="A106:C106"/>
    <mergeCell ref="H106:I106"/>
    <mergeCell ref="A108:C108"/>
    <mergeCell ref="H108:I108"/>
    <mergeCell ref="A109:C109"/>
    <mergeCell ref="H109:I109"/>
    <mergeCell ref="A4:C4"/>
    <mergeCell ref="A1:I1"/>
    <mergeCell ref="A5:C5"/>
    <mergeCell ref="A372:C372"/>
    <mergeCell ref="H28:I28"/>
    <mergeCell ref="H29:I29"/>
    <mergeCell ref="A38:I38"/>
    <mergeCell ref="H53:I53"/>
    <mergeCell ref="A43:I43"/>
    <mergeCell ref="A48:I48"/>
    <mergeCell ref="A118:I118"/>
    <mergeCell ref="H116:I116"/>
    <mergeCell ref="A2:C2"/>
    <mergeCell ref="E2:F2"/>
    <mergeCell ref="A42:C42"/>
    <mergeCell ref="H42:I42"/>
    <mergeCell ref="E5:F5"/>
    <mergeCell ref="E13:I13"/>
    <mergeCell ref="C138:D138"/>
    <mergeCell ref="C125:D126"/>
    <mergeCell ref="C121:D121"/>
    <mergeCell ref="H125:H126"/>
    <mergeCell ref="F125:G126"/>
    <mergeCell ref="E125:E126"/>
    <mergeCell ref="E10:I10"/>
    <mergeCell ref="A10:A12"/>
    <mergeCell ref="E11:I11"/>
    <mergeCell ref="E12:I12"/>
    <mergeCell ref="H7:I7"/>
    <mergeCell ref="A374:C374"/>
    <mergeCell ref="E374:I374"/>
    <mergeCell ref="C370:I370"/>
    <mergeCell ref="H15:I15"/>
    <mergeCell ref="G39:H39"/>
    <mergeCell ref="A40:C40"/>
    <mergeCell ref="H115:I115"/>
    <mergeCell ref="A124:I124"/>
    <mergeCell ref="F119:G119"/>
    <mergeCell ref="F120:G120"/>
    <mergeCell ref="F121:G121"/>
    <mergeCell ref="F123:G123"/>
    <mergeCell ref="A119:B119"/>
    <mergeCell ref="C119:D119"/>
    <mergeCell ref="A120:B120"/>
    <mergeCell ref="C120:D120"/>
    <mergeCell ref="A121:B121"/>
    <mergeCell ref="C135:D135"/>
    <mergeCell ref="A125:B126"/>
    <mergeCell ref="A6:I6"/>
    <mergeCell ref="A13:C13"/>
    <mergeCell ref="A34:I34"/>
    <mergeCell ref="H31:I31"/>
    <mergeCell ref="H30:I30"/>
    <mergeCell ref="A14:I14"/>
    <mergeCell ref="C27:E27"/>
    <mergeCell ref="C28:E28"/>
    <mergeCell ref="C25:I25"/>
    <mergeCell ref="H17:I17"/>
    <mergeCell ref="H18:I18"/>
    <mergeCell ref="H16:I16"/>
    <mergeCell ref="H19:I19"/>
    <mergeCell ref="H20:I20"/>
    <mergeCell ref="C23:E23"/>
    <mergeCell ref="H32:I32"/>
    <mergeCell ref="H23:I23"/>
    <mergeCell ref="C24:I24"/>
    <mergeCell ref="H22:I22"/>
    <mergeCell ref="A7:C7"/>
    <mergeCell ref="A8:C8"/>
    <mergeCell ref="A9:C9"/>
    <mergeCell ref="E9:I9"/>
    <mergeCell ref="H8:I8"/>
    <mergeCell ref="A369:I369"/>
    <mergeCell ref="A104:I104"/>
    <mergeCell ref="A105:C105"/>
    <mergeCell ref="H105:I105"/>
    <mergeCell ref="H37:I37"/>
    <mergeCell ref="A37:C37"/>
    <mergeCell ref="H36:I36"/>
    <mergeCell ref="A305:I305"/>
    <mergeCell ref="A131:I131"/>
    <mergeCell ref="C148:D148"/>
    <mergeCell ref="C149:D149"/>
    <mergeCell ref="C150:D150"/>
    <mergeCell ref="A151:I151"/>
    <mergeCell ref="C152:D152"/>
    <mergeCell ref="F152:G152"/>
    <mergeCell ref="F150:G150"/>
    <mergeCell ref="C153:D153"/>
    <mergeCell ref="F153:G153"/>
    <mergeCell ref="C47:D47"/>
    <mergeCell ref="C49:I49"/>
    <mergeCell ref="A122:B122"/>
    <mergeCell ref="C122:D122"/>
    <mergeCell ref="F122:G122"/>
    <mergeCell ref="A137:I137"/>
    <mergeCell ref="E4:F4"/>
    <mergeCell ref="G3:H4"/>
    <mergeCell ref="I3:I4"/>
    <mergeCell ref="C53:E53"/>
    <mergeCell ref="C54:E54"/>
    <mergeCell ref="H47:I47"/>
    <mergeCell ref="C15:E15"/>
    <mergeCell ref="C16:E16"/>
    <mergeCell ref="C17:E17"/>
    <mergeCell ref="C18:E18"/>
    <mergeCell ref="C19:E19"/>
    <mergeCell ref="C20:E20"/>
    <mergeCell ref="C21:E21"/>
    <mergeCell ref="C22:E22"/>
    <mergeCell ref="H54:I54"/>
    <mergeCell ref="G5:H5"/>
    <mergeCell ref="H46:I46"/>
    <mergeCell ref="H44:I44"/>
    <mergeCell ref="A3:C3"/>
    <mergeCell ref="E3:F3"/>
    <mergeCell ref="A26:I26"/>
    <mergeCell ref="H27:I27"/>
    <mergeCell ref="G41:H41"/>
    <mergeCell ref="H21:I21"/>
    <mergeCell ref="A123:B123"/>
    <mergeCell ref="C123:D123"/>
    <mergeCell ref="A107:C107"/>
    <mergeCell ref="A111:C111"/>
    <mergeCell ref="H111:I111"/>
    <mergeCell ref="A112:C112"/>
    <mergeCell ref="H112:I112"/>
    <mergeCell ref="A113:C113"/>
    <mergeCell ref="H113:I113"/>
    <mergeCell ref="H107:I107"/>
    <mergeCell ref="A114:I114"/>
    <mergeCell ref="A110:C110"/>
    <mergeCell ref="H110:I110"/>
    <mergeCell ref="A115:F115"/>
    <mergeCell ref="A117:F117"/>
    <mergeCell ref="H117:I117"/>
    <mergeCell ref="A116:F116"/>
    <mergeCell ref="A55:I55"/>
    <mergeCell ref="A47:B47"/>
    <mergeCell ref="E47:G47"/>
    <mergeCell ref="C29:E29"/>
    <mergeCell ref="C30:E30"/>
    <mergeCell ref="C31:E31"/>
    <mergeCell ref="C32:E32"/>
    <mergeCell ref="C33:I33"/>
    <mergeCell ref="A44:B44"/>
    <mergeCell ref="A45:B45"/>
    <mergeCell ref="A46:B46"/>
    <mergeCell ref="E45:G45"/>
    <mergeCell ref="E44:G44"/>
    <mergeCell ref="E46:G46"/>
    <mergeCell ref="C44:D44"/>
    <mergeCell ref="C45:D45"/>
    <mergeCell ref="C46:D46"/>
    <mergeCell ref="H45:I45"/>
    <mergeCell ref="A36:C36"/>
    <mergeCell ref="A41:C41"/>
    <mergeCell ref="A39:C39"/>
    <mergeCell ref="G40:H40"/>
    <mergeCell ref="A35:C35"/>
    <mergeCell ref="H35:I35"/>
  </mergeCells>
  <hyperlinks>
    <hyperlink ref="C24" r:id="rId1" xr:uid="{00000000-0004-0000-0000-000000000000}"/>
  </hyperlinks>
  <printOptions horizontalCentered="1"/>
  <pageMargins left="0.27559055118110237" right="0.27559055118110237" top="0.78740157480314965" bottom="0.78740157480314965"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25" max="16383" man="1"/>
    <brk id="54" max="8" man="1"/>
    <brk id="370" max="8" man="1"/>
    <brk id="41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31"/>
  <sheetViews>
    <sheetView topLeftCell="A13" workbookViewId="0">
      <selection activeCell="D32" sqref="D32"/>
    </sheetView>
  </sheetViews>
  <sheetFormatPr defaultRowHeight="14.4" x14ac:dyDescent="0.3"/>
  <sheetData>
    <row r="1" spans="1:5" ht="15" thickBot="1" x14ac:dyDescent="0.35">
      <c r="A1" s="53"/>
      <c r="B1" s="53"/>
      <c r="C1" s="55"/>
      <c r="D1" s="55"/>
      <c r="E1" s="56"/>
    </row>
    <row r="2" spans="1:5" ht="15" thickBot="1" x14ac:dyDescent="0.35">
      <c r="A2" s="54"/>
      <c r="B2" s="54"/>
      <c r="C2" s="54"/>
      <c r="D2" s="54">
        <v>2</v>
      </c>
      <c r="E2" s="54"/>
    </row>
    <row r="3" spans="1:5" ht="15" thickBot="1" x14ac:dyDescent="0.35">
      <c r="A3" s="53"/>
      <c r="B3" s="53"/>
      <c r="C3" s="53"/>
      <c r="D3" s="53">
        <v>1</v>
      </c>
      <c r="E3" s="53"/>
    </row>
    <row r="4" spans="1:5" ht="15" thickBot="1" x14ac:dyDescent="0.35">
      <c r="A4" s="54"/>
      <c r="B4" s="54"/>
      <c r="C4" s="54"/>
      <c r="D4" s="54">
        <v>2</v>
      </c>
      <c r="E4" s="54"/>
    </row>
    <row r="5" spans="1:5" ht="15" thickBot="1" x14ac:dyDescent="0.35">
      <c r="A5" s="53"/>
      <c r="B5" s="53"/>
      <c r="C5" s="53"/>
      <c r="D5" s="53">
        <v>2</v>
      </c>
      <c r="E5" s="53"/>
    </row>
    <row r="6" spans="1:5" ht="15" thickBot="1" x14ac:dyDescent="0.35">
      <c r="A6" s="54"/>
      <c r="B6" s="54"/>
      <c r="C6" s="54"/>
      <c r="D6" s="54">
        <v>2</v>
      </c>
      <c r="E6" s="54"/>
    </row>
    <row r="7" spans="1:5" ht="15" thickBot="1" x14ac:dyDescent="0.35">
      <c r="A7" s="53"/>
      <c r="B7" s="53"/>
      <c r="C7" s="53"/>
      <c r="D7" s="53">
        <v>1</v>
      </c>
      <c r="E7" s="53"/>
    </row>
    <row r="8" spans="1:5" ht="15" thickBot="1" x14ac:dyDescent="0.35">
      <c r="A8" s="54"/>
      <c r="B8" s="54"/>
      <c r="C8" s="54"/>
      <c r="D8" s="54">
        <v>1</v>
      </c>
      <c r="E8" s="54"/>
    </row>
    <row r="9" spans="1:5" ht="15" thickBot="1" x14ac:dyDescent="0.35">
      <c r="A9" s="53"/>
      <c r="B9" s="53"/>
      <c r="C9" s="53"/>
      <c r="D9" s="53">
        <v>4</v>
      </c>
      <c r="E9" s="53"/>
    </row>
    <row r="10" spans="1:5" ht="15" thickBot="1" x14ac:dyDescent="0.35">
      <c r="A10" s="54"/>
      <c r="B10" s="54"/>
      <c r="C10" s="54"/>
      <c r="D10" s="54">
        <v>86</v>
      </c>
      <c r="E10" s="54"/>
    </row>
    <row r="11" spans="1:5" ht="15" thickBot="1" x14ac:dyDescent="0.35">
      <c r="A11" s="53"/>
      <c r="B11" s="53"/>
      <c r="C11" s="53"/>
      <c r="D11" s="53">
        <v>44</v>
      </c>
      <c r="E11" s="53"/>
    </row>
    <row r="12" spans="1:5" ht="15" thickBot="1" x14ac:dyDescent="0.35">
      <c r="A12" s="54"/>
      <c r="B12" s="54"/>
      <c r="C12" s="54"/>
      <c r="D12" s="54">
        <v>28</v>
      </c>
      <c r="E12" s="54"/>
    </row>
    <row r="13" spans="1:5" ht="15" thickBot="1" x14ac:dyDescent="0.35">
      <c r="A13" s="53"/>
      <c r="B13" s="53"/>
      <c r="C13" s="53"/>
      <c r="D13" s="53">
        <v>26</v>
      </c>
      <c r="E13" s="53"/>
    </row>
    <row r="14" spans="1:5" ht="15" thickBot="1" x14ac:dyDescent="0.35">
      <c r="A14" s="54"/>
      <c r="B14" s="54"/>
      <c r="C14" s="54"/>
      <c r="D14" s="54">
        <v>26</v>
      </c>
      <c r="E14" s="54"/>
    </row>
    <row r="15" spans="1:5" ht="15" thickBot="1" x14ac:dyDescent="0.35">
      <c r="A15" s="53"/>
      <c r="B15" s="53"/>
      <c r="C15" s="53"/>
      <c r="D15" s="53">
        <v>6</v>
      </c>
      <c r="E15" s="53"/>
    </row>
    <row r="16" spans="1:5" ht="15" thickBot="1" x14ac:dyDescent="0.35">
      <c r="A16" s="54"/>
      <c r="B16" s="54"/>
      <c r="C16" s="54"/>
      <c r="D16" s="54">
        <v>58</v>
      </c>
      <c r="E16" s="54"/>
    </row>
    <row r="17" spans="1:5" ht="15" thickBot="1" x14ac:dyDescent="0.35">
      <c r="A17" s="53"/>
      <c r="B17" s="53"/>
      <c r="C17" s="53"/>
      <c r="D17" s="53">
        <v>22</v>
      </c>
      <c r="E17" s="53"/>
    </row>
    <row r="18" spans="1:5" ht="15" thickBot="1" x14ac:dyDescent="0.35">
      <c r="A18" s="54"/>
      <c r="B18" s="54"/>
      <c r="C18" s="54"/>
      <c r="D18" s="54">
        <v>28</v>
      </c>
      <c r="E18" s="54"/>
    </row>
    <row r="19" spans="1:5" ht="15" thickBot="1" x14ac:dyDescent="0.35">
      <c r="A19" s="53"/>
      <c r="B19" s="53"/>
      <c r="C19" s="53"/>
      <c r="D19" s="53">
        <v>22</v>
      </c>
      <c r="E19" s="53"/>
    </row>
    <row r="20" spans="1:5" ht="15" thickBot="1" x14ac:dyDescent="0.35">
      <c r="A20" s="54"/>
      <c r="B20" s="54"/>
      <c r="C20" s="54"/>
      <c r="D20" s="54">
        <v>24</v>
      </c>
      <c r="E20" s="54"/>
    </row>
    <row r="21" spans="1:5" ht="15" thickBot="1" x14ac:dyDescent="0.35">
      <c r="A21" s="53"/>
      <c r="B21" s="53"/>
      <c r="C21" s="53"/>
      <c r="D21" s="53">
        <v>116</v>
      </c>
      <c r="E21" s="53"/>
    </row>
    <row r="22" spans="1:5" ht="15" thickBot="1" x14ac:dyDescent="0.35">
      <c r="A22" s="54"/>
      <c r="B22" s="54"/>
      <c r="C22" s="54"/>
      <c r="D22" s="54">
        <v>32</v>
      </c>
      <c r="E22" s="54"/>
    </row>
    <row r="23" spans="1:5" ht="15" thickBot="1" x14ac:dyDescent="0.35">
      <c r="A23" s="53"/>
      <c r="B23" s="53"/>
      <c r="C23" s="53"/>
      <c r="D23" s="53">
        <v>84</v>
      </c>
      <c r="E23" s="53"/>
    </row>
    <row r="24" spans="1:5" ht="15" thickBot="1" x14ac:dyDescent="0.35">
      <c r="A24" s="54"/>
      <c r="B24" s="54"/>
      <c r="C24" s="54"/>
      <c r="D24" s="54">
        <v>28</v>
      </c>
      <c r="E24" s="54"/>
    </row>
    <row r="25" spans="1:5" ht="15" thickBot="1" x14ac:dyDescent="0.35">
      <c r="A25" s="53"/>
      <c r="B25" s="53"/>
      <c r="C25" s="53"/>
      <c r="D25" s="53">
        <v>2</v>
      </c>
      <c r="E25" s="53"/>
    </row>
    <row r="26" spans="1:5" ht="15" thickBot="1" x14ac:dyDescent="0.35">
      <c r="A26" s="54"/>
      <c r="B26" s="54"/>
      <c r="C26" s="54"/>
      <c r="D26" s="54">
        <v>2</v>
      </c>
      <c r="E26" s="54"/>
    </row>
    <row r="27" spans="1:5" ht="15" thickBot="1" x14ac:dyDescent="0.35">
      <c r="A27" s="53"/>
      <c r="B27" s="53"/>
      <c r="C27" s="53"/>
      <c r="D27" s="53">
        <v>78</v>
      </c>
      <c r="E27" s="53"/>
    </row>
    <row r="28" spans="1:5" ht="15" thickBot="1" x14ac:dyDescent="0.35">
      <c r="A28" s="54"/>
      <c r="B28" s="54"/>
      <c r="C28" s="54"/>
      <c r="D28" s="54">
        <v>26</v>
      </c>
      <c r="E28" s="54"/>
    </row>
    <row r="29" spans="1:5" ht="15" thickBot="1" x14ac:dyDescent="0.35">
      <c r="A29" s="53"/>
      <c r="B29" s="53"/>
      <c r="C29" s="53"/>
      <c r="D29" s="53">
        <v>43</v>
      </c>
      <c r="E29" s="53"/>
    </row>
    <row r="30" spans="1:5" ht="15" thickBot="1" x14ac:dyDescent="0.35">
      <c r="A30" s="54"/>
      <c r="B30" s="54"/>
      <c r="C30" s="54"/>
      <c r="D30" s="54">
        <v>1</v>
      </c>
      <c r="E30" s="57"/>
    </row>
    <row r="31" spans="1:5" x14ac:dyDescent="0.3">
      <c r="D31">
        <f>SUM(D2:D30)</f>
        <v>797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2025-07-08T13:03:22Z</cp:lastPrinted>
  <dcterms:created xsi:type="dcterms:W3CDTF">2010-11-23T11:42:48Z</dcterms:created>
  <dcterms:modified xsi:type="dcterms:W3CDTF">2025-07-08T13:05:49Z</dcterms:modified>
</cp:coreProperties>
</file>