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1"/>
  <workbookPr defaultThemeVersion="124226"/>
  <mc:AlternateContent xmlns:mc="http://schemas.openxmlformats.org/markup-compatibility/2006">
    <mc:Choice Requires="x15">
      <x15ac:absPath xmlns:x15ac="http://schemas.microsoft.com/office/spreadsheetml/2010/11/ac" url="D:\Gaurav\July 25\OLD\GHF\"/>
    </mc:Choice>
  </mc:AlternateContent>
  <xr:revisionPtr revIDLastSave="0" documentId="13_ncr:1_{4987BAAC-C9ED-4684-838F-778A89C45FEB}" xr6:coauthVersionLast="36" xr6:coauthVersionMax="47" xr10:uidLastSave="{00000000-0000-0000-0000-000000000000}"/>
  <bookViews>
    <workbookView xWindow="0" yWindow="0" windowWidth="20490" windowHeight="7125" xr2:uid="{00000000-000D-0000-FFFF-FFFF00000000}"/>
  </bookViews>
  <sheets>
    <sheet name="Report" sheetId="3" r:id="rId1"/>
    <sheet name="Construction table" sheetId="4" r:id="rId2"/>
    <sheet name="Remarks" sheetId="5" r:id="rId3"/>
    <sheet name="Area Calculation" sheetId="6" r:id="rId4"/>
  </sheets>
  <definedNames>
    <definedName name="_xlnm.Print_Area" localSheetId="0">Report!$A$1:$H$393</definedName>
  </definedNames>
  <calcPr calcId="191029"/>
</workbook>
</file>

<file path=xl/calcChain.xml><?xml version="1.0" encoding="utf-8"?>
<calcChain xmlns="http://schemas.openxmlformats.org/spreadsheetml/2006/main">
  <c r="I3" i="3" l="1"/>
  <c r="B237" i="3" l="1"/>
  <c r="B190" i="3" l="1"/>
  <c r="B177" i="3"/>
  <c r="B171" i="3"/>
  <c r="B191" i="3" l="1"/>
  <c r="B192" i="3"/>
  <c r="B199" i="3"/>
  <c r="B202" i="3"/>
  <c r="B221" i="3"/>
  <c r="B229" i="3"/>
  <c r="B232" i="3"/>
  <c r="B233" i="3"/>
  <c r="B248" i="3"/>
  <c r="B247" i="3"/>
  <c r="B246" i="3"/>
  <c r="B245" i="3"/>
  <c r="B244" i="3"/>
  <c r="B243" i="3"/>
  <c r="B242" i="3"/>
  <c r="B241" i="3"/>
  <c r="B240" i="3"/>
  <c r="B239" i="3"/>
  <c r="B238" i="3"/>
  <c r="B236" i="3"/>
  <c r="B235" i="3"/>
  <c r="B234" i="3"/>
  <c r="B231" i="3"/>
  <c r="B230" i="3"/>
  <c r="B228" i="3"/>
  <c r="B227" i="3"/>
  <c r="B226" i="3"/>
  <c r="B225" i="3"/>
  <c r="B224" i="3"/>
  <c r="B223" i="3"/>
  <c r="B222" i="3"/>
  <c r="B220" i="3"/>
  <c r="B214" i="3"/>
  <c r="B215" i="3"/>
  <c r="B216" i="3"/>
  <c r="B217" i="3"/>
  <c r="B218" i="3"/>
  <c r="B219" i="3"/>
  <c r="B213" i="3"/>
  <c r="B212" i="3"/>
  <c r="B211" i="3"/>
  <c r="B210" i="3"/>
  <c r="B205" i="3"/>
  <c r="B206" i="3"/>
  <c r="B207" i="3"/>
  <c r="B208" i="3"/>
  <c r="B209" i="3"/>
  <c r="B204" i="3"/>
  <c r="B203" i="3"/>
  <c r="B201" i="3"/>
  <c r="B200" i="3"/>
  <c r="B198" i="3"/>
  <c r="B197" i="3"/>
  <c r="B196" i="3"/>
  <c r="B195" i="3"/>
  <c r="B194" i="3"/>
  <c r="B193" i="3"/>
  <c r="B189" i="3"/>
  <c r="B188" i="3"/>
  <c r="B187" i="3" l="1"/>
  <c r="B186" i="3"/>
  <c r="C186" i="3" s="1"/>
  <c r="F186" i="3" s="1"/>
  <c r="B185" i="3"/>
  <c r="B184" i="3"/>
  <c r="C184" i="3" s="1"/>
  <c r="F184" i="3" s="1"/>
  <c r="B183" i="3"/>
  <c r="B182" i="3"/>
  <c r="C182" i="3" s="1"/>
  <c r="F182" i="3" s="1"/>
  <c r="B181" i="3"/>
  <c r="C181" i="3" s="1"/>
  <c r="F181" i="3" s="1"/>
  <c r="B180" i="3"/>
  <c r="C180" i="3" s="1"/>
  <c r="F180" i="3" s="1"/>
  <c r="B179" i="3"/>
  <c r="C179" i="3" s="1"/>
  <c r="F179" i="3" s="1"/>
  <c r="B178" i="3"/>
  <c r="C178" i="3" s="1"/>
  <c r="F178" i="3" s="1"/>
  <c r="B176" i="3"/>
  <c r="C176" i="3" s="1"/>
  <c r="F176" i="3" s="1"/>
  <c r="B175" i="3"/>
  <c r="C175" i="3" s="1"/>
  <c r="F175" i="3" s="1"/>
  <c r="B174" i="3"/>
  <c r="C174" i="3" s="1"/>
  <c r="F174" i="3" s="1"/>
  <c r="B173" i="3"/>
  <c r="B172" i="3"/>
  <c r="C172" i="3" s="1"/>
  <c r="F172" i="3" s="1"/>
  <c r="B170" i="3"/>
  <c r="C170" i="3" s="1"/>
  <c r="F170" i="3" s="1"/>
  <c r="B169" i="3"/>
  <c r="B168" i="3"/>
  <c r="C168" i="3" s="1"/>
  <c r="F168" i="3" s="1"/>
  <c r="B167" i="3"/>
  <c r="B166" i="3"/>
  <c r="C166" i="3" s="1"/>
  <c r="F166" i="3" s="1"/>
  <c r="B165" i="3"/>
  <c r="C165" i="3" s="1"/>
  <c r="F165" i="3" s="1"/>
  <c r="B164" i="3"/>
  <c r="C164" i="3" s="1"/>
  <c r="F164" i="3" s="1"/>
  <c r="B163" i="3"/>
  <c r="C163" i="3" s="1"/>
  <c r="F163" i="3" s="1"/>
  <c r="B162" i="3"/>
  <c r="C162" i="3" s="1"/>
  <c r="F162" i="3" s="1"/>
  <c r="B160" i="3"/>
  <c r="B159" i="3"/>
  <c r="C159" i="3" s="1"/>
  <c r="F159" i="3" s="1"/>
  <c r="B158" i="3"/>
  <c r="B157" i="3"/>
  <c r="C157" i="3" s="1"/>
  <c r="F157" i="3" s="1"/>
  <c r="B156" i="3"/>
  <c r="B155" i="3"/>
  <c r="C155" i="3" s="1"/>
  <c r="F155" i="3" s="1"/>
  <c r="B154" i="3"/>
  <c r="C154" i="3" s="1"/>
  <c r="F154" i="3" s="1"/>
  <c r="B153" i="3"/>
  <c r="C153" i="3" s="1"/>
  <c r="F153" i="3" s="1"/>
  <c r="B152" i="3"/>
  <c r="C152" i="3" s="1"/>
  <c r="F152" i="3" s="1"/>
  <c r="B151" i="3"/>
  <c r="C151" i="3" s="1"/>
  <c r="F151" i="3" s="1"/>
  <c r="B150" i="3"/>
  <c r="C150" i="3" s="1"/>
  <c r="F150" i="3" s="1"/>
  <c r="B149" i="3"/>
  <c r="C149" i="3" s="1"/>
  <c r="F149" i="3" s="1"/>
  <c r="B148" i="3"/>
  <c r="B147" i="3"/>
  <c r="C147" i="3" s="1"/>
  <c r="F147" i="3" s="1"/>
  <c r="B146" i="3"/>
  <c r="B145" i="3"/>
  <c r="C145" i="3" s="1"/>
  <c r="F145" i="3" s="1"/>
  <c r="B144" i="3"/>
  <c r="B143" i="3"/>
  <c r="C143" i="3" s="1"/>
  <c r="F143" i="3" s="1"/>
  <c r="B142" i="3"/>
  <c r="C142" i="3" s="1"/>
  <c r="F142" i="3" s="1"/>
  <c r="B141" i="3"/>
  <c r="C141" i="3" s="1"/>
  <c r="F141" i="3" s="1"/>
  <c r="B140" i="3"/>
  <c r="C140" i="3" s="1"/>
  <c r="F140" i="3" s="1"/>
  <c r="B139" i="3"/>
  <c r="C139" i="3" s="1"/>
  <c r="F139" i="3" s="1"/>
  <c r="B138" i="3"/>
  <c r="C138" i="3" s="1"/>
  <c r="F138" i="3" s="1"/>
  <c r="B137" i="3"/>
  <c r="C137" i="3" s="1"/>
  <c r="F137" i="3" s="1"/>
  <c r="B136" i="3"/>
  <c r="B135" i="3"/>
  <c r="C135" i="3" s="1"/>
  <c r="F135" i="3" s="1"/>
  <c r="B134" i="3"/>
  <c r="B133" i="3"/>
  <c r="C133" i="3" s="1"/>
  <c r="F133" i="3" s="1"/>
  <c r="B132" i="3"/>
  <c r="B131" i="3"/>
  <c r="C131" i="3" s="1"/>
  <c r="F131" i="3" s="1"/>
  <c r="B130" i="3"/>
  <c r="B129" i="3"/>
  <c r="C130" i="3"/>
  <c r="F130" i="3" s="1"/>
  <c r="C132" i="3"/>
  <c r="F132" i="3" s="1"/>
  <c r="C134" i="3"/>
  <c r="F134" i="3" s="1"/>
  <c r="C136" i="3"/>
  <c r="F136" i="3" s="1"/>
  <c r="C144" i="3"/>
  <c r="F144" i="3" s="1"/>
  <c r="C146" i="3"/>
  <c r="F146" i="3" s="1"/>
  <c r="C148" i="3"/>
  <c r="F148" i="3" s="1"/>
  <c r="C156" i="3"/>
  <c r="F156" i="3" s="1"/>
  <c r="C158" i="3"/>
  <c r="F158" i="3" s="1"/>
  <c r="C160" i="3"/>
  <c r="F160" i="3" s="1"/>
  <c r="C161" i="3"/>
  <c r="F161" i="3" s="1"/>
  <c r="C167" i="3"/>
  <c r="F167" i="3" s="1"/>
  <c r="C169" i="3"/>
  <c r="F169" i="3" s="1"/>
  <c r="C171" i="3"/>
  <c r="F171" i="3" s="1"/>
  <c r="C173" i="3"/>
  <c r="F173" i="3" s="1"/>
  <c r="C177" i="3"/>
  <c r="F177" i="3" s="1"/>
  <c r="C183" i="3"/>
  <c r="F183" i="3" s="1"/>
  <c r="C185" i="3"/>
  <c r="F185" i="3" s="1"/>
  <c r="C187" i="3"/>
  <c r="F187" i="3" s="1"/>
  <c r="C188" i="3"/>
  <c r="F188" i="3" s="1"/>
  <c r="C189" i="3"/>
  <c r="F189" i="3" s="1"/>
  <c r="C190" i="3"/>
  <c r="F190" i="3" s="1"/>
  <c r="C191" i="3"/>
  <c r="F191" i="3" s="1"/>
  <c r="C192" i="3"/>
  <c r="F192" i="3" s="1"/>
  <c r="C193" i="3"/>
  <c r="F193" i="3" s="1"/>
  <c r="C194" i="3"/>
  <c r="F194" i="3" s="1"/>
  <c r="C195" i="3"/>
  <c r="F195" i="3" s="1"/>
  <c r="C196" i="3"/>
  <c r="F196" i="3" s="1"/>
  <c r="C197" i="3"/>
  <c r="F197" i="3" s="1"/>
  <c r="C198" i="3"/>
  <c r="F198" i="3" s="1"/>
  <c r="C199" i="3"/>
  <c r="F199" i="3" s="1"/>
  <c r="C200" i="3"/>
  <c r="F200" i="3" s="1"/>
  <c r="C201" i="3"/>
  <c r="F201" i="3" s="1"/>
  <c r="C202" i="3"/>
  <c r="F202" i="3" s="1"/>
  <c r="C203" i="3"/>
  <c r="F203" i="3" s="1"/>
  <c r="C204" i="3"/>
  <c r="F204" i="3" s="1"/>
  <c r="C205" i="3"/>
  <c r="F205" i="3" s="1"/>
  <c r="C206" i="3"/>
  <c r="F206" i="3" s="1"/>
  <c r="C207" i="3"/>
  <c r="F207" i="3" s="1"/>
  <c r="C208" i="3"/>
  <c r="F208" i="3" s="1"/>
  <c r="C209" i="3"/>
  <c r="F209" i="3" s="1"/>
  <c r="C210" i="3"/>
  <c r="F210" i="3" s="1"/>
  <c r="C211" i="3"/>
  <c r="F211" i="3" s="1"/>
  <c r="C212" i="3"/>
  <c r="F212" i="3" s="1"/>
  <c r="C213" i="3"/>
  <c r="F213" i="3" s="1"/>
  <c r="C214" i="3"/>
  <c r="F214" i="3" s="1"/>
  <c r="C215" i="3"/>
  <c r="F215" i="3" s="1"/>
  <c r="C216" i="3"/>
  <c r="F216" i="3" s="1"/>
  <c r="C217" i="3"/>
  <c r="F217" i="3" s="1"/>
  <c r="C218" i="3"/>
  <c r="F218" i="3" s="1"/>
  <c r="C219" i="3"/>
  <c r="F219" i="3" s="1"/>
  <c r="C220" i="3"/>
  <c r="F220" i="3" s="1"/>
  <c r="C221" i="3"/>
  <c r="F221" i="3" s="1"/>
  <c r="C222" i="3"/>
  <c r="F222" i="3" s="1"/>
  <c r="C223" i="3"/>
  <c r="F223" i="3" s="1"/>
  <c r="C224" i="3"/>
  <c r="F224" i="3" s="1"/>
  <c r="C225" i="3"/>
  <c r="F225" i="3" s="1"/>
  <c r="C226" i="3"/>
  <c r="F226" i="3" s="1"/>
  <c r="C227" i="3"/>
  <c r="F227" i="3" s="1"/>
  <c r="C228" i="3"/>
  <c r="F228" i="3" s="1"/>
  <c r="C229" i="3"/>
  <c r="F229" i="3" s="1"/>
  <c r="C230" i="3"/>
  <c r="F230" i="3" s="1"/>
  <c r="C231" i="3"/>
  <c r="F231" i="3" s="1"/>
  <c r="C232" i="3"/>
  <c r="F232" i="3" s="1"/>
  <c r="C233" i="3"/>
  <c r="F233" i="3" s="1"/>
  <c r="C234" i="3"/>
  <c r="F234" i="3" s="1"/>
  <c r="C235" i="3"/>
  <c r="F235" i="3" s="1"/>
  <c r="C236" i="3"/>
  <c r="F236" i="3" s="1"/>
  <c r="C237" i="3"/>
  <c r="F237" i="3" s="1"/>
  <c r="C238" i="3"/>
  <c r="F238" i="3" s="1"/>
  <c r="C239" i="3"/>
  <c r="F239" i="3" s="1"/>
  <c r="C240" i="3"/>
  <c r="F240" i="3" s="1"/>
  <c r="C241" i="3"/>
  <c r="F241" i="3" s="1"/>
  <c r="C242" i="3"/>
  <c r="F242" i="3" s="1"/>
  <c r="C243" i="3"/>
  <c r="F243" i="3" s="1"/>
  <c r="C244" i="3"/>
  <c r="F244" i="3" s="1"/>
  <c r="C245" i="3"/>
  <c r="F245" i="3" s="1"/>
  <c r="C246" i="3"/>
  <c r="F246" i="3" s="1"/>
  <c r="C247" i="3"/>
  <c r="F247" i="3" s="1"/>
  <c r="C248" i="3"/>
  <c r="F248" i="3" s="1"/>
  <c r="D257" i="3"/>
  <c r="D255" i="3"/>
  <c r="C124" i="3" l="1"/>
  <c r="C125" i="3" s="1"/>
  <c r="C129" i="3"/>
  <c r="F129" i="3" s="1"/>
  <c r="L41" i="6"/>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L42" i="6" l="1"/>
  <c r="K42" i="6" s="1"/>
  <c r="I42" i="6"/>
  <c r="H42" i="6" s="1"/>
  <c r="E42" i="6"/>
  <c r="E124" i="3"/>
  <c r="E125" i="3" s="1"/>
  <c r="G124" i="3"/>
  <c r="G125" i="3" s="1"/>
  <c r="E44" i="6"/>
  <c r="D42" i="6"/>
  <c r="D44" i="6" s="1"/>
  <c r="C26" i="3" l="1"/>
  <c r="G121" i="3" l="1"/>
  <c r="E121" i="3"/>
  <c r="A93" i="3"/>
  <c r="D94" i="3" s="1"/>
  <c r="J103" i="3" s="1"/>
  <c r="A77" i="3"/>
  <c r="D78" i="3" s="1"/>
  <c r="A61" i="3"/>
  <c r="D62" i="3" s="1"/>
  <c r="J102" i="3" l="1"/>
  <c r="C38" i="4"/>
  <c r="G37" i="4"/>
  <c r="F37" i="4"/>
  <c r="G36" i="4"/>
  <c r="F36" i="4"/>
  <c r="G35" i="4"/>
  <c r="F35" i="4"/>
  <c r="G34" i="4"/>
  <c r="F34" i="4"/>
  <c r="G33" i="4"/>
  <c r="F33" i="4"/>
  <c r="G32" i="4"/>
  <c r="F32" i="4"/>
  <c r="G31" i="4"/>
  <c r="F31" i="4"/>
  <c r="G30" i="4"/>
  <c r="F30" i="4"/>
  <c r="G29" i="4"/>
  <c r="F29" i="4"/>
  <c r="G28" i="4"/>
  <c r="F28" i="4"/>
  <c r="G27" i="4"/>
  <c r="F27" i="4"/>
  <c r="G26" i="4"/>
  <c r="F26" i="4"/>
  <c r="K15" i="4"/>
  <c r="K14" i="4"/>
  <c r="K13" i="4"/>
  <c r="H78" i="3"/>
  <c r="I5" i="4"/>
  <c r="F38" i="4" l="1"/>
  <c r="G38" i="4"/>
  <c r="E18" i="4"/>
  <c r="E15" i="4"/>
  <c r="E17" i="4"/>
  <c r="E11" i="4"/>
  <c r="K6" i="4"/>
  <c r="E9" i="4"/>
  <c r="K8" i="4"/>
  <c r="C7" i="4" s="1"/>
  <c r="E14" i="4"/>
  <c r="E12" i="4"/>
  <c r="E16" i="4"/>
  <c r="E10" i="4"/>
  <c r="K9" i="4"/>
  <c r="K10" i="4" s="1"/>
  <c r="K11" i="4" s="1"/>
  <c r="E13" i="4"/>
  <c r="K7" i="4"/>
  <c r="J87" i="3"/>
  <c r="J86" i="3"/>
  <c r="K12" i="4" l="1"/>
  <c r="K16" i="4" s="1"/>
  <c r="C8" i="4" s="1"/>
  <c r="E8" i="4" s="1"/>
  <c r="E7" i="4"/>
  <c r="A130" i="3"/>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F7" i="4" l="1"/>
  <c r="J4" i="4" s="1"/>
  <c r="H7" i="4" s="1"/>
  <c r="G4" i="3" l="1"/>
  <c r="H121" i="3" l="1"/>
  <c r="D256" i="3" l="1"/>
  <c r="G116" i="3"/>
  <c r="J71" i="3"/>
  <c r="J70" i="3"/>
  <c r="H62" i="3"/>
  <c r="J66" i="3" l="1"/>
  <c r="D71" i="3"/>
  <c r="D68" i="3"/>
  <c r="D66" i="3"/>
  <c r="J64" i="3"/>
  <c r="D75" i="3"/>
  <c r="D73" i="3"/>
  <c r="D70" i="3"/>
  <c r="D67" i="3"/>
  <c r="J65" i="3"/>
  <c r="J63" i="3"/>
  <c r="D74" i="3"/>
  <c r="D72" i="3"/>
  <c r="D69" i="3"/>
  <c r="D91" i="3" l="1"/>
  <c r="D83" i="3"/>
  <c r="D86" i="3"/>
  <c r="J80" i="3"/>
  <c r="D90" i="3"/>
  <c r="D84" i="3"/>
  <c r="J79" i="3"/>
  <c r="D89" i="3"/>
  <c r="J82" i="3"/>
  <c r="J83" i="3" s="1"/>
  <c r="D88" i="3"/>
  <c r="D82" i="3"/>
  <c r="J81" i="3"/>
  <c r="C80" i="3" s="1"/>
  <c r="D87" i="3"/>
  <c r="D85" i="3"/>
  <c r="J67" i="3"/>
  <c r="J72" i="3" s="1"/>
  <c r="C64" i="3"/>
  <c r="D80" i="3" l="1"/>
  <c r="J84" i="3"/>
  <c r="J88" i="3"/>
  <c r="J85" i="3"/>
  <c r="D64" i="3"/>
  <c r="J68" i="3"/>
  <c r="H94" i="3"/>
  <c r="J89" i="3" l="1"/>
  <c r="C81" i="3" s="1"/>
  <c r="D107" i="3"/>
  <c r="D106" i="3"/>
  <c r="D100" i="3"/>
  <c r="J97" i="3"/>
  <c r="C96" i="3" s="1"/>
  <c r="D102" i="3"/>
  <c r="D101" i="3"/>
  <c r="J95" i="3"/>
  <c r="D105" i="3"/>
  <c r="D99" i="3"/>
  <c r="J98" i="3"/>
  <c r="J99" i="3" s="1"/>
  <c r="J100" i="3" s="1"/>
  <c r="J101" i="3" s="1"/>
  <c r="D104" i="3"/>
  <c r="D98" i="3"/>
  <c r="J96" i="3"/>
  <c r="D103" i="3"/>
  <c r="J69" i="3"/>
  <c r="D81" i="3" l="1"/>
  <c r="E80" i="3"/>
  <c r="I77" i="3" s="1"/>
  <c r="G80" i="3" s="1"/>
  <c r="J104" i="3"/>
  <c r="J105" i="3" s="1"/>
  <c r="C97" i="3" s="1"/>
  <c r="D97" i="3" s="1"/>
  <c r="D96" i="3"/>
  <c r="J73" i="3"/>
  <c r="E96" i="3" l="1"/>
  <c r="I93" i="3" s="1"/>
  <c r="G96" i="3" s="1"/>
  <c r="C65" i="3"/>
  <c r="E64" i="3" s="1"/>
  <c r="G108" i="3" l="1"/>
  <c r="D65" i="3"/>
  <c r="I61" i="3"/>
  <c r="G64"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000-000001000000}">
      <text>
        <r>
          <rPr>
            <b/>
            <sz val="18"/>
            <color indexed="81"/>
            <rFont val="Tahoma"/>
            <family val="2"/>
          </rPr>
          <t>SACHIN:</t>
        </r>
        <r>
          <rPr>
            <sz val="18"/>
            <color indexed="81"/>
            <rFont val="Tahoma"/>
            <family val="2"/>
          </rPr>
          <t xml:space="preserve">
As per initiation Mail</t>
        </r>
      </text>
    </comment>
    <comment ref="C10" authorId="0" shapeId="0" xr:uid="{00000000-0006-0000-0000-000002000000}">
      <text>
        <r>
          <rPr>
            <b/>
            <sz val="9"/>
            <color indexed="81"/>
            <rFont val="Tahoma"/>
            <family val="2"/>
          </rPr>
          <t>SACHIN:</t>
        </r>
        <r>
          <rPr>
            <sz val="9"/>
            <color indexed="81"/>
            <rFont val="Tahoma"/>
            <family val="2"/>
          </rPr>
          <t xml:space="preserve">
As per plans</t>
        </r>
      </text>
    </comment>
    <comment ref="C11" authorId="0" shapeId="0" xr:uid="{00000000-0006-0000-0000-000003000000}">
      <text>
        <r>
          <rPr>
            <b/>
            <sz val="18"/>
            <color indexed="81"/>
            <rFont val="Tahoma"/>
            <family val="2"/>
          </rPr>
          <t>SACHIN:</t>
        </r>
        <r>
          <rPr>
            <sz val="18"/>
            <color indexed="81"/>
            <rFont val="Tahoma"/>
            <family val="2"/>
          </rPr>
          <t xml:space="preserve">
As per initiation Mail</t>
        </r>
      </text>
    </comment>
    <comment ref="G15" authorId="0" shapeId="0" xr:uid="{00000000-0006-0000-0000-000004000000}">
      <text>
        <r>
          <rPr>
            <b/>
            <sz val="12"/>
            <color indexed="81"/>
            <rFont val="Tahoma"/>
            <family val="2"/>
          </rPr>
          <t>Maybe same as RERA Registration Validity or different</t>
        </r>
      </text>
    </comment>
    <comment ref="C17" authorId="0" shapeId="0" xr:uid="{00000000-0006-0000-0000-000005000000}">
      <text>
        <r>
          <rPr>
            <b/>
            <sz val="12"/>
            <color indexed="81"/>
            <rFont val="Tahoma"/>
            <family val="2"/>
          </rPr>
          <t>Maybe same as RERA Registration Validity or different</t>
        </r>
      </text>
    </comment>
    <comment ref="G17" authorId="0" shapeId="0" xr:uid="{00000000-0006-0000-0000-000006000000}">
      <text>
        <r>
          <rPr>
            <b/>
            <sz val="18"/>
            <color indexed="81"/>
            <rFont val="Tahoma"/>
            <family val="2"/>
          </rPr>
          <t>From Rera</t>
        </r>
      </text>
    </comment>
    <comment ref="G20" authorId="0" shapeId="0" xr:uid="{00000000-0006-0000-0000-000007000000}">
      <text>
        <r>
          <rPr>
            <b/>
            <sz val="16"/>
            <color indexed="81"/>
            <rFont val="Tahoma"/>
            <family val="2"/>
          </rPr>
          <t>From RERA</t>
        </r>
      </text>
    </comment>
    <comment ref="G21" authorId="0" shapeId="0" xr:uid="{00000000-0006-0000-0000-000008000000}">
      <text>
        <r>
          <rPr>
            <b/>
            <sz val="16"/>
            <color indexed="81"/>
            <rFont val="Tahoma"/>
            <family val="2"/>
          </rPr>
          <t>From RERA</t>
        </r>
      </text>
    </comment>
    <comment ref="G27" authorId="0" shapeId="0" xr:uid="{00000000-0006-0000-0000-000009000000}">
      <text>
        <r>
          <rPr>
            <b/>
            <sz val="12"/>
            <color indexed="81"/>
            <rFont val="Tahoma"/>
            <family val="2"/>
          </rPr>
          <t>SACHIN:</t>
        </r>
        <r>
          <rPr>
            <sz val="12"/>
            <color indexed="81"/>
            <rFont val="Tahoma"/>
            <family val="2"/>
          </rPr>
          <t xml:space="preserve">
Road size should be in metre</t>
        </r>
      </text>
    </comment>
    <comment ref="G114" authorId="0" shapeId="0" xr:uid="{00000000-0006-0000-0000-00000A000000}">
      <text>
        <r>
          <rPr>
            <b/>
            <sz val="16"/>
            <color indexed="81"/>
            <rFont val="Tahoma"/>
            <family val="2"/>
          </rPr>
          <t>Ready Recknor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200-000001000000}">
      <text>
        <r>
          <rPr>
            <b/>
            <sz val="9"/>
            <color indexed="81"/>
            <rFont val="Tahoma"/>
            <family val="2"/>
          </rPr>
          <t>SACHIN:</t>
        </r>
        <r>
          <rPr>
            <sz val="9"/>
            <color indexed="81"/>
            <rFont val="Tahoma"/>
            <family val="2"/>
          </rPr>
          <t xml:space="preserve">
If banker changes the rate</t>
        </r>
      </text>
    </comment>
    <comment ref="C10" authorId="0" shapeId="0" xr:uid="{00000000-0006-0000-02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<sst xmlns="http://schemas.openxmlformats.org/spreadsheetml/2006/main" count="802" uniqueCount="355">
  <si>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</si>
  <si>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</si>
  <si>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</si>
  <si>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</si>
  <si>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</si>
  <si>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</si>
  <si>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</si>
  <si>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</si>
  <si>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</si>
  <si>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</si>
  <si>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</si>
  <si>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</si>
  <si>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</si>
  <si>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</si>
  <si>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</si>
  <si>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</si>
  <si>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</si>
  <si>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</si>
  <si>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</si>
  <si>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</si>
  <si>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</si>
  <si>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</si>
  <si>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</si>
  <si>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</si>
  <si>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</si>
  <si>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</si>
  <si>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</si>
  <si>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</si>
  <si>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</si>
  <si>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</si>
  <si>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</si>
  <si>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</si>
  <si>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</si>
  <si>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</si>
  <si>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</si>
  <si>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</si>
  <si>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</si>
  <si>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</si>
  <si>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</si>
  <si>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</si>
  <si>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</si>
  <si>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</si>
  <si>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</si>
  <si>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</si>
  <si>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</si>
  <si>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</si>
  <si>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</si>
  <si>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</si>
  <si>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</si>
  <si>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</si>
  <si>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</si>
  <si>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</si>
  <si>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</si>
  <si>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</si>
  <si>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</si>
  <si>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</si>
  <si>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</si>
  <si>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</si>
  <si>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</si>
  <si>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</si>
  <si>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</si>
  <si>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</si>
  <si>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</si>
  <si>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</si>
  <si>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</si>
  <si>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</si>
  <si>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</si>
  <si>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</si>
  <si>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</si>
  <si>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</si>
  <si>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</si>
  <si>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</si>
  <si>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</si>
  <si>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</si>
  <si>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</si>
  <si>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</si>
  <si>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</si>
  <si>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</si>
  <si>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</si>
  <si>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</si>
  <si>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</si>
  <si>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</si>
  <si>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</si>
  <si>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</si>
  <si>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</si>
  <si>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</si>
  <si>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</si>
  <si>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</si>
  <si>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</si>
  <si>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</si>
  <si>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Godrej One, Vikhroli East, Mumbai</t>
  </si>
  <si>
    <t>Permissible Built up Area (In Sq.Mt)</t>
  </si>
  <si>
    <t>Proposed Built up Area (In Sq.Mt)</t>
  </si>
  <si>
    <t>Plot Area (In Sq.Mt)</t>
  </si>
  <si>
    <t>-</t>
  </si>
  <si>
    <t>Yes</t>
  </si>
  <si>
    <t xml:space="preserve">Bitumen </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</si>
  <si>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</si>
  <si>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</si>
  <si>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</si>
  <si>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</si>
  <si>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</si>
  <si>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</si>
  <si>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</si>
  <si>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</si>
  <si>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</si>
  <si>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</si>
  <si>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</si>
  <si>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</si>
  <si>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</si>
  <si>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</si>
  <si>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</si>
  <si>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</si>
  <si>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</si>
  <si>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</si>
  <si>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</si>
  <si>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</si>
  <si>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</si>
  <si>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</si>
  <si>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</si>
  <si>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</si>
  <si>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</si>
  <si>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</si>
  <si>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</si>
  <si>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</si>
  <si>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</si>
  <si>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</si>
  <si>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</si>
  <si>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</si>
  <si>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</si>
  <si>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</si>
  <si>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</si>
  <si>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</si>
  <si>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</si>
  <si>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</si>
  <si>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</si>
  <si>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</si>
  <si>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</si>
  <si>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</si>
  <si>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</si>
  <si>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</si>
  <si>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</si>
  <si>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</si>
  <si>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</si>
  <si>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</si>
  <si>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</si>
  <si>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</si>
  <si>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</si>
  <si>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</si>
  <si>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</si>
  <si>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</si>
  <si>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</si>
  <si>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</si>
  <si>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</si>
  <si>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</si>
  <si>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</si>
  <si>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Location Link</t>
  </si>
  <si>
    <t xml:space="preserve">Layout </t>
  </si>
  <si>
    <t>Latitude, Longitude</t>
  </si>
  <si>
    <t>Landmark</t>
  </si>
  <si>
    <t>Middle</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</si>
  <si>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</si>
  <si>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</si>
  <si>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</si>
  <si>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</si>
  <si>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</si>
  <si>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</si>
  <si>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</si>
  <si>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</si>
  <si>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</si>
  <si>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</si>
  <si>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</si>
  <si>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</si>
  <si>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</si>
  <si>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</si>
  <si>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</si>
  <si>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</si>
  <si>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</si>
  <si>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</si>
  <si>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</si>
  <si>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</si>
  <si>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</si>
  <si>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</si>
  <si>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</si>
  <si>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</si>
  <si>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</si>
  <si>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</si>
  <si>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</si>
  <si>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</si>
  <si>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</si>
  <si>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</si>
  <si>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</si>
  <si>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</si>
  <si>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</si>
  <si>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</si>
  <si>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</si>
  <si>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</si>
  <si>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</si>
  <si>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</si>
  <si>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</si>
  <si>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</si>
  <si>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</si>
  <si>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</si>
  <si>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</si>
  <si>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</si>
  <si>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</si>
  <si>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</si>
  <si>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</si>
  <si>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</si>
  <si>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</si>
  <si>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</si>
  <si>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</si>
  <si>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</si>
  <si>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</si>
  <si>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</si>
  <si>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</si>
  <si>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</si>
  <si>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</si>
  <si>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</si>
  <si>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</si>
  <si>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</si>
  <si>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</si>
  <si>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</si>
  <si>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</si>
  <si>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</si>
  <si>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</si>
  <si>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</si>
  <si>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</si>
  <si>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</si>
  <si>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Unit Details, Nomenclature and Area Details (Flats)</t>
  </si>
  <si>
    <t>*</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</si>
  <si>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</si>
  <si>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</si>
  <si>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</si>
  <si>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Net Plot Area (In Sq.Mt)</t>
  </si>
  <si>
    <t>9m</t>
  </si>
  <si>
    <t>Unit Details, Nomenclature and Area Details (Commercial)</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</si>
  <si>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</si>
  <si>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</si>
  <si>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</si>
  <si>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</si>
  <si>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</si>
  <si>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</si>
  <si>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</si>
  <si>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</si>
  <si>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</si>
  <si>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</si>
  <si>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</si>
  <si>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</si>
  <si>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</si>
  <si>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</si>
  <si>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</si>
  <si>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</si>
  <si>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</si>
  <si>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</si>
  <si>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</si>
  <si>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</si>
  <si>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</si>
  <si>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</si>
  <si>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</si>
  <si>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</si>
  <si>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</si>
  <si>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</si>
  <si>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</si>
  <si>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</si>
  <si>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</si>
  <si>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</si>
  <si>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</si>
  <si>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</si>
  <si>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</si>
  <si>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</si>
  <si>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</si>
  <si>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</si>
  <si>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</si>
  <si>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</si>
  <si>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</si>
  <si>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</si>
  <si>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</si>
  <si>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</si>
  <si>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</si>
  <si>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</si>
  <si>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</si>
  <si>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</si>
  <si>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</si>
  <si>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</si>
  <si>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</si>
  <si>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</si>
  <si>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</si>
  <si>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</si>
  <si>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</si>
  <si>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</si>
  <si>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</si>
  <si>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</si>
  <si>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</si>
  <si>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 xml:space="preserve">Tower 1 </t>
  </si>
  <si>
    <t xml:space="preserve">Tower 2 </t>
  </si>
  <si>
    <t xml:space="preserve">Tower 3 </t>
  </si>
  <si>
    <t xml:space="preserve">Tower 4 </t>
  </si>
  <si>
    <t>P52000079895</t>
  </si>
  <si>
    <t xml:space="preserve">Godrej Golf Side Estate II    </t>
  </si>
  <si>
    <t>M/s. Godrej Hillside Properties Private Limited</t>
  </si>
  <si>
    <t>Godrej Golf Side Estate, Off NH 48, Near Godrej City, Panvel, Talegaon, Maharashtra 410506​.</t>
  </si>
  <si>
    <t>Godrej Golf Side Estate II, Plot No. 1/2, 1/2, 1/3, 2/4, 23/2, 55/1, 55/2, Talegaon</t>
  </si>
  <si>
    <t>18.923723,73.184402</t>
  </si>
  <si>
    <t>https://maps.app.goo.gl/GxY8RT6TQo4q9pte8</t>
  </si>
  <si>
    <t>Infinity Icon Panvel</t>
  </si>
  <si>
    <t>5th Floor, Godrej One, Pirojshanagar, Vikhroli East, Eastern Express Highway, Vikhroli, Tal. Kurla 400079.</t>
  </si>
  <si>
    <t>Godrej Golf Side Estate II, Near Infinity Icon, Talegaon, Tal. Khalapur, Dist. Raigad 410221.</t>
  </si>
  <si>
    <t>Reservation For Park</t>
  </si>
  <si>
    <t>9.00 Mtr Wide Road</t>
  </si>
  <si>
    <t>Plot No. 12, 13, 14, 15, 16, 17, 18, 19, 20</t>
  </si>
  <si>
    <t>Internal Road</t>
  </si>
  <si>
    <t>Open Plot</t>
  </si>
  <si>
    <t>Kachcha Road</t>
  </si>
  <si>
    <t xml:space="preserve">MSRDC/385/2025/0002/AutoDCR/1 </t>
  </si>
  <si>
    <t>Maharashtra State Road Development Corporation Limited (MSRDC)</t>
  </si>
  <si>
    <t>Axis Bank</t>
  </si>
  <si>
    <t>Plot/
Bunglow
No</t>
  </si>
  <si>
    <t>Plot Area
(Sq.Mt.)</t>
  </si>
  <si>
    <t>Plot Area
(Sq.Ft.)</t>
  </si>
  <si>
    <t>Attached Terrace Area</t>
  </si>
  <si>
    <t xml:space="preserve">Demarkation
Status
</t>
  </si>
  <si>
    <t>Plots</t>
  </si>
  <si>
    <t>33 (Services)</t>
  </si>
  <si>
    <t xml:space="preserve"> - </t>
  </si>
  <si>
    <t>No. of Units</t>
  </si>
  <si>
    <t>Total Builtup Area</t>
  </si>
  <si>
    <t>Plots = 120</t>
  </si>
  <si>
    <t>https://www.godrejproperties.com/mumbai/residential/godrej-golf-side-estate/amenities</t>
  </si>
  <si>
    <t>Health Club, Golf Club, Curated Gardens, Vitrified tiles flooring, Granite Kitchen Platform, Decorative Entrance, Landscaping &amp; Garden, etc.</t>
  </si>
  <si>
    <t>2.6 KM from Bavrai Bus Stop</t>
  </si>
  <si>
    <t>About 6.5KM from Dhirubhai Ambani Hospital</t>
  </si>
  <si>
    <t>About 6.1KM from St. Wilfred's School</t>
  </si>
  <si>
    <t>1. Approx. 5KM from Royal Super Market.
2. Approx. 6KM from New Posri Market.</t>
  </si>
  <si>
    <t>4.3KM from Mohope Railway Station
8.7KM from Chikhale Railway Station</t>
  </si>
  <si>
    <t>Mr. Nitesh Patil</t>
  </si>
  <si>
    <t>Not in Ready Reckonor Site</t>
  </si>
  <si>
    <t>Plot</t>
  </si>
  <si>
    <t>Total Plot Area</t>
  </si>
  <si>
    <t>Ploting Work is not yet started.</t>
  </si>
  <si>
    <t xml:space="preserve">We considered Plot area as per Layout Approved Plan.
</t>
  </si>
  <si>
    <t>Permissible
Built up Area
on Pro rata
FSI
(In Sq.ft)
Plot Area x 1.554</t>
  </si>
  <si>
    <t>OK</t>
  </si>
  <si>
    <t>Approved Layout</t>
  </si>
  <si>
    <t xml:space="preserve">Tax Paid for conversion of land to Non Agriculture use letter No.
Valid Up to: </t>
  </si>
  <si>
    <t>MSA/JAMNBAB/KT.1/10307/KDP/YR/TALEGAON/2024/8250</t>
  </si>
  <si>
    <t>Survey No. 1/2, 1/2, 1/3, 2/4, 23/2, 55/1, 55/2 = 38500sqmt</t>
  </si>
  <si>
    <t>On Plot area</t>
  </si>
  <si>
    <t>Not started</t>
  </si>
  <si>
    <t>Old Int Date</t>
  </si>
  <si>
    <t>&lt; 90</t>
  </si>
  <si>
    <t>Mr. Suraj Khare</t>
  </si>
  <si>
    <t>Mr. Sandeep 9271808528</t>
  </si>
  <si>
    <t>04/07/2025 @ 11:05 AM</t>
  </si>
  <si>
    <t>As discussed with Mr. Sandeep on call (04/07/2025)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</si>
</sst>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b/>
      <sz val="11"/>
      <color rgb="FF000000"/>
      <name val="Calibri"/>
      <family val="2"/>
    </font>
    <font>
      <b/>
      <sz val="9"/>
      <color indexed="81"/>
      <name val="Tahoma"/>
      <family val="2"/>
    </font>
    <font>
      <sz val="9"/>
      <color indexed="81"/>
      <name val="Tahoma"/>
      <family val="2"/>
    </font>
    <font>
      <u/>
      <sz val="11"/>
      <color theme="10"/>
      <name val="Calibri"/>
      <family val="2"/>
    </font>
    <font>
      <u/>
      <sz val="12"/>
      <color theme="10"/>
      <name val="Calibri"/>
      <family val="2"/>
    </font>
    <font>
      <sz val="12"/>
      <name val="Times New Roman"/>
      <family val="1"/>
    </font>
    <font>
      <b/>
      <sz val="16"/>
      <color rgb="FFFF0000"/>
      <name val="Times New Roman"/>
      <family val="1"/>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3">
    <xf numFmtId="0" fontId="0" fillId="0" borderId="0"/>
    <xf numFmtId="0" fontId="1" fillId="0" borderId="0"/>
    <xf numFmtId="0" fontId="24" fillId="0" borderId="0" applyNumberFormat="0" applyFill="0" applyBorder="0" applyAlignment="0" applyProtection="0"/>
  </cellStyleXfs>
  <cellXfs count="171">
    <xf numFmtId="0" fontId="0" fillId="0" borderId="0" xfId="0"/>
    <xf numFmtId="0" fontId="3" fillId="0" borderId="0" xfId="0" applyFont="1" applyAlignment="1">
      <alignment vertical="top"/>
    </xf>
    <xf numFmtId="0" fontId="3" fillId="3" borderId="0" xfId="0" applyFont="1" applyFill="1" applyAlignment="1">
      <alignment vertical="top"/>
    </xf>
    <xf numFmtId="0" fontId="3" fillId="0" borderId="0" xfId="0" applyFont="1" applyAlignment="1">
      <alignment horizontal="center" vertical="top"/>
    </xf>
    <xf numFmtId="9" fontId="4" fillId="4" borderId="1" xfId="1" applyNumberFormat="1" applyFont="1" applyFill="1" applyBorder="1" applyAlignment="1" applyProtection="1">
      <alignment horizontal="center" vertical="center" wrapText="1"/>
      <protection hidden="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9" fillId="0" borderId="0" xfId="0" applyFont="1" applyProtection="1">
      <protection hidden="1"/>
    </xf>
    <xf numFmtId="9" fontId="9" fillId="0" borderId="0" xfId="0" applyNumberFormat="1" applyFont="1" applyProtection="1">
      <protection hidden="1"/>
    </xf>
    <xf numFmtId="0" fontId="9" fillId="0" borderId="16" xfId="0" applyFont="1" applyBorder="1" applyProtection="1">
      <protection hidden="1"/>
    </xf>
    <xf numFmtId="0" fontId="9" fillId="0" borderId="15" xfId="0" applyFont="1" applyBorder="1" applyProtection="1">
      <protection hidden="1"/>
    </xf>
    <xf numFmtId="1" fontId="10" fillId="0" borderId="15" xfId="0" applyNumberFormat="1" applyFont="1" applyBorder="1"/>
    <xf numFmtId="1" fontId="10" fillId="0" borderId="15" xfId="0" applyNumberFormat="1" applyFont="1" applyBorder="1" applyAlignment="1">
      <alignment horizontal="right"/>
    </xf>
    <xf numFmtId="1" fontId="10" fillId="0" borderId="17"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4" borderId="1" xfId="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1" fontId="2" fillId="0" borderId="1" xfId="1" applyNumberFormat="1" applyFont="1" applyBorder="1" applyAlignment="1">
      <alignment horizontal="center" vertical="top" wrapText="1"/>
    </xf>
    <xf numFmtId="1" fontId="5" fillId="0" borderId="1" xfId="1" applyNumberFormat="1"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2" fillId="0" borderId="1" xfId="0" applyFont="1" applyBorder="1" applyAlignment="1">
      <alignment horizontal="center" vertical="top" wrapText="1"/>
    </xf>
    <xf numFmtId="0" fontId="0" fillId="7" borderId="1" xfId="0" applyFill="1" applyBorder="1" applyAlignment="1">
      <alignment horizontal="left" vertical="center" wrapText="1"/>
    </xf>
    <xf numFmtId="0" fontId="16"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7" fillId="0" borderId="1" xfId="0" applyFont="1" applyBorder="1"/>
    <xf numFmtId="1" fontId="17" fillId="0" borderId="1" xfId="0" applyNumberFormat="1" applyFont="1" applyBorder="1"/>
    <xf numFmtId="0" fontId="18" fillId="10" borderId="18" xfId="0" applyFont="1" applyFill="1" applyBorder="1" applyAlignment="1">
      <alignment vertical="center"/>
    </xf>
    <xf numFmtId="0" fontId="18" fillId="10" borderId="18" xfId="0" applyFont="1" applyFill="1" applyBorder="1" applyAlignment="1">
      <alignment horizontal="center" vertical="center"/>
    </xf>
    <xf numFmtId="0" fontId="16" fillId="0" borderId="18" xfId="0" applyFont="1" applyBorder="1" applyAlignment="1">
      <alignment horizontal="right" vertical="center"/>
    </xf>
    <xf numFmtId="0" fontId="16" fillId="0" borderId="18" xfId="0" applyFont="1" applyBorder="1" applyAlignment="1">
      <alignment vertical="center" wrapText="1"/>
    </xf>
    <xf numFmtId="9" fontId="16" fillId="0" borderId="18" xfId="0" applyNumberFormat="1" applyFont="1" applyBorder="1" applyAlignment="1">
      <alignment horizontal="center" vertical="center"/>
    </xf>
    <xf numFmtId="9" fontId="16" fillId="0" borderId="19" xfId="0" applyNumberFormat="1" applyFont="1" applyBorder="1" applyAlignment="1">
      <alignment horizontal="center" vertical="center"/>
    </xf>
    <xf numFmtId="0" fontId="4" fillId="11" borderId="1" xfId="0" applyFont="1" applyFill="1" applyBorder="1" applyAlignment="1">
      <alignment vertical="top" wrapText="1"/>
    </xf>
    <xf numFmtId="0" fontId="8" fillId="4" borderId="1" xfId="1" applyFont="1" applyFill="1" applyBorder="1" applyAlignment="1" applyProtection="1">
      <alignment horizontal="center" vertical="center" wrapText="1"/>
      <protection hidden="1"/>
    </xf>
    <xf numFmtId="0" fontId="0" fillId="0" borderId="1" xfId="0" applyBorder="1" applyAlignment="1">
      <alignment horizontal="center" vertical="center"/>
    </xf>
    <xf numFmtId="0" fontId="14"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0" xfId="0"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Border="1"/>
    <xf numFmtId="0" fontId="0" fillId="0" borderId="1" xfId="0"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Border="1" applyAlignment="1">
      <alignmen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1" fontId="6" fillId="4" borderId="1" xfId="1" applyNumberFormat="1" applyFont="1" applyFill="1" applyBorder="1" applyAlignment="1">
      <alignment horizontal="center" vertical="center" wrapText="1"/>
    </xf>
    <xf numFmtId="14" fontId="4" fillId="4" borderId="1" xfId="0" applyNumberFormat="1" applyFont="1" applyFill="1" applyBorder="1" applyAlignment="1">
      <alignment horizontal="left" vertical="top" wrapText="1"/>
    </xf>
    <xf numFmtId="0" fontId="8" fillId="0" borderId="0" xfId="0" applyFont="1" applyAlignment="1">
      <alignment vertical="top"/>
    </xf>
    <xf numFmtId="0" fontId="24" fillId="0" borderId="0" xfId="2" applyAlignment="1">
      <alignment vertical="top"/>
    </xf>
    <xf numFmtId="0" fontId="4" fillId="4" borderId="1" xfId="0" applyFont="1" applyFill="1" applyBorder="1" applyAlignment="1">
      <alignment horizontal="left" vertical="top" wrapText="1"/>
    </xf>
    <xf numFmtId="0" fontId="4" fillId="0" borderId="1" xfId="0" applyFont="1" applyBorder="1" applyAlignment="1">
      <alignment horizontal="left" vertical="top" wrapText="1"/>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9" fontId="4" fillId="4" borderId="1"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4" borderId="1" xfId="0" applyFont="1" applyFill="1" applyBorder="1" applyAlignment="1">
      <alignment horizontal="center" vertical="top" wrapText="1"/>
    </xf>
    <xf numFmtId="0" fontId="4" fillId="0" borderId="1" xfId="0" applyFont="1" applyBorder="1" applyAlignment="1">
      <alignment horizontal="center" vertical="center"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1" xfId="0" applyFont="1" applyBorder="1" applyAlignment="1">
      <alignment horizontal="center" vertical="top" wrapText="1"/>
    </xf>
    <xf numFmtId="14" fontId="4" fillId="4" borderId="1"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0" fontId="2" fillId="2" borderId="1" xfId="0" applyFont="1" applyFill="1" applyBorder="1" applyAlignment="1">
      <alignment horizontal="center" vertical="top"/>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8" fillId="4" borderId="2" xfId="0" applyFont="1" applyFill="1" applyBorder="1" applyAlignment="1">
      <alignment horizontal="left" vertical="top" wrapText="1"/>
    </xf>
    <xf numFmtId="0" fontId="8" fillId="4" borderId="5" xfId="0" applyFont="1" applyFill="1" applyBorder="1" applyAlignment="1">
      <alignment horizontal="left" vertical="top" wrapText="1"/>
    </xf>
    <xf numFmtId="0" fontId="4" fillId="0" borderId="3" xfId="0" applyFont="1" applyBorder="1" applyAlignment="1">
      <alignment horizontal="left"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1" fontId="5" fillId="0" borderId="2" xfId="1" applyNumberFormat="1" applyFont="1" applyBorder="1" applyAlignment="1">
      <alignment horizontal="center" vertical="top" wrapText="1"/>
    </xf>
    <xf numFmtId="1" fontId="5" fillId="0" borderId="5" xfId="1" applyNumberFormat="1" applyFont="1" applyBorder="1" applyAlignment="1">
      <alignment horizontal="center" vertical="top"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17" fontId="4" fillId="4" borderId="1" xfId="0" applyNumberFormat="1" applyFont="1" applyFill="1" applyBorder="1" applyAlignment="1">
      <alignment horizontal="left" vertical="top" wrapText="1"/>
    </xf>
    <xf numFmtId="2" fontId="4" fillId="4" borderId="1" xfId="0" applyNumberFormat="1" applyFont="1" applyFill="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2" fillId="2" borderId="1" xfId="0" applyFont="1" applyFill="1" applyBorder="1" applyAlignment="1">
      <alignment horizontal="center" vertical="top" wrapText="1"/>
    </xf>
    <xf numFmtId="0" fontId="4" fillId="4" borderId="1" xfId="0" applyFont="1" applyFill="1" applyBorder="1" applyAlignment="1">
      <alignment horizontal="center" vertical="center"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4" fillId="0" borderId="6" xfId="0" applyFont="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9" xfId="0" applyFont="1" applyFill="1" applyBorder="1" applyAlignment="1">
      <alignment horizontal="center"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9" fontId="2" fillId="4" borderId="1" xfId="1" applyNumberFormat="1" applyFont="1" applyFill="1" applyBorder="1" applyAlignment="1" applyProtection="1">
      <alignment horizontal="left" vertical="top" wrapText="1"/>
      <protection hidden="1"/>
    </xf>
    <xf numFmtId="0" fontId="25" fillId="4" borderId="1" xfId="2" applyFont="1" applyFill="1" applyBorder="1" applyAlignment="1">
      <alignment horizontal="left" vertical="top" wrapText="1"/>
    </xf>
    <xf numFmtId="0" fontId="26" fillId="4" borderId="1" xfId="0" applyFont="1" applyFill="1" applyBorder="1" applyAlignment="1">
      <alignment horizontal="left" vertical="top" wrapText="1"/>
    </xf>
    <xf numFmtId="0" fontId="4" fillId="0" borderId="1" xfId="0" applyFont="1" applyBorder="1" applyAlignment="1">
      <alignment horizontal="center" vertical="top" wrapText="1"/>
    </xf>
    <xf numFmtId="0" fontId="7" fillId="0" borderId="12" xfId="0" applyFont="1" applyBorder="1" applyAlignment="1">
      <alignment horizontal="center" vertical="center" wrapText="1"/>
    </xf>
    <xf numFmtId="0" fontId="7" fillId="0" borderId="8" xfId="0" applyFont="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0" fontId="4" fillId="4" borderId="1" xfId="0" applyFont="1" applyFill="1" applyBorder="1" applyAlignment="1">
      <alignment horizontal="left" vertical="top"/>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14" fillId="5" borderId="1" xfId="0" applyFont="1" applyFill="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center"/>
    </xf>
    <xf numFmtId="0" fontId="15" fillId="6" borderId="1" xfId="0" applyFont="1" applyFill="1" applyBorder="1" applyAlignment="1">
      <alignment horizontal="center" vertical="center"/>
    </xf>
    <xf numFmtId="0" fontId="14" fillId="6" borderId="1" xfId="0" applyFont="1" applyFill="1" applyBorder="1" applyAlignment="1">
      <alignment horizontal="center" vertical="center"/>
    </xf>
    <xf numFmtId="0" fontId="14" fillId="0" borderId="1" xfId="0" applyFont="1" applyBorder="1" applyAlignment="1">
      <alignment horizontal="center" vertical="center"/>
    </xf>
    <xf numFmtId="0" fontId="15" fillId="6" borderId="1" xfId="0" applyFont="1" applyFill="1" applyBorder="1" applyAlignment="1">
      <alignment horizontal="center" vertical="center" wrapText="1"/>
    </xf>
    <xf numFmtId="0" fontId="14" fillId="6" borderId="1" xfId="0" applyFont="1" applyFill="1" applyBorder="1" applyAlignment="1">
      <alignment horizontal="center" vertical="center" wrapText="1"/>
    </xf>
    <xf numFmtId="0" fontId="0" fillId="12" borderId="1" xfId="0" applyFill="1" applyBorder="1" applyAlignment="1">
      <alignment horizontal="center" vertical="center" wrapText="1"/>
    </xf>
    <xf numFmtId="0" fontId="14" fillId="13" borderId="1" xfId="0" applyFont="1" applyFill="1" applyBorder="1" applyAlignment="1">
      <alignment horizontal="center" vertical="center"/>
    </xf>
    <xf numFmtId="0" fontId="14" fillId="14" borderId="1" xfId="0" applyFont="1" applyFill="1" applyBorder="1" applyAlignment="1">
      <alignment horizontal="center" vertical="center"/>
    </xf>
    <xf numFmtId="0" fontId="14" fillId="3" borderId="1" xfId="0" applyFont="1" applyFill="1" applyBorder="1" applyAlignment="1">
      <alignment horizontal="center" vertical="center"/>
    </xf>
    <xf numFmtId="14" fontId="3" fillId="0" borderId="0" xfId="0" applyNumberFormat="1" applyFont="1" applyAlignment="1">
      <alignment vertical="top"/>
    </xf>
    <xf numFmtId="14" fontId="8" fillId="4" borderId="1" xfId="0" applyNumberFormat="1" applyFont="1" applyFill="1" applyBorder="1" applyAlignment="1">
      <alignment horizontal="left" vertical="top" wrapText="1"/>
    </xf>
    <xf numFmtId="0" fontId="27" fillId="0" borderId="0" xfId="0" applyFont="1" applyAlignment="1">
      <alignment vertical="top"/>
    </xf>
  </cellXfs>
  <cellStyles count="3">
    <cellStyle name="Hyperlink" xfId="2" builtinId="8"/>
    <cellStyle name="Normal" xfId="0" builtinId="0"/>
    <cellStyle name="Normal 3" xfId="1" xr:uid="{00000000-0005-0000-0000-000002000000}"/>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8</xdr:col>
      <xdr:colOff>358588</xdr:colOff>
      <xdr:row>6</xdr:row>
      <xdr:rowOff>448234</xdr:rowOff>
    </xdr:from>
    <xdr:to>
      <xdr:col>11</xdr:col>
      <xdr:colOff>476899</xdr:colOff>
      <xdr:row>9</xdr:row>
      <xdr:rowOff>244087</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771529" y="3137646"/>
          <a:ext cx="3771429" cy="1600000"/>
        </a:xfrm>
        <a:prstGeom prst="rect">
          <a:avLst/>
        </a:prstGeom>
      </xdr:spPr>
    </xdr:pic>
    <xdr:clientData/>
  </xdr:twoCellAnchor>
  <xdr:twoCellAnchor editAs="oneCell">
    <xdr:from>
      <xdr:col>8</xdr:col>
      <xdr:colOff>2050676</xdr:colOff>
      <xdr:row>44</xdr:row>
      <xdr:rowOff>257735</xdr:rowOff>
    </xdr:from>
    <xdr:to>
      <xdr:col>15</xdr:col>
      <xdr:colOff>281850</xdr:colOff>
      <xdr:row>109</xdr:row>
      <xdr:rowOff>489859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11463617" y="21985941"/>
          <a:ext cx="4304762" cy="3190476"/>
        </a:xfrm>
        <a:prstGeom prst="rect">
          <a:avLst/>
        </a:prstGeom>
      </xdr:spPr>
    </xdr:pic>
    <xdr:clientData/>
  </xdr:twoCellAnchor>
  <xdr:twoCellAnchor>
    <xdr:from>
      <xdr:col>0</xdr:col>
      <xdr:colOff>190501</xdr:colOff>
      <xdr:row>305</xdr:row>
      <xdr:rowOff>168088</xdr:rowOff>
    </xdr:from>
    <xdr:to>
      <xdr:col>7</xdr:col>
      <xdr:colOff>1086971</xdr:colOff>
      <xdr:row>332</xdr:row>
      <xdr:rowOff>201706</xdr:rowOff>
    </xdr:to>
    <xdr:grpSp>
      <xdr:nvGrpSpPr>
        <xdr:cNvPr id="9" name="Group 8">
          <a:extLst>
            <a:ext uri="{FF2B5EF4-FFF2-40B4-BE49-F238E27FC236}">
              <a16:creationId xmlns:a16="http://schemas.microsoft.com/office/drawing/2014/main" id="{00000000-0008-0000-0000-000009000000}"/>
            </a:ext>
          </a:extLst>
        </xdr:cNvPr>
        <xdr:cNvGrpSpPr/>
      </xdr:nvGrpSpPr>
      <xdr:grpSpPr>
        <a:xfrm>
          <a:off x="190501" y="73790735"/>
          <a:ext cx="9132794" cy="6992471"/>
          <a:chOff x="0" y="0"/>
          <a:chExt cx="6881813" cy="3167879"/>
        </a:xfrm>
      </xdr:grpSpPr>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0" y="0"/>
            <a:ext cx="6858000" cy="3167879"/>
          </a:xfrm>
          <a:prstGeom prst="rect">
            <a:avLst/>
          </a:prstGeom>
          <a:ln>
            <a:solidFill>
              <a:schemeClr val="tx1"/>
            </a:solidFill>
          </a:ln>
        </xdr:spPr>
      </xdr:pic>
      <xdr:cxnSp macro="">
        <xdr:nvCxnSpPr>
          <xdr:cNvPr id="11" name="Straight Arrow Connector 10">
            <a:extLst>
              <a:ext uri="{FF2B5EF4-FFF2-40B4-BE49-F238E27FC236}">
                <a16:creationId xmlns:a16="http://schemas.microsoft.com/office/drawing/2014/main" id="{00000000-0008-0000-0000-00000B000000}"/>
              </a:ext>
            </a:extLst>
          </xdr:cNvPr>
          <xdr:cNvCxnSpPr/>
        </xdr:nvCxnSpPr>
        <xdr:spPr>
          <a:xfrm flipH="1" flipV="1">
            <a:off x="6272214" y="1632551"/>
            <a:ext cx="257174" cy="6766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6302808" y="1666382"/>
            <a:ext cx="579005" cy="18466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600" b="1">
                <a:solidFill>
                  <a:srgbClr val="FF0000"/>
                </a:solidFill>
              </a:rPr>
              <a:t>Plot No. 111</a:t>
            </a:r>
            <a:endParaRPr lang="en-IN" sz="600" b="1">
              <a:solidFill>
                <a:srgbClr val="FF0000"/>
              </a:solidFill>
            </a:endParaRPr>
          </a:p>
        </xdr:txBody>
      </xdr:sp>
      <xdr:cxnSp macro="">
        <xdr:nvCxnSpPr>
          <xdr:cNvPr id="13" name="Straight Arrow Connector 12">
            <a:extLst>
              <a:ext uri="{FF2B5EF4-FFF2-40B4-BE49-F238E27FC236}">
                <a16:creationId xmlns:a16="http://schemas.microsoft.com/office/drawing/2014/main" id="{00000000-0008-0000-0000-00000D000000}"/>
              </a:ext>
            </a:extLst>
          </xdr:cNvPr>
          <xdr:cNvCxnSpPr>
            <a:stCxn id="14" idx="2"/>
          </xdr:cNvCxnSpPr>
        </xdr:nvCxnSpPr>
        <xdr:spPr>
          <a:xfrm flipH="1">
            <a:off x="3348040" y="703285"/>
            <a:ext cx="358010" cy="11487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3435783" y="518619"/>
            <a:ext cx="540533" cy="18466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600" b="1">
                <a:solidFill>
                  <a:srgbClr val="FF0000"/>
                </a:solidFill>
              </a:rPr>
              <a:t>Plot No. 49</a:t>
            </a:r>
            <a:endParaRPr lang="en-IN" sz="600" b="1">
              <a:solidFill>
                <a:srgbClr val="FF0000"/>
              </a:solidFill>
            </a:endParaRPr>
          </a:p>
        </xdr:txBody>
      </xdr:sp>
      <xdr:cxnSp macro="">
        <xdr:nvCxnSpPr>
          <xdr:cNvPr id="15" name="Straight Arrow Connector 14">
            <a:extLst>
              <a:ext uri="{FF2B5EF4-FFF2-40B4-BE49-F238E27FC236}">
                <a16:creationId xmlns:a16="http://schemas.microsoft.com/office/drawing/2014/main" id="{00000000-0008-0000-0000-00000F000000}"/>
              </a:ext>
            </a:extLst>
          </xdr:cNvPr>
          <xdr:cNvCxnSpPr>
            <a:stCxn id="16" idx="2"/>
          </xdr:cNvCxnSpPr>
        </xdr:nvCxnSpPr>
        <xdr:spPr>
          <a:xfrm flipH="1">
            <a:off x="4691065" y="703285"/>
            <a:ext cx="358010" cy="11487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 name="TextBox 16">
            <a:extLst>
              <a:ext uri="{FF2B5EF4-FFF2-40B4-BE49-F238E27FC236}">
                <a16:creationId xmlns:a16="http://schemas.microsoft.com/office/drawing/2014/main" id="{00000000-0008-0000-0000-000010000000}"/>
              </a:ext>
            </a:extLst>
          </xdr:cNvPr>
          <xdr:cNvSpPr txBox="1"/>
        </xdr:nvSpPr>
        <xdr:spPr>
          <a:xfrm>
            <a:off x="4778808" y="518619"/>
            <a:ext cx="540533" cy="18466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600" b="1">
                <a:solidFill>
                  <a:srgbClr val="FF0000"/>
                </a:solidFill>
              </a:rPr>
              <a:t>Plot No. 73</a:t>
            </a:r>
            <a:endParaRPr lang="en-IN" sz="600" b="1">
              <a:solidFill>
                <a:srgbClr val="FF0000"/>
              </a:solidFill>
            </a:endParaRPr>
          </a:p>
        </xdr:txBody>
      </xdr:sp>
      <xdr:cxnSp macro="">
        <xdr:nvCxnSpPr>
          <xdr:cNvPr id="17" name="Straight Arrow Connector 16">
            <a:extLst>
              <a:ext uri="{FF2B5EF4-FFF2-40B4-BE49-F238E27FC236}">
                <a16:creationId xmlns:a16="http://schemas.microsoft.com/office/drawing/2014/main" id="{00000000-0008-0000-0000-000011000000}"/>
              </a:ext>
            </a:extLst>
          </xdr:cNvPr>
          <xdr:cNvCxnSpPr>
            <a:stCxn id="18" idx="2"/>
          </xdr:cNvCxnSpPr>
        </xdr:nvCxnSpPr>
        <xdr:spPr>
          <a:xfrm flipH="1">
            <a:off x="1658942" y="209079"/>
            <a:ext cx="358008" cy="11487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8" name="TextBox 18">
            <a:extLst>
              <a:ext uri="{FF2B5EF4-FFF2-40B4-BE49-F238E27FC236}">
                <a16:creationId xmlns:a16="http://schemas.microsoft.com/office/drawing/2014/main" id="{00000000-0008-0000-0000-000012000000}"/>
              </a:ext>
            </a:extLst>
          </xdr:cNvPr>
          <xdr:cNvSpPr txBox="1"/>
        </xdr:nvSpPr>
        <xdr:spPr>
          <a:xfrm>
            <a:off x="1746683" y="24413"/>
            <a:ext cx="540533" cy="18466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600" b="1">
                <a:solidFill>
                  <a:srgbClr val="FF0000"/>
                </a:solidFill>
              </a:rPr>
              <a:t>Plot No. 44</a:t>
            </a:r>
            <a:endParaRPr lang="en-IN" sz="600" b="1">
              <a:solidFill>
                <a:srgbClr val="FF0000"/>
              </a:solidFill>
            </a:endParaRPr>
          </a:p>
        </xdr:txBody>
      </xdr:sp>
      <xdr:cxnSp macro="">
        <xdr:nvCxnSpPr>
          <xdr:cNvPr id="19" name="Straight Arrow Connector 18">
            <a:extLst>
              <a:ext uri="{FF2B5EF4-FFF2-40B4-BE49-F238E27FC236}">
                <a16:creationId xmlns:a16="http://schemas.microsoft.com/office/drawing/2014/main" id="{00000000-0008-0000-0000-000013000000}"/>
              </a:ext>
            </a:extLst>
          </xdr:cNvPr>
          <xdr:cNvCxnSpPr>
            <a:stCxn id="20" idx="2"/>
          </xdr:cNvCxnSpPr>
        </xdr:nvCxnSpPr>
        <xdr:spPr>
          <a:xfrm flipH="1">
            <a:off x="2719766" y="2247429"/>
            <a:ext cx="358008" cy="11487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0" name="TextBox 21">
            <a:extLst>
              <a:ext uri="{FF2B5EF4-FFF2-40B4-BE49-F238E27FC236}">
                <a16:creationId xmlns:a16="http://schemas.microsoft.com/office/drawing/2014/main" id="{00000000-0008-0000-0000-000014000000}"/>
              </a:ext>
            </a:extLst>
          </xdr:cNvPr>
          <xdr:cNvSpPr txBox="1"/>
        </xdr:nvSpPr>
        <xdr:spPr>
          <a:xfrm>
            <a:off x="2807507" y="2062763"/>
            <a:ext cx="540533" cy="18466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600" b="1">
                <a:solidFill>
                  <a:srgbClr val="FF0000"/>
                </a:solidFill>
              </a:rPr>
              <a:t>Plot No. 12</a:t>
            </a:r>
            <a:endParaRPr lang="en-IN" sz="600" b="1">
              <a:solidFill>
                <a:srgbClr val="FF0000"/>
              </a:solidFill>
            </a:endParaRPr>
          </a:p>
        </xdr:txBody>
      </xdr:sp>
      <xdr:cxnSp macro="">
        <xdr:nvCxnSpPr>
          <xdr:cNvPr id="21" name="Straight Arrow Connector 20">
            <a:extLst>
              <a:ext uri="{FF2B5EF4-FFF2-40B4-BE49-F238E27FC236}">
                <a16:creationId xmlns:a16="http://schemas.microsoft.com/office/drawing/2014/main" id="{00000000-0008-0000-0000-000015000000}"/>
              </a:ext>
            </a:extLst>
          </xdr:cNvPr>
          <xdr:cNvCxnSpPr>
            <a:stCxn id="22" idx="2"/>
          </xdr:cNvCxnSpPr>
        </xdr:nvCxnSpPr>
        <xdr:spPr>
          <a:xfrm flipH="1">
            <a:off x="5831266" y="2825279"/>
            <a:ext cx="377244" cy="11487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2" name="TextBox 24">
            <a:extLst>
              <a:ext uri="{FF2B5EF4-FFF2-40B4-BE49-F238E27FC236}">
                <a16:creationId xmlns:a16="http://schemas.microsoft.com/office/drawing/2014/main" id="{00000000-0008-0000-0000-000016000000}"/>
              </a:ext>
            </a:extLst>
          </xdr:cNvPr>
          <xdr:cNvSpPr txBox="1"/>
        </xdr:nvSpPr>
        <xdr:spPr>
          <a:xfrm>
            <a:off x="5919007" y="2640613"/>
            <a:ext cx="579005" cy="18466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600" b="1">
                <a:solidFill>
                  <a:srgbClr val="FF0000"/>
                </a:solidFill>
              </a:rPr>
              <a:t>Plot No. 120</a:t>
            </a:r>
            <a:endParaRPr lang="en-IN" sz="600" b="1">
              <a:solidFill>
                <a:srgbClr val="FF0000"/>
              </a:solidFill>
            </a:endParaRPr>
          </a:p>
        </xdr:txBody>
      </xdr:sp>
      <xdr:cxnSp macro="">
        <xdr:nvCxnSpPr>
          <xdr:cNvPr id="23" name="Straight Arrow Connector 22">
            <a:extLst>
              <a:ext uri="{FF2B5EF4-FFF2-40B4-BE49-F238E27FC236}">
                <a16:creationId xmlns:a16="http://schemas.microsoft.com/office/drawing/2014/main" id="{00000000-0008-0000-0000-000017000000}"/>
              </a:ext>
            </a:extLst>
          </xdr:cNvPr>
          <xdr:cNvCxnSpPr>
            <a:stCxn id="24" idx="0"/>
          </xdr:cNvCxnSpPr>
        </xdr:nvCxnSpPr>
        <xdr:spPr>
          <a:xfrm flipH="1" flipV="1">
            <a:off x="4222751" y="2606676"/>
            <a:ext cx="23832" cy="24114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4" name="TextBox 26">
            <a:extLst>
              <a:ext uri="{FF2B5EF4-FFF2-40B4-BE49-F238E27FC236}">
                <a16:creationId xmlns:a16="http://schemas.microsoft.com/office/drawing/2014/main" id="{00000000-0008-0000-0000-000018000000}"/>
              </a:ext>
            </a:extLst>
          </xdr:cNvPr>
          <xdr:cNvSpPr txBox="1"/>
        </xdr:nvSpPr>
        <xdr:spPr>
          <a:xfrm>
            <a:off x="3976316" y="2847824"/>
            <a:ext cx="540533" cy="18466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600" b="1">
                <a:solidFill>
                  <a:srgbClr val="FF0000"/>
                </a:solidFill>
              </a:rPr>
              <a:t>Plot No. 83</a:t>
            </a:r>
            <a:endParaRPr lang="en-IN" sz="600" b="1">
              <a:solidFill>
                <a:srgbClr val="FF0000"/>
              </a:solidFill>
            </a:endParaRPr>
          </a:p>
        </xdr:txBody>
      </xdr:sp>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156132" y="2247428"/>
            <a:ext cx="785061" cy="785061"/>
          </a:xfrm>
          <a:prstGeom prst="rect">
            <a:avLst/>
          </a:prstGeom>
        </xdr:spPr>
      </xdr:pic>
    </xdr:grpSp>
    <xdr:clientData/>
  </xdr:twoCellAnchor>
  <xdr:twoCellAnchor>
    <xdr:from>
      <xdr:col>2</xdr:col>
      <xdr:colOff>33614</xdr:colOff>
      <xdr:row>352</xdr:row>
      <xdr:rowOff>145677</xdr:rowOff>
    </xdr:from>
    <xdr:to>
      <xdr:col>6</xdr:col>
      <xdr:colOff>1176614</xdr:colOff>
      <xdr:row>380</xdr:row>
      <xdr:rowOff>179294</xdr:rowOff>
    </xdr:to>
    <xdr:grpSp>
      <xdr:nvGrpSpPr>
        <xdr:cNvPr id="26" name="Group 25">
          <a:extLst>
            <a:ext uri="{FF2B5EF4-FFF2-40B4-BE49-F238E27FC236}">
              <a16:creationId xmlns:a16="http://schemas.microsoft.com/office/drawing/2014/main" id="{00000000-0008-0000-0000-00001A000000}"/>
            </a:ext>
          </a:extLst>
        </xdr:cNvPr>
        <xdr:cNvGrpSpPr/>
      </xdr:nvGrpSpPr>
      <xdr:grpSpPr>
        <a:xfrm>
          <a:off x="2386849" y="85881883"/>
          <a:ext cx="5839946" cy="7250205"/>
          <a:chOff x="1089000" y="685800"/>
          <a:chExt cx="4680000" cy="6348154"/>
        </a:xfrm>
      </xdr:grpSpPr>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1089000" y="685800"/>
            <a:ext cx="4680000" cy="3321531"/>
          </a:xfrm>
          <a:prstGeom prst="rect">
            <a:avLst/>
          </a:prstGeom>
          <a:ln>
            <a:solidFill>
              <a:schemeClr val="tx1"/>
            </a:solidFill>
          </a:ln>
        </xdr:spPr>
      </xdr:pic>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1089000" y="4133848"/>
            <a:ext cx="4680000" cy="2900106"/>
          </a:xfrm>
          <a:prstGeom prst="rect">
            <a:avLst/>
          </a:prstGeom>
          <a:ln>
            <a:solidFill>
              <a:schemeClr val="tx1"/>
            </a:solidFill>
          </a:ln>
        </xdr:spPr>
      </xdr:pic>
    </xdr:grpSp>
    <xdr:clientData/>
  </xdr:twoCellAnchor>
  <xdr:twoCellAnchor>
    <xdr:from>
      <xdr:col>8</xdr:col>
      <xdr:colOff>1008531</xdr:colOff>
      <xdr:row>257</xdr:row>
      <xdr:rowOff>246524</xdr:rowOff>
    </xdr:from>
    <xdr:to>
      <xdr:col>24</xdr:col>
      <xdr:colOff>304237</xdr:colOff>
      <xdr:row>292</xdr:row>
      <xdr:rowOff>225790</xdr:rowOff>
    </xdr:to>
    <xdr:grpSp>
      <xdr:nvGrpSpPr>
        <xdr:cNvPr id="29" name="Group 28">
          <a:extLst>
            <a:ext uri="{FF2B5EF4-FFF2-40B4-BE49-F238E27FC236}">
              <a16:creationId xmlns:a16="http://schemas.microsoft.com/office/drawing/2014/main" id="{00000000-0008-0000-0000-00001D000000}"/>
            </a:ext>
          </a:extLst>
        </xdr:cNvPr>
        <xdr:cNvGrpSpPr/>
      </xdr:nvGrpSpPr>
      <xdr:grpSpPr>
        <a:xfrm>
          <a:off x="10421472" y="61497877"/>
          <a:ext cx="9000000" cy="9000001"/>
          <a:chOff x="-1677666" y="0"/>
          <a:chExt cx="10213333" cy="7142667"/>
        </a:xfrm>
      </xdr:grpSpPr>
      <xdr:grpSp>
        <xdr:nvGrpSpPr>
          <xdr:cNvPr id="30" name="Group 29">
            <a:extLst>
              <a:ext uri="{FF2B5EF4-FFF2-40B4-BE49-F238E27FC236}">
                <a16:creationId xmlns:a16="http://schemas.microsoft.com/office/drawing/2014/main" id="{00000000-0008-0000-0000-00001E000000}"/>
              </a:ext>
            </a:extLst>
          </xdr:cNvPr>
          <xdr:cNvGrpSpPr/>
        </xdr:nvGrpSpPr>
        <xdr:grpSpPr>
          <a:xfrm>
            <a:off x="757360" y="5342667"/>
            <a:ext cx="5343280" cy="1800000"/>
            <a:chOff x="1514720" y="7344000"/>
            <a:chExt cx="5343280" cy="1800000"/>
          </a:xfrm>
        </xdr:grpSpPr>
        <xdr:pic>
          <xdr:nvPicPr>
            <xdr:cNvPr id="39" name="Pictur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4036568" y="7344000"/>
              <a:ext cx="1348125" cy="1800000"/>
            </a:xfrm>
            <a:prstGeom prst="rect">
              <a:avLst/>
            </a:prstGeom>
            <a:ln>
              <a:solidFill>
                <a:schemeClr val="tx1"/>
              </a:solidFill>
            </a:ln>
          </xdr:spPr>
        </xdr:pic>
        <xdr:pic>
          <xdr:nvPicPr>
            <xdr:cNvPr id="40" name="Picture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5509875" y="7344000"/>
              <a:ext cx="1348125" cy="1800000"/>
            </a:xfrm>
            <a:prstGeom prst="rect">
              <a:avLst/>
            </a:prstGeom>
            <a:ln>
              <a:solidFill>
                <a:schemeClr val="tx1"/>
              </a:solidFill>
            </a:ln>
          </xdr:spPr>
        </xdr:pic>
        <xdr:pic>
          <xdr:nvPicPr>
            <xdr:cNvPr id="41" name="Picture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514720" y="7344000"/>
              <a:ext cx="2396666" cy="1800000"/>
            </a:xfrm>
            <a:prstGeom prst="rect">
              <a:avLst/>
            </a:prstGeom>
            <a:ln>
              <a:solidFill>
                <a:schemeClr val="tx1"/>
              </a:solidFill>
            </a:ln>
          </xdr:spPr>
        </xdr:pic>
      </xdr:grpSp>
      <xdr:grpSp>
        <xdr:nvGrpSpPr>
          <xdr:cNvPr id="31" name="Group 30">
            <a:extLst>
              <a:ext uri="{FF2B5EF4-FFF2-40B4-BE49-F238E27FC236}">
                <a16:creationId xmlns:a16="http://schemas.microsoft.com/office/drawing/2014/main" id="{00000000-0008-0000-0000-00001F000000}"/>
              </a:ext>
            </a:extLst>
          </xdr:cNvPr>
          <xdr:cNvGrpSpPr/>
        </xdr:nvGrpSpPr>
        <xdr:grpSpPr>
          <a:xfrm>
            <a:off x="-1003604" y="2670401"/>
            <a:ext cx="8865209" cy="2520000"/>
            <a:chOff x="674061" y="2635895"/>
            <a:chExt cx="8865209" cy="2520000"/>
          </a:xfrm>
        </xdr:grpSpPr>
        <xdr:pic>
          <xdr:nvPicPr>
            <xdr:cNvPr id="36" name="Picture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4162978" y="2635895"/>
              <a:ext cx="1887375" cy="2520000"/>
            </a:xfrm>
            <a:prstGeom prst="rect">
              <a:avLst/>
            </a:prstGeom>
            <a:ln>
              <a:solidFill>
                <a:schemeClr val="tx1"/>
              </a:solidFill>
            </a:ln>
          </xdr:spPr>
        </xdr:pic>
        <xdr:pic>
          <xdr:nvPicPr>
            <xdr:cNvPr id="37" name="Picture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6183937" y="2635895"/>
              <a:ext cx="3355333" cy="2520000"/>
            </a:xfrm>
            <a:prstGeom prst="rect">
              <a:avLst/>
            </a:prstGeom>
            <a:ln>
              <a:solidFill>
                <a:schemeClr val="tx1"/>
              </a:solidFill>
            </a:ln>
          </xdr:spPr>
        </xdr:pic>
        <xdr:pic>
          <xdr:nvPicPr>
            <xdr:cNvPr id="38" name="Pictur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674061" y="2635895"/>
              <a:ext cx="3355333" cy="2520000"/>
            </a:xfrm>
            <a:prstGeom prst="rect">
              <a:avLst/>
            </a:prstGeom>
            <a:ln>
              <a:solidFill>
                <a:schemeClr val="tx1"/>
              </a:solidFill>
            </a:ln>
          </xdr:spPr>
        </xdr:pic>
      </xdr:grpSp>
      <xdr:grpSp>
        <xdr:nvGrpSpPr>
          <xdr:cNvPr id="32" name="Group 31">
            <a:extLst>
              <a:ext uri="{FF2B5EF4-FFF2-40B4-BE49-F238E27FC236}">
                <a16:creationId xmlns:a16="http://schemas.microsoft.com/office/drawing/2014/main" id="{00000000-0008-0000-0000-000020000000}"/>
              </a:ext>
            </a:extLst>
          </xdr:cNvPr>
          <xdr:cNvGrpSpPr/>
        </xdr:nvGrpSpPr>
        <xdr:grpSpPr>
          <a:xfrm>
            <a:off x="-1677666" y="0"/>
            <a:ext cx="10213333" cy="2520000"/>
            <a:chOff x="0" y="0"/>
            <a:chExt cx="10213333" cy="2520000"/>
          </a:xfrm>
        </xdr:grpSpPr>
        <xdr:pic>
          <xdr:nvPicPr>
            <xdr:cNvPr id="33" name="Pictur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0" y="0"/>
              <a:ext cx="3355333" cy="2520000"/>
            </a:xfrm>
            <a:prstGeom prst="rect">
              <a:avLst/>
            </a:prstGeom>
            <a:ln>
              <a:solidFill>
                <a:schemeClr val="tx1"/>
              </a:solidFill>
            </a:ln>
          </xdr:spPr>
        </xdr:pic>
        <xdr:pic>
          <xdr:nvPicPr>
            <xdr:cNvPr id="34" name="Picture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3429000" y="0"/>
              <a:ext cx="3355333" cy="2520000"/>
            </a:xfrm>
            <a:prstGeom prst="rect">
              <a:avLst/>
            </a:prstGeom>
            <a:ln>
              <a:solidFill>
                <a:schemeClr val="tx1"/>
              </a:solidFill>
            </a:ln>
          </xdr:spPr>
        </xdr:pic>
        <xdr:pic>
          <xdr:nvPicPr>
            <xdr:cNvPr id="35" name="Picture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6858000" y="0"/>
              <a:ext cx="3355333" cy="2520000"/>
            </a:xfrm>
            <a:prstGeom prst="rect">
              <a:avLst/>
            </a:prstGeom>
            <a:ln>
              <a:solidFill>
                <a:schemeClr val="tx1"/>
              </a:solidFill>
            </a:ln>
          </xdr:spPr>
        </xdr:pic>
      </xdr:grpSp>
    </xdr:grpSp>
    <xdr:clientData/>
  </xdr:twoCellAnchor>
  <xdr:twoCellAnchor>
    <xdr:from>
      <xdr:col>0</xdr:col>
      <xdr:colOff>571499</xdr:colOff>
      <xdr:row>258</xdr:row>
      <xdr:rowOff>22411</xdr:rowOff>
    </xdr:from>
    <xdr:to>
      <xdr:col>7</xdr:col>
      <xdr:colOff>661146</xdr:colOff>
      <xdr:row>287</xdr:row>
      <xdr:rowOff>246528</xdr:rowOff>
    </xdr:to>
    <xdr:grpSp>
      <xdr:nvGrpSpPr>
        <xdr:cNvPr id="42" name="Group 41">
          <a:extLst>
            <a:ext uri="{FF2B5EF4-FFF2-40B4-BE49-F238E27FC236}">
              <a16:creationId xmlns:a16="http://schemas.microsoft.com/office/drawing/2014/main" id="{276580D1-EA1F-4430-AE9E-B113776259CF}"/>
            </a:ext>
          </a:extLst>
        </xdr:cNvPr>
        <xdr:cNvGrpSpPr/>
      </xdr:nvGrpSpPr>
      <xdr:grpSpPr>
        <a:xfrm>
          <a:off x="571499" y="61531499"/>
          <a:ext cx="8325971" cy="7698441"/>
          <a:chOff x="901233" y="368673"/>
          <a:chExt cx="4793333" cy="5886655"/>
        </a:xfrm>
      </xdr:grpSpPr>
      <xdr:pic>
        <xdr:nvPicPr>
          <xdr:cNvPr id="43" name="Picture 42">
            <a:extLst>
              <a:ext uri="{FF2B5EF4-FFF2-40B4-BE49-F238E27FC236}">
                <a16:creationId xmlns:a16="http://schemas.microsoft.com/office/drawing/2014/main" id="{54564980-CB2E-4561-82C0-DF32899097B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tretch>
            <a:fillRect/>
          </a:stretch>
        </xdr:blipFill>
        <xdr:spPr>
          <a:xfrm>
            <a:off x="901233" y="368673"/>
            <a:ext cx="4793333" cy="3600000"/>
          </a:xfrm>
          <a:prstGeom prst="rect">
            <a:avLst/>
          </a:prstGeom>
          <a:ln>
            <a:solidFill>
              <a:schemeClr val="tx1"/>
            </a:solidFill>
          </a:ln>
        </xdr:spPr>
      </xdr:pic>
      <xdr:pic>
        <xdr:nvPicPr>
          <xdr:cNvPr id="44" name="Picture 43">
            <a:extLst>
              <a:ext uri="{FF2B5EF4-FFF2-40B4-BE49-F238E27FC236}">
                <a16:creationId xmlns:a16="http://schemas.microsoft.com/office/drawing/2014/main" id="{65C87245-6A51-41CD-A8D2-CDF6B65EFF96}"/>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1624842" y="4095328"/>
            <a:ext cx="1617750" cy="2160000"/>
          </a:xfrm>
          <a:prstGeom prst="rect">
            <a:avLst/>
          </a:prstGeom>
          <a:ln>
            <a:solidFill>
              <a:schemeClr val="tx1"/>
            </a:solidFill>
          </a:ln>
        </xdr:spPr>
      </xdr:pic>
      <xdr:pic>
        <xdr:nvPicPr>
          <xdr:cNvPr id="45" name="Picture 44">
            <a:extLst>
              <a:ext uri="{FF2B5EF4-FFF2-40B4-BE49-F238E27FC236}">
                <a16:creationId xmlns:a16="http://schemas.microsoft.com/office/drawing/2014/main" id="{C35114B6-98D7-4BE2-B558-A04CA3C135CA}"/>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3357283" y="4095328"/>
            <a:ext cx="1617750" cy="2160000"/>
          </a:xfrm>
          <a:prstGeom prst="rect">
            <a:avLst/>
          </a:prstGeom>
          <a:ln>
            <a:solidFill>
              <a:schemeClr val="tx1"/>
            </a:solidFill>
          </a:ln>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www.godrejproperties.com/mumbai/residential/godrej-golf-side-estate/amenities" TargetMode="External"/><Relationship Id="rId1" Type="http://schemas.openxmlformats.org/officeDocument/2006/relationships/hyperlink" Target="https://maps.app.goo.gl/GxY8RT6TQo4q9pte8" TargetMode="External"/><Relationship Id="rId6" Type="http://schemas.openxmlformats.org/officeDocument/2006/relationships/vmlDrawing" Target="../drawings/vmlDrawing2.v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C393"/>
  <sheetViews>
    <sheetView tabSelected="1" view="pageBreakPreview" zoomScale="85" zoomScaleNormal="85" zoomScaleSheetLayoutView="85" zoomScalePageLayoutView="70" workbookViewId="0">
      <selection activeCell="I6" sqref="I6"/>
    </sheetView>
  </sheetViews>
  <sheetFormatPr defaultColWidth="9.140625" defaultRowHeight="17.100000000000001" customHeight="1" x14ac:dyDescent="0.25"/>
  <cols>
    <col min="1" max="7" width="17.5703125" style="1" customWidth="1"/>
    <col min="8" max="8" width="17.5703125" style="3" customWidth="1"/>
    <col min="9" max="9" width="33.85546875" style="1" customWidth="1"/>
    <col min="10" max="10" width="12" style="1" bestFit="1" customWidth="1"/>
    <col min="11" max="19" width="9.140625" style="1"/>
    <col min="20" max="22" width="0" style="1" hidden="1" customWidth="1"/>
    <col min="23" max="25" width="9.140625" style="1"/>
    <col min="26" max="26" width="7.85546875" style="1" customWidth="1"/>
    <col min="27" max="16384" width="9.140625" style="1"/>
  </cols>
  <sheetData>
    <row r="1" spans="1:11" ht="20.25" x14ac:dyDescent="0.25">
      <c r="A1" s="118" t="s">
        <v>38</v>
      </c>
      <c r="B1" s="119"/>
      <c r="C1" s="119"/>
      <c r="D1" s="119"/>
      <c r="E1" s="119"/>
      <c r="F1" s="119"/>
      <c r="G1" s="119"/>
      <c r="H1" s="120"/>
      <c r="J1" s="1" t="s">
        <v>349</v>
      </c>
    </row>
    <row r="2" spans="1:11" ht="42" customHeight="1" x14ac:dyDescent="0.25">
      <c r="A2" s="74" t="s">
        <v>10</v>
      </c>
      <c r="B2" s="74"/>
      <c r="C2" s="73" t="s">
        <v>87</v>
      </c>
      <c r="D2" s="73"/>
      <c r="E2" s="74" t="s">
        <v>12</v>
      </c>
      <c r="F2" s="74"/>
      <c r="G2" s="88">
        <v>45840</v>
      </c>
      <c r="H2" s="88"/>
      <c r="I2" s="168"/>
      <c r="J2" s="169">
        <v>45755</v>
      </c>
      <c r="K2" s="169"/>
    </row>
    <row r="3" spans="1:11" ht="42.75" customHeight="1" x14ac:dyDescent="0.25">
      <c r="A3" s="74" t="s">
        <v>39</v>
      </c>
      <c r="B3" s="74"/>
      <c r="C3" s="89" t="s">
        <v>299</v>
      </c>
      <c r="D3" s="89"/>
      <c r="E3" s="74" t="s">
        <v>155</v>
      </c>
      <c r="F3" s="74"/>
      <c r="G3" s="73" t="s">
        <v>353</v>
      </c>
      <c r="H3" s="73"/>
      <c r="I3" s="1">
        <f>G2-J2</f>
        <v>85</v>
      </c>
      <c r="J3" s="1" t="s">
        <v>350</v>
      </c>
    </row>
    <row r="4" spans="1:11" ht="43.5" customHeight="1" x14ac:dyDescent="0.25">
      <c r="A4" s="74" t="s">
        <v>36</v>
      </c>
      <c r="B4" s="74"/>
      <c r="C4" s="73" t="s">
        <v>352</v>
      </c>
      <c r="D4" s="73"/>
      <c r="E4" s="74" t="s">
        <v>33</v>
      </c>
      <c r="F4" s="74"/>
      <c r="G4" s="73" t="str">
        <f ca="1">TEXT(TODAY(),"DD/MM/YYYY")</f>
        <v>05/07/2025</v>
      </c>
      <c r="H4" s="73"/>
    </row>
    <row r="5" spans="1:11" ht="20.25" x14ac:dyDescent="0.25">
      <c r="A5" s="96" t="s">
        <v>40</v>
      </c>
      <c r="B5" s="96"/>
      <c r="C5" s="96"/>
      <c r="D5" s="96"/>
      <c r="E5" s="96"/>
      <c r="F5" s="96"/>
      <c r="G5" s="96"/>
      <c r="H5" s="96"/>
    </row>
    <row r="6" spans="1:11" ht="43.5" customHeight="1" x14ac:dyDescent="0.25">
      <c r="A6" s="74" t="s">
        <v>29</v>
      </c>
      <c r="B6" s="74"/>
      <c r="C6" s="73" t="s">
        <v>90</v>
      </c>
      <c r="D6" s="73"/>
      <c r="E6" s="74" t="s">
        <v>35</v>
      </c>
      <c r="F6" s="74"/>
      <c r="G6" s="73" t="s">
        <v>351</v>
      </c>
      <c r="H6" s="73"/>
    </row>
    <row r="7" spans="1:11" ht="48.75" customHeight="1" x14ac:dyDescent="0.25">
      <c r="A7" s="74" t="s">
        <v>42</v>
      </c>
      <c r="B7" s="74"/>
      <c r="C7" s="73" t="s">
        <v>300</v>
      </c>
      <c r="D7" s="73"/>
      <c r="E7" s="74" t="s">
        <v>43</v>
      </c>
      <c r="F7" s="74"/>
      <c r="G7" s="73" t="s">
        <v>300</v>
      </c>
      <c r="H7" s="73"/>
    </row>
    <row r="8" spans="1:11" ht="48.75" customHeight="1" x14ac:dyDescent="0.25">
      <c r="A8" s="74" t="s">
        <v>44</v>
      </c>
      <c r="B8" s="74"/>
      <c r="C8" s="73" t="s">
        <v>306</v>
      </c>
      <c r="D8" s="73"/>
      <c r="E8" s="73"/>
      <c r="F8" s="73"/>
      <c r="G8" s="73"/>
      <c r="H8" s="73"/>
    </row>
    <row r="9" spans="1:11" ht="45" customHeight="1" x14ac:dyDescent="0.25">
      <c r="A9" s="84" t="s">
        <v>146</v>
      </c>
      <c r="B9" s="32" t="s">
        <v>41</v>
      </c>
      <c r="C9" s="73" t="s">
        <v>301</v>
      </c>
      <c r="D9" s="73"/>
      <c r="E9" s="73"/>
      <c r="F9" s="73"/>
      <c r="G9" s="73"/>
      <c r="H9" s="73"/>
    </row>
    <row r="10" spans="1:11" ht="42" customHeight="1" x14ac:dyDescent="0.25">
      <c r="A10" s="84"/>
      <c r="B10" s="32" t="s">
        <v>11</v>
      </c>
      <c r="C10" s="73" t="s">
        <v>302</v>
      </c>
      <c r="D10" s="73"/>
      <c r="E10" s="73"/>
      <c r="F10" s="73"/>
      <c r="G10" s="73"/>
      <c r="H10" s="73"/>
    </row>
    <row r="11" spans="1:11" ht="42" customHeight="1" x14ac:dyDescent="0.25">
      <c r="A11" s="84"/>
      <c r="B11" s="32" t="s">
        <v>5</v>
      </c>
      <c r="C11" s="73" t="s">
        <v>307</v>
      </c>
      <c r="D11" s="73"/>
      <c r="E11" s="73"/>
      <c r="F11" s="73"/>
      <c r="G11" s="73"/>
      <c r="H11" s="73"/>
    </row>
    <row r="12" spans="1:11" ht="40.5" customHeight="1" x14ac:dyDescent="0.25">
      <c r="A12" s="74" t="s">
        <v>34</v>
      </c>
      <c r="B12" s="74"/>
      <c r="C12" s="73" t="s">
        <v>343</v>
      </c>
      <c r="D12" s="73"/>
      <c r="E12" s="73"/>
      <c r="F12" s="73"/>
      <c r="G12" s="73"/>
      <c r="H12" s="73"/>
    </row>
    <row r="13" spans="1:11" ht="20.100000000000001" customHeight="1" x14ac:dyDescent="0.25">
      <c r="A13" s="96" t="s">
        <v>45</v>
      </c>
      <c r="B13" s="96"/>
      <c r="C13" s="96"/>
      <c r="D13" s="96"/>
      <c r="E13" s="96"/>
      <c r="F13" s="96"/>
      <c r="G13" s="96"/>
      <c r="H13" s="96"/>
    </row>
    <row r="14" spans="1:11" ht="67.5" customHeight="1" x14ac:dyDescent="0.25">
      <c r="A14" s="74" t="s">
        <v>27</v>
      </c>
      <c r="B14" s="74" t="s">
        <v>4</v>
      </c>
      <c r="C14" s="73" t="s">
        <v>88</v>
      </c>
      <c r="D14" s="73"/>
      <c r="E14" s="74" t="s">
        <v>46</v>
      </c>
      <c r="F14" s="74" t="s">
        <v>4</v>
      </c>
      <c r="G14" s="73" t="s">
        <v>315</v>
      </c>
      <c r="H14" s="73"/>
    </row>
    <row r="15" spans="1:11" ht="41.25" customHeight="1" x14ac:dyDescent="0.25">
      <c r="A15" s="74" t="s">
        <v>47</v>
      </c>
      <c r="B15" s="74" t="s">
        <v>4</v>
      </c>
      <c r="C15" s="73" t="s">
        <v>298</v>
      </c>
      <c r="D15" s="73"/>
      <c r="E15" s="74" t="s">
        <v>48</v>
      </c>
      <c r="F15" s="74" t="s">
        <v>4</v>
      </c>
      <c r="G15" s="88">
        <v>47118</v>
      </c>
      <c r="H15" s="73"/>
    </row>
    <row r="16" spans="1:11" ht="41.25" customHeight="1" x14ac:dyDescent="0.25">
      <c r="A16" s="74" t="s">
        <v>49</v>
      </c>
      <c r="B16" s="74" t="s">
        <v>4</v>
      </c>
      <c r="C16" s="88">
        <v>45744</v>
      </c>
      <c r="D16" s="88"/>
      <c r="E16" s="74" t="s">
        <v>50</v>
      </c>
      <c r="F16" s="74" t="s">
        <v>4</v>
      </c>
      <c r="G16" s="116" t="s">
        <v>348</v>
      </c>
      <c r="H16" s="73"/>
    </row>
    <row r="17" spans="1:9" ht="41.25" customHeight="1" x14ac:dyDescent="0.25">
      <c r="A17" s="74" t="s">
        <v>51</v>
      </c>
      <c r="B17" s="74" t="s">
        <v>4</v>
      </c>
      <c r="C17" s="88">
        <v>47118</v>
      </c>
      <c r="D17" s="73"/>
      <c r="E17" s="74" t="s">
        <v>52</v>
      </c>
      <c r="F17" s="74" t="s">
        <v>4</v>
      </c>
      <c r="G17" s="73" t="s">
        <v>316</v>
      </c>
      <c r="H17" s="73"/>
    </row>
    <row r="18" spans="1:9" ht="41.25" customHeight="1" x14ac:dyDescent="0.25">
      <c r="A18" s="74" t="s">
        <v>53</v>
      </c>
      <c r="B18" s="74" t="s">
        <v>4</v>
      </c>
      <c r="C18" s="73" t="s">
        <v>337</v>
      </c>
      <c r="D18" s="73"/>
      <c r="E18" s="74" t="s">
        <v>93</v>
      </c>
      <c r="F18" s="74" t="s">
        <v>4</v>
      </c>
      <c r="G18" s="73">
        <v>37953.85</v>
      </c>
      <c r="H18" s="73"/>
    </row>
    <row r="19" spans="1:9" ht="41.25" customHeight="1" x14ac:dyDescent="0.25">
      <c r="A19" s="74" t="s">
        <v>54</v>
      </c>
      <c r="B19" s="74" t="s">
        <v>4</v>
      </c>
      <c r="C19" s="73" t="s">
        <v>324</v>
      </c>
      <c r="D19" s="73"/>
      <c r="E19" s="74" t="s">
        <v>234</v>
      </c>
      <c r="F19" s="74" t="s">
        <v>4</v>
      </c>
      <c r="G19" s="73">
        <v>33043.11</v>
      </c>
      <c r="H19" s="73"/>
    </row>
    <row r="20" spans="1:9" ht="41.25" customHeight="1" x14ac:dyDescent="0.25">
      <c r="A20" s="74" t="s">
        <v>91</v>
      </c>
      <c r="B20" s="74" t="s">
        <v>4</v>
      </c>
      <c r="C20" s="73">
        <v>36342.559999999998</v>
      </c>
      <c r="D20" s="73"/>
      <c r="E20" s="74" t="s">
        <v>92</v>
      </c>
      <c r="F20" s="74" t="s">
        <v>4</v>
      </c>
      <c r="G20" s="73" t="s">
        <v>144</v>
      </c>
      <c r="H20" s="73"/>
    </row>
    <row r="21" spans="1:9" ht="41.25" customHeight="1" x14ac:dyDescent="0.25">
      <c r="A21" s="74" t="s">
        <v>56</v>
      </c>
      <c r="B21" s="74" t="s">
        <v>4</v>
      </c>
      <c r="C21" s="73" t="s">
        <v>327</v>
      </c>
      <c r="D21" s="73"/>
      <c r="E21" s="74" t="s">
        <v>55</v>
      </c>
      <c r="F21" s="74" t="s">
        <v>4</v>
      </c>
      <c r="G21" s="73" t="s">
        <v>144</v>
      </c>
      <c r="H21" s="73"/>
    </row>
    <row r="22" spans="1:9" ht="41.25" customHeight="1" x14ac:dyDescent="0.25">
      <c r="A22" s="74" t="s">
        <v>158</v>
      </c>
      <c r="B22" s="74" t="s">
        <v>4</v>
      </c>
      <c r="C22" s="73" t="s">
        <v>303</v>
      </c>
      <c r="D22" s="73"/>
      <c r="E22" s="74" t="s">
        <v>159</v>
      </c>
      <c r="F22" s="74" t="s">
        <v>4</v>
      </c>
      <c r="G22" s="73" t="s">
        <v>305</v>
      </c>
      <c r="H22" s="73"/>
    </row>
    <row r="23" spans="1:9" ht="20.25" x14ac:dyDescent="0.25">
      <c r="A23" s="74" t="s">
        <v>156</v>
      </c>
      <c r="B23" s="74" t="s">
        <v>4</v>
      </c>
      <c r="C23" s="143" t="s">
        <v>304</v>
      </c>
      <c r="D23" s="144"/>
      <c r="E23" s="144"/>
      <c r="F23" s="144"/>
      <c r="G23" s="144"/>
      <c r="H23" s="144"/>
    </row>
    <row r="24" spans="1:9" ht="42" customHeight="1" x14ac:dyDescent="0.25">
      <c r="A24" s="74" t="s">
        <v>25</v>
      </c>
      <c r="B24" s="74" t="s">
        <v>4</v>
      </c>
      <c r="C24" s="73" t="s">
        <v>329</v>
      </c>
      <c r="D24" s="73"/>
      <c r="E24" s="73"/>
      <c r="F24" s="73"/>
      <c r="G24" s="73"/>
      <c r="H24" s="73"/>
      <c r="I24" s="72" t="s">
        <v>328</v>
      </c>
    </row>
    <row r="25" spans="1:9" ht="24" customHeight="1" x14ac:dyDescent="0.25">
      <c r="A25" s="96" t="s">
        <v>20</v>
      </c>
      <c r="B25" s="96"/>
      <c r="C25" s="96"/>
      <c r="D25" s="96"/>
      <c r="E25" s="96"/>
      <c r="F25" s="96"/>
      <c r="G25" s="96"/>
      <c r="H25" s="96"/>
    </row>
    <row r="26" spans="1:9" ht="43.5" customHeight="1" x14ac:dyDescent="0.25">
      <c r="A26" s="74" t="s">
        <v>26</v>
      </c>
      <c r="B26" s="74" t="s">
        <v>4</v>
      </c>
      <c r="C26" s="73" t="str">
        <f>IF(AND(G26="Upper"),"Developed","Developing")</f>
        <v>Developing</v>
      </c>
      <c r="D26" s="73"/>
      <c r="E26" s="74" t="s">
        <v>13</v>
      </c>
      <c r="F26" s="74" t="s">
        <v>4</v>
      </c>
      <c r="G26" s="73" t="s">
        <v>160</v>
      </c>
      <c r="H26" s="73"/>
    </row>
    <row r="27" spans="1:9" ht="43.5" customHeight="1" x14ac:dyDescent="0.25">
      <c r="A27" s="74" t="s">
        <v>14</v>
      </c>
      <c r="B27" s="74" t="s">
        <v>4</v>
      </c>
      <c r="C27" s="73" t="s">
        <v>96</v>
      </c>
      <c r="D27" s="73"/>
      <c r="E27" s="74" t="s">
        <v>147</v>
      </c>
      <c r="F27" s="74" t="s">
        <v>4</v>
      </c>
      <c r="G27" s="73" t="s">
        <v>235</v>
      </c>
      <c r="H27" s="73"/>
    </row>
    <row r="28" spans="1:9" ht="43.5" customHeight="1" x14ac:dyDescent="0.25">
      <c r="A28" s="74" t="s">
        <v>23</v>
      </c>
      <c r="B28" s="74" t="s">
        <v>4</v>
      </c>
      <c r="C28" s="73" t="s">
        <v>95</v>
      </c>
      <c r="D28" s="73"/>
      <c r="E28" s="74" t="s">
        <v>16</v>
      </c>
      <c r="F28" s="74" t="s">
        <v>4</v>
      </c>
      <c r="G28" s="73" t="s">
        <v>330</v>
      </c>
      <c r="H28" s="73"/>
    </row>
    <row r="29" spans="1:9" ht="43.5" customHeight="1" x14ac:dyDescent="0.25">
      <c r="A29" s="74" t="s">
        <v>105</v>
      </c>
      <c r="B29" s="74" t="s">
        <v>4</v>
      </c>
      <c r="C29" s="73" t="s">
        <v>332</v>
      </c>
      <c r="D29" s="73"/>
      <c r="E29" s="74" t="s">
        <v>106</v>
      </c>
      <c r="F29" s="74" t="s">
        <v>4</v>
      </c>
      <c r="G29" s="73" t="s">
        <v>331</v>
      </c>
      <c r="H29" s="73"/>
    </row>
    <row r="30" spans="1:9" ht="84" customHeight="1" x14ac:dyDescent="0.25">
      <c r="A30" s="74" t="s">
        <v>17</v>
      </c>
      <c r="B30" s="74" t="s">
        <v>4</v>
      </c>
      <c r="C30" s="73" t="s">
        <v>333</v>
      </c>
      <c r="D30" s="73"/>
      <c r="E30" s="74" t="s">
        <v>15</v>
      </c>
      <c r="F30" s="74" t="s">
        <v>4</v>
      </c>
      <c r="G30" s="73" t="s">
        <v>334</v>
      </c>
      <c r="H30" s="73"/>
    </row>
    <row r="31" spans="1:9" ht="20.25" x14ac:dyDescent="0.25">
      <c r="A31" s="74" t="s">
        <v>111</v>
      </c>
      <c r="B31" s="74" t="s">
        <v>4</v>
      </c>
      <c r="C31" s="73" t="s">
        <v>112</v>
      </c>
      <c r="D31" s="73"/>
      <c r="E31" s="74" t="s">
        <v>113</v>
      </c>
      <c r="F31" s="74" t="s">
        <v>4</v>
      </c>
      <c r="G31" s="73" t="s">
        <v>112</v>
      </c>
      <c r="H31" s="73"/>
    </row>
    <row r="32" spans="1:9" ht="21.75" customHeight="1" x14ac:dyDescent="0.25">
      <c r="A32" s="74" t="s">
        <v>114</v>
      </c>
      <c r="B32" s="74" t="s">
        <v>4</v>
      </c>
      <c r="C32" s="73" t="s">
        <v>112</v>
      </c>
      <c r="D32" s="73"/>
      <c r="E32" s="73"/>
      <c r="F32" s="73"/>
      <c r="G32" s="73"/>
      <c r="H32" s="73"/>
    </row>
    <row r="33" spans="1:15" ht="20.25" x14ac:dyDescent="0.25">
      <c r="A33" s="121" t="s">
        <v>37</v>
      </c>
      <c r="B33" s="121"/>
      <c r="C33" s="121"/>
      <c r="D33" s="121"/>
      <c r="E33" s="121"/>
      <c r="F33" s="121"/>
      <c r="G33" s="121"/>
      <c r="H33" s="121"/>
    </row>
    <row r="34" spans="1:15" ht="43.5" customHeight="1" x14ac:dyDescent="0.25">
      <c r="A34" s="74" t="s">
        <v>18</v>
      </c>
      <c r="B34" s="74"/>
      <c r="C34" s="73" t="s">
        <v>97</v>
      </c>
      <c r="D34" s="73"/>
      <c r="E34" s="74" t="s">
        <v>19</v>
      </c>
      <c r="F34" s="74" t="s">
        <v>4</v>
      </c>
      <c r="G34" s="73" t="s">
        <v>98</v>
      </c>
      <c r="H34" s="73"/>
    </row>
    <row r="35" spans="1:15" ht="43.5" customHeight="1" x14ac:dyDescent="0.25">
      <c r="A35" s="74" t="s">
        <v>22</v>
      </c>
      <c r="B35" s="74"/>
      <c r="C35" s="73" t="s">
        <v>98</v>
      </c>
      <c r="D35" s="73"/>
      <c r="E35" s="74" t="s">
        <v>32</v>
      </c>
      <c r="F35" s="74" t="s">
        <v>4</v>
      </c>
      <c r="G35" s="73" t="s">
        <v>98</v>
      </c>
      <c r="H35" s="73"/>
    </row>
    <row r="36" spans="1:15" ht="20.25" x14ac:dyDescent="0.25">
      <c r="A36" s="74" t="s">
        <v>31</v>
      </c>
      <c r="B36" s="74"/>
      <c r="C36" s="73" t="s">
        <v>99</v>
      </c>
      <c r="D36" s="73"/>
      <c r="E36" s="74" t="s">
        <v>21</v>
      </c>
      <c r="F36" s="74" t="s">
        <v>4</v>
      </c>
      <c r="G36" s="73" t="s">
        <v>100</v>
      </c>
      <c r="H36" s="73"/>
    </row>
    <row r="37" spans="1:15" ht="20.25" x14ac:dyDescent="0.25">
      <c r="A37" s="96" t="s">
        <v>0</v>
      </c>
      <c r="B37" s="96"/>
      <c r="C37" s="96"/>
      <c r="D37" s="96"/>
      <c r="E37" s="96"/>
      <c r="F37" s="96"/>
      <c r="G37" s="96"/>
      <c r="H37" s="96"/>
    </row>
    <row r="38" spans="1:15" ht="20.25" x14ac:dyDescent="0.25">
      <c r="A38" s="87" t="s">
        <v>0</v>
      </c>
      <c r="B38" s="87"/>
      <c r="C38" s="87" t="s">
        <v>225</v>
      </c>
      <c r="D38" s="87"/>
      <c r="E38" s="87"/>
      <c r="F38" s="87" t="s">
        <v>7</v>
      </c>
      <c r="G38" s="87"/>
      <c r="H38" s="87"/>
      <c r="J38" s="85" t="s">
        <v>1</v>
      </c>
      <c r="K38" s="86"/>
      <c r="L38" s="34" t="s">
        <v>6</v>
      </c>
      <c r="M38" s="85" t="s">
        <v>2</v>
      </c>
      <c r="N38" s="86"/>
      <c r="O38" s="34" t="s">
        <v>3</v>
      </c>
    </row>
    <row r="39" spans="1:15" ht="20.25" x14ac:dyDescent="0.25">
      <c r="A39" s="84" t="s">
        <v>2</v>
      </c>
      <c r="B39" s="84"/>
      <c r="C39" s="83" t="s">
        <v>309</v>
      </c>
      <c r="D39" s="83"/>
      <c r="E39" s="83"/>
      <c r="F39" s="83" t="s">
        <v>311</v>
      </c>
      <c r="G39" s="83"/>
      <c r="H39" s="83"/>
      <c r="I39" s="71" t="s">
        <v>313</v>
      </c>
    </row>
    <row r="40" spans="1:15" ht="20.25" x14ac:dyDescent="0.25">
      <c r="A40" s="84" t="s">
        <v>3</v>
      </c>
      <c r="B40" s="84"/>
      <c r="C40" s="83" t="s">
        <v>309</v>
      </c>
      <c r="D40" s="83"/>
      <c r="E40" s="83"/>
      <c r="F40" s="83" t="s">
        <v>311</v>
      </c>
      <c r="G40" s="83"/>
      <c r="H40" s="83"/>
      <c r="I40" s="71" t="s">
        <v>313</v>
      </c>
    </row>
    <row r="41" spans="1:15" ht="20.25" x14ac:dyDescent="0.25">
      <c r="A41" s="84" t="s">
        <v>1</v>
      </c>
      <c r="B41" s="84"/>
      <c r="C41" s="83" t="s">
        <v>308</v>
      </c>
      <c r="D41" s="83"/>
      <c r="E41" s="83"/>
      <c r="F41" s="83" t="s">
        <v>312</v>
      </c>
      <c r="G41" s="83"/>
      <c r="H41" s="83"/>
    </row>
    <row r="42" spans="1:15" ht="20.25" x14ac:dyDescent="0.25">
      <c r="A42" s="84" t="s">
        <v>6</v>
      </c>
      <c r="B42" s="84"/>
      <c r="C42" s="83" t="s">
        <v>310</v>
      </c>
      <c r="D42" s="83"/>
      <c r="E42" s="83"/>
      <c r="F42" s="83" t="s">
        <v>312</v>
      </c>
      <c r="G42" s="83"/>
      <c r="H42" s="83"/>
    </row>
    <row r="43" spans="1:15" ht="51" customHeight="1" x14ac:dyDescent="0.25">
      <c r="A43" s="74" t="s">
        <v>226</v>
      </c>
      <c r="B43" s="74"/>
      <c r="C43" s="73" t="s">
        <v>95</v>
      </c>
      <c r="D43" s="73"/>
      <c r="E43" s="73"/>
      <c r="F43" s="73"/>
      <c r="G43" s="73"/>
      <c r="H43" s="73"/>
    </row>
    <row r="44" spans="1:15" ht="20.25" hidden="1" x14ac:dyDescent="0.25">
      <c r="A44" s="96" t="s">
        <v>57</v>
      </c>
      <c r="B44" s="96"/>
      <c r="C44" s="96"/>
      <c r="D44" s="96"/>
      <c r="E44" s="96"/>
      <c r="F44" s="96"/>
      <c r="G44" s="96"/>
      <c r="H44" s="96"/>
    </row>
    <row r="45" spans="1:15" ht="21" hidden="1" customHeight="1" x14ac:dyDescent="0.25">
      <c r="A45" s="87" t="s">
        <v>58</v>
      </c>
      <c r="B45" s="87"/>
      <c r="C45" s="34" t="s">
        <v>59</v>
      </c>
      <c r="D45" s="87" t="s">
        <v>145</v>
      </c>
      <c r="E45" s="87"/>
      <c r="F45" s="87"/>
      <c r="G45" s="87" t="s">
        <v>60</v>
      </c>
      <c r="H45" s="87"/>
    </row>
    <row r="46" spans="1:15" ht="20.25" hidden="1" x14ac:dyDescent="0.25">
      <c r="A46" s="145" t="s">
        <v>294</v>
      </c>
      <c r="B46" s="145"/>
      <c r="C46" s="31" t="s">
        <v>89</v>
      </c>
      <c r="D46" s="73"/>
      <c r="E46" s="73"/>
      <c r="F46" s="73"/>
      <c r="G46" s="73"/>
      <c r="H46" s="73"/>
    </row>
    <row r="47" spans="1:15" ht="20.25" hidden="1" x14ac:dyDescent="0.25">
      <c r="A47" s="145" t="s">
        <v>295</v>
      </c>
      <c r="B47" s="145"/>
      <c r="C47" s="31" t="s">
        <v>89</v>
      </c>
      <c r="D47" s="73"/>
      <c r="E47" s="73"/>
      <c r="F47" s="73"/>
      <c r="G47" s="73"/>
      <c r="H47" s="73"/>
    </row>
    <row r="48" spans="1:15" ht="20.25" hidden="1" x14ac:dyDescent="0.25">
      <c r="A48" s="145" t="s">
        <v>296</v>
      </c>
      <c r="B48" s="145"/>
      <c r="C48" s="31" t="s">
        <v>89</v>
      </c>
      <c r="D48" s="73"/>
      <c r="E48" s="73"/>
      <c r="F48" s="73"/>
      <c r="G48" s="73"/>
      <c r="H48" s="73"/>
    </row>
    <row r="49" spans="1:10" ht="20.25" hidden="1" x14ac:dyDescent="0.25">
      <c r="A49" s="145" t="s">
        <v>297</v>
      </c>
      <c r="B49" s="145"/>
      <c r="C49" s="31" t="s">
        <v>89</v>
      </c>
      <c r="D49" s="73"/>
      <c r="E49" s="73"/>
      <c r="F49" s="73"/>
      <c r="G49" s="73"/>
      <c r="H49" s="73"/>
    </row>
    <row r="50" spans="1:10" ht="20.25" x14ac:dyDescent="0.25">
      <c r="A50" s="96" t="s">
        <v>61</v>
      </c>
      <c r="B50" s="96"/>
      <c r="C50" s="96"/>
      <c r="D50" s="96"/>
      <c r="E50" s="96"/>
      <c r="F50" s="96"/>
      <c r="G50" s="96"/>
      <c r="H50" s="96"/>
    </row>
    <row r="51" spans="1:10" ht="42.75" customHeight="1" x14ac:dyDescent="0.25">
      <c r="A51" s="74" t="s">
        <v>62</v>
      </c>
      <c r="B51" s="74" t="s">
        <v>4</v>
      </c>
      <c r="C51" s="73" t="s">
        <v>95</v>
      </c>
      <c r="D51" s="73"/>
      <c r="E51" s="73"/>
      <c r="F51" s="73"/>
      <c r="G51" s="73"/>
      <c r="H51" s="73"/>
    </row>
    <row r="52" spans="1:10" ht="20.25" x14ac:dyDescent="0.25">
      <c r="A52" s="74" t="s">
        <v>63</v>
      </c>
      <c r="B52" s="74" t="s">
        <v>4</v>
      </c>
      <c r="C52" s="73" t="s">
        <v>314</v>
      </c>
      <c r="D52" s="73"/>
      <c r="E52" s="73"/>
      <c r="F52" s="73"/>
      <c r="G52" s="49" t="s">
        <v>227</v>
      </c>
      <c r="H52" s="70">
        <v>45744</v>
      </c>
      <c r="I52" s="71"/>
    </row>
    <row r="53" spans="1:10" ht="20.25" x14ac:dyDescent="0.25">
      <c r="A53" s="74" t="s">
        <v>64</v>
      </c>
      <c r="B53" s="74" t="s">
        <v>4</v>
      </c>
      <c r="C53" s="73" t="s">
        <v>314</v>
      </c>
      <c r="D53" s="73"/>
      <c r="E53" s="73"/>
      <c r="F53" s="73"/>
      <c r="G53" s="49" t="s">
        <v>227</v>
      </c>
      <c r="H53" s="70">
        <v>45744</v>
      </c>
    </row>
    <row r="54" spans="1:10" ht="45" customHeight="1" x14ac:dyDescent="0.25">
      <c r="A54" s="74" t="s">
        <v>344</v>
      </c>
      <c r="B54" s="74"/>
      <c r="C54" s="73" t="s">
        <v>345</v>
      </c>
      <c r="D54" s="73"/>
      <c r="E54" s="73"/>
      <c r="F54" s="73"/>
      <c r="G54" s="49" t="s">
        <v>227</v>
      </c>
      <c r="H54" s="70">
        <v>45628</v>
      </c>
    </row>
    <row r="55" spans="1:10" ht="44.25" customHeight="1" x14ac:dyDescent="0.25">
      <c r="A55" s="74"/>
      <c r="B55" s="74"/>
      <c r="C55" s="75" t="s">
        <v>346</v>
      </c>
      <c r="D55" s="76"/>
      <c r="E55" s="76"/>
      <c r="F55" s="76"/>
      <c r="G55" s="76"/>
      <c r="H55" s="77"/>
    </row>
    <row r="56" spans="1:10" ht="46.5" hidden="1" customHeight="1" x14ac:dyDescent="0.25">
      <c r="A56" s="74" t="s">
        <v>65</v>
      </c>
      <c r="B56" s="74" t="s">
        <v>4</v>
      </c>
      <c r="C56" s="73"/>
      <c r="D56" s="73"/>
      <c r="E56" s="73"/>
      <c r="F56" s="73"/>
      <c r="G56" s="49" t="s">
        <v>228</v>
      </c>
      <c r="H56" s="33"/>
    </row>
    <row r="57" spans="1:10" ht="45" hidden="1" customHeight="1" x14ac:dyDescent="0.25">
      <c r="A57" s="74" t="s">
        <v>67</v>
      </c>
      <c r="B57" s="74" t="s">
        <v>4</v>
      </c>
      <c r="C57" s="73"/>
      <c r="D57" s="73"/>
      <c r="E57" s="73"/>
      <c r="F57" s="73"/>
      <c r="G57" s="49" t="s">
        <v>228</v>
      </c>
      <c r="H57" s="33"/>
    </row>
    <row r="58" spans="1:10" ht="46.5" hidden="1" customHeight="1" x14ac:dyDescent="0.25">
      <c r="A58" s="74" t="s">
        <v>66</v>
      </c>
      <c r="B58" s="74" t="s">
        <v>4</v>
      </c>
      <c r="C58" s="73"/>
      <c r="D58" s="73"/>
      <c r="E58" s="73"/>
      <c r="F58" s="73"/>
      <c r="G58" s="49" t="s">
        <v>228</v>
      </c>
      <c r="H58" s="33"/>
    </row>
    <row r="59" spans="1:10" ht="45" hidden="1" customHeight="1" x14ac:dyDescent="0.25">
      <c r="A59" s="74" t="s">
        <v>68</v>
      </c>
      <c r="B59" s="74" t="s">
        <v>4</v>
      </c>
      <c r="C59" s="73"/>
      <c r="D59" s="73"/>
      <c r="E59" s="73"/>
      <c r="F59" s="73"/>
      <c r="G59" s="49" t="s">
        <v>228</v>
      </c>
      <c r="H59" s="33"/>
    </row>
    <row r="60" spans="1:10" ht="21" hidden="1" thickBot="1" x14ac:dyDescent="0.3">
      <c r="A60" s="96" t="s">
        <v>69</v>
      </c>
      <c r="B60" s="96"/>
      <c r="C60" s="96"/>
      <c r="D60" s="96"/>
      <c r="E60" s="96"/>
      <c r="F60" s="96"/>
      <c r="G60" s="96"/>
      <c r="H60" s="96"/>
    </row>
    <row r="61" spans="1:10" ht="20.25" hidden="1" customHeight="1" x14ac:dyDescent="0.3">
      <c r="A61" s="142" t="str">
        <f>CONCATENATE((IF(OR(A46="",A46="NA"),"",A46)),"= ",(IF(OR(D46="",D46="NA"),"",D46)),".")</f>
        <v>Tower 1 = .</v>
      </c>
      <c r="B61" s="142"/>
      <c r="C61" s="142"/>
      <c r="D61" s="27" t="s">
        <v>115</v>
      </c>
      <c r="E61" s="81" t="s">
        <v>102</v>
      </c>
      <c r="F61" s="81"/>
      <c r="G61" s="27" t="s">
        <v>116</v>
      </c>
      <c r="H61" s="27" t="s">
        <v>117</v>
      </c>
      <c r="I61" s="14" t="str">
        <f ca="1">(IF(E64&gt;99%,"All work completed. Please provide OC.",IF(E64&gt;89.8%,"Plinth, RCC, Brick, Plaster, Flooring, Wooden, Plumbing, Electrification, etc., work Completed. Finishing work is in process.",IF(E64&lt;94%,(IF(C64=0,"Work not yet Started.",IF(D64=25%,"Piling work in process",IF(D64=50%,"Excavation work in process",IF(D64=100%,"Excavation work Completed. ","0")))&amp;(IF(C65=0%,"",IF(C65=J66,"Footing work is process",IF(C65=J67,"Footing work Completed",IF(C65=J68,"1st Basement Completed",IF(C65=J69,"1st &amp; 2nd Basement Completed",IF(C65=J70,"1st to 3rd Basement Completed",IF(C65=J71,"1st to 4th Basement Completed",IF(C65=J72,"Plinth work is process",IF(C65=J73,"Plinth work completed","0")))))))))))&amp;(IF(C66=(E62+G62+H62),", RCC Slab",IF(C66&gt;0,", RCC upto "&amp;C66&amp;" Slab",""))&amp;(IF(C67=H62,", Brickwork",IF(C67&gt;0,", Brickwork upto "&amp;C67&amp;" Floor",""))&amp;(IF(C68=H62,", Internal Plaster",IF(C68&gt;0,", Internal Plaster upto "&amp;C68&amp;" Floor",""))&amp;(IF(C69=H62,", External Plaster",IF(C69&gt;0,", External Plaster upto "&amp;C69&amp;" Floor",""))&amp;(IF(C70=H62,", External Plumbing, Elevation and Waterproofing",IF(C70&gt;0,", External Plumbing, Elevation and Waterproofing upto "&amp;C70&amp;" Floor",""))&amp;(IF(C71=H62,", Flooring &amp; Fitting",IF(C71&gt;0,", Flooring &amp; Fitting upto "&amp;C71&amp;" Floor",""))&amp;(IF(C72=H62,", Wooden Work",IF(C72&gt;0,", Wooden Work upto "&amp;C72&amp;" Floor",""))&amp;(IF(C73=H62,", Electrical &amp; Sanitary fittings",IF(C73&gt;0,", Electrical &amp; Sanitary fittings upto "&amp;C73&amp;" Floor",""))&amp;(IF(C74&gt;0,", Finishing upto "&amp;C74&amp;" Floor","")&amp;(IF(C66&gt;0.5," Completed",""))))))))))))))))</f>
        <v>Excavation work Completed. Plinth work completed</v>
      </c>
      <c r="J61" s="16"/>
    </row>
    <row r="62" spans="1:10" ht="20.25" hidden="1" x14ac:dyDescent="0.3">
      <c r="A62" s="142"/>
      <c r="B62" s="142"/>
      <c r="C62" s="142"/>
      <c r="D62" s="50">
        <f>IF(AND(ISNUMBER(SEARCH("1B",A61))),1,IF(AND(ISNUMBER(SEARCH("2B",A61))),2,IF(AND(ISNUMBER(SEARCH("3B",A61))),3,IF(AND(ISNUMBER(SEARCH("4B",A61))),4,IF(ISNUMBER(SEARCH("5B",A61)),5,0)))))</f>
        <v>0</v>
      </c>
      <c r="E62" s="81">
        <v>1</v>
      </c>
      <c r="F62" s="81"/>
      <c r="G62" s="50">
        <v>0</v>
      </c>
      <c r="H62" s="27">
        <f ca="1">--TRIM(RIGHT(SUBSTITUTE(LEFT(A61,_xlfn.AGGREGATE(16,6,FIND({0,1,2,3,4,5,6,7,8,9},A61,ROW(INDIRECT("1:"&amp;LEN(A61)))),1))," ",REPT(" ",LEN(A61))),LEN(A61)))</f>
        <v>1</v>
      </c>
      <c r="I62" s="15" t="s">
        <v>121</v>
      </c>
      <c r="J62" s="16"/>
    </row>
    <row r="63" spans="1:10" ht="20.25" hidden="1" customHeight="1" x14ac:dyDescent="0.3">
      <c r="A63" s="82" t="s">
        <v>119</v>
      </c>
      <c r="B63" s="82"/>
      <c r="C63" s="25" t="s">
        <v>129</v>
      </c>
      <c r="D63" s="25" t="s">
        <v>130</v>
      </c>
      <c r="E63" s="82" t="s">
        <v>120</v>
      </c>
      <c r="F63" s="82"/>
      <c r="G63" s="26" t="s">
        <v>118</v>
      </c>
      <c r="H63" s="26"/>
      <c r="I63" s="18" t="s">
        <v>131</v>
      </c>
      <c r="J63" s="17">
        <f ca="1">H62*25%</f>
        <v>0.25</v>
      </c>
    </row>
    <row r="64" spans="1:10" ht="20.25" hidden="1" customHeight="1" x14ac:dyDescent="0.3">
      <c r="A64" s="78" t="s">
        <v>132</v>
      </c>
      <c r="B64" s="78"/>
      <c r="C64" s="27">
        <f ca="1">J65</f>
        <v>1</v>
      </c>
      <c r="D64" s="4">
        <f ca="1">((100/H62)*C64)/100</f>
        <v>1</v>
      </c>
      <c r="E64" s="90">
        <f ca="1">(((C64/H62*10)+(C65/H62*15)+(25/(E62+G62+H62)*C66)+(5/(H62)*C67)+(2.5/(H62)*C68)+(2.5/(H62)*C69)+(5/H62*C70)+(10/H62*C71)+(2.5/H62*C72)+(2.5/H62*C73)+(10/H62*C74)+(10/H62*C75))/100)</f>
        <v>0.25</v>
      </c>
      <c r="F64" s="91"/>
      <c r="G64" s="78" t="str">
        <f ca="1">I61</f>
        <v>Excavation work Completed. Plinth work completed</v>
      </c>
      <c r="H64" s="78"/>
      <c r="I64" s="18" t="s">
        <v>122</v>
      </c>
      <c r="J64" s="21">
        <f ca="1">H62*50%</f>
        <v>0.5</v>
      </c>
    </row>
    <row r="65" spans="1:10" ht="20.25" hidden="1" x14ac:dyDescent="0.3">
      <c r="A65" s="78" t="s">
        <v>103</v>
      </c>
      <c r="B65" s="78"/>
      <c r="C65" s="28">
        <f ca="1">J73</f>
        <v>1</v>
      </c>
      <c r="D65" s="4">
        <f ca="1">((100/H62)*C65)/100</f>
        <v>1</v>
      </c>
      <c r="E65" s="92"/>
      <c r="F65" s="93"/>
      <c r="G65" s="78"/>
      <c r="H65" s="78"/>
      <c r="I65" s="18" t="s">
        <v>123</v>
      </c>
      <c r="J65" s="21">
        <f ca="1">H62</f>
        <v>1</v>
      </c>
    </row>
    <row r="66" spans="1:10" ht="21" hidden="1" customHeight="1" x14ac:dyDescent="0.35">
      <c r="A66" s="78" t="s">
        <v>133</v>
      </c>
      <c r="B66" s="78"/>
      <c r="C66" s="27">
        <v>0</v>
      </c>
      <c r="D66" s="4">
        <f ca="1">((100/(E62+G62+H62))*C66)/100</f>
        <v>0</v>
      </c>
      <c r="E66" s="92"/>
      <c r="F66" s="93"/>
      <c r="G66" s="78"/>
      <c r="H66" s="78"/>
      <c r="I66" s="18" t="s">
        <v>124</v>
      </c>
      <c r="J66" s="22">
        <f ca="1">(IF(D62&gt;1,(H62/(D62+2)),H62*0.2))</f>
        <v>0.2</v>
      </c>
    </row>
    <row r="67" spans="1:10" ht="21" hidden="1" customHeight="1" x14ac:dyDescent="0.35">
      <c r="A67" s="78" t="s">
        <v>134</v>
      </c>
      <c r="B67" s="78"/>
      <c r="C67" s="27">
        <v>0</v>
      </c>
      <c r="D67" s="4">
        <f ca="1">((100/H62)*C67)/100</f>
        <v>0</v>
      </c>
      <c r="E67" s="92"/>
      <c r="F67" s="93"/>
      <c r="G67" s="78"/>
      <c r="H67" s="78"/>
      <c r="I67" s="18" t="s">
        <v>125</v>
      </c>
      <c r="J67" s="22">
        <f ca="1">(IF(D62&gt;1,(H62/(D62+2)+J66),H62*0.2+J66))</f>
        <v>0.4</v>
      </c>
    </row>
    <row r="68" spans="1:10" ht="21" hidden="1" customHeight="1" x14ac:dyDescent="0.35">
      <c r="A68" s="79" t="s">
        <v>135</v>
      </c>
      <c r="B68" s="80"/>
      <c r="C68" s="27">
        <v>0</v>
      </c>
      <c r="D68" s="4">
        <f ca="1">((100/H62)*C68)/100</f>
        <v>0</v>
      </c>
      <c r="E68" s="92"/>
      <c r="F68" s="93"/>
      <c r="G68" s="78"/>
      <c r="H68" s="78"/>
      <c r="I68" s="18" t="s">
        <v>136</v>
      </c>
      <c r="J68" s="22">
        <f>(IF(D62&gt;1,(H62/(D62+2)+J67),0))</f>
        <v>0</v>
      </c>
    </row>
    <row r="69" spans="1:10" ht="21" hidden="1" customHeight="1" x14ac:dyDescent="0.35">
      <c r="A69" s="79" t="s">
        <v>166</v>
      </c>
      <c r="B69" s="80"/>
      <c r="C69" s="27">
        <v>0</v>
      </c>
      <c r="D69" s="4">
        <f ca="1">((100/H62)*C69)/100</f>
        <v>0</v>
      </c>
      <c r="E69" s="92"/>
      <c r="F69" s="93"/>
      <c r="G69" s="78"/>
      <c r="H69" s="78"/>
      <c r="I69" s="18" t="s">
        <v>137</v>
      </c>
      <c r="J69" s="22">
        <f>(IF(D62&gt;2,(H62/(D62+2)+J68),0))</f>
        <v>0</v>
      </c>
    </row>
    <row r="70" spans="1:10" ht="21" hidden="1" x14ac:dyDescent="0.35">
      <c r="A70" s="79" t="s">
        <v>163</v>
      </c>
      <c r="B70" s="80"/>
      <c r="C70" s="27">
        <v>0</v>
      </c>
      <c r="D70" s="4">
        <f ca="1">((100/(H62))*C70)/100</f>
        <v>0</v>
      </c>
      <c r="E70" s="92"/>
      <c r="F70" s="93"/>
      <c r="G70" s="78"/>
      <c r="H70" s="78"/>
      <c r="I70" s="18" t="s">
        <v>139</v>
      </c>
      <c r="J70" s="23">
        <f>(IF(D62&gt;3,(H62/(D62+2)+J69),0))</f>
        <v>0</v>
      </c>
    </row>
    <row r="71" spans="1:10" ht="21" hidden="1" x14ac:dyDescent="0.35">
      <c r="A71" s="78" t="s">
        <v>138</v>
      </c>
      <c r="B71" s="78"/>
      <c r="C71" s="27">
        <v>0</v>
      </c>
      <c r="D71" s="4">
        <f ca="1">((100/(H62))*C71)/100</f>
        <v>0</v>
      </c>
      <c r="E71" s="92"/>
      <c r="F71" s="93"/>
      <c r="G71" s="78"/>
      <c r="H71" s="78"/>
      <c r="I71" s="18" t="s">
        <v>140</v>
      </c>
      <c r="J71" s="22">
        <f>(IF(D62&gt;4,(H62/(D62+2)+J70),0))</f>
        <v>0</v>
      </c>
    </row>
    <row r="72" spans="1:10" ht="21" hidden="1" customHeight="1" x14ac:dyDescent="0.35">
      <c r="A72" s="78" t="s">
        <v>165</v>
      </c>
      <c r="B72" s="78"/>
      <c r="C72" s="27">
        <v>0</v>
      </c>
      <c r="D72" s="4">
        <f ca="1">((100/H62)*C72)/100</f>
        <v>0</v>
      </c>
      <c r="E72" s="92"/>
      <c r="F72" s="93"/>
      <c r="G72" s="78"/>
      <c r="H72" s="78"/>
      <c r="I72" s="18" t="s">
        <v>126</v>
      </c>
      <c r="J72" s="22">
        <f ca="1">(IF(D62=1,(H62/(D62+3)+J67),IF(D62=0,(H62*0.3+J67),IF(D62&gt;1,0))))</f>
        <v>0.7</v>
      </c>
    </row>
    <row r="73" spans="1:10" ht="21.75" hidden="1" thickBot="1" x14ac:dyDescent="0.4">
      <c r="A73" s="78" t="s">
        <v>164</v>
      </c>
      <c r="B73" s="78"/>
      <c r="C73" s="27">
        <v>0</v>
      </c>
      <c r="D73" s="4">
        <f ca="1">((100/H62)*C73)/100</f>
        <v>0</v>
      </c>
      <c r="E73" s="92"/>
      <c r="F73" s="93"/>
      <c r="G73" s="78"/>
      <c r="H73" s="78"/>
      <c r="I73" s="20" t="s">
        <v>127</v>
      </c>
      <c r="J73" s="24">
        <f ca="1">(IF(D62&gt;1.5,(H62/(D62+2)+J67+MAX(0,J68-J67)+MAX(0,J69-J68)+MAX(0,J70-J69)+MAX(0,J71-J70)+MAX(0,J72-J71)),IF(D62=1,(H62/(D62+3)+J72),IF(D62=0,H62*0.3+J72))))</f>
        <v>1</v>
      </c>
    </row>
    <row r="74" spans="1:10" ht="20.25" hidden="1" x14ac:dyDescent="0.25">
      <c r="A74" s="78" t="s">
        <v>141</v>
      </c>
      <c r="B74" s="78"/>
      <c r="C74" s="27">
        <v>0</v>
      </c>
      <c r="D74" s="4">
        <f ca="1">((100/(H62))*C74)/100</f>
        <v>0</v>
      </c>
      <c r="E74" s="92"/>
      <c r="F74" s="93"/>
      <c r="G74" s="78"/>
      <c r="H74" s="78"/>
    </row>
    <row r="75" spans="1:10" ht="20.25" hidden="1" x14ac:dyDescent="0.25">
      <c r="A75" s="78" t="s">
        <v>142</v>
      </c>
      <c r="B75" s="78"/>
      <c r="C75" s="27">
        <v>0</v>
      </c>
      <c r="D75" s="4">
        <f ca="1">((100/(H62))*C75)/100</f>
        <v>0</v>
      </c>
      <c r="E75" s="94"/>
      <c r="F75" s="95"/>
      <c r="G75" s="78"/>
      <c r="H75" s="78"/>
    </row>
    <row r="76" spans="1:10" ht="21" hidden="1" thickBot="1" x14ac:dyDescent="0.3">
      <c r="A76" s="96" t="s">
        <v>69</v>
      </c>
      <c r="B76" s="96"/>
      <c r="C76" s="96"/>
      <c r="D76" s="96"/>
      <c r="E76" s="96"/>
      <c r="F76" s="96"/>
      <c r="G76" s="96"/>
      <c r="H76" s="96"/>
    </row>
    <row r="77" spans="1:10" ht="20.25" hidden="1" customHeight="1" x14ac:dyDescent="0.3">
      <c r="A77" s="142" t="str">
        <f>CONCATENATE((IF(OR(A47="",A47="NA"),"",A47)),"= ",(IF(OR(D47="",D47="NA"),"",D47)),".")</f>
        <v>Tower 2 = .</v>
      </c>
      <c r="B77" s="142"/>
      <c r="C77" s="142"/>
      <c r="D77" s="27" t="s">
        <v>115</v>
      </c>
      <c r="E77" s="81" t="s">
        <v>102</v>
      </c>
      <c r="F77" s="81"/>
      <c r="G77" s="27" t="s">
        <v>116</v>
      </c>
      <c r="H77" s="27" t="s">
        <v>117</v>
      </c>
      <c r="I77" s="14" t="str">
        <f ca="1">(IF(E80&gt;99%,"All work completed. Please provide OC.",IF(E80&gt;89.8%,"Plinth, RCC, Brick, Plaster, Flooring, Wooden, Plumbing, Electrification, etc., work Completed. Finishing work is in process.",IF(E80&lt;94%,(IF(C80=0,"Work not yet Started.",IF(D80=25%,"Piling work in process",IF(D80=50%,"Excavation work in process",IF(D80=100%,"Excavation work Completed. ","0")))&amp;(IF(C81=0%,"",IF(C81=J82,"Footing work is process",IF(C81=J83,"Footing work Completed",IF(C81=J84,"1st Basement Completed",IF(C81=J85,"1st &amp; 2nd Basement Completed",IF(C81=J86,"1st to 3rd Basement Completed",IF(C81=J87,"1st to 4th Basement Completed",IF(C81=J88,"Plinth work is process",IF(C81=J89,"Plinth work completed","0")))))))))))&amp;(IF(C82=(E78+G78+H78),", RCC Slab",IF(C82&gt;0,", RCC upto "&amp;C82&amp;" Slab",""))&amp;(IF(C83=H78,", Brickwork",IF(C83&gt;0,", Brickwork upto "&amp;C83&amp;" Floor",""))&amp;(IF(C84=H78,", Internal Plaster",IF(C84&gt;0,", Internal Plaster upto "&amp;C84&amp;" Floor",""))&amp;(IF(C85=H78,", External Plaster",IF(C85&gt;0,", External Plaster upto "&amp;C85&amp;" Floor",""))&amp;(IF(C86=H78,", External Plumbing, Elevation and Waterproofing",IF(C86&gt;0,", External Plumbing, Elevation and Waterproofing upto "&amp;C86&amp;" Floor",""))&amp;(IF(C87=H78,", Flooring &amp; Fitting",IF(C87&gt;0,", Flooring &amp; Fitting upto "&amp;C87&amp;" Floor",""))&amp;(IF(C88=H78,", Wooden Work",IF(C88&gt;0,", Wooden Work upto "&amp;C88&amp;" Floor",""))&amp;(IF(C89=H78,", Electrical &amp; Sanitary fittings",IF(C89&gt;0,", Electrical &amp; Sanitary fittings upto "&amp;C89&amp;" Floor",""))&amp;(IF(C90&gt;0,", Finishing upto "&amp;C90&amp;" Floor","")&amp;(IF(C82&gt;0.5," Completed",""))))))))))))))))</f>
        <v>Excavation work Completed. Plinth work completed</v>
      </c>
      <c r="J77" s="16"/>
    </row>
    <row r="78" spans="1:10" ht="20.25" hidden="1" x14ac:dyDescent="0.3">
      <c r="A78" s="142"/>
      <c r="B78" s="142"/>
      <c r="C78" s="142"/>
      <c r="D78" s="50">
        <f>IF(AND(ISNUMBER(SEARCH("1B",A77))),1,IF(AND(ISNUMBER(SEARCH("2B",A77))),2,IF(AND(ISNUMBER(SEARCH("3B",A77))),3,IF(AND(ISNUMBER(SEARCH("4B",A77))),4,IF(ISNUMBER(SEARCH("5B",A77)),5,0)))))</f>
        <v>0</v>
      </c>
      <c r="E78" s="81">
        <v>1</v>
      </c>
      <c r="F78" s="81"/>
      <c r="G78" s="50">
        <v>0</v>
      </c>
      <c r="H78" s="27">
        <f ca="1">--TRIM(RIGHT(SUBSTITUTE(LEFT(A77,_xlfn.AGGREGATE(16,6,FIND({0,1,2,3,4,5,6,7,8,9},A77,ROW(INDIRECT("1:"&amp;LEN(A77)))),1))," ",REPT(" ",LEN(A77))),LEN(A77)))</f>
        <v>2</v>
      </c>
      <c r="I78" s="15" t="s">
        <v>121</v>
      </c>
      <c r="J78" s="16"/>
    </row>
    <row r="79" spans="1:10" ht="20.25" hidden="1" customHeight="1" x14ac:dyDescent="0.3">
      <c r="A79" s="82" t="s">
        <v>119</v>
      </c>
      <c r="B79" s="82"/>
      <c r="C79" s="25" t="s">
        <v>129</v>
      </c>
      <c r="D79" s="25" t="s">
        <v>130</v>
      </c>
      <c r="E79" s="82" t="s">
        <v>120</v>
      </c>
      <c r="F79" s="82"/>
      <c r="G79" s="26" t="s">
        <v>118</v>
      </c>
      <c r="H79" s="26"/>
      <c r="I79" s="18" t="s">
        <v>131</v>
      </c>
      <c r="J79" s="17">
        <f ca="1">H78*25%</f>
        <v>0.5</v>
      </c>
    </row>
    <row r="80" spans="1:10" ht="20.25" hidden="1" customHeight="1" x14ac:dyDescent="0.3">
      <c r="A80" s="78" t="s">
        <v>132</v>
      </c>
      <c r="B80" s="78"/>
      <c r="C80" s="27">
        <f ca="1">J81</f>
        <v>2</v>
      </c>
      <c r="D80" s="4">
        <f ca="1">((100/H78)*C80)/100</f>
        <v>1</v>
      </c>
      <c r="E80" s="90">
        <f ca="1">(((C80/H78*10)+(C81/H78*15)+(25/(E78+G78+H78)*C82)+(5/(H78)*C83)+(2.5/(H78)*C84)+(2.5/(H78)*C85)+(5/H78*C86)+(10/H78*C87)+(2.5/H78*C88)+(2.5/H78*C89)+(10/H78*C90)+(10/H78*C91))/100)</f>
        <v>0.25</v>
      </c>
      <c r="F80" s="91"/>
      <c r="G80" s="78" t="str">
        <f ca="1">I77</f>
        <v>Excavation work Completed. Plinth work completed</v>
      </c>
      <c r="H80" s="78"/>
      <c r="I80" s="18" t="s">
        <v>122</v>
      </c>
      <c r="J80" s="21">
        <f ca="1">H78*50%</f>
        <v>1</v>
      </c>
    </row>
    <row r="81" spans="1:10" ht="20.25" hidden="1" x14ac:dyDescent="0.3">
      <c r="A81" s="78" t="s">
        <v>103</v>
      </c>
      <c r="B81" s="78"/>
      <c r="C81" s="28">
        <f ca="1">J89</f>
        <v>2</v>
      </c>
      <c r="D81" s="4">
        <f ca="1">((100/H78)*C81)/100</f>
        <v>1</v>
      </c>
      <c r="E81" s="92"/>
      <c r="F81" s="93"/>
      <c r="G81" s="78"/>
      <c r="H81" s="78"/>
      <c r="I81" s="18" t="s">
        <v>123</v>
      </c>
      <c r="J81" s="21">
        <f ca="1">H78</f>
        <v>2</v>
      </c>
    </row>
    <row r="82" spans="1:10" ht="21" hidden="1" customHeight="1" x14ac:dyDescent="0.35">
      <c r="A82" s="78" t="s">
        <v>133</v>
      </c>
      <c r="B82" s="78"/>
      <c r="C82" s="27">
        <v>0</v>
      </c>
      <c r="D82" s="4">
        <f ca="1">((100/(E78+G78+H78))*C82)/100</f>
        <v>0</v>
      </c>
      <c r="E82" s="92"/>
      <c r="F82" s="93"/>
      <c r="G82" s="78"/>
      <c r="H82" s="78"/>
      <c r="I82" s="18" t="s">
        <v>124</v>
      </c>
      <c r="J82" s="22">
        <f ca="1">(IF(D78&gt;1,(H78/(D78+2)),H78*0.2))</f>
        <v>0.4</v>
      </c>
    </row>
    <row r="83" spans="1:10" ht="21" hidden="1" customHeight="1" x14ac:dyDescent="0.35">
      <c r="A83" s="78" t="s">
        <v>134</v>
      </c>
      <c r="B83" s="78"/>
      <c r="C83" s="27">
        <v>0</v>
      </c>
      <c r="D83" s="4">
        <f ca="1">((100/H78)*C83)/100</f>
        <v>0</v>
      </c>
      <c r="E83" s="92"/>
      <c r="F83" s="93"/>
      <c r="G83" s="78"/>
      <c r="H83" s="78"/>
      <c r="I83" s="18" t="s">
        <v>125</v>
      </c>
      <c r="J83" s="22">
        <f ca="1">(IF(D78&gt;1,(H78/(D78+2)+J82),H78*0.2+J82))</f>
        <v>0.8</v>
      </c>
    </row>
    <row r="84" spans="1:10" ht="21" hidden="1" customHeight="1" x14ac:dyDescent="0.35">
      <c r="A84" s="79" t="s">
        <v>135</v>
      </c>
      <c r="B84" s="80"/>
      <c r="C84" s="27">
        <v>0</v>
      </c>
      <c r="D84" s="4">
        <f ca="1">((100/H78)*C84)/100</f>
        <v>0</v>
      </c>
      <c r="E84" s="92"/>
      <c r="F84" s="93"/>
      <c r="G84" s="78"/>
      <c r="H84" s="78"/>
      <c r="I84" s="18" t="s">
        <v>136</v>
      </c>
      <c r="J84" s="22">
        <f>(IF(D78&gt;1,(H78/(D78+2)+J83),0))</f>
        <v>0</v>
      </c>
    </row>
    <row r="85" spans="1:10" ht="21" hidden="1" customHeight="1" x14ac:dyDescent="0.35">
      <c r="A85" s="79" t="s">
        <v>166</v>
      </c>
      <c r="B85" s="80"/>
      <c r="C85" s="27">
        <v>0</v>
      </c>
      <c r="D85" s="4">
        <f ca="1">((100/H78)*C85)/100</f>
        <v>0</v>
      </c>
      <c r="E85" s="92"/>
      <c r="F85" s="93"/>
      <c r="G85" s="78"/>
      <c r="H85" s="78"/>
      <c r="I85" s="18" t="s">
        <v>137</v>
      </c>
      <c r="J85" s="22">
        <f>(IF(D78&gt;2,(H78/(D78+2)+J84),0))</f>
        <v>0</v>
      </c>
    </row>
    <row r="86" spans="1:10" ht="57.75" hidden="1" customHeight="1" x14ac:dyDescent="0.35">
      <c r="A86" s="79" t="s">
        <v>163</v>
      </c>
      <c r="B86" s="80"/>
      <c r="C86" s="27">
        <v>0</v>
      </c>
      <c r="D86" s="4">
        <f ca="1">((100/(H78))*C86)/100</f>
        <v>0</v>
      </c>
      <c r="E86" s="92"/>
      <c r="F86" s="93"/>
      <c r="G86" s="78"/>
      <c r="H86" s="78"/>
      <c r="I86" s="18" t="s">
        <v>139</v>
      </c>
      <c r="J86" s="23">
        <f>(IF(D78&gt;3,(H78/(D78+2)+J85),0))</f>
        <v>0</v>
      </c>
    </row>
    <row r="87" spans="1:10" ht="21" hidden="1" x14ac:dyDescent="0.35">
      <c r="A87" s="78" t="s">
        <v>138</v>
      </c>
      <c r="B87" s="78"/>
      <c r="C87" s="27">
        <v>0</v>
      </c>
      <c r="D87" s="4">
        <f ca="1">((100/(H78))*C87)/100</f>
        <v>0</v>
      </c>
      <c r="E87" s="92"/>
      <c r="F87" s="93"/>
      <c r="G87" s="78"/>
      <c r="H87" s="78"/>
      <c r="I87" s="18" t="s">
        <v>140</v>
      </c>
      <c r="J87" s="22">
        <f>(IF(D78&gt;4,(H78/(D78+2)+J86),0))</f>
        <v>0</v>
      </c>
    </row>
    <row r="88" spans="1:10" ht="21" hidden="1" customHeight="1" x14ac:dyDescent="0.35">
      <c r="A88" s="78" t="s">
        <v>165</v>
      </c>
      <c r="B88" s="78"/>
      <c r="C88" s="27">
        <v>0</v>
      </c>
      <c r="D88" s="4">
        <f ca="1">((100/H78)*C88)/100</f>
        <v>0</v>
      </c>
      <c r="E88" s="92"/>
      <c r="F88" s="93"/>
      <c r="G88" s="78"/>
      <c r="H88" s="78"/>
      <c r="I88" s="18" t="s">
        <v>126</v>
      </c>
      <c r="J88" s="22">
        <f ca="1">(IF(D78=1,(H78/(D78+3)+J83),IF(D78=0,(H78*0.3+J83),IF(D78&gt;1,0))))</f>
        <v>1.4</v>
      </c>
    </row>
    <row r="89" spans="1:10" ht="21.75" hidden="1" thickBot="1" x14ac:dyDescent="0.4">
      <c r="A89" s="78" t="s">
        <v>164</v>
      </c>
      <c r="B89" s="78"/>
      <c r="C89" s="27">
        <v>0</v>
      </c>
      <c r="D89" s="4">
        <f ca="1">((100/H78)*C89)/100</f>
        <v>0</v>
      </c>
      <c r="E89" s="92"/>
      <c r="F89" s="93"/>
      <c r="G89" s="78"/>
      <c r="H89" s="78"/>
      <c r="I89" s="20" t="s">
        <v>127</v>
      </c>
      <c r="J89" s="24">
        <f ca="1">(IF(D78&gt;1.5,(H78/(D78+2)+J83+MAX(0,J84-J83)+MAX(0,J85-J84)+MAX(0,J86-J85)+MAX(0,J87-J86)+MAX(0,J88-J87)),IF(D78=1,(H78/(D78+3)+J88),IF(D78=0,H78*0.3+J88))))</f>
        <v>2</v>
      </c>
    </row>
    <row r="90" spans="1:10" ht="20.25" hidden="1" x14ac:dyDescent="0.25">
      <c r="A90" s="78" t="s">
        <v>141</v>
      </c>
      <c r="B90" s="78"/>
      <c r="C90" s="27">
        <v>0</v>
      </c>
      <c r="D90" s="4">
        <f ca="1">((100/(H78))*C90)/100</f>
        <v>0</v>
      </c>
      <c r="E90" s="92"/>
      <c r="F90" s="93"/>
      <c r="G90" s="78"/>
      <c r="H90" s="78"/>
    </row>
    <row r="91" spans="1:10" ht="20.25" hidden="1" x14ac:dyDescent="0.25">
      <c r="A91" s="78" t="s">
        <v>142</v>
      </c>
      <c r="B91" s="78"/>
      <c r="C91" s="27">
        <v>0</v>
      </c>
      <c r="D91" s="4">
        <f ca="1">((100/(H78))*C91)/100</f>
        <v>0</v>
      </c>
      <c r="E91" s="94"/>
      <c r="F91" s="95"/>
      <c r="G91" s="78"/>
      <c r="H91" s="78"/>
    </row>
    <row r="92" spans="1:10" ht="21" hidden="1" thickBot="1" x14ac:dyDescent="0.3">
      <c r="A92" s="96" t="s">
        <v>69</v>
      </c>
      <c r="B92" s="96"/>
      <c r="C92" s="96"/>
      <c r="D92" s="96"/>
      <c r="E92" s="96"/>
      <c r="F92" s="96"/>
      <c r="G92" s="96"/>
      <c r="H92" s="96"/>
    </row>
    <row r="93" spans="1:10" ht="20.25" hidden="1" customHeight="1" x14ac:dyDescent="0.3">
      <c r="A93" s="142" t="str">
        <f>CONCATENATE((IF(OR(A48="",A48="NA"),"",A48)),"= ",(IF(OR(D48="",D48="NA"),"",D48)),".")</f>
        <v>Tower 3 = .</v>
      </c>
      <c r="B93" s="142"/>
      <c r="C93" s="142"/>
      <c r="D93" s="27" t="s">
        <v>115</v>
      </c>
      <c r="E93" s="81" t="s">
        <v>102</v>
      </c>
      <c r="F93" s="81"/>
      <c r="G93" s="27" t="s">
        <v>116</v>
      </c>
      <c r="H93" s="27" t="s">
        <v>117</v>
      </c>
      <c r="I93" s="14" t="str">
        <f ca="1">(IF(E96&gt;99%,"All work completed. Please provide OC.",IF(E96&gt;89.8%,"Plinth, RCC, Brick, Plaster, Flooring, Wooden, Plumbing, Electrification, etc., work Completed. Finishing work is in process.",IF(E96&lt;94%,(IF(C96=0,"Work not yet Started.",IF(D96=25%,"Piling work in process",IF(D96=50%,"Excavation work in process",IF(D96=100%,"Excavation work Completed. ","0")))&amp;(IF(C97=0%,"",IF(C97=J98,"Footing work is process",IF(C97=J99,"Footing work Completed",IF(C97=J100,"1st Basement Completed",IF(C97=J101,"1st &amp; 2nd Basement Completed",IF(C97=J102,"1st to 3rd Basement Completed",IF(C97=J103,"1st to 4th Basement Completed",IF(C97=J104,"Plinth work is process",IF(C97=J105,"Plinth work completed","0")))))))))))&amp;(IF(C98=(E94+G94+H94),", RCC Slab",IF(C98&gt;0,", RCC upto "&amp;C98&amp;" Slab",""))&amp;(IF(C99=H94,", Brickwork",IF(C99&gt;0,", Brickwork upto "&amp;C99&amp;" Floor",""))&amp;(IF(C100=H94,", Internal Plaster",IF(C100&gt;0,", Internal Plaster upto "&amp;C100&amp;" Floor",""))&amp;(IF(C101=H94,", External Plaster",IF(C101&gt;0,", External Plaster upto "&amp;C101&amp;" Floor",""))&amp;(IF(C102=H94,", External Plumbing, Elevation and Waterproofing",IF(C102&gt;0,", External Plumbing, Elevation and Waterproofing upto "&amp;C102&amp;" Floor",""))&amp;(IF(C103=H94,", Flooring &amp; Fitting",IF(C103&gt;0,", Flooring &amp; Fitting upto "&amp;C103&amp;" Floor",""))&amp;(IF(C104=H94,", Wooden Work",IF(C104&gt;0,", Wooden Work upto "&amp;C104&amp;" Floor",""))&amp;(IF(C105=H94,", Electrical &amp; Sanitary fittings",IF(C105&gt;0,", Electrical &amp; Sanitary fittings upto "&amp;C105&amp;" Floor",""))&amp;(IF(C106&gt;0,", Finishing upto "&amp;C106&amp;" Floor","")&amp;(IF(C98&gt;0.5," Completed",""))))))))))))))))</f>
        <v>Excavation work Completed. Plinth work completed</v>
      </c>
      <c r="J93" s="16"/>
    </row>
    <row r="94" spans="1:10" ht="20.25" hidden="1" x14ac:dyDescent="0.3">
      <c r="A94" s="142"/>
      <c r="B94" s="142"/>
      <c r="C94" s="142"/>
      <c r="D94" s="50">
        <f>IF(AND(ISNUMBER(SEARCH("1B",A93))),1,IF(AND(ISNUMBER(SEARCH("2B",A93))),2,IF(AND(ISNUMBER(SEARCH("3B",A93))),3,IF(AND(ISNUMBER(SEARCH("4B",A93))),4,IF(ISNUMBER(SEARCH("5B",A93)),5,0)))))</f>
        <v>0</v>
      </c>
      <c r="E94" s="81">
        <v>1</v>
      </c>
      <c r="F94" s="81"/>
      <c r="G94" s="50">
        <v>0</v>
      </c>
      <c r="H94" s="27">
        <f ca="1">--TRIM(RIGHT(SUBSTITUTE(LEFT(A93,_xlfn.AGGREGATE(16,6,FIND({0,1,2,3,4,5,6,7,8,9},A93,ROW(INDIRECT("1:"&amp;LEN(A93)))),1))," ",REPT(" ",LEN(A93))),LEN(A93)))</f>
        <v>3</v>
      </c>
      <c r="I94" s="15" t="s">
        <v>121</v>
      </c>
      <c r="J94" s="16"/>
    </row>
    <row r="95" spans="1:10" ht="20.25" hidden="1" customHeight="1" x14ac:dyDescent="0.3">
      <c r="A95" s="82" t="s">
        <v>119</v>
      </c>
      <c r="B95" s="82"/>
      <c r="C95" s="25" t="s">
        <v>129</v>
      </c>
      <c r="D95" s="25" t="s">
        <v>130</v>
      </c>
      <c r="E95" s="82" t="s">
        <v>120</v>
      </c>
      <c r="F95" s="82"/>
      <c r="G95" s="26" t="s">
        <v>118</v>
      </c>
      <c r="H95" s="26"/>
      <c r="I95" s="18" t="s">
        <v>131</v>
      </c>
      <c r="J95" s="17">
        <f ca="1">H94*25%</f>
        <v>0.75</v>
      </c>
    </row>
    <row r="96" spans="1:10" ht="20.25" hidden="1" customHeight="1" x14ac:dyDescent="0.3">
      <c r="A96" s="78" t="s">
        <v>132</v>
      </c>
      <c r="B96" s="78"/>
      <c r="C96" s="27">
        <f ca="1">J97</f>
        <v>3</v>
      </c>
      <c r="D96" s="4">
        <f ca="1">((100/H94)*C96)/100</f>
        <v>1</v>
      </c>
      <c r="E96" s="90">
        <f ca="1">(((C96/H94*10)+(C97/H94*15)+(25/(E94+G94+H94)*C98)+(5/(H94)*C99)+(2.5/(H94)*C100)+(2.5/(H94)*C101)+(5/H94*C102)+(10/H94*C103)+(2.5/H94*C104)+(2.5/H94*C105)+(10/H94*C106)+(10/H94*C107))/100)</f>
        <v>0.25</v>
      </c>
      <c r="F96" s="91"/>
      <c r="G96" s="78" t="str">
        <f ca="1">I93</f>
        <v>Excavation work Completed. Plinth work completed</v>
      </c>
      <c r="H96" s="78"/>
      <c r="I96" s="18" t="s">
        <v>122</v>
      </c>
      <c r="J96" s="21">
        <f ca="1">H94*50%</f>
        <v>1.5</v>
      </c>
    </row>
    <row r="97" spans="1:11" ht="20.25" hidden="1" x14ac:dyDescent="0.3">
      <c r="A97" s="78" t="s">
        <v>103</v>
      </c>
      <c r="B97" s="78"/>
      <c r="C97" s="28">
        <f ca="1">J105</f>
        <v>3</v>
      </c>
      <c r="D97" s="4">
        <f ca="1">((100/H94)*C97)/100</f>
        <v>1</v>
      </c>
      <c r="E97" s="92"/>
      <c r="F97" s="93"/>
      <c r="G97" s="78"/>
      <c r="H97" s="78"/>
      <c r="I97" s="18" t="s">
        <v>123</v>
      </c>
      <c r="J97" s="21">
        <f ca="1">H94</f>
        <v>3</v>
      </c>
    </row>
    <row r="98" spans="1:11" ht="21" hidden="1" customHeight="1" x14ac:dyDescent="0.35">
      <c r="A98" s="78" t="s">
        <v>133</v>
      </c>
      <c r="B98" s="78"/>
      <c r="C98" s="27">
        <v>0</v>
      </c>
      <c r="D98" s="4">
        <f ca="1">((100/(E94+G94+H94))*C98)/100</f>
        <v>0</v>
      </c>
      <c r="E98" s="92"/>
      <c r="F98" s="93"/>
      <c r="G98" s="78"/>
      <c r="H98" s="78"/>
      <c r="I98" s="18" t="s">
        <v>124</v>
      </c>
      <c r="J98" s="22">
        <f ca="1">(IF(D94&gt;1,(H94/(D94+2)),H94*0.2))</f>
        <v>0.60000000000000009</v>
      </c>
    </row>
    <row r="99" spans="1:11" ht="21" hidden="1" customHeight="1" x14ac:dyDescent="0.35">
      <c r="A99" s="78" t="s">
        <v>134</v>
      </c>
      <c r="B99" s="78"/>
      <c r="C99" s="27">
        <v>0</v>
      </c>
      <c r="D99" s="4">
        <f ca="1">((100/H94)*C99)/100</f>
        <v>0</v>
      </c>
      <c r="E99" s="92"/>
      <c r="F99" s="93"/>
      <c r="G99" s="78"/>
      <c r="H99" s="78"/>
      <c r="I99" s="18" t="s">
        <v>125</v>
      </c>
      <c r="J99" s="22">
        <f ca="1">(IF(D94&gt;1,(H94/(D94+2)+J98),H94*0.2+J98))</f>
        <v>1.2000000000000002</v>
      </c>
    </row>
    <row r="100" spans="1:11" ht="21" hidden="1" customHeight="1" x14ac:dyDescent="0.35">
      <c r="A100" s="79" t="s">
        <v>135</v>
      </c>
      <c r="B100" s="80"/>
      <c r="C100" s="27">
        <v>0</v>
      </c>
      <c r="D100" s="4">
        <f ca="1">((100/H94)*C100)/100</f>
        <v>0</v>
      </c>
      <c r="E100" s="92"/>
      <c r="F100" s="93"/>
      <c r="G100" s="78"/>
      <c r="H100" s="78"/>
      <c r="I100" s="18" t="s">
        <v>136</v>
      </c>
      <c r="J100" s="22">
        <f>(IF(D94&gt;1,(H94/(D94+2)+J99),0))</f>
        <v>0</v>
      </c>
    </row>
    <row r="101" spans="1:11" ht="21" hidden="1" customHeight="1" x14ac:dyDescent="0.35">
      <c r="A101" s="79" t="s">
        <v>166</v>
      </c>
      <c r="B101" s="80"/>
      <c r="C101" s="27">
        <v>0</v>
      </c>
      <c r="D101" s="4">
        <f ca="1">((100/H94)*C101)/100</f>
        <v>0</v>
      </c>
      <c r="E101" s="92"/>
      <c r="F101" s="93"/>
      <c r="G101" s="78"/>
      <c r="H101" s="78"/>
      <c r="I101" s="18" t="s">
        <v>137</v>
      </c>
      <c r="J101" s="22">
        <f>(IF(D94&gt;2,(H94/(D94+2)+J100),0))</f>
        <v>0</v>
      </c>
    </row>
    <row r="102" spans="1:11" ht="57.75" hidden="1" customHeight="1" x14ac:dyDescent="0.35">
      <c r="A102" s="79" t="s">
        <v>163</v>
      </c>
      <c r="B102" s="80"/>
      <c r="C102" s="27">
        <v>0</v>
      </c>
      <c r="D102" s="4">
        <f ca="1">((100/(H94))*C102)/100</f>
        <v>0</v>
      </c>
      <c r="E102" s="92"/>
      <c r="F102" s="93"/>
      <c r="G102" s="78"/>
      <c r="H102" s="78"/>
      <c r="I102" s="18" t="s">
        <v>139</v>
      </c>
      <c r="J102" s="23">
        <f>(IF(D94&gt;3,(H94/(D94+2)+J101),0))</f>
        <v>0</v>
      </c>
    </row>
    <row r="103" spans="1:11" ht="21" hidden="1" x14ac:dyDescent="0.35">
      <c r="A103" s="78" t="s">
        <v>138</v>
      </c>
      <c r="B103" s="78"/>
      <c r="C103" s="27">
        <v>0</v>
      </c>
      <c r="D103" s="4">
        <f ca="1">((100/(H94))*C103)/100</f>
        <v>0</v>
      </c>
      <c r="E103" s="92"/>
      <c r="F103" s="93"/>
      <c r="G103" s="78"/>
      <c r="H103" s="78"/>
      <c r="I103" s="18" t="s">
        <v>140</v>
      </c>
      <c r="J103" s="22">
        <f>(IF(D94&gt;4,(H94/(D94+2)+J102),0))</f>
        <v>0</v>
      </c>
    </row>
    <row r="104" spans="1:11" ht="21" hidden="1" customHeight="1" x14ac:dyDescent="0.35">
      <c r="A104" s="78" t="s">
        <v>165</v>
      </c>
      <c r="B104" s="78"/>
      <c r="C104" s="27">
        <v>0</v>
      </c>
      <c r="D104" s="4">
        <f ca="1">((100/H94)*C104)/100</f>
        <v>0</v>
      </c>
      <c r="E104" s="92"/>
      <c r="F104" s="93"/>
      <c r="G104" s="78"/>
      <c r="H104" s="78"/>
      <c r="I104" s="18" t="s">
        <v>126</v>
      </c>
      <c r="J104" s="22">
        <f ca="1">(IF(D94=1,(H94/(D94+3)+J99),IF(D94=0,(H94*0.3+J99),IF(D94&gt;1,0))))</f>
        <v>2.1</v>
      </c>
    </row>
    <row r="105" spans="1:11" ht="21.75" hidden="1" thickBot="1" x14ac:dyDescent="0.4">
      <c r="A105" s="78" t="s">
        <v>164</v>
      </c>
      <c r="B105" s="78"/>
      <c r="C105" s="27">
        <v>0</v>
      </c>
      <c r="D105" s="4">
        <f ca="1">((100/H94)*C105)/100</f>
        <v>0</v>
      </c>
      <c r="E105" s="92"/>
      <c r="F105" s="93"/>
      <c r="G105" s="78"/>
      <c r="H105" s="78"/>
      <c r="I105" s="20" t="s">
        <v>127</v>
      </c>
      <c r="J105" s="24">
        <f ca="1">(IF(D94&gt;1.5,(H94/(D94+2)+J99+MAX(0,J100-J99)+MAX(0,J101-J100)+MAX(0,J102-J101)+MAX(0,J103-J102)+MAX(0,J104-J103)),IF(D94=1,(H94/(D94+3)+J104),IF(D94=0,H94*0.3+J104))))</f>
        <v>3</v>
      </c>
    </row>
    <row r="106" spans="1:11" ht="20.25" hidden="1" x14ac:dyDescent="0.25">
      <c r="A106" s="78" t="s">
        <v>141</v>
      </c>
      <c r="B106" s="78"/>
      <c r="C106" s="27">
        <v>0</v>
      </c>
      <c r="D106" s="4">
        <f ca="1">((100/(H94))*C106)/100</f>
        <v>0</v>
      </c>
      <c r="E106" s="92"/>
      <c r="F106" s="93"/>
      <c r="G106" s="78"/>
      <c r="H106" s="78"/>
    </row>
    <row r="107" spans="1:11" ht="20.25" hidden="1" x14ac:dyDescent="0.25">
      <c r="A107" s="78" t="s">
        <v>142</v>
      </c>
      <c r="B107" s="78"/>
      <c r="C107" s="27">
        <v>0</v>
      </c>
      <c r="D107" s="4">
        <f ca="1">((100/(H94))*C107)/100</f>
        <v>0</v>
      </c>
      <c r="E107" s="94"/>
      <c r="F107" s="95"/>
      <c r="G107" s="78"/>
      <c r="H107" s="78"/>
    </row>
    <row r="108" spans="1:11" ht="36.75" hidden="1" customHeight="1" x14ac:dyDescent="0.3">
      <c r="A108" s="146" t="s">
        <v>128</v>
      </c>
      <c r="B108" s="147"/>
      <c r="C108" s="147"/>
      <c r="D108" s="147"/>
      <c r="E108" s="147"/>
      <c r="F108" s="147"/>
      <c r="G108" s="150">
        <f ca="1">AVERAGE(E64,E80,E96)</f>
        <v>0.25</v>
      </c>
      <c r="H108" s="151"/>
      <c r="I108" s="18"/>
      <c r="J108" s="19"/>
      <c r="K108" s="19"/>
    </row>
    <row r="109" spans="1:11" ht="20.25" x14ac:dyDescent="0.25">
      <c r="A109" s="118" t="s">
        <v>73</v>
      </c>
      <c r="B109" s="119"/>
      <c r="C109" s="119"/>
      <c r="D109" s="119"/>
      <c r="E109" s="119"/>
      <c r="F109" s="119"/>
      <c r="G109" s="119"/>
      <c r="H109" s="120"/>
    </row>
    <row r="110" spans="1:11" ht="54.75" customHeight="1" x14ac:dyDescent="0.25">
      <c r="A110" s="97" t="s">
        <v>74</v>
      </c>
      <c r="B110" s="98"/>
      <c r="C110" s="99" t="s">
        <v>107</v>
      </c>
      <c r="D110" s="100"/>
      <c r="E110" s="97" t="s">
        <v>143</v>
      </c>
      <c r="F110" s="98" t="s">
        <v>4</v>
      </c>
      <c r="G110" s="152" t="s">
        <v>347</v>
      </c>
      <c r="H110" s="152"/>
    </row>
    <row r="111" spans="1:11" ht="44.25" customHeight="1" x14ac:dyDescent="0.25">
      <c r="A111" s="97" t="s">
        <v>153</v>
      </c>
      <c r="B111" s="98"/>
      <c r="C111" s="99">
        <v>8000</v>
      </c>
      <c r="D111" s="100"/>
      <c r="E111" s="97" t="s">
        <v>154</v>
      </c>
      <c r="F111" s="98" t="s">
        <v>4</v>
      </c>
      <c r="G111" s="73" t="s">
        <v>144</v>
      </c>
      <c r="H111" s="73"/>
    </row>
    <row r="112" spans="1:11" ht="41.25" hidden="1" customHeight="1" x14ac:dyDescent="0.25">
      <c r="A112" s="97" t="s">
        <v>75</v>
      </c>
      <c r="B112" s="98"/>
      <c r="C112" s="101">
        <v>400000</v>
      </c>
      <c r="D112" s="102"/>
      <c r="E112" s="97" t="s">
        <v>101</v>
      </c>
      <c r="F112" s="98" t="s">
        <v>4</v>
      </c>
      <c r="G112" s="75" t="s">
        <v>108</v>
      </c>
      <c r="H112" s="77"/>
    </row>
    <row r="113" spans="1:150 16226:16383" ht="20.25" x14ac:dyDescent="0.25">
      <c r="A113" s="118" t="s">
        <v>72</v>
      </c>
      <c r="B113" s="119"/>
      <c r="C113" s="119"/>
      <c r="D113" s="119"/>
      <c r="E113" s="119"/>
      <c r="F113" s="119"/>
      <c r="G113" s="119"/>
      <c r="H113" s="120"/>
    </row>
    <row r="114" spans="1:150 16226:16383" ht="20.25" customHeight="1" x14ac:dyDescent="0.25">
      <c r="A114" s="97" t="s">
        <v>8</v>
      </c>
      <c r="B114" s="103"/>
      <c r="C114" s="103"/>
      <c r="D114" s="103"/>
      <c r="E114" s="103"/>
      <c r="F114" s="98"/>
      <c r="G114" s="137" t="s">
        <v>144</v>
      </c>
      <c r="H114" s="138"/>
      <c r="I114" s="71" t="s">
        <v>336</v>
      </c>
    </row>
    <row r="115" spans="1:150 16226:16383" ht="20.25" hidden="1" customHeight="1" x14ac:dyDescent="0.25">
      <c r="A115" s="97" t="s">
        <v>28</v>
      </c>
      <c r="B115" s="103"/>
      <c r="C115" s="103"/>
      <c r="D115" s="103"/>
      <c r="E115" s="103"/>
      <c r="F115" s="98" t="s">
        <v>4</v>
      </c>
      <c r="G115" s="117"/>
      <c r="H115" s="117"/>
    </row>
    <row r="116" spans="1:150 16226:16383" ht="20.25" hidden="1" customHeight="1" x14ac:dyDescent="0.25">
      <c r="A116" s="97" t="s">
        <v>109</v>
      </c>
      <c r="B116" s="103"/>
      <c r="C116" s="103"/>
      <c r="D116" s="103"/>
      <c r="E116" s="103"/>
      <c r="F116" s="98" t="s">
        <v>4</v>
      </c>
      <c r="G116" s="117" t="e">
        <f>G114*0.8</f>
        <v>#VALUE!</v>
      </c>
      <c r="H116" s="117"/>
    </row>
    <row r="117" spans="1:150 16226:16383" ht="20.25" hidden="1" x14ac:dyDescent="0.25">
      <c r="A117" s="134" t="s">
        <v>236</v>
      </c>
      <c r="B117" s="135"/>
      <c r="C117" s="135"/>
      <c r="D117" s="135"/>
      <c r="E117" s="135"/>
      <c r="F117" s="135"/>
      <c r="G117" s="135"/>
      <c r="H117" s="136"/>
    </row>
    <row r="118" spans="1:150 16226:16383" s="2" customFormat="1" ht="20.25" hidden="1" x14ac:dyDescent="0.25">
      <c r="A118" s="110" t="s">
        <v>150</v>
      </c>
      <c r="B118" s="111"/>
      <c r="C118" s="110" t="s">
        <v>151</v>
      </c>
      <c r="D118" s="111"/>
      <c r="E118" s="110" t="s">
        <v>149</v>
      </c>
      <c r="F118" s="111"/>
      <c r="G118" s="110" t="s">
        <v>161</v>
      </c>
      <c r="H118" s="11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WZB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row>
    <row r="119" spans="1:150 16226:16383" s="2" customFormat="1" ht="20.25" hidden="1" x14ac:dyDescent="0.25">
      <c r="A119" s="104"/>
      <c r="B119" s="105"/>
      <c r="C119" s="104"/>
      <c r="D119" s="105"/>
      <c r="E119" s="104"/>
      <c r="F119" s="105"/>
      <c r="G119" s="104"/>
      <c r="H119" s="105"/>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WZB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row>
    <row r="120" spans="1:150 16226:16383" s="2" customFormat="1" ht="20.25" hidden="1" x14ac:dyDescent="0.25">
      <c r="A120" s="104"/>
      <c r="B120" s="105"/>
      <c r="C120" s="104"/>
      <c r="D120" s="105"/>
      <c r="E120" s="104"/>
      <c r="F120" s="105"/>
      <c r="G120" s="104"/>
      <c r="H120" s="105"/>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WZB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row>
    <row r="121" spans="1:150 16226:16383" s="2" customFormat="1" ht="20.25" hidden="1" x14ac:dyDescent="0.25">
      <c r="A121" s="110" t="s">
        <v>152</v>
      </c>
      <c r="B121" s="111"/>
      <c r="C121" s="110" t="s">
        <v>94</v>
      </c>
      <c r="D121" s="111"/>
      <c r="E121" s="110">
        <f>SUM(F119:F120)</f>
        <v>0</v>
      </c>
      <c r="F121" s="111"/>
      <c r="G121" s="110">
        <f>SUM(H119:H120)</f>
        <v>0</v>
      </c>
      <c r="H121" s="111">
        <f>SUM(H119:H120)</f>
        <v>0</v>
      </c>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WZB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row>
    <row r="122" spans="1:150 16226:16383" ht="20.25" x14ac:dyDescent="0.25">
      <c r="A122" s="134" t="s">
        <v>229</v>
      </c>
      <c r="B122" s="135"/>
      <c r="C122" s="135"/>
      <c r="D122" s="135"/>
      <c r="E122" s="135"/>
      <c r="F122" s="135"/>
      <c r="G122" s="135"/>
      <c r="H122" s="136"/>
    </row>
    <row r="123" spans="1:150 16226:16383" s="2" customFormat="1" ht="20.25" customHeight="1" x14ac:dyDescent="0.25">
      <c r="A123" s="110" t="s">
        <v>150</v>
      </c>
      <c r="B123" s="111"/>
      <c r="C123" s="110" t="s">
        <v>325</v>
      </c>
      <c r="D123" s="111"/>
      <c r="E123" s="110" t="s">
        <v>338</v>
      </c>
      <c r="F123" s="111"/>
      <c r="G123" s="110" t="s">
        <v>326</v>
      </c>
      <c r="H123" s="11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row>
    <row r="124" spans="1:150 16226:16383" s="2" customFormat="1" ht="20.25" x14ac:dyDescent="0.25">
      <c r="A124" s="104" t="s">
        <v>322</v>
      </c>
      <c r="B124" s="105"/>
      <c r="C124" s="104">
        <f>COUNT(B129:B248)</f>
        <v>120</v>
      </c>
      <c r="D124" s="105"/>
      <c r="E124" s="104">
        <f>SUM(C129:C248)</f>
        <v>228847.17164399984</v>
      </c>
      <c r="F124" s="105"/>
      <c r="G124" s="104">
        <f>SUM(F129:F248)</f>
        <v>391191.3552082539</v>
      </c>
      <c r="H124" s="105"/>
      <c r="I124" s="1" t="s">
        <v>342</v>
      </c>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row>
    <row r="125" spans="1:150 16226:16383" s="2" customFormat="1" ht="20.25" x14ac:dyDescent="0.25">
      <c r="A125" s="110" t="s">
        <v>152</v>
      </c>
      <c r="B125" s="111"/>
      <c r="C125" s="110">
        <f>SUM(C124)</f>
        <v>120</v>
      </c>
      <c r="D125" s="111"/>
      <c r="E125" s="110">
        <f>SUM(E124)</f>
        <v>228847.17164399984</v>
      </c>
      <c r="F125" s="111"/>
      <c r="G125" s="110">
        <f>SUM(G124)</f>
        <v>391191.3552082539</v>
      </c>
      <c r="H125" s="11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WZB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row>
    <row r="126" spans="1:150 16226:16383" ht="20.25" x14ac:dyDescent="0.25">
      <c r="A126" s="148" t="s">
        <v>148</v>
      </c>
      <c r="B126" s="149"/>
      <c r="C126" s="149"/>
      <c r="D126" s="149"/>
      <c r="E126" s="149"/>
      <c r="F126" s="149"/>
      <c r="G126" s="149"/>
      <c r="H126" s="136"/>
    </row>
    <row r="127" spans="1:150 16226:16383" ht="126.75" customHeight="1" x14ac:dyDescent="0.25">
      <c r="A127" s="30" t="s">
        <v>317</v>
      </c>
      <c r="B127" s="30" t="s">
        <v>318</v>
      </c>
      <c r="C127" s="29" t="s">
        <v>319</v>
      </c>
      <c r="D127" s="30" t="s">
        <v>162</v>
      </c>
      <c r="E127" s="30" t="s">
        <v>320</v>
      </c>
      <c r="F127" s="29" t="s">
        <v>341</v>
      </c>
      <c r="G127" s="106" t="s">
        <v>321</v>
      </c>
      <c r="H127" s="107"/>
    </row>
    <row r="128" spans="1:150 16226:16383" s="2" customFormat="1" ht="20.25" x14ac:dyDescent="0.25">
      <c r="A128" s="139" t="s">
        <v>322</v>
      </c>
      <c r="B128" s="140"/>
      <c r="C128" s="140"/>
      <c r="D128" s="140"/>
      <c r="E128" s="140"/>
      <c r="F128" s="140"/>
      <c r="G128" s="140"/>
      <c r="H128" s="14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WZB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row>
    <row r="129" spans="1:150 16226:16383" s="2" customFormat="1" ht="20.25" x14ac:dyDescent="0.25">
      <c r="A129" s="69">
        <v>1</v>
      </c>
      <c r="B129" s="69">
        <f>250.76</f>
        <v>250.76</v>
      </c>
      <c r="C129" s="69">
        <f>B129*10.764</f>
        <v>2699.1806399999996</v>
      </c>
      <c r="D129" s="69">
        <v>0</v>
      </c>
      <c r="E129" s="69">
        <v>0</v>
      </c>
      <c r="F129" s="69">
        <f>C129*1.554*1.1</f>
        <v>4613.9793860159998</v>
      </c>
      <c r="G129" s="108" t="s">
        <v>98</v>
      </c>
      <c r="H129" s="109"/>
      <c r="I129" s="1" t="s">
        <v>342</v>
      </c>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WZB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row>
    <row r="130" spans="1:150 16226:16383" s="2" customFormat="1" ht="20.25" x14ac:dyDescent="0.25">
      <c r="A130" s="69">
        <f>A129+1</f>
        <v>2</v>
      </c>
      <c r="B130" s="69">
        <f>311.562</f>
        <v>311.56200000000001</v>
      </c>
      <c r="C130" s="69">
        <f t="shared" ref="C130:C193" si="0">B130*10.764</f>
        <v>3353.6533679999998</v>
      </c>
      <c r="D130" s="69">
        <v>0</v>
      </c>
      <c r="E130" s="69">
        <v>0</v>
      </c>
      <c r="F130" s="69">
        <f t="shared" ref="F130:F193" si="1">C130*1.554*1.1</f>
        <v>5732.7350672592002</v>
      </c>
      <c r="G130" s="108" t="s">
        <v>98</v>
      </c>
      <c r="H130" s="109"/>
      <c r="I130" s="1" t="s">
        <v>342</v>
      </c>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WZB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row>
    <row r="131" spans="1:150 16226:16383" s="2" customFormat="1" ht="20.25" x14ac:dyDescent="0.25">
      <c r="A131" s="69">
        <f t="shared" ref="A131:A194" si="2">A130+1</f>
        <v>3</v>
      </c>
      <c r="B131" s="69">
        <f>312.544</f>
        <v>312.54399999999998</v>
      </c>
      <c r="C131" s="69">
        <f t="shared" si="0"/>
        <v>3364.2236159999998</v>
      </c>
      <c r="D131" s="69">
        <v>0</v>
      </c>
      <c r="E131" s="69">
        <v>0</v>
      </c>
      <c r="F131" s="69">
        <f t="shared" si="1"/>
        <v>5750.8038491903999</v>
      </c>
      <c r="G131" s="108" t="s">
        <v>98</v>
      </c>
      <c r="H131" s="109"/>
      <c r="I131" s="1" t="s">
        <v>342</v>
      </c>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WZB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row>
    <row r="132" spans="1:150 16226:16383" s="2" customFormat="1" ht="20.25" customHeight="1" x14ac:dyDescent="0.25">
      <c r="A132" s="69">
        <f t="shared" si="2"/>
        <v>4</v>
      </c>
      <c r="B132" s="69">
        <f>160.362</f>
        <v>160.36199999999999</v>
      </c>
      <c r="C132" s="69">
        <f t="shared" si="0"/>
        <v>1726.1365679999999</v>
      </c>
      <c r="D132" s="69">
        <v>0</v>
      </c>
      <c r="E132" s="69">
        <v>0</v>
      </c>
      <c r="F132" s="69">
        <f t="shared" si="1"/>
        <v>2950.6578493392003</v>
      </c>
      <c r="G132" s="108" t="s">
        <v>98</v>
      </c>
      <c r="H132" s="109"/>
      <c r="I132" s="1" t="s">
        <v>342</v>
      </c>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WZB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row>
    <row r="133" spans="1:150 16226:16383" s="2" customFormat="1" ht="20.25" customHeight="1" x14ac:dyDescent="0.25">
      <c r="A133" s="69">
        <f t="shared" si="2"/>
        <v>5</v>
      </c>
      <c r="B133" s="69">
        <f>236.38</f>
        <v>236.38</v>
      </c>
      <c r="C133" s="69">
        <f t="shared" si="0"/>
        <v>2544.3943199999999</v>
      </c>
      <c r="D133" s="69">
        <v>0</v>
      </c>
      <c r="E133" s="69">
        <v>0</v>
      </c>
      <c r="F133" s="69">
        <f t="shared" si="1"/>
        <v>4349.3876506080005</v>
      </c>
      <c r="G133" s="108" t="s">
        <v>98</v>
      </c>
      <c r="H133" s="109"/>
      <c r="I133" s="1" t="s">
        <v>342</v>
      </c>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row>
    <row r="134" spans="1:150 16226:16383" s="2" customFormat="1" ht="20.25" customHeight="1" x14ac:dyDescent="0.25">
      <c r="A134" s="69">
        <f t="shared" si="2"/>
        <v>6</v>
      </c>
      <c r="B134" s="69">
        <f>161.074</f>
        <v>161.07400000000001</v>
      </c>
      <c r="C134" s="69">
        <f t="shared" si="0"/>
        <v>1733.800536</v>
      </c>
      <c r="D134" s="69">
        <v>0</v>
      </c>
      <c r="E134" s="69">
        <v>0</v>
      </c>
      <c r="F134" s="69">
        <f t="shared" si="1"/>
        <v>2963.7586362384004</v>
      </c>
      <c r="G134" s="108" t="s">
        <v>98</v>
      </c>
      <c r="H134" s="109"/>
      <c r="I134" s="1" t="s">
        <v>342</v>
      </c>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0 16226:16383" s="2" customFormat="1" ht="20.25" customHeight="1" x14ac:dyDescent="0.25">
      <c r="A135" s="69">
        <f t="shared" si="2"/>
        <v>7</v>
      </c>
      <c r="B135" s="69">
        <f>160.632</f>
        <v>160.63200000000001</v>
      </c>
      <c r="C135" s="69">
        <f t="shared" si="0"/>
        <v>1729.042848</v>
      </c>
      <c r="D135" s="69">
        <v>0</v>
      </c>
      <c r="E135" s="69">
        <v>0</v>
      </c>
      <c r="F135" s="69">
        <f t="shared" si="1"/>
        <v>2955.6258443712004</v>
      </c>
      <c r="G135" s="108" t="s">
        <v>98</v>
      </c>
      <c r="H135" s="109"/>
      <c r="I135" s="1" t="s">
        <v>342</v>
      </c>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2" customFormat="1" ht="20.25" customHeight="1" x14ac:dyDescent="0.25">
      <c r="A136" s="69">
        <f t="shared" si="2"/>
        <v>8</v>
      </c>
      <c r="B136" s="69">
        <f>160.578</f>
        <v>160.578</v>
      </c>
      <c r="C136" s="69">
        <f t="shared" si="0"/>
        <v>1728.4615919999999</v>
      </c>
      <c r="D136" s="69">
        <v>0</v>
      </c>
      <c r="E136" s="69">
        <v>0</v>
      </c>
      <c r="F136" s="69">
        <f t="shared" si="1"/>
        <v>2954.6322453647999</v>
      </c>
      <c r="G136" s="108" t="s">
        <v>98</v>
      </c>
      <c r="H136" s="109"/>
      <c r="I136" s="1" t="s">
        <v>342</v>
      </c>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2" customFormat="1" ht="20.25" x14ac:dyDescent="0.25">
      <c r="A137" s="69">
        <f t="shared" si="2"/>
        <v>9</v>
      </c>
      <c r="B137" s="69">
        <f>250.857</f>
        <v>250.857</v>
      </c>
      <c r="C137" s="69">
        <f t="shared" si="0"/>
        <v>2700.2247479999996</v>
      </c>
      <c r="D137" s="69">
        <v>0</v>
      </c>
      <c r="E137" s="69">
        <v>0</v>
      </c>
      <c r="F137" s="69">
        <f t="shared" si="1"/>
        <v>4615.7641842312005</v>
      </c>
      <c r="G137" s="108" t="s">
        <v>98</v>
      </c>
      <c r="H137" s="109"/>
      <c r="I137" s="1" t="s">
        <v>342</v>
      </c>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2" customFormat="1" ht="20.25" x14ac:dyDescent="0.25">
      <c r="A138" s="69">
        <f t="shared" si="2"/>
        <v>10</v>
      </c>
      <c r="B138" s="69">
        <f>251.443</f>
        <v>251.44300000000001</v>
      </c>
      <c r="C138" s="69">
        <f t="shared" si="0"/>
        <v>2706.5324519999999</v>
      </c>
      <c r="D138" s="69">
        <v>0</v>
      </c>
      <c r="E138" s="69">
        <v>0</v>
      </c>
      <c r="F138" s="69">
        <f t="shared" si="1"/>
        <v>4626.5465734488007</v>
      </c>
      <c r="G138" s="108" t="s">
        <v>98</v>
      </c>
      <c r="H138" s="109"/>
      <c r="I138" s="1" t="s">
        <v>342</v>
      </c>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2" customFormat="1" ht="20.25" x14ac:dyDescent="0.25">
      <c r="A139" s="69">
        <f t="shared" si="2"/>
        <v>11</v>
      </c>
      <c r="B139" s="69">
        <f>255.012</f>
        <v>255.012</v>
      </c>
      <c r="C139" s="69">
        <f t="shared" si="0"/>
        <v>2744.9491679999996</v>
      </c>
      <c r="D139" s="69">
        <v>0</v>
      </c>
      <c r="E139" s="69">
        <v>0</v>
      </c>
      <c r="F139" s="69">
        <f t="shared" si="1"/>
        <v>4692.2161077791998</v>
      </c>
      <c r="G139" s="108" t="s">
        <v>98</v>
      </c>
      <c r="H139" s="109"/>
      <c r="I139" s="1" t="s">
        <v>342</v>
      </c>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2" customFormat="1" ht="20.25" customHeight="1" x14ac:dyDescent="0.25">
      <c r="A140" s="69">
        <f t="shared" si="2"/>
        <v>12</v>
      </c>
      <c r="B140" s="69">
        <f>272.323</f>
        <v>272.32299999999998</v>
      </c>
      <c r="C140" s="69">
        <f t="shared" si="0"/>
        <v>2931.2847719999995</v>
      </c>
      <c r="D140" s="69">
        <v>0</v>
      </c>
      <c r="E140" s="69">
        <v>0</v>
      </c>
      <c r="F140" s="69">
        <f t="shared" si="1"/>
        <v>5010.7381892568001</v>
      </c>
      <c r="G140" s="108" t="s">
        <v>98</v>
      </c>
      <c r="H140" s="109"/>
      <c r="I140" s="1" t="s">
        <v>342</v>
      </c>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2" customFormat="1" ht="20.25" customHeight="1" x14ac:dyDescent="0.25">
      <c r="A141" s="69">
        <f t="shared" si="2"/>
        <v>13</v>
      </c>
      <c r="B141" s="69">
        <f>161.251</f>
        <v>161.251</v>
      </c>
      <c r="C141" s="69">
        <f t="shared" si="0"/>
        <v>1735.705764</v>
      </c>
      <c r="D141" s="69">
        <v>0</v>
      </c>
      <c r="E141" s="69">
        <v>0</v>
      </c>
      <c r="F141" s="69">
        <f t="shared" si="1"/>
        <v>2967.0154329816005</v>
      </c>
      <c r="G141" s="108" t="s">
        <v>98</v>
      </c>
      <c r="H141" s="109"/>
      <c r="I141" s="1" t="s">
        <v>342</v>
      </c>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2" customFormat="1" ht="20.25" customHeight="1" x14ac:dyDescent="0.25">
      <c r="A142" s="69">
        <f t="shared" si="2"/>
        <v>14</v>
      </c>
      <c r="B142" s="69">
        <f>154.936</f>
        <v>154.93600000000001</v>
      </c>
      <c r="C142" s="69">
        <f t="shared" si="0"/>
        <v>1667.731104</v>
      </c>
      <c r="D142" s="69">
        <v>0</v>
      </c>
      <c r="E142" s="69">
        <v>0</v>
      </c>
      <c r="F142" s="69">
        <f t="shared" si="1"/>
        <v>2850.8195491776005</v>
      </c>
      <c r="G142" s="108" t="s">
        <v>98</v>
      </c>
      <c r="H142" s="109"/>
      <c r="I142" s="1" t="s">
        <v>342</v>
      </c>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2" customFormat="1" ht="20.25" customHeight="1" x14ac:dyDescent="0.25">
      <c r="A143" s="69">
        <f t="shared" si="2"/>
        <v>15</v>
      </c>
      <c r="B143" s="69">
        <f>155.782</f>
        <v>155.78200000000001</v>
      </c>
      <c r="C143" s="69">
        <f t="shared" si="0"/>
        <v>1676.837448</v>
      </c>
      <c r="D143" s="69">
        <v>0</v>
      </c>
      <c r="E143" s="69">
        <v>0</v>
      </c>
      <c r="F143" s="69">
        <f t="shared" si="1"/>
        <v>2866.3859336112005</v>
      </c>
      <c r="G143" s="108" t="s">
        <v>98</v>
      </c>
      <c r="H143" s="109"/>
      <c r="I143" s="1" t="s">
        <v>342</v>
      </c>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row>
    <row r="144" spans="1:150 16226:16383" s="2" customFormat="1" ht="20.25" customHeight="1" x14ac:dyDescent="0.25">
      <c r="A144" s="69">
        <f t="shared" si="2"/>
        <v>16</v>
      </c>
      <c r="B144" s="69">
        <f>159.688</f>
        <v>159.68799999999999</v>
      </c>
      <c r="C144" s="69">
        <f t="shared" si="0"/>
        <v>1718.8816319999999</v>
      </c>
      <c r="D144" s="69">
        <v>0</v>
      </c>
      <c r="E144" s="69">
        <v>0</v>
      </c>
      <c r="F144" s="69">
        <f t="shared" si="1"/>
        <v>2938.2562617407998</v>
      </c>
      <c r="G144" s="108" t="s">
        <v>98</v>
      </c>
      <c r="H144" s="109"/>
      <c r="I144" s="1" t="s">
        <v>342</v>
      </c>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row>
    <row r="145" spans="1:150 16226:16383" s="2" customFormat="1" ht="20.25" x14ac:dyDescent="0.25">
      <c r="A145" s="69">
        <f t="shared" si="2"/>
        <v>17</v>
      </c>
      <c r="B145" s="69">
        <f>157.239</f>
        <v>157.239</v>
      </c>
      <c r="C145" s="69">
        <f t="shared" si="0"/>
        <v>1692.5205959999998</v>
      </c>
      <c r="D145" s="69">
        <v>0</v>
      </c>
      <c r="E145" s="69">
        <v>0</v>
      </c>
      <c r="F145" s="69">
        <f t="shared" si="1"/>
        <v>2893.1947068024001</v>
      </c>
      <c r="G145" s="108" t="s">
        <v>98</v>
      </c>
      <c r="H145" s="109"/>
      <c r="I145" s="1" t="s">
        <v>342</v>
      </c>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row>
    <row r="146" spans="1:150 16226:16383" s="2" customFormat="1" ht="20.25" x14ac:dyDescent="0.25">
      <c r="A146" s="69">
        <f t="shared" si="2"/>
        <v>18</v>
      </c>
      <c r="B146" s="69">
        <f>143.084</f>
        <v>143.084</v>
      </c>
      <c r="C146" s="69">
        <f t="shared" si="0"/>
        <v>1540.156176</v>
      </c>
      <c r="D146" s="69">
        <v>0</v>
      </c>
      <c r="E146" s="69">
        <v>0</v>
      </c>
      <c r="F146" s="69">
        <f t="shared" si="1"/>
        <v>2632.7429672544004</v>
      </c>
      <c r="G146" s="108" t="s">
        <v>98</v>
      </c>
      <c r="H146" s="109"/>
      <c r="I146" s="1" t="s">
        <v>342</v>
      </c>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row>
    <row r="147" spans="1:150 16226:16383" s="2" customFormat="1" ht="20.25" x14ac:dyDescent="0.25">
      <c r="A147" s="69">
        <f t="shared" si="2"/>
        <v>19</v>
      </c>
      <c r="B147" s="69">
        <f>144.846</f>
        <v>144.846</v>
      </c>
      <c r="C147" s="69">
        <f t="shared" si="0"/>
        <v>1559.1223439999999</v>
      </c>
      <c r="D147" s="69">
        <v>0</v>
      </c>
      <c r="E147" s="69">
        <v>0</v>
      </c>
      <c r="F147" s="69">
        <f t="shared" si="1"/>
        <v>2665.1637348336003</v>
      </c>
      <c r="G147" s="108" t="s">
        <v>98</v>
      </c>
      <c r="H147" s="109"/>
      <c r="I147" s="1" t="s">
        <v>342</v>
      </c>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0 16226:16383" s="2" customFormat="1" ht="20.25" customHeight="1" x14ac:dyDescent="0.25">
      <c r="A148" s="69">
        <f t="shared" si="2"/>
        <v>20</v>
      </c>
      <c r="B148" s="69">
        <f>252.001</f>
        <v>252.001</v>
      </c>
      <c r="C148" s="69">
        <f t="shared" si="0"/>
        <v>2712.5387639999999</v>
      </c>
      <c r="D148" s="69">
        <v>0</v>
      </c>
      <c r="E148" s="69">
        <v>0</v>
      </c>
      <c r="F148" s="69">
        <f t="shared" si="1"/>
        <v>4636.8137631815998</v>
      </c>
      <c r="G148" s="108" t="s">
        <v>98</v>
      </c>
      <c r="H148" s="109"/>
      <c r="I148" s="1" t="s">
        <v>342</v>
      </c>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2" customFormat="1" ht="20.25" customHeight="1" x14ac:dyDescent="0.25">
      <c r="A149" s="69">
        <f t="shared" si="2"/>
        <v>21</v>
      </c>
      <c r="B149" s="69">
        <f>233.193</f>
        <v>233.19300000000001</v>
      </c>
      <c r="C149" s="69">
        <f t="shared" si="0"/>
        <v>2510.0894520000002</v>
      </c>
      <c r="D149" s="69">
        <v>0</v>
      </c>
      <c r="E149" s="69">
        <v>0</v>
      </c>
      <c r="F149" s="69">
        <f t="shared" si="1"/>
        <v>4290.7469092488009</v>
      </c>
      <c r="G149" s="108" t="s">
        <v>98</v>
      </c>
      <c r="H149" s="109"/>
      <c r="I149" s="1" t="s">
        <v>342</v>
      </c>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2" customFormat="1" ht="20.25" customHeight="1" x14ac:dyDescent="0.25">
      <c r="A150" s="69">
        <f t="shared" si="2"/>
        <v>22</v>
      </c>
      <c r="B150" s="69">
        <f>177.321</f>
        <v>177.321</v>
      </c>
      <c r="C150" s="69">
        <f t="shared" si="0"/>
        <v>1908.6832439999998</v>
      </c>
      <c r="D150" s="69">
        <v>0</v>
      </c>
      <c r="E150" s="69">
        <v>0</v>
      </c>
      <c r="F150" s="69">
        <f t="shared" si="1"/>
        <v>3262.7031372936003</v>
      </c>
      <c r="G150" s="108" t="s">
        <v>98</v>
      </c>
      <c r="H150" s="109"/>
      <c r="I150" s="1" t="s">
        <v>342</v>
      </c>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s="2" customFormat="1" ht="20.25" customHeight="1" x14ac:dyDescent="0.25">
      <c r="A151" s="69">
        <f t="shared" si="2"/>
        <v>23</v>
      </c>
      <c r="B151" s="69">
        <f>176.351</f>
        <v>176.351</v>
      </c>
      <c r="C151" s="69">
        <f t="shared" si="0"/>
        <v>1898.2421639999998</v>
      </c>
      <c r="D151" s="69">
        <v>0</v>
      </c>
      <c r="E151" s="69">
        <v>0</v>
      </c>
      <c r="F151" s="69">
        <f t="shared" si="1"/>
        <v>3244.8551551415999</v>
      </c>
      <c r="G151" s="108" t="s">
        <v>98</v>
      </c>
      <c r="H151" s="109"/>
      <c r="I151" s="1" t="s">
        <v>342</v>
      </c>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2" customFormat="1" ht="20.25" customHeight="1" x14ac:dyDescent="0.25">
      <c r="A152" s="69">
        <f t="shared" si="2"/>
        <v>24</v>
      </c>
      <c r="B152" s="69">
        <f>168.672</f>
        <v>168.672</v>
      </c>
      <c r="C152" s="69">
        <f t="shared" si="0"/>
        <v>1815.5854079999999</v>
      </c>
      <c r="D152" s="69">
        <v>0</v>
      </c>
      <c r="E152" s="69">
        <v>0</v>
      </c>
      <c r="F152" s="69">
        <f t="shared" si="1"/>
        <v>3103.5616964352002</v>
      </c>
      <c r="G152" s="108" t="s">
        <v>98</v>
      </c>
      <c r="H152" s="109"/>
      <c r="I152" s="1" t="s">
        <v>342</v>
      </c>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2" customFormat="1" ht="20.25" x14ac:dyDescent="0.25">
      <c r="A153" s="69">
        <f t="shared" si="2"/>
        <v>25</v>
      </c>
      <c r="B153" s="69">
        <f>168.672</f>
        <v>168.672</v>
      </c>
      <c r="C153" s="69">
        <f t="shared" si="0"/>
        <v>1815.5854079999999</v>
      </c>
      <c r="D153" s="69">
        <v>0</v>
      </c>
      <c r="E153" s="69">
        <v>0</v>
      </c>
      <c r="F153" s="69">
        <f t="shared" si="1"/>
        <v>3103.5616964352002</v>
      </c>
      <c r="G153" s="108" t="s">
        <v>98</v>
      </c>
      <c r="H153" s="109"/>
      <c r="I153" s="1" t="s">
        <v>342</v>
      </c>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2" customFormat="1" ht="20.25" x14ac:dyDescent="0.25">
      <c r="A154" s="69">
        <f t="shared" si="2"/>
        <v>26</v>
      </c>
      <c r="B154" s="69">
        <f>168.718</f>
        <v>168.71799999999999</v>
      </c>
      <c r="C154" s="69">
        <f t="shared" si="0"/>
        <v>1816.0805519999997</v>
      </c>
      <c r="D154" s="69">
        <v>0</v>
      </c>
      <c r="E154" s="69">
        <v>0</v>
      </c>
      <c r="F154" s="69">
        <f t="shared" si="1"/>
        <v>3104.4080955887994</v>
      </c>
      <c r="G154" s="108" t="s">
        <v>98</v>
      </c>
      <c r="H154" s="109"/>
      <c r="I154" s="1" t="s">
        <v>342</v>
      </c>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2" customFormat="1" ht="20.25" x14ac:dyDescent="0.25">
      <c r="A155" s="69">
        <f t="shared" si="2"/>
        <v>27</v>
      </c>
      <c r="B155" s="69">
        <f>182.856</f>
        <v>182.85599999999999</v>
      </c>
      <c r="C155" s="69">
        <f t="shared" si="0"/>
        <v>1968.2619839999998</v>
      </c>
      <c r="D155" s="69">
        <v>0</v>
      </c>
      <c r="E155" s="69">
        <v>0</v>
      </c>
      <c r="F155" s="69">
        <f t="shared" si="1"/>
        <v>3364.5470354496001</v>
      </c>
      <c r="G155" s="108" t="s">
        <v>98</v>
      </c>
      <c r="H155" s="109"/>
      <c r="I155" s="1" t="s">
        <v>342</v>
      </c>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2" customFormat="1" ht="20.25" customHeight="1" x14ac:dyDescent="0.25">
      <c r="A156" s="69">
        <f t="shared" si="2"/>
        <v>28</v>
      </c>
      <c r="B156" s="69">
        <f>193.918</f>
        <v>193.91800000000001</v>
      </c>
      <c r="C156" s="69">
        <f t="shared" si="0"/>
        <v>2087.3333520000001</v>
      </c>
      <c r="D156" s="69">
        <v>0</v>
      </c>
      <c r="E156" s="69">
        <v>0</v>
      </c>
      <c r="F156" s="69">
        <f t="shared" si="1"/>
        <v>3568.0876319088002</v>
      </c>
      <c r="G156" s="108" t="s">
        <v>98</v>
      </c>
      <c r="H156" s="109"/>
      <c r="I156" s="1" t="s">
        <v>342</v>
      </c>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s="2" customFormat="1" ht="20.25" customHeight="1" x14ac:dyDescent="0.25">
      <c r="A157" s="69">
        <f t="shared" si="2"/>
        <v>29</v>
      </c>
      <c r="B157" s="69">
        <f>179.319</f>
        <v>179.31899999999999</v>
      </c>
      <c r="C157" s="69">
        <f t="shared" si="0"/>
        <v>1930.1897159999999</v>
      </c>
      <c r="D157" s="69">
        <v>0</v>
      </c>
      <c r="E157" s="69">
        <v>0</v>
      </c>
      <c r="F157" s="69">
        <f t="shared" si="1"/>
        <v>3299.4663005304001</v>
      </c>
      <c r="G157" s="108" t="s">
        <v>98</v>
      </c>
      <c r="H157" s="109"/>
      <c r="I157" s="1" t="s">
        <v>342</v>
      </c>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row>
    <row r="158" spans="1:150 16226:16383" s="2" customFormat="1" ht="20.25" customHeight="1" x14ac:dyDescent="0.25">
      <c r="A158" s="69">
        <f t="shared" si="2"/>
        <v>30</v>
      </c>
      <c r="B158" s="69">
        <f>179.271</f>
        <v>179.27099999999999</v>
      </c>
      <c r="C158" s="69">
        <f t="shared" si="0"/>
        <v>1929.6730439999997</v>
      </c>
      <c r="D158" s="69">
        <v>0</v>
      </c>
      <c r="E158" s="69">
        <v>0</v>
      </c>
      <c r="F158" s="69">
        <f t="shared" si="1"/>
        <v>3298.5831014135997</v>
      </c>
      <c r="G158" s="108" t="s">
        <v>98</v>
      </c>
      <c r="H158" s="109"/>
      <c r="I158" s="1" t="s">
        <v>342</v>
      </c>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0 16226:16383" s="2" customFormat="1" ht="20.25" customHeight="1" x14ac:dyDescent="0.25">
      <c r="A159" s="69">
        <f t="shared" si="2"/>
        <v>31</v>
      </c>
      <c r="B159" s="69">
        <f>179.271</f>
        <v>179.27099999999999</v>
      </c>
      <c r="C159" s="69">
        <f t="shared" si="0"/>
        <v>1929.6730439999997</v>
      </c>
      <c r="D159" s="69">
        <v>0</v>
      </c>
      <c r="E159" s="69">
        <v>0</v>
      </c>
      <c r="F159" s="69">
        <f t="shared" si="1"/>
        <v>3298.5831014135997</v>
      </c>
      <c r="G159" s="108" t="s">
        <v>98</v>
      </c>
      <c r="H159" s="109"/>
      <c r="I159" s="1" t="s">
        <v>342</v>
      </c>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row>
    <row r="160" spans="1:150 16226:16383" s="2" customFormat="1" ht="20.25" customHeight="1" x14ac:dyDescent="0.25">
      <c r="A160" s="69">
        <f t="shared" si="2"/>
        <v>32</v>
      </c>
      <c r="B160" s="69">
        <f>186.363</f>
        <v>186.363</v>
      </c>
      <c r="C160" s="69">
        <f t="shared" si="0"/>
        <v>2006.0113319999998</v>
      </c>
      <c r="D160" s="69">
        <v>0</v>
      </c>
      <c r="E160" s="69">
        <v>0</v>
      </c>
      <c r="F160" s="69">
        <f t="shared" si="1"/>
        <v>3429.0757709208001</v>
      </c>
      <c r="G160" s="108" t="s">
        <v>98</v>
      </c>
      <c r="H160" s="109"/>
      <c r="I160" s="1" t="s">
        <v>342</v>
      </c>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row>
    <row r="161" spans="1:150 16226:16383" s="2" customFormat="1" ht="20.25" x14ac:dyDescent="0.25">
      <c r="A161" s="69" t="s">
        <v>323</v>
      </c>
      <c r="B161" s="69">
        <v>0</v>
      </c>
      <c r="C161" s="69">
        <f t="shared" si="0"/>
        <v>0</v>
      </c>
      <c r="D161" s="69">
        <v>0</v>
      </c>
      <c r="E161" s="69">
        <v>0</v>
      </c>
      <c r="F161" s="69">
        <f t="shared" si="1"/>
        <v>0</v>
      </c>
      <c r="G161" s="108" t="s">
        <v>98</v>
      </c>
      <c r="H161" s="109"/>
      <c r="I161" s="1" t="s">
        <v>342</v>
      </c>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row>
    <row r="162" spans="1:150 16226:16383" s="2" customFormat="1" ht="20.25" x14ac:dyDescent="0.25">
      <c r="A162" s="69">
        <v>34</v>
      </c>
      <c r="B162" s="69">
        <f>174.355</f>
        <v>174.35499999999999</v>
      </c>
      <c r="C162" s="69">
        <f t="shared" si="0"/>
        <v>1876.7572199999997</v>
      </c>
      <c r="D162" s="69">
        <v>0</v>
      </c>
      <c r="E162" s="69">
        <v>0</v>
      </c>
      <c r="F162" s="69">
        <f t="shared" si="1"/>
        <v>3208.1287918679996</v>
      </c>
      <c r="G162" s="108" t="s">
        <v>98</v>
      </c>
      <c r="H162" s="109"/>
      <c r="I162" s="1" t="s">
        <v>342</v>
      </c>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row>
    <row r="163" spans="1:150 16226:16383" s="2" customFormat="1" ht="20.25" x14ac:dyDescent="0.25">
      <c r="A163" s="69">
        <f t="shared" si="2"/>
        <v>35</v>
      </c>
      <c r="B163" s="69">
        <f t="shared" ref="B163:B164" si="3">174.355</f>
        <v>174.35499999999999</v>
      </c>
      <c r="C163" s="69">
        <f t="shared" si="0"/>
        <v>1876.7572199999997</v>
      </c>
      <c r="D163" s="69">
        <v>0</v>
      </c>
      <c r="E163" s="69">
        <v>0</v>
      </c>
      <c r="F163" s="69">
        <f t="shared" si="1"/>
        <v>3208.1287918679996</v>
      </c>
      <c r="G163" s="108" t="s">
        <v>98</v>
      </c>
      <c r="H163" s="109"/>
      <c r="I163" s="1" t="s">
        <v>342</v>
      </c>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row>
    <row r="164" spans="1:150 16226:16383" s="2" customFormat="1" ht="20.25" customHeight="1" x14ac:dyDescent="0.25">
      <c r="A164" s="69">
        <f t="shared" si="2"/>
        <v>36</v>
      </c>
      <c r="B164" s="69">
        <f t="shared" si="3"/>
        <v>174.35499999999999</v>
      </c>
      <c r="C164" s="69">
        <f t="shared" si="0"/>
        <v>1876.7572199999997</v>
      </c>
      <c r="D164" s="69">
        <v>0</v>
      </c>
      <c r="E164" s="69">
        <v>0</v>
      </c>
      <c r="F164" s="69">
        <f t="shared" si="1"/>
        <v>3208.1287918679996</v>
      </c>
      <c r="G164" s="108" t="s">
        <v>98</v>
      </c>
      <c r="H164" s="109"/>
      <c r="I164" s="1" t="s">
        <v>342</v>
      </c>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row>
    <row r="165" spans="1:150 16226:16383" s="2" customFormat="1" ht="20.25" customHeight="1" x14ac:dyDescent="0.25">
      <c r="A165" s="69">
        <f t="shared" si="2"/>
        <v>37</v>
      </c>
      <c r="B165" s="69">
        <f>170.011</f>
        <v>170.011</v>
      </c>
      <c r="C165" s="69">
        <f t="shared" si="0"/>
        <v>1829.9984039999999</v>
      </c>
      <c r="D165" s="69">
        <v>0</v>
      </c>
      <c r="E165" s="69">
        <v>0</v>
      </c>
      <c r="F165" s="69">
        <f t="shared" si="1"/>
        <v>3128.1992717976004</v>
      </c>
      <c r="G165" s="108" t="s">
        <v>98</v>
      </c>
      <c r="H165" s="109"/>
      <c r="I165" s="1" t="s">
        <v>342</v>
      </c>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row>
    <row r="166" spans="1:150 16226:16383" s="2" customFormat="1" ht="20.25" customHeight="1" x14ac:dyDescent="0.25">
      <c r="A166" s="69">
        <f t="shared" si="2"/>
        <v>38</v>
      </c>
      <c r="B166" s="69">
        <f>162.988</f>
        <v>162.988</v>
      </c>
      <c r="C166" s="69">
        <f t="shared" si="0"/>
        <v>1754.402832</v>
      </c>
      <c r="D166" s="69">
        <v>0</v>
      </c>
      <c r="E166" s="69">
        <v>0</v>
      </c>
      <c r="F166" s="69">
        <f t="shared" si="1"/>
        <v>2998.9762010208005</v>
      </c>
      <c r="G166" s="108" t="s">
        <v>98</v>
      </c>
      <c r="H166" s="109"/>
      <c r="I166" s="1" t="s">
        <v>342</v>
      </c>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row>
    <row r="167" spans="1:150 16226:16383" s="2" customFormat="1" ht="20.25" customHeight="1" x14ac:dyDescent="0.25">
      <c r="A167" s="69">
        <f t="shared" si="2"/>
        <v>39</v>
      </c>
      <c r="B167" s="69">
        <f>159.335</f>
        <v>159.33500000000001</v>
      </c>
      <c r="C167" s="69">
        <f t="shared" si="0"/>
        <v>1715.08194</v>
      </c>
      <c r="D167" s="69">
        <v>0</v>
      </c>
      <c r="E167" s="69">
        <v>0</v>
      </c>
      <c r="F167" s="69">
        <f t="shared" si="1"/>
        <v>2931.7610682360005</v>
      </c>
      <c r="G167" s="108" t="s">
        <v>98</v>
      </c>
      <c r="H167" s="109"/>
      <c r="I167" s="1" t="s">
        <v>342</v>
      </c>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row>
    <row r="168" spans="1:150 16226:16383" s="2" customFormat="1" ht="20.25" customHeight="1" x14ac:dyDescent="0.25">
      <c r="A168" s="69">
        <f t="shared" si="2"/>
        <v>40</v>
      </c>
      <c r="B168" s="69">
        <f>143.686</f>
        <v>143.68600000000001</v>
      </c>
      <c r="C168" s="69">
        <f t="shared" si="0"/>
        <v>1546.6361039999999</v>
      </c>
      <c r="D168" s="69">
        <v>0</v>
      </c>
      <c r="E168" s="69">
        <v>0</v>
      </c>
      <c r="F168" s="69">
        <f t="shared" si="1"/>
        <v>2643.8197561776001</v>
      </c>
      <c r="G168" s="108" t="s">
        <v>98</v>
      </c>
      <c r="H168" s="109"/>
      <c r="I168" s="1" t="s">
        <v>342</v>
      </c>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row>
    <row r="169" spans="1:150 16226:16383" s="2" customFormat="1" ht="20.25" x14ac:dyDescent="0.25">
      <c r="A169" s="69">
        <f t="shared" si="2"/>
        <v>41</v>
      </c>
      <c r="B169" s="69">
        <f>141.79</f>
        <v>141.79</v>
      </c>
      <c r="C169" s="69">
        <f t="shared" si="0"/>
        <v>1526.2275599999998</v>
      </c>
      <c r="D169" s="69">
        <v>0</v>
      </c>
      <c r="E169" s="69">
        <v>0</v>
      </c>
      <c r="F169" s="69">
        <f t="shared" si="1"/>
        <v>2608.9333910639998</v>
      </c>
      <c r="G169" s="108" t="s">
        <v>98</v>
      </c>
      <c r="H169" s="109"/>
      <c r="I169" s="1" t="s">
        <v>342</v>
      </c>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row>
    <row r="170" spans="1:150 16226:16383" s="2" customFormat="1" ht="20.25" x14ac:dyDescent="0.25">
      <c r="A170" s="69">
        <f t="shared" si="2"/>
        <v>42</v>
      </c>
      <c r="B170" s="69">
        <f>141.742</f>
        <v>141.74199999999999</v>
      </c>
      <c r="C170" s="69">
        <f t="shared" si="0"/>
        <v>1525.7108879999998</v>
      </c>
      <c r="D170" s="69">
        <v>0</v>
      </c>
      <c r="E170" s="69">
        <v>0</v>
      </c>
      <c r="F170" s="69">
        <f t="shared" si="1"/>
        <v>2608.0501919471999</v>
      </c>
      <c r="G170" s="108" t="s">
        <v>98</v>
      </c>
      <c r="H170" s="109"/>
      <c r="I170" s="1" t="s">
        <v>342</v>
      </c>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row>
    <row r="171" spans="1:150 16226:16383" s="2" customFormat="1" ht="20.25" x14ac:dyDescent="0.25">
      <c r="A171" s="69">
        <f t="shared" si="2"/>
        <v>43</v>
      </c>
      <c r="B171" s="69">
        <f>139.488</f>
        <v>139.488</v>
      </c>
      <c r="C171" s="69">
        <f t="shared" si="0"/>
        <v>1501.4488319999998</v>
      </c>
      <c r="D171" s="69">
        <v>0</v>
      </c>
      <c r="E171" s="69">
        <v>0</v>
      </c>
      <c r="F171" s="69">
        <f t="shared" si="1"/>
        <v>2566.5766334207997</v>
      </c>
      <c r="G171" s="108" t="s">
        <v>98</v>
      </c>
      <c r="H171" s="109"/>
      <c r="I171" s="1" t="s">
        <v>342</v>
      </c>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row>
    <row r="172" spans="1:150 16226:16383" s="2" customFormat="1" ht="20.25" customHeight="1" x14ac:dyDescent="0.25">
      <c r="A172" s="69">
        <f t="shared" si="2"/>
        <v>44</v>
      </c>
      <c r="B172" s="69">
        <f>252.658</f>
        <v>252.65799999999999</v>
      </c>
      <c r="C172" s="69">
        <f t="shared" si="0"/>
        <v>2719.6107119999997</v>
      </c>
      <c r="D172" s="69">
        <v>0</v>
      </c>
      <c r="E172" s="69">
        <v>0</v>
      </c>
      <c r="F172" s="69">
        <f t="shared" si="1"/>
        <v>4648.9025510927995</v>
      </c>
      <c r="G172" s="108" t="s">
        <v>98</v>
      </c>
      <c r="H172" s="109"/>
      <c r="I172" s="1" t="s">
        <v>342</v>
      </c>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row>
    <row r="173" spans="1:150 16226:16383" s="2" customFormat="1" ht="20.25" customHeight="1" x14ac:dyDescent="0.25">
      <c r="A173" s="69">
        <f t="shared" si="2"/>
        <v>45</v>
      </c>
      <c r="B173" s="69">
        <f>119.194</f>
        <v>119.194</v>
      </c>
      <c r="C173" s="69">
        <f t="shared" si="0"/>
        <v>1283.004216</v>
      </c>
      <c r="D173" s="69">
        <v>0</v>
      </c>
      <c r="E173" s="69">
        <v>0</v>
      </c>
      <c r="F173" s="69">
        <f t="shared" si="1"/>
        <v>2193.1674068304005</v>
      </c>
      <c r="G173" s="108" t="s">
        <v>98</v>
      </c>
      <c r="H173" s="109"/>
      <c r="I173" s="1" t="s">
        <v>342</v>
      </c>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row>
    <row r="174" spans="1:150 16226:16383" s="2" customFormat="1" ht="20.25" customHeight="1" x14ac:dyDescent="0.25">
      <c r="A174" s="69">
        <f t="shared" si="2"/>
        <v>46</v>
      </c>
      <c r="B174" s="69">
        <f>160.635</f>
        <v>160.63499999999999</v>
      </c>
      <c r="C174" s="69">
        <f t="shared" si="0"/>
        <v>1729.0751399999997</v>
      </c>
      <c r="D174" s="69">
        <v>0</v>
      </c>
      <c r="E174" s="69">
        <v>0</v>
      </c>
      <c r="F174" s="69">
        <f t="shared" si="1"/>
        <v>2955.6810443159998</v>
      </c>
      <c r="G174" s="108" t="s">
        <v>98</v>
      </c>
      <c r="H174" s="109"/>
      <c r="I174" s="1" t="s">
        <v>342</v>
      </c>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row>
    <row r="175" spans="1:150 16226:16383" s="2" customFormat="1" ht="20.25" customHeight="1" x14ac:dyDescent="0.25">
      <c r="A175" s="69">
        <f t="shared" si="2"/>
        <v>47</v>
      </c>
      <c r="B175" s="69">
        <f>160.872</f>
        <v>160.87200000000001</v>
      </c>
      <c r="C175" s="69">
        <f t="shared" si="0"/>
        <v>1731.6262080000001</v>
      </c>
      <c r="D175" s="69">
        <v>0</v>
      </c>
      <c r="E175" s="69">
        <v>0</v>
      </c>
      <c r="F175" s="69">
        <f t="shared" si="1"/>
        <v>2960.0418399552004</v>
      </c>
      <c r="G175" s="108" t="s">
        <v>98</v>
      </c>
      <c r="H175" s="109"/>
      <c r="I175" s="1" t="s">
        <v>342</v>
      </c>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WZB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row>
    <row r="176" spans="1:150 16226:16383" s="2" customFormat="1" ht="20.25" customHeight="1" x14ac:dyDescent="0.25">
      <c r="A176" s="69">
        <f t="shared" si="2"/>
        <v>48</v>
      </c>
      <c r="B176" s="69">
        <f>153.935</f>
        <v>153.935</v>
      </c>
      <c r="C176" s="69">
        <f t="shared" si="0"/>
        <v>1656.95634</v>
      </c>
      <c r="D176" s="69">
        <v>0</v>
      </c>
      <c r="E176" s="69">
        <v>0</v>
      </c>
      <c r="F176" s="69">
        <f t="shared" si="1"/>
        <v>2832.4011675960005</v>
      </c>
      <c r="G176" s="108" t="s">
        <v>98</v>
      </c>
      <c r="H176" s="109"/>
      <c r="I176" s="1" t="s">
        <v>342</v>
      </c>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WZB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row>
    <row r="177" spans="1:150 16226:16383" s="2" customFormat="1" ht="20.25" x14ac:dyDescent="0.25">
      <c r="A177" s="69">
        <f t="shared" si="2"/>
        <v>49</v>
      </c>
      <c r="B177" s="69">
        <f>144.559</f>
        <v>144.559</v>
      </c>
      <c r="C177" s="69">
        <f t="shared" si="0"/>
        <v>1556.0330759999999</v>
      </c>
      <c r="D177" s="69">
        <v>0</v>
      </c>
      <c r="E177" s="69">
        <v>0</v>
      </c>
      <c r="F177" s="69">
        <f t="shared" si="1"/>
        <v>2659.8829401144003</v>
      </c>
      <c r="G177" s="108" t="s">
        <v>98</v>
      </c>
      <c r="H177" s="109"/>
      <c r="I177" s="1" t="s">
        <v>342</v>
      </c>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WZB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row>
    <row r="178" spans="1:150 16226:16383" s="2" customFormat="1" ht="20.25" x14ac:dyDescent="0.25">
      <c r="A178" s="69">
        <f t="shared" si="2"/>
        <v>50</v>
      </c>
      <c r="B178" s="69">
        <f>256.043</f>
        <v>256.04300000000001</v>
      </c>
      <c r="C178" s="69">
        <f t="shared" si="0"/>
        <v>2756.0468519999999</v>
      </c>
      <c r="D178" s="69">
        <v>0</v>
      </c>
      <c r="E178" s="69">
        <v>0</v>
      </c>
      <c r="F178" s="69">
        <f t="shared" si="1"/>
        <v>4711.1864888088012</v>
      </c>
      <c r="G178" s="108" t="s">
        <v>98</v>
      </c>
      <c r="H178" s="109"/>
      <c r="I178" s="1" t="s">
        <v>342</v>
      </c>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WZB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row>
    <row r="179" spans="1:150 16226:16383" s="2" customFormat="1" ht="20.25" x14ac:dyDescent="0.25">
      <c r="A179" s="69">
        <f t="shared" si="2"/>
        <v>51</v>
      </c>
      <c r="B179" s="69">
        <f>187.365</f>
        <v>187.36500000000001</v>
      </c>
      <c r="C179" s="69">
        <f t="shared" si="0"/>
        <v>2016.7968599999999</v>
      </c>
      <c r="D179" s="69">
        <v>0</v>
      </c>
      <c r="E179" s="69">
        <v>0</v>
      </c>
      <c r="F179" s="69">
        <f t="shared" si="1"/>
        <v>3447.512552484</v>
      </c>
      <c r="G179" s="108" t="s">
        <v>98</v>
      </c>
      <c r="H179" s="109"/>
      <c r="I179" s="1" t="s">
        <v>342</v>
      </c>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WZB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row>
    <row r="180" spans="1:150 16226:16383" s="2" customFormat="1" ht="20.25" customHeight="1" x14ac:dyDescent="0.25">
      <c r="A180" s="69">
        <f t="shared" si="2"/>
        <v>52</v>
      </c>
      <c r="B180" s="69">
        <f>219.308</f>
        <v>219.30799999999999</v>
      </c>
      <c r="C180" s="69">
        <f t="shared" si="0"/>
        <v>2360.631312</v>
      </c>
      <c r="D180" s="69">
        <v>0</v>
      </c>
      <c r="E180" s="69">
        <v>0</v>
      </c>
      <c r="F180" s="69">
        <f t="shared" si="1"/>
        <v>4035.2631647328003</v>
      </c>
      <c r="G180" s="108" t="s">
        <v>98</v>
      </c>
      <c r="H180" s="109"/>
      <c r="I180" s="1" t="s">
        <v>342</v>
      </c>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WZB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row>
    <row r="181" spans="1:150 16226:16383" s="2" customFormat="1" ht="20.25" customHeight="1" x14ac:dyDescent="0.25">
      <c r="A181" s="69">
        <f t="shared" si="2"/>
        <v>53</v>
      </c>
      <c r="B181" s="69">
        <f>277.982</f>
        <v>277.98200000000003</v>
      </c>
      <c r="C181" s="69">
        <f t="shared" si="0"/>
        <v>2992.1982480000001</v>
      </c>
      <c r="D181" s="69">
        <v>0</v>
      </c>
      <c r="E181" s="69">
        <v>0</v>
      </c>
      <c r="F181" s="69">
        <f t="shared" si="1"/>
        <v>5114.8636851312003</v>
      </c>
      <c r="G181" s="108" t="s">
        <v>98</v>
      </c>
      <c r="H181" s="109"/>
      <c r="I181" s="1" t="s">
        <v>342</v>
      </c>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WZB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row>
    <row r="182" spans="1:150 16226:16383" s="2" customFormat="1" ht="20.25" customHeight="1" x14ac:dyDescent="0.25">
      <c r="A182" s="69">
        <f t="shared" si="2"/>
        <v>54</v>
      </c>
      <c r="B182" s="69">
        <f>141.94</f>
        <v>141.94</v>
      </c>
      <c r="C182" s="69">
        <f t="shared" si="0"/>
        <v>1527.8421599999999</v>
      </c>
      <c r="D182" s="69">
        <v>0</v>
      </c>
      <c r="E182" s="69">
        <v>0</v>
      </c>
      <c r="F182" s="69">
        <f t="shared" si="1"/>
        <v>2611.6933883040006</v>
      </c>
      <c r="G182" s="108" t="s">
        <v>98</v>
      </c>
      <c r="H182" s="109"/>
      <c r="I182" s="1" t="s">
        <v>342</v>
      </c>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WZB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row>
    <row r="183" spans="1:150 16226:16383" s="2" customFormat="1" ht="20.25" customHeight="1" x14ac:dyDescent="0.25">
      <c r="A183" s="69">
        <f t="shared" si="2"/>
        <v>55</v>
      </c>
      <c r="B183" s="69">
        <f>141.376</f>
        <v>141.376</v>
      </c>
      <c r="C183" s="69">
        <f t="shared" si="0"/>
        <v>1521.771264</v>
      </c>
      <c r="D183" s="69">
        <v>0</v>
      </c>
      <c r="E183" s="69">
        <v>0</v>
      </c>
      <c r="F183" s="69">
        <f t="shared" si="1"/>
        <v>2601.3157986816</v>
      </c>
      <c r="G183" s="108" t="s">
        <v>98</v>
      </c>
      <c r="H183" s="109"/>
      <c r="I183" s="1" t="s">
        <v>342</v>
      </c>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WZB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row>
    <row r="184" spans="1:150 16226:16383" s="2" customFormat="1" ht="20.25" customHeight="1" x14ac:dyDescent="0.25">
      <c r="A184" s="69">
        <f t="shared" si="2"/>
        <v>56</v>
      </c>
      <c r="B184" s="69">
        <f>182.555</f>
        <v>182.55500000000001</v>
      </c>
      <c r="C184" s="69">
        <f t="shared" si="0"/>
        <v>1965.0220199999999</v>
      </c>
      <c r="D184" s="69">
        <v>0</v>
      </c>
      <c r="E184" s="69">
        <v>0</v>
      </c>
      <c r="F184" s="69">
        <f t="shared" si="1"/>
        <v>3359.008640988</v>
      </c>
      <c r="G184" s="108" t="s">
        <v>98</v>
      </c>
      <c r="H184" s="109"/>
      <c r="I184" s="1" t="s">
        <v>342</v>
      </c>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WZB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row>
    <row r="185" spans="1:150 16226:16383" s="2" customFormat="1" ht="20.25" x14ac:dyDescent="0.25">
      <c r="A185" s="69">
        <f t="shared" si="2"/>
        <v>57</v>
      </c>
      <c r="B185" s="69">
        <f>156.072</f>
        <v>156.072</v>
      </c>
      <c r="C185" s="69">
        <f t="shared" si="0"/>
        <v>1679.959008</v>
      </c>
      <c r="D185" s="69">
        <v>0</v>
      </c>
      <c r="E185" s="69">
        <v>0</v>
      </c>
      <c r="F185" s="69">
        <f t="shared" si="1"/>
        <v>2871.7219282752008</v>
      </c>
      <c r="G185" s="108" t="s">
        <v>98</v>
      </c>
      <c r="H185" s="109"/>
      <c r="I185" s="1" t="s">
        <v>342</v>
      </c>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WZB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row>
    <row r="186" spans="1:150 16226:16383" s="2" customFormat="1" ht="20.25" x14ac:dyDescent="0.25">
      <c r="A186" s="69">
        <f t="shared" si="2"/>
        <v>58</v>
      </c>
      <c r="B186" s="69">
        <f>201.489</f>
        <v>201.489</v>
      </c>
      <c r="C186" s="69">
        <f t="shared" si="0"/>
        <v>2168.8275960000001</v>
      </c>
      <c r="D186" s="69">
        <v>0</v>
      </c>
      <c r="E186" s="69">
        <v>0</v>
      </c>
      <c r="F186" s="69">
        <f t="shared" si="1"/>
        <v>3707.3938926024007</v>
      </c>
      <c r="G186" s="108" t="s">
        <v>98</v>
      </c>
      <c r="H186" s="109"/>
      <c r="I186" s="1" t="s">
        <v>342</v>
      </c>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WZB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row>
    <row r="187" spans="1:150 16226:16383" s="2" customFormat="1" ht="20.25" x14ac:dyDescent="0.25">
      <c r="A187" s="69">
        <f t="shared" si="2"/>
        <v>59</v>
      </c>
      <c r="B187" s="69">
        <f>145.468</f>
        <v>145.46799999999999</v>
      </c>
      <c r="C187" s="69">
        <f t="shared" si="0"/>
        <v>1565.8175519999998</v>
      </c>
      <c r="D187" s="69">
        <v>0</v>
      </c>
      <c r="E187" s="69">
        <v>0</v>
      </c>
      <c r="F187" s="69">
        <f t="shared" si="1"/>
        <v>2676.6085233887998</v>
      </c>
      <c r="G187" s="108" t="s">
        <v>98</v>
      </c>
      <c r="H187" s="109"/>
      <c r="I187" s="1" t="s">
        <v>342</v>
      </c>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WZB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row>
    <row r="188" spans="1:150 16226:16383" s="2" customFormat="1" ht="20.25" customHeight="1" x14ac:dyDescent="0.25">
      <c r="A188" s="69">
        <f t="shared" si="2"/>
        <v>60</v>
      </c>
      <c r="B188" s="69">
        <f>145.454</f>
        <v>145.45400000000001</v>
      </c>
      <c r="C188" s="69">
        <f t="shared" si="0"/>
        <v>1565.6668560000001</v>
      </c>
      <c r="D188" s="69">
        <v>0</v>
      </c>
      <c r="E188" s="69">
        <v>0</v>
      </c>
      <c r="F188" s="69">
        <f t="shared" si="1"/>
        <v>2676.3509236464001</v>
      </c>
      <c r="G188" s="108" t="s">
        <v>98</v>
      </c>
      <c r="H188" s="109"/>
      <c r="I188" s="1" t="s">
        <v>342</v>
      </c>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WZB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row>
    <row r="189" spans="1:150 16226:16383" s="2" customFormat="1" ht="20.25" customHeight="1" x14ac:dyDescent="0.25">
      <c r="A189" s="69">
        <f t="shared" si="2"/>
        <v>61</v>
      </c>
      <c r="B189" s="69">
        <f>145.029</f>
        <v>145.029</v>
      </c>
      <c r="C189" s="69">
        <f t="shared" si="0"/>
        <v>1561.0921559999999</v>
      </c>
      <c r="D189" s="69">
        <v>0</v>
      </c>
      <c r="E189" s="69">
        <v>0</v>
      </c>
      <c r="F189" s="69">
        <f t="shared" si="1"/>
        <v>2668.5309314664005</v>
      </c>
      <c r="G189" s="108" t="s">
        <v>98</v>
      </c>
      <c r="H189" s="109"/>
      <c r="I189" s="1" t="s">
        <v>342</v>
      </c>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row>
    <row r="190" spans="1:150 16226:16383" s="2" customFormat="1" ht="20.25" customHeight="1" x14ac:dyDescent="0.25">
      <c r="A190" s="69">
        <f t="shared" si="2"/>
        <v>62</v>
      </c>
      <c r="B190" s="69">
        <f>140.168</f>
        <v>140.16800000000001</v>
      </c>
      <c r="C190" s="69">
        <f t="shared" si="0"/>
        <v>1508.768352</v>
      </c>
      <c r="D190" s="69">
        <v>0</v>
      </c>
      <c r="E190" s="69">
        <v>0</v>
      </c>
      <c r="F190" s="69">
        <f t="shared" si="1"/>
        <v>2579.0886209088003</v>
      </c>
      <c r="G190" s="108" t="s">
        <v>98</v>
      </c>
      <c r="H190" s="109"/>
      <c r="I190" s="1" t="s">
        <v>342</v>
      </c>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WZB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row>
    <row r="191" spans="1:150 16226:16383" s="2" customFormat="1" ht="20.25" customHeight="1" x14ac:dyDescent="0.25">
      <c r="A191" s="69">
        <f t="shared" si="2"/>
        <v>63</v>
      </c>
      <c r="B191" s="69">
        <f>251.029</f>
        <v>251.029</v>
      </c>
      <c r="C191" s="69">
        <f t="shared" si="0"/>
        <v>2702.0761559999996</v>
      </c>
      <c r="D191" s="69">
        <v>0</v>
      </c>
      <c r="E191" s="69">
        <v>0</v>
      </c>
      <c r="F191" s="69">
        <f t="shared" si="1"/>
        <v>4618.9289810664004</v>
      </c>
      <c r="G191" s="108" t="s">
        <v>98</v>
      </c>
      <c r="H191" s="109"/>
      <c r="I191" s="1" t="s">
        <v>342</v>
      </c>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WZB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row>
    <row r="192" spans="1:150 16226:16383" s="2" customFormat="1" ht="20.25" customHeight="1" x14ac:dyDescent="0.25">
      <c r="A192" s="69">
        <f t="shared" si="2"/>
        <v>64</v>
      </c>
      <c r="B192" s="69">
        <f>149.43</f>
        <v>149.43</v>
      </c>
      <c r="C192" s="69">
        <f t="shared" si="0"/>
        <v>1608.46452</v>
      </c>
      <c r="D192" s="69">
        <v>0</v>
      </c>
      <c r="E192" s="69">
        <v>0</v>
      </c>
      <c r="F192" s="69">
        <f t="shared" si="1"/>
        <v>2749.5092504880004</v>
      </c>
      <c r="G192" s="108" t="s">
        <v>98</v>
      </c>
      <c r="H192" s="109"/>
      <c r="I192" s="1" t="s">
        <v>342</v>
      </c>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WZB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row>
    <row r="193" spans="1:150 16226:16383" s="2" customFormat="1" ht="20.25" x14ac:dyDescent="0.25">
      <c r="A193" s="69">
        <f t="shared" si="2"/>
        <v>65</v>
      </c>
      <c r="B193" s="69">
        <f>151.249</f>
        <v>151.249</v>
      </c>
      <c r="C193" s="69">
        <f t="shared" si="0"/>
        <v>1628.044236</v>
      </c>
      <c r="D193" s="69">
        <v>0</v>
      </c>
      <c r="E193" s="69">
        <v>0</v>
      </c>
      <c r="F193" s="69">
        <f t="shared" si="1"/>
        <v>2782.9788170184002</v>
      </c>
      <c r="G193" s="108" t="s">
        <v>98</v>
      </c>
      <c r="H193" s="109"/>
      <c r="I193" s="1" t="s">
        <v>342</v>
      </c>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WZB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row>
    <row r="194" spans="1:150 16226:16383" s="2" customFormat="1" ht="20.25" x14ac:dyDescent="0.25">
      <c r="A194" s="69">
        <f t="shared" si="2"/>
        <v>66</v>
      </c>
      <c r="B194" s="69">
        <f>139.894</f>
        <v>139.89400000000001</v>
      </c>
      <c r="C194" s="69">
        <f t="shared" ref="C194:C248" si="4">B194*10.764</f>
        <v>1505.8190159999999</v>
      </c>
      <c r="D194" s="69">
        <v>0</v>
      </c>
      <c r="E194" s="69">
        <v>0</v>
      </c>
      <c r="F194" s="69">
        <f t="shared" ref="F194:F248" si="5">C194*1.554*1.1</f>
        <v>2574.0470259504004</v>
      </c>
      <c r="G194" s="108" t="s">
        <v>98</v>
      </c>
      <c r="H194" s="109"/>
      <c r="I194" s="1" t="s">
        <v>342</v>
      </c>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WZB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row>
    <row r="195" spans="1:150 16226:16383" s="2" customFormat="1" ht="20.25" x14ac:dyDescent="0.25">
      <c r="A195" s="69">
        <f t="shared" ref="A195:A248" si="6">A194+1</f>
        <v>67</v>
      </c>
      <c r="B195" s="69">
        <f>140.092</f>
        <v>140.09200000000001</v>
      </c>
      <c r="C195" s="69">
        <f t="shared" si="4"/>
        <v>1507.950288</v>
      </c>
      <c r="D195" s="69">
        <v>0</v>
      </c>
      <c r="E195" s="69">
        <v>0</v>
      </c>
      <c r="F195" s="69">
        <f t="shared" si="5"/>
        <v>2577.6902223072002</v>
      </c>
      <c r="G195" s="108" t="s">
        <v>98</v>
      </c>
      <c r="H195" s="109"/>
      <c r="I195" s="1" t="s">
        <v>342</v>
      </c>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WZB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row>
    <row r="196" spans="1:150 16226:16383" s="2" customFormat="1" ht="20.25" customHeight="1" x14ac:dyDescent="0.25">
      <c r="A196" s="69">
        <f t="shared" si="6"/>
        <v>68</v>
      </c>
      <c r="B196" s="69">
        <f>140.423</f>
        <v>140.423</v>
      </c>
      <c r="C196" s="69">
        <f t="shared" si="4"/>
        <v>1511.5131719999999</v>
      </c>
      <c r="D196" s="69">
        <v>0</v>
      </c>
      <c r="E196" s="69">
        <v>0</v>
      </c>
      <c r="F196" s="69">
        <f t="shared" si="5"/>
        <v>2583.7806162167999</v>
      </c>
      <c r="G196" s="108" t="s">
        <v>98</v>
      </c>
      <c r="H196" s="109"/>
      <c r="I196" s="1" t="s">
        <v>342</v>
      </c>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WZB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row>
    <row r="197" spans="1:150 16226:16383" s="2" customFormat="1" ht="20.25" customHeight="1" x14ac:dyDescent="0.25">
      <c r="A197" s="69">
        <f t="shared" si="6"/>
        <v>69</v>
      </c>
      <c r="B197" s="69">
        <f>140.785</f>
        <v>140.785</v>
      </c>
      <c r="C197" s="69">
        <f t="shared" si="4"/>
        <v>1515.4097399999998</v>
      </c>
      <c r="D197" s="69">
        <v>0</v>
      </c>
      <c r="E197" s="69">
        <v>0</v>
      </c>
      <c r="F197" s="69">
        <f t="shared" si="5"/>
        <v>2590.4414095560001</v>
      </c>
      <c r="G197" s="108" t="s">
        <v>98</v>
      </c>
      <c r="H197" s="109"/>
      <c r="I197" s="1" t="s">
        <v>342</v>
      </c>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WZB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row>
    <row r="198" spans="1:150 16226:16383" s="2" customFormat="1" ht="20.25" customHeight="1" x14ac:dyDescent="0.25">
      <c r="A198" s="69">
        <f t="shared" si="6"/>
        <v>70</v>
      </c>
      <c r="B198" s="69">
        <f>201.69</f>
        <v>201.69</v>
      </c>
      <c r="C198" s="69">
        <f t="shared" si="4"/>
        <v>2170.99116</v>
      </c>
      <c r="D198" s="69">
        <v>0</v>
      </c>
      <c r="E198" s="69">
        <v>0</v>
      </c>
      <c r="F198" s="69">
        <f t="shared" si="5"/>
        <v>3711.0922889040007</v>
      </c>
      <c r="G198" s="108" t="s">
        <v>98</v>
      </c>
      <c r="H198" s="109"/>
      <c r="I198" s="1" t="s">
        <v>342</v>
      </c>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WZB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row>
    <row r="199" spans="1:150 16226:16383" s="2" customFormat="1" ht="20.25" customHeight="1" x14ac:dyDescent="0.25">
      <c r="A199" s="69">
        <f t="shared" si="6"/>
        <v>71</v>
      </c>
      <c r="B199" s="69">
        <f>198.048</f>
        <v>198.048</v>
      </c>
      <c r="C199" s="69">
        <f t="shared" si="4"/>
        <v>2131.7886719999997</v>
      </c>
      <c r="D199" s="69">
        <v>0</v>
      </c>
      <c r="E199" s="69">
        <v>0</v>
      </c>
      <c r="F199" s="69">
        <f t="shared" si="5"/>
        <v>3644.0795559167996</v>
      </c>
      <c r="G199" s="108" t="s">
        <v>98</v>
      </c>
      <c r="H199" s="109"/>
      <c r="I199" s="1" t="s">
        <v>342</v>
      </c>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WZB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row>
    <row r="200" spans="1:150 16226:16383" s="2" customFormat="1" ht="20.25" customHeight="1" x14ac:dyDescent="0.25">
      <c r="A200" s="69">
        <f t="shared" si="6"/>
        <v>72</v>
      </c>
      <c r="B200" s="69">
        <f>150.93</f>
        <v>150.93</v>
      </c>
      <c r="C200" s="69">
        <f t="shared" si="4"/>
        <v>1624.61052</v>
      </c>
      <c r="D200" s="69">
        <v>0</v>
      </c>
      <c r="E200" s="69">
        <v>0</v>
      </c>
      <c r="F200" s="69">
        <f t="shared" si="5"/>
        <v>2777.1092228880007</v>
      </c>
      <c r="G200" s="108" t="s">
        <v>98</v>
      </c>
      <c r="H200" s="109"/>
      <c r="I200" s="1" t="s">
        <v>342</v>
      </c>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WZB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row>
    <row r="201" spans="1:150 16226:16383" s="2" customFormat="1" ht="20.25" x14ac:dyDescent="0.25">
      <c r="A201" s="69">
        <f t="shared" si="6"/>
        <v>73</v>
      </c>
      <c r="B201" s="69">
        <f>154.291</f>
        <v>154.291</v>
      </c>
      <c r="C201" s="69">
        <f t="shared" si="4"/>
        <v>1660.7883239999999</v>
      </c>
      <c r="D201" s="69">
        <v>0</v>
      </c>
      <c r="E201" s="69">
        <v>0</v>
      </c>
      <c r="F201" s="69">
        <f t="shared" si="5"/>
        <v>2838.9515610456001</v>
      </c>
      <c r="G201" s="108" t="s">
        <v>98</v>
      </c>
      <c r="H201" s="109"/>
      <c r="I201" s="1" t="s">
        <v>342</v>
      </c>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WZB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row>
    <row r="202" spans="1:150 16226:16383" s="2" customFormat="1" ht="20.25" x14ac:dyDescent="0.25">
      <c r="A202" s="69">
        <f t="shared" si="6"/>
        <v>74</v>
      </c>
      <c r="B202" s="69">
        <f>157.013</f>
        <v>157.01300000000001</v>
      </c>
      <c r="C202" s="69">
        <f t="shared" si="4"/>
        <v>1690.0879319999999</v>
      </c>
      <c r="D202" s="69">
        <v>0</v>
      </c>
      <c r="E202" s="69">
        <v>0</v>
      </c>
      <c r="F202" s="69">
        <f t="shared" si="5"/>
        <v>2889.0363109608002</v>
      </c>
      <c r="G202" s="108" t="s">
        <v>98</v>
      </c>
      <c r="H202" s="109"/>
      <c r="I202" s="1" t="s">
        <v>342</v>
      </c>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WZB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row>
    <row r="203" spans="1:150 16226:16383" s="2" customFormat="1" ht="20.25" x14ac:dyDescent="0.25">
      <c r="A203" s="69">
        <f t="shared" si="6"/>
        <v>75</v>
      </c>
      <c r="B203" s="69">
        <f>141.492</f>
        <v>141.49199999999999</v>
      </c>
      <c r="C203" s="69">
        <f t="shared" si="4"/>
        <v>1523.0198879999998</v>
      </c>
      <c r="D203" s="69">
        <v>0</v>
      </c>
      <c r="E203" s="69">
        <v>0</v>
      </c>
      <c r="F203" s="69">
        <f t="shared" si="5"/>
        <v>2603.4501965472</v>
      </c>
      <c r="G203" s="108" t="s">
        <v>98</v>
      </c>
      <c r="H203" s="109"/>
      <c r="I203" s="1" t="s">
        <v>342</v>
      </c>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WZB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row>
    <row r="204" spans="1:150 16226:16383" s="2" customFormat="1" ht="20.25" customHeight="1" x14ac:dyDescent="0.25">
      <c r="A204" s="69">
        <f t="shared" si="6"/>
        <v>76</v>
      </c>
      <c r="B204" s="69">
        <f>145.71</f>
        <v>145.71</v>
      </c>
      <c r="C204" s="69">
        <f t="shared" si="4"/>
        <v>1568.4224400000001</v>
      </c>
      <c r="D204" s="69">
        <v>0</v>
      </c>
      <c r="E204" s="69">
        <v>0</v>
      </c>
      <c r="F204" s="69">
        <f t="shared" si="5"/>
        <v>2681.0613189360001</v>
      </c>
      <c r="G204" s="108" t="s">
        <v>98</v>
      </c>
      <c r="H204" s="109"/>
      <c r="I204" s="1" t="s">
        <v>342</v>
      </c>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WZB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row>
    <row r="205" spans="1:150 16226:16383" s="2" customFormat="1" ht="20.25" customHeight="1" x14ac:dyDescent="0.25">
      <c r="A205" s="69">
        <f t="shared" si="6"/>
        <v>77</v>
      </c>
      <c r="B205" s="69">
        <f t="shared" ref="B205:B209" si="7">145.71</f>
        <v>145.71</v>
      </c>
      <c r="C205" s="69">
        <f t="shared" si="4"/>
        <v>1568.4224400000001</v>
      </c>
      <c r="D205" s="69">
        <v>0</v>
      </c>
      <c r="E205" s="69">
        <v>0</v>
      </c>
      <c r="F205" s="69">
        <f t="shared" si="5"/>
        <v>2681.0613189360001</v>
      </c>
      <c r="G205" s="108" t="s">
        <v>98</v>
      </c>
      <c r="H205" s="109"/>
      <c r="I205" s="1" t="s">
        <v>342</v>
      </c>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WZB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row>
    <row r="206" spans="1:150 16226:16383" s="2" customFormat="1" ht="20.25" customHeight="1" x14ac:dyDescent="0.25">
      <c r="A206" s="69">
        <f t="shared" si="6"/>
        <v>78</v>
      </c>
      <c r="B206" s="69">
        <f t="shared" si="7"/>
        <v>145.71</v>
      </c>
      <c r="C206" s="69">
        <f t="shared" si="4"/>
        <v>1568.4224400000001</v>
      </c>
      <c r="D206" s="69">
        <v>0</v>
      </c>
      <c r="E206" s="69">
        <v>0</v>
      </c>
      <c r="F206" s="69">
        <f t="shared" si="5"/>
        <v>2681.0613189360001</v>
      </c>
      <c r="G206" s="108" t="s">
        <v>98</v>
      </c>
      <c r="H206" s="109"/>
      <c r="I206" s="1" t="s">
        <v>342</v>
      </c>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WZB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row>
    <row r="207" spans="1:150 16226:16383" s="2" customFormat="1" ht="20.25" customHeight="1" x14ac:dyDescent="0.25">
      <c r="A207" s="69">
        <f t="shared" si="6"/>
        <v>79</v>
      </c>
      <c r="B207" s="69">
        <f t="shared" si="7"/>
        <v>145.71</v>
      </c>
      <c r="C207" s="69">
        <f t="shared" si="4"/>
        <v>1568.4224400000001</v>
      </c>
      <c r="D207" s="69">
        <v>0</v>
      </c>
      <c r="E207" s="69">
        <v>0</v>
      </c>
      <c r="F207" s="69">
        <f t="shared" si="5"/>
        <v>2681.0613189360001</v>
      </c>
      <c r="G207" s="108" t="s">
        <v>98</v>
      </c>
      <c r="H207" s="109"/>
      <c r="I207" s="1" t="s">
        <v>342</v>
      </c>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WZB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row>
    <row r="208" spans="1:150 16226:16383" s="2" customFormat="1" ht="20.25" customHeight="1" x14ac:dyDescent="0.25">
      <c r="A208" s="69">
        <f t="shared" si="6"/>
        <v>80</v>
      </c>
      <c r="B208" s="69">
        <f t="shared" si="7"/>
        <v>145.71</v>
      </c>
      <c r="C208" s="69">
        <f t="shared" si="4"/>
        <v>1568.4224400000001</v>
      </c>
      <c r="D208" s="69">
        <v>0</v>
      </c>
      <c r="E208" s="69">
        <v>0</v>
      </c>
      <c r="F208" s="69">
        <f t="shared" si="5"/>
        <v>2681.0613189360001</v>
      </c>
      <c r="G208" s="108" t="s">
        <v>98</v>
      </c>
      <c r="H208" s="109"/>
      <c r="I208" s="1" t="s">
        <v>342</v>
      </c>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WZB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row>
    <row r="209" spans="1:150 16226:16383" s="2" customFormat="1" ht="20.25" x14ac:dyDescent="0.25">
      <c r="A209" s="69">
        <f t="shared" si="6"/>
        <v>81</v>
      </c>
      <c r="B209" s="69">
        <f t="shared" si="7"/>
        <v>145.71</v>
      </c>
      <c r="C209" s="69">
        <f t="shared" si="4"/>
        <v>1568.4224400000001</v>
      </c>
      <c r="D209" s="69">
        <v>0</v>
      </c>
      <c r="E209" s="69">
        <v>0</v>
      </c>
      <c r="F209" s="69">
        <f t="shared" si="5"/>
        <v>2681.0613189360001</v>
      </c>
      <c r="G209" s="108" t="s">
        <v>98</v>
      </c>
      <c r="H209" s="109"/>
      <c r="I209" s="1" t="s">
        <v>342</v>
      </c>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WZB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row>
    <row r="210" spans="1:150 16226:16383" s="2" customFormat="1" ht="20.25" x14ac:dyDescent="0.25">
      <c r="A210" s="69">
        <f t="shared" si="6"/>
        <v>82</v>
      </c>
      <c r="B210" s="69">
        <f>245.388</f>
        <v>245.38800000000001</v>
      </c>
      <c r="C210" s="69">
        <f t="shared" si="4"/>
        <v>2641.356432</v>
      </c>
      <c r="D210" s="69">
        <v>0</v>
      </c>
      <c r="E210" s="69">
        <v>0</v>
      </c>
      <c r="F210" s="69">
        <f t="shared" si="5"/>
        <v>4515.1346848608</v>
      </c>
      <c r="G210" s="108" t="s">
        <v>98</v>
      </c>
      <c r="H210" s="109"/>
      <c r="I210" s="1" t="s">
        <v>342</v>
      </c>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WZB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row>
    <row r="211" spans="1:150 16226:16383" s="2" customFormat="1" ht="20.25" x14ac:dyDescent="0.25">
      <c r="A211" s="69">
        <f t="shared" si="6"/>
        <v>83</v>
      </c>
      <c r="B211" s="69">
        <f>238.857</f>
        <v>238.857</v>
      </c>
      <c r="C211" s="69">
        <f t="shared" si="4"/>
        <v>2571.056748</v>
      </c>
      <c r="D211" s="69">
        <v>0</v>
      </c>
      <c r="E211" s="69">
        <v>0</v>
      </c>
      <c r="F211" s="69">
        <f t="shared" si="5"/>
        <v>4394.9644050312008</v>
      </c>
      <c r="G211" s="108" t="s">
        <v>98</v>
      </c>
      <c r="H211" s="109"/>
      <c r="I211" s="1" t="s">
        <v>342</v>
      </c>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WZB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row>
    <row r="212" spans="1:150 16226:16383" s="2" customFormat="1" ht="20.25" customHeight="1" x14ac:dyDescent="0.25">
      <c r="A212" s="69">
        <f t="shared" si="6"/>
        <v>84</v>
      </c>
      <c r="B212" s="69">
        <f>150.481</f>
        <v>150.48099999999999</v>
      </c>
      <c r="C212" s="69">
        <f t="shared" si="4"/>
        <v>1619.7774839999997</v>
      </c>
      <c r="D212" s="69">
        <v>0</v>
      </c>
      <c r="E212" s="69">
        <v>0</v>
      </c>
      <c r="F212" s="69">
        <f t="shared" si="5"/>
        <v>2768.8476311495997</v>
      </c>
      <c r="G212" s="108" t="s">
        <v>98</v>
      </c>
      <c r="H212" s="109"/>
      <c r="I212" s="1" t="s">
        <v>342</v>
      </c>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WZB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row>
    <row r="213" spans="1:150 16226:16383" s="2" customFormat="1" ht="20.25" customHeight="1" x14ac:dyDescent="0.25">
      <c r="A213" s="69">
        <f t="shared" si="6"/>
        <v>85</v>
      </c>
      <c r="B213" s="69">
        <f>147.222</f>
        <v>147.22200000000001</v>
      </c>
      <c r="C213" s="69">
        <f t="shared" si="4"/>
        <v>1584.6976079999999</v>
      </c>
      <c r="D213" s="69">
        <v>0</v>
      </c>
      <c r="E213" s="69">
        <v>0</v>
      </c>
      <c r="F213" s="69">
        <f t="shared" si="5"/>
        <v>2708.8820911152006</v>
      </c>
      <c r="G213" s="108" t="s">
        <v>98</v>
      </c>
      <c r="H213" s="109"/>
      <c r="I213" s="1" t="s">
        <v>342</v>
      </c>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WZB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row>
    <row r="214" spans="1:150 16226:16383" s="2" customFormat="1" ht="20.25" customHeight="1" x14ac:dyDescent="0.25">
      <c r="A214" s="69">
        <f t="shared" si="6"/>
        <v>86</v>
      </c>
      <c r="B214" s="69">
        <f t="shared" ref="B214:B219" si="8">147.222</f>
        <v>147.22200000000001</v>
      </c>
      <c r="C214" s="69">
        <f t="shared" si="4"/>
        <v>1584.6976079999999</v>
      </c>
      <c r="D214" s="69">
        <v>0</v>
      </c>
      <c r="E214" s="69">
        <v>0</v>
      </c>
      <c r="F214" s="69">
        <f t="shared" si="5"/>
        <v>2708.8820911152006</v>
      </c>
      <c r="G214" s="108" t="s">
        <v>98</v>
      </c>
      <c r="H214" s="109"/>
      <c r="I214" s="1" t="s">
        <v>342</v>
      </c>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WZB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row>
    <row r="215" spans="1:150 16226:16383" s="2" customFormat="1" ht="20.25" customHeight="1" x14ac:dyDescent="0.25">
      <c r="A215" s="69">
        <f t="shared" si="6"/>
        <v>87</v>
      </c>
      <c r="B215" s="69">
        <f t="shared" si="8"/>
        <v>147.22200000000001</v>
      </c>
      <c r="C215" s="69">
        <f t="shared" si="4"/>
        <v>1584.6976079999999</v>
      </c>
      <c r="D215" s="69">
        <v>0</v>
      </c>
      <c r="E215" s="69">
        <v>0</v>
      </c>
      <c r="F215" s="69">
        <f t="shared" si="5"/>
        <v>2708.8820911152006</v>
      </c>
      <c r="G215" s="108" t="s">
        <v>98</v>
      </c>
      <c r="H215" s="109"/>
      <c r="I215" s="1" t="s">
        <v>342</v>
      </c>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WZB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row>
    <row r="216" spans="1:150 16226:16383" s="2" customFormat="1" ht="20.25" customHeight="1" x14ac:dyDescent="0.25">
      <c r="A216" s="69">
        <f t="shared" si="6"/>
        <v>88</v>
      </c>
      <c r="B216" s="69">
        <f t="shared" si="8"/>
        <v>147.22200000000001</v>
      </c>
      <c r="C216" s="69">
        <f t="shared" si="4"/>
        <v>1584.6976079999999</v>
      </c>
      <c r="D216" s="69">
        <v>0</v>
      </c>
      <c r="E216" s="69">
        <v>0</v>
      </c>
      <c r="F216" s="69">
        <f t="shared" si="5"/>
        <v>2708.8820911152006</v>
      </c>
      <c r="G216" s="108" t="s">
        <v>98</v>
      </c>
      <c r="H216" s="109"/>
      <c r="I216" s="1" t="s">
        <v>342</v>
      </c>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WZB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row>
    <row r="217" spans="1:150 16226:16383" s="2" customFormat="1" ht="20.25" x14ac:dyDescent="0.25">
      <c r="A217" s="69">
        <f t="shared" si="6"/>
        <v>89</v>
      </c>
      <c r="B217" s="69">
        <f t="shared" si="8"/>
        <v>147.22200000000001</v>
      </c>
      <c r="C217" s="69">
        <f t="shared" si="4"/>
        <v>1584.6976079999999</v>
      </c>
      <c r="D217" s="69">
        <v>0</v>
      </c>
      <c r="E217" s="69">
        <v>0</v>
      </c>
      <c r="F217" s="69">
        <f t="shared" si="5"/>
        <v>2708.8820911152006</v>
      </c>
      <c r="G217" s="108" t="s">
        <v>98</v>
      </c>
      <c r="H217" s="109"/>
      <c r="I217" s="1" t="s">
        <v>342</v>
      </c>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WZB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row>
    <row r="218" spans="1:150 16226:16383" s="2" customFormat="1" ht="20.25" x14ac:dyDescent="0.25">
      <c r="A218" s="69">
        <f t="shared" si="6"/>
        <v>90</v>
      </c>
      <c r="B218" s="69">
        <f t="shared" si="8"/>
        <v>147.22200000000001</v>
      </c>
      <c r="C218" s="69">
        <f t="shared" si="4"/>
        <v>1584.6976079999999</v>
      </c>
      <c r="D218" s="69">
        <v>0</v>
      </c>
      <c r="E218" s="69">
        <v>0</v>
      </c>
      <c r="F218" s="69">
        <f t="shared" si="5"/>
        <v>2708.8820911152006</v>
      </c>
      <c r="G218" s="108" t="s">
        <v>98</v>
      </c>
      <c r="H218" s="109"/>
      <c r="I218" s="1" t="s">
        <v>342</v>
      </c>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WZB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row>
    <row r="219" spans="1:150 16226:16383" s="2" customFormat="1" ht="20.25" x14ac:dyDescent="0.25">
      <c r="A219" s="69">
        <f t="shared" si="6"/>
        <v>91</v>
      </c>
      <c r="B219" s="69">
        <f t="shared" si="8"/>
        <v>147.22200000000001</v>
      </c>
      <c r="C219" s="69">
        <f t="shared" si="4"/>
        <v>1584.6976079999999</v>
      </c>
      <c r="D219" s="69">
        <v>0</v>
      </c>
      <c r="E219" s="69">
        <v>0</v>
      </c>
      <c r="F219" s="69">
        <f t="shared" si="5"/>
        <v>2708.8820911152006</v>
      </c>
      <c r="G219" s="108" t="s">
        <v>98</v>
      </c>
      <c r="H219" s="109"/>
      <c r="I219" s="1" t="s">
        <v>342</v>
      </c>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WZB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row>
    <row r="220" spans="1:150 16226:16383" s="2" customFormat="1" ht="20.25" customHeight="1" x14ac:dyDescent="0.25">
      <c r="A220" s="69">
        <f t="shared" si="6"/>
        <v>92</v>
      </c>
      <c r="B220" s="69">
        <f>142.559</f>
        <v>142.559</v>
      </c>
      <c r="C220" s="69">
        <f t="shared" si="4"/>
        <v>1534.5050759999999</v>
      </c>
      <c r="D220" s="69">
        <v>0</v>
      </c>
      <c r="E220" s="69">
        <v>0</v>
      </c>
      <c r="F220" s="69">
        <f t="shared" si="5"/>
        <v>2623.0829769143998</v>
      </c>
      <c r="G220" s="108" t="s">
        <v>98</v>
      </c>
      <c r="H220" s="109"/>
      <c r="I220" s="1" t="s">
        <v>342</v>
      </c>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WZB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row>
    <row r="221" spans="1:150 16226:16383" s="2" customFormat="1" ht="20.25" customHeight="1" x14ac:dyDescent="0.25">
      <c r="A221" s="69">
        <f t="shared" si="6"/>
        <v>93</v>
      </c>
      <c r="B221" s="69">
        <f>182.075</f>
        <v>182.07499999999999</v>
      </c>
      <c r="C221" s="69">
        <f t="shared" si="4"/>
        <v>1959.8552999999997</v>
      </c>
      <c r="D221" s="69">
        <v>0</v>
      </c>
      <c r="E221" s="69">
        <v>0</v>
      </c>
      <c r="F221" s="69">
        <f t="shared" si="5"/>
        <v>3350.17664982</v>
      </c>
      <c r="G221" s="108" t="s">
        <v>98</v>
      </c>
      <c r="H221" s="109"/>
      <c r="I221" s="1" t="s">
        <v>342</v>
      </c>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WZB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row>
    <row r="222" spans="1:150 16226:16383" s="2" customFormat="1" ht="20.25" customHeight="1" x14ac:dyDescent="0.25">
      <c r="A222" s="69">
        <f t="shared" si="6"/>
        <v>94</v>
      </c>
      <c r="B222" s="69">
        <f>144.394</f>
        <v>144.39400000000001</v>
      </c>
      <c r="C222" s="69">
        <f t="shared" si="4"/>
        <v>1554.257016</v>
      </c>
      <c r="D222" s="69">
        <v>0</v>
      </c>
      <c r="E222" s="69">
        <v>0</v>
      </c>
      <c r="F222" s="69">
        <f t="shared" si="5"/>
        <v>2656.8469431504004</v>
      </c>
      <c r="G222" s="108" t="s">
        <v>98</v>
      </c>
      <c r="H222" s="109"/>
      <c r="I222" s="1" t="s">
        <v>342</v>
      </c>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WZB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row>
    <row r="223" spans="1:150 16226:16383" s="2" customFormat="1" ht="20.25" customHeight="1" x14ac:dyDescent="0.25">
      <c r="A223" s="69">
        <f t="shared" si="6"/>
        <v>95</v>
      </c>
      <c r="B223" s="69">
        <f>141.527</f>
        <v>141.52699999999999</v>
      </c>
      <c r="C223" s="69">
        <f t="shared" si="4"/>
        <v>1523.3966279999997</v>
      </c>
      <c r="D223" s="69">
        <v>0</v>
      </c>
      <c r="E223" s="69">
        <v>0</v>
      </c>
      <c r="F223" s="69">
        <f t="shared" si="5"/>
        <v>2604.0941959031998</v>
      </c>
      <c r="G223" s="108" t="s">
        <v>98</v>
      </c>
      <c r="H223" s="109"/>
      <c r="I223" s="1" t="s">
        <v>342</v>
      </c>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WZB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row>
    <row r="224" spans="1:150 16226:16383" s="2" customFormat="1" ht="20.25" customHeight="1" x14ac:dyDescent="0.25">
      <c r="A224" s="69">
        <f t="shared" si="6"/>
        <v>96</v>
      </c>
      <c r="B224" s="69">
        <f>153.191</f>
        <v>153.191</v>
      </c>
      <c r="C224" s="69">
        <f t="shared" si="4"/>
        <v>1648.9479239999998</v>
      </c>
      <c r="D224" s="69">
        <v>0</v>
      </c>
      <c r="E224" s="69">
        <v>0</v>
      </c>
      <c r="F224" s="69">
        <f t="shared" si="5"/>
        <v>2818.7115812856</v>
      </c>
      <c r="G224" s="108" t="s">
        <v>98</v>
      </c>
      <c r="H224" s="109"/>
      <c r="I224" s="1" t="s">
        <v>342</v>
      </c>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WZB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row>
    <row r="225" spans="1:150 16226:16383" s="2" customFormat="1" ht="20.25" x14ac:dyDescent="0.25">
      <c r="A225" s="69">
        <f t="shared" si="6"/>
        <v>97</v>
      </c>
      <c r="B225" s="69">
        <f>147.668</f>
        <v>147.66800000000001</v>
      </c>
      <c r="C225" s="69">
        <f t="shared" si="4"/>
        <v>1589.4983520000001</v>
      </c>
      <c r="D225" s="69">
        <v>0</v>
      </c>
      <c r="E225" s="69">
        <v>0</v>
      </c>
      <c r="F225" s="69">
        <f t="shared" si="5"/>
        <v>2717.0884829088004</v>
      </c>
      <c r="G225" s="108" t="s">
        <v>98</v>
      </c>
      <c r="H225" s="109"/>
      <c r="I225" s="1" t="s">
        <v>342</v>
      </c>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WZB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row>
    <row r="226" spans="1:150 16226:16383" s="2" customFormat="1" ht="20.25" x14ac:dyDescent="0.25">
      <c r="A226" s="69">
        <f t="shared" si="6"/>
        <v>98</v>
      </c>
      <c r="B226" s="69">
        <f>157.722</f>
        <v>157.72200000000001</v>
      </c>
      <c r="C226" s="69">
        <f t="shared" si="4"/>
        <v>1697.7196079999999</v>
      </c>
      <c r="D226" s="69">
        <v>0</v>
      </c>
      <c r="E226" s="69">
        <v>0</v>
      </c>
      <c r="F226" s="69">
        <f t="shared" si="5"/>
        <v>2902.0818979152</v>
      </c>
      <c r="G226" s="108" t="s">
        <v>98</v>
      </c>
      <c r="H226" s="109"/>
      <c r="I226" s="1" t="s">
        <v>342</v>
      </c>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WZB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row>
    <row r="227" spans="1:150 16226:16383" s="2" customFormat="1" ht="20.25" x14ac:dyDescent="0.25">
      <c r="A227" s="69">
        <f t="shared" si="6"/>
        <v>99</v>
      </c>
      <c r="B227" s="69">
        <f>167.004</f>
        <v>167.00399999999999</v>
      </c>
      <c r="C227" s="69">
        <f t="shared" si="4"/>
        <v>1797.6310559999997</v>
      </c>
      <c r="D227" s="69">
        <v>0</v>
      </c>
      <c r="E227" s="69">
        <v>0</v>
      </c>
      <c r="F227" s="69">
        <f t="shared" si="5"/>
        <v>3072.8705271264002</v>
      </c>
      <c r="G227" s="108" t="s">
        <v>98</v>
      </c>
      <c r="H227" s="109"/>
      <c r="I227" s="1" t="s">
        <v>342</v>
      </c>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WZB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row>
    <row r="228" spans="1:150 16226:16383" s="2" customFormat="1" ht="20.25" customHeight="1" x14ac:dyDescent="0.25">
      <c r="A228" s="69">
        <f t="shared" si="6"/>
        <v>100</v>
      </c>
      <c r="B228" s="69">
        <f>177.234</f>
        <v>177.23400000000001</v>
      </c>
      <c r="C228" s="69">
        <f t="shared" si="4"/>
        <v>1907.746776</v>
      </c>
      <c r="D228" s="69">
        <v>0</v>
      </c>
      <c r="E228" s="69">
        <v>0</v>
      </c>
      <c r="F228" s="69">
        <f t="shared" si="5"/>
        <v>3261.1023388944</v>
      </c>
      <c r="G228" s="108" t="s">
        <v>98</v>
      </c>
      <c r="H228" s="109"/>
      <c r="I228" s="1" t="s">
        <v>342</v>
      </c>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WZB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row>
    <row r="229" spans="1:150 16226:16383" s="2" customFormat="1" ht="20.25" customHeight="1" x14ac:dyDescent="0.25">
      <c r="A229" s="69">
        <f t="shared" si="6"/>
        <v>101</v>
      </c>
      <c r="B229" s="69">
        <f>185.143</f>
        <v>185.143</v>
      </c>
      <c r="C229" s="69">
        <f t="shared" si="4"/>
        <v>1992.879252</v>
      </c>
      <c r="D229" s="69">
        <v>0</v>
      </c>
      <c r="E229" s="69">
        <v>0</v>
      </c>
      <c r="F229" s="69">
        <f t="shared" si="5"/>
        <v>3406.6277933688002</v>
      </c>
      <c r="G229" s="108" t="s">
        <v>98</v>
      </c>
      <c r="H229" s="109"/>
      <c r="I229" s="1" t="s">
        <v>342</v>
      </c>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WZB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row>
    <row r="230" spans="1:150 16226:16383" s="2" customFormat="1" ht="20.25" customHeight="1" x14ac:dyDescent="0.25">
      <c r="A230" s="69">
        <f t="shared" si="6"/>
        <v>102</v>
      </c>
      <c r="B230" s="69">
        <f>292.726</f>
        <v>292.726</v>
      </c>
      <c r="C230" s="69">
        <f t="shared" si="4"/>
        <v>3150.9026639999997</v>
      </c>
      <c r="D230" s="69">
        <v>0</v>
      </c>
      <c r="E230" s="69">
        <v>0</v>
      </c>
      <c r="F230" s="69">
        <f t="shared" si="5"/>
        <v>5386.1530138416001</v>
      </c>
      <c r="G230" s="108" t="s">
        <v>98</v>
      </c>
      <c r="H230" s="109"/>
      <c r="I230" s="1" t="s">
        <v>342</v>
      </c>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WZB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row>
    <row r="231" spans="1:150 16226:16383" s="2" customFormat="1" ht="20.25" customHeight="1" x14ac:dyDescent="0.25">
      <c r="A231" s="69">
        <f t="shared" si="6"/>
        <v>103</v>
      </c>
      <c r="B231" s="69">
        <f>276.931</f>
        <v>276.93099999999998</v>
      </c>
      <c r="C231" s="69">
        <f t="shared" si="4"/>
        <v>2980.8852839999995</v>
      </c>
      <c r="D231" s="69">
        <v>0</v>
      </c>
      <c r="E231" s="69">
        <v>0</v>
      </c>
      <c r="F231" s="69">
        <f t="shared" si="5"/>
        <v>5095.5253044696001</v>
      </c>
      <c r="G231" s="108" t="s">
        <v>98</v>
      </c>
      <c r="H231" s="109"/>
      <c r="I231" s="1" t="s">
        <v>342</v>
      </c>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WZB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row>
    <row r="232" spans="1:150 16226:16383" s="2" customFormat="1" ht="20.25" customHeight="1" x14ac:dyDescent="0.25">
      <c r="A232" s="69">
        <f t="shared" si="6"/>
        <v>104</v>
      </c>
      <c r="B232" s="69">
        <f>259.863</f>
        <v>259.863</v>
      </c>
      <c r="C232" s="69">
        <f t="shared" si="4"/>
        <v>2797.165332</v>
      </c>
      <c r="D232" s="69">
        <v>0</v>
      </c>
      <c r="E232" s="69">
        <v>0</v>
      </c>
      <c r="F232" s="69">
        <f t="shared" si="5"/>
        <v>4781.474418520801</v>
      </c>
      <c r="G232" s="108" t="s">
        <v>98</v>
      </c>
      <c r="H232" s="109"/>
      <c r="I232" s="1" t="s">
        <v>342</v>
      </c>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WZB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row>
    <row r="233" spans="1:150 16226:16383" s="2" customFormat="1" ht="20.25" x14ac:dyDescent="0.25">
      <c r="A233" s="69">
        <f t="shared" si="6"/>
        <v>105</v>
      </c>
      <c r="B233" s="69">
        <f>200.006</f>
        <v>200.006</v>
      </c>
      <c r="C233" s="69">
        <f t="shared" si="4"/>
        <v>2152.8645839999999</v>
      </c>
      <c r="D233" s="69">
        <v>0</v>
      </c>
      <c r="E233" s="69">
        <v>0</v>
      </c>
      <c r="F233" s="69">
        <f t="shared" si="5"/>
        <v>3680.1067198895998</v>
      </c>
      <c r="G233" s="108" t="s">
        <v>98</v>
      </c>
      <c r="H233" s="109"/>
      <c r="I233" s="1" t="s">
        <v>342</v>
      </c>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WZB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row>
    <row r="234" spans="1:150 16226:16383" s="2" customFormat="1" ht="20.25" x14ac:dyDescent="0.25">
      <c r="A234" s="69">
        <f t="shared" si="6"/>
        <v>106</v>
      </c>
      <c r="B234" s="69">
        <f>174.133</f>
        <v>174.13300000000001</v>
      </c>
      <c r="C234" s="69">
        <f t="shared" si="4"/>
        <v>1874.367612</v>
      </c>
      <c r="D234" s="69">
        <v>0</v>
      </c>
      <c r="E234" s="69">
        <v>0</v>
      </c>
      <c r="F234" s="69">
        <f t="shared" si="5"/>
        <v>3204.0439959528003</v>
      </c>
      <c r="G234" s="108" t="s">
        <v>98</v>
      </c>
      <c r="H234" s="109"/>
      <c r="I234" s="1" t="s">
        <v>342</v>
      </c>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WZB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1"/>
    </row>
    <row r="235" spans="1:150 16226:16383" s="2" customFormat="1" ht="20.25" x14ac:dyDescent="0.25">
      <c r="A235" s="69">
        <f t="shared" si="6"/>
        <v>107</v>
      </c>
      <c r="B235" s="69">
        <f>217.234</f>
        <v>217.23400000000001</v>
      </c>
      <c r="C235" s="69">
        <f t="shared" si="4"/>
        <v>2338.3067759999999</v>
      </c>
      <c r="D235" s="69">
        <v>0</v>
      </c>
      <c r="E235" s="69">
        <v>0</v>
      </c>
      <c r="F235" s="69">
        <f t="shared" si="5"/>
        <v>3997.1016028944005</v>
      </c>
      <c r="G235" s="108" t="s">
        <v>98</v>
      </c>
      <c r="H235" s="109"/>
      <c r="I235" s="1" t="s">
        <v>342</v>
      </c>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WZB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c r="XEZ235" s="1"/>
      <c r="XFA235" s="1"/>
      <c r="XFB235" s="1"/>
      <c r="XFC235" s="1"/>
    </row>
    <row r="236" spans="1:150 16226:16383" s="2" customFormat="1" ht="20.25" customHeight="1" x14ac:dyDescent="0.25">
      <c r="A236" s="69">
        <f t="shared" si="6"/>
        <v>108</v>
      </c>
      <c r="B236" s="69">
        <f>260.359</f>
        <v>260.35899999999998</v>
      </c>
      <c r="C236" s="69">
        <f t="shared" si="4"/>
        <v>2802.5042759999997</v>
      </c>
      <c r="D236" s="69">
        <v>0</v>
      </c>
      <c r="E236" s="69">
        <v>0</v>
      </c>
      <c r="F236" s="69">
        <f t="shared" si="5"/>
        <v>4790.6008093944001</v>
      </c>
      <c r="G236" s="108" t="s">
        <v>98</v>
      </c>
      <c r="H236" s="109"/>
      <c r="I236" s="1" t="s">
        <v>342</v>
      </c>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WZB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c r="XFB236" s="1"/>
      <c r="XFC236" s="1"/>
    </row>
    <row r="237" spans="1:150 16226:16383" s="2" customFormat="1" ht="20.25" customHeight="1" x14ac:dyDescent="0.25">
      <c r="A237" s="69">
        <f t="shared" si="6"/>
        <v>109</v>
      </c>
      <c r="B237" s="69">
        <f>343.079</f>
        <v>343.07900000000001</v>
      </c>
      <c r="C237" s="69">
        <f t="shared" si="4"/>
        <v>3692.9023560000001</v>
      </c>
      <c r="D237" s="69">
        <v>0</v>
      </c>
      <c r="E237" s="69">
        <v>0</v>
      </c>
      <c r="F237" s="69">
        <f t="shared" si="5"/>
        <v>6312.6472873464008</v>
      </c>
      <c r="G237" s="108" t="s">
        <v>98</v>
      </c>
      <c r="H237" s="109"/>
      <c r="I237" s="1" t="s">
        <v>342</v>
      </c>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WZB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c r="XFA237" s="1"/>
      <c r="XFB237" s="1"/>
      <c r="XFC237" s="1"/>
    </row>
    <row r="238" spans="1:150 16226:16383" s="2" customFormat="1" ht="20.25" customHeight="1" x14ac:dyDescent="0.25">
      <c r="A238" s="69">
        <f t="shared" si="6"/>
        <v>110</v>
      </c>
      <c r="B238" s="69">
        <f>144.442</f>
        <v>144.44200000000001</v>
      </c>
      <c r="C238" s="69">
        <f t="shared" si="4"/>
        <v>1554.773688</v>
      </c>
      <c r="D238" s="69">
        <v>0</v>
      </c>
      <c r="E238" s="69">
        <v>0</v>
      </c>
      <c r="F238" s="69">
        <f t="shared" si="5"/>
        <v>2657.7301422672003</v>
      </c>
      <c r="G238" s="108" t="s">
        <v>98</v>
      </c>
      <c r="H238" s="109"/>
      <c r="I238" s="1" t="s">
        <v>342</v>
      </c>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WZB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c r="XEY238" s="1"/>
      <c r="XEZ238" s="1"/>
      <c r="XFA238" s="1"/>
      <c r="XFB238" s="1"/>
      <c r="XFC238" s="1"/>
    </row>
    <row r="239" spans="1:150 16226:16383" s="2" customFormat="1" ht="20.25" customHeight="1" x14ac:dyDescent="0.25">
      <c r="A239" s="69">
        <f t="shared" si="6"/>
        <v>111</v>
      </c>
      <c r="B239" s="69">
        <f>177.287</f>
        <v>177.28700000000001</v>
      </c>
      <c r="C239" s="69">
        <f t="shared" si="4"/>
        <v>1908.317268</v>
      </c>
      <c r="D239" s="69">
        <v>0</v>
      </c>
      <c r="E239" s="69">
        <v>0</v>
      </c>
      <c r="F239" s="69">
        <f t="shared" si="5"/>
        <v>3262.0775379192005</v>
      </c>
      <c r="G239" s="108" t="s">
        <v>98</v>
      </c>
      <c r="H239" s="109"/>
      <c r="I239" s="1" t="s">
        <v>342</v>
      </c>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WZB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c r="XEY239" s="1"/>
      <c r="XEZ239" s="1"/>
      <c r="XFA239" s="1"/>
      <c r="XFB239" s="1"/>
      <c r="XFC239" s="1"/>
    </row>
    <row r="240" spans="1:150 16226:16383" s="2" customFormat="1" ht="20.25" customHeight="1" x14ac:dyDescent="0.25">
      <c r="A240" s="69">
        <f t="shared" si="6"/>
        <v>112</v>
      </c>
      <c r="B240" s="69">
        <f>183.59</f>
        <v>183.59</v>
      </c>
      <c r="C240" s="69">
        <f t="shared" si="4"/>
        <v>1976.1627599999999</v>
      </c>
      <c r="D240" s="69">
        <v>0</v>
      </c>
      <c r="E240" s="69">
        <v>0</v>
      </c>
      <c r="F240" s="69">
        <f t="shared" si="5"/>
        <v>3378.0526219440003</v>
      </c>
      <c r="G240" s="108" t="s">
        <v>98</v>
      </c>
      <c r="H240" s="109"/>
      <c r="I240" s="1" t="s">
        <v>342</v>
      </c>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WZB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c r="XFB240" s="1"/>
      <c r="XFC240" s="1"/>
    </row>
    <row r="241" spans="1:150 16226:16383" s="2" customFormat="1" ht="20.25" x14ac:dyDescent="0.25">
      <c r="A241" s="69">
        <f t="shared" si="6"/>
        <v>113</v>
      </c>
      <c r="B241" s="69">
        <f>146.966</f>
        <v>146.96600000000001</v>
      </c>
      <c r="C241" s="69">
        <f t="shared" si="4"/>
        <v>1581.9420239999999</v>
      </c>
      <c r="D241" s="69">
        <v>0</v>
      </c>
      <c r="E241" s="69">
        <v>0</v>
      </c>
      <c r="F241" s="69">
        <f t="shared" si="5"/>
        <v>2704.1716958256002</v>
      </c>
      <c r="G241" s="108" t="s">
        <v>98</v>
      </c>
      <c r="H241" s="109"/>
      <c r="I241" s="1" t="s">
        <v>342</v>
      </c>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WZB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c r="XFB241" s="1"/>
      <c r="XFC241" s="1"/>
    </row>
    <row r="242" spans="1:150 16226:16383" s="2" customFormat="1" ht="20.25" x14ac:dyDescent="0.25">
      <c r="A242" s="69">
        <f t="shared" si="6"/>
        <v>114</v>
      </c>
      <c r="B242" s="69">
        <f>150.104</f>
        <v>150.10400000000001</v>
      </c>
      <c r="C242" s="69">
        <f t="shared" si="4"/>
        <v>1615.719456</v>
      </c>
      <c r="D242" s="69">
        <v>0</v>
      </c>
      <c r="E242" s="69">
        <v>0</v>
      </c>
      <c r="F242" s="69">
        <f t="shared" si="5"/>
        <v>2761.9108380864004</v>
      </c>
      <c r="G242" s="108" t="s">
        <v>98</v>
      </c>
      <c r="H242" s="109"/>
      <c r="I242" s="1" t="s">
        <v>342</v>
      </c>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WZB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c r="XEW242" s="1"/>
      <c r="XEX242" s="1"/>
      <c r="XEY242" s="1"/>
      <c r="XEZ242" s="1"/>
      <c r="XFA242" s="1"/>
      <c r="XFB242" s="1"/>
      <c r="XFC242" s="1"/>
    </row>
    <row r="243" spans="1:150 16226:16383" s="2" customFormat="1" ht="20.25" x14ac:dyDescent="0.25">
      <c r="A243" s="69">
        <f t="shared" si="6"/>
        <v>115</v>
      </c>
      <c r="B243" s="69">
        <f>153.241</f>
        <v>153.24100000000001</v>
      </c>
      <c r="C243" s="69">
        <f t="shared" si="4"/>
        <v>1649.486124</v>
      </c>
      <c r="D243" s="69">
        <v>0</v>
      </c>
      <c r="E243" s="69">
        <v>0</v>
      </c>
      <c r="F243" s="69">
        <f t="shared" si="5"/>
        <v>2819.6315803656003</v>
      </c>
      <c r="G243" s="108" t="s">
        <v>98</v>
      </c>
      <c r="H243" s="109"/>
      <c r="I243" s="1" t="s">
        <v>342</v>
      </c>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WZB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c r="XEW243" s="1"/>
      <c r="XEX243" s="1"/>
      <c r="XEY243" s="1"/>
      <c r="XEZ243" s="1"/>
      <c r="XFA243" s="1"/>
      <c r="XFB243" s="1"/>
      <c r="XFC243" s="1"/>
    </row>
    <row r="244" spans="1:150 16226:16383" s="2" customFormat="1" ht="20.25" customHeight="1" x14ac:dyDescent="0.25">
      <c r="A244" s="69">
        <f t="shared" si="6"/>
        <v>116</v>
      </c>
      <c r="B244" s="69">
        <f>156.228</f>
        <v>156.22800000000001</v>
      </c>
      <c r="C244" s="69">
        <f t="shared" si="4"/>
        <v>1681.6381919999999</v>
      </c>
      <c r="D244" s="69">
        <v>0</v>
      </c>
      <c r="E244" s="69">
        <v>0</v>
      </c>
      <c r="F244" s="69">
        <f t="shared" si="5"/>
        <v>2874.5923254047998</v>
      </c>
      <c r="G244" s="108" t="s">
        <v>98</v>
      </c>
      <c r="H244" s="109"/>
      <c r="I244" s="1" t="s">
        <v>342</v>
      </c>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WZB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c r="XEW244" s="1"/>
      <c r="XEX244" s="1"/>
      <c r="XEY244" s="1"/>
      <c r="XEZ244" s="1"/>
      <c r="XFA244" s="1"/>
      <c r="XFB244" s="1"/>
      <c r="XFC244" s="1"/>
    </row>
    <row r="245" spans="1:150 16226:16383" s="2" customFormat="1" ht="20.25" customHeight="1" x14ac:dyDescent="0.25">
      <c r="A245" s="69">
        <f t="shared" si="6"/>
        <v>117</v>
      </c>
      <c r="B245" s="69">
        <f>155.867</f>
        <v>155.86699999999999</v>
      </c>
      <c r="C245" s="69">
        <f t="shared" si="4"/>
        <v>1677.7523879999999</v>
      </c>
      <c r="D245" s="69">
        <v>0</v>
      </c>
      <c r="E245" s="69">
        <v>0</v>
      </c>
      <c r="F245" s="69">
        <f t="shared" si="5"/>
        <v>2867.9499320472</v>
      </c>
      <c r="G245" s="108" t="s">
        <v>98</v>
      </c>
      <c r="H245" s="109"/>
      <c r="I245" s="1" t="s">
        <v>342</v>
      </c>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WZB245" s="1"/>
      <c r="WZC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c r="XEV245" s="1"/>
      <c r="XEW245" s="1"/>
      <c r="XEX245" s="1"/>
      <c r="XEY245" s="1"/>
      <c r="XEZ245" s="1"/>
      <c r="XFA245" s="1"/>
      <c r="XFB245" s="1"/>
      <c r="XFC245" s="1"/>
    </row>
    <row r="246" spans="1:150 16226:16383" s="2" customFormat="1" ht="20.25" customHeight="1" x14ac:dyDescent="0.25">
      <c r="A246" s="69">
        <f t="shared" si="6"/>
        <v>118</v>
      </c>
      <c r="B246" s="69">
        <f>154.127</f>
        <v>154.12700000000001</v>
      </c>
      <c r="C246" s="69">
        <f t="shared" si="4"/>
        <v>1659.0230280000001</v>
      </c>
      <c r="D246" s="69">
        <v>0</v>
      </c>
      <c r="E246" s="69">
        <v>0</v>
      </c>
      <c r="F246" s="69">
        <f t="shared" si="5"/>
        <v>2835.9339640632006</v>
      </c>
      <c r="G246" s="108" t="s">
        <v>98</v>
      </c>
      <c r="H246" s="109"/>
      <c r="I246" s="1" t="s">
        <v>342</v>
      </c>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WZB246" s="1"/>
      <c r="WZC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c r="XEV246" s="1"/>
      <c r="XEW246" s="1"/>
      <c r="XEX246" s="1"/>
      <c r="XEY246" s="1"/>
      <c r="XEZ246" s="1"/>
      <c r="XFA246" s="1"/>
      <c r="XFB246" s="1"/>
      <c r="XFC246" s="1"/>
    </row>
    <row r="247" spans="1:150 16226:16383" s="2" customFormat="1" ht="20.25" customHeight="1" x14ac:dyDescent="0.25">
      <c r="A247" s="69">
        <f t="shared" si="6"/>
        <v>119</v>
      </c>
      <c r="B247" s="69">
        <f>152.356</f>
        <v>152.35599999999999</v>
      </c>
      <c r="C247" s="69">
        <f t="shared" si="4"/>
        <v>1639.9599839999998</v>
      </c>
      <c r="D247" s="69">
        <v>0</v>
      </c>
      <c r="E247" s="69">
        <v>0</v>
      </c>
      <c r="F247" s="69">
        <f t="shared" si="5"/>
        <v>2803.3475966495998</v>
      </c>
      <c r="G247" s="108" t="s">
        <v>98</v>
      </c>
      <c r="H247" s="109"/>
      <c r="I247" s="1" t="s">
        <v>342</v>
      </c>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WZB247" s="1"/>
      <c r="WZC247" s="1"/>
      <c r="WZD247" s="1"/>
      <c r="WZE247" s="1"/>
      <c r="WZF247" s="1"/>
      <c r="WZG247" s="1"/>
      <c r="WZH247" s="1"/>
      <c r="WZI247" s="1"/>
      <c r="WZJ247" s="1"/>
      <c r="WZK247" s="1"/>
      <c r="WZL247" s="1"/>
      <c r="WZM247" s="1"/>
      <c r="WZN247" s="1"/>
      <c r="WZO247" s="1"/>
      <c r="WZP247" s="1"/>
      <c r="WZQ247" s="1"/>
      <c r="WZR247" s="1"/>
      <c r="WZS247" s="1"/>
      <c r="WZT247" s="1"/>
      <c r="WZU247" s="1"/>
      <c r="WZV247" s="1"/>
      <c r="WZW247" s="1"/>
      <c r="WZX247" s="1"/>
      <c r="WZY247" s="1"/>
      <c r="WZZ247" s="1"/>
      <c r="XAA247" s="1"/>
      <c r="XAB247" s="1"/>
      <c r="XAC247" s="1"/>
      <c r="XAD247" s="1"/>
      <c r="XAE247" s="1"/>
      <c r="XAF247" s="1"/>
      <c r="XAG247" s="1"/>
      <c r="XAH247" s="1"/>
      <c r="XAI247" s="1"/>
      <c r="XAJ247" s="1"/>
      <c r="XAK247" s="1"/>
      <c r="XAL247" s="1"/>
      <c r="XAM247" s="1"/>
      <c r="XAN247" s="1"/>
      <c r="XAO247" s="1"/>
      <c r="XAP247" s="1"/>
      <c r="XAQ247" s="1"/>
      <c r="XAR247" s="1"/>
      <c r="XAS247" s="1"/>
      <c r="XAT247" s="1"/>
      <c r="XAU247" s="1"/>
      <c r="XAV247" s="1"/>
      <c r="XAW247" s="1"/>
      <c r="XAX247" s="1"/>
      <c r="XAY247" s="1"/>
      <c r="XAZ247" s="1"/>
      <c r="XBA247" s="1"/>
      <c r="XBB247" s="1"/>
      <c r="XBC247" s="1"/>
      <c r="XBD247" s="1"/>
      <c r="XBE247" s="1"/>
      <c r="XBF247" s="1"/>
      <c r="XBG247" s="1"/>
      <c r="XBH247" s="1"/>
      <c r="XBI247" s="1"/>
      <c r="XBJ247" s="1"/>
      <c r="XBK247" s="1"/>
      <c r="XBL247" s="1"/>
      <c r="XBM247" s="1"/>
      <c r="XBN247" s="1"/>
      <c r="XBO247" s="1"/>
      <c r="XBP247" s="1"/>
      <c r="XBQ247" s="1"/>
      <c r="XBR247" s="1"/>
      <c r="XBS247" s="1"/>
      <c r="XBT247" s="1"/>
      <c r="XBU247" s="1"/>
      <c r="XBV247" s="1"/>
      <c r="XBW247" s="1"/>
      <c r="XBX247" s="1"/>
      <c r="XBY247" s="1"/>
      <c r="XBZ247" s="1"/>
      <c r="XCA247" s="1"/>
      <c r="XCB247" s="1"/>
      <c r="XCC247" s="1"/>
      <c r="XCD247" s="1"/>
      <c r="XCE247" s="1"/>
      <c r="XCF247" s="1"/>
      <c r="XCG247" s="1"/>
      <c r="XCH247" s="1"/>
      <c r="XCI247" s="1"/>
      <c r="XCJ247" s="1"/>
      <c r="XCK247" s="1"/>
      <c r="XCL247" s="1"/>
      <c r="XCM247" s="1"/>
      <c r="XCN247" s="1"/>
      <c r="XCO247" s="1"/>
      <c r="XCP247" s="1"/>
      <c r="XCQ247" s="1"/>
      <c r="XCR247" s="1"/>
      <c r="XCS247" s="1"/>
      <c r="XCT247" s="1"/>
      <c r="XCU247" s="1"/>
      <c r="XCV247" s="1"/>
      <c r="XCW247" s="1"/>
      <c r="XCX247" s="1"/>
      <c r="XCY247" s="1"/>
      <c r="XCZ247" s="1"/>
      <c r="XDA247" s="1"/>
      <c r="XDB247" s="1"/>
      <c r="XDC247" s="1"/>
      <c r="XDD247" s="1"/>
      <c r="XDE247" s="1"/>
      <c r="XDF247" s="1"/>
      <c r="XDG247" s="1"/>
      <c r="XDH247" s="1"/>
      <c r="XDI247" s="1"/>
      <c r="XDJ247" s="1"/>
      <c r="XDK247" s="1"/>
      <c r="XDL247" s="1"/>
      <c r="XDM247" s="1"/>
      <c r="XDN247" s="1"/>
      <c r="XDO247" s="1"/>
      <c r="XDP247" s="1"/>
      <c r="XDQ247" s="1"/>
      <c r="XDR247" s="1"/>
      <c r="XDS247" s="1"/>
      <c r="XDT247" s="1"/>
      <c r="XDU247" s="1"/>
      <c r="XDV247" s="1"/>
      <c r="XDW247" s="1"/>
      <c r="XDX247" s="1"/>
      <c r="XDY247" s="1"/>
      <c r="XDZ247" s="1"/>
      <c r="XEA247" s="1"/>
      <c r="XEB247" s="1"/>
      <c r="XEC247" s="1"/>
      <c r="XED247" s="1"/>
      <c r="XEE247" s="1"/>
      <c r="XEF247" s="1"/>
      <c r="XEG247" s="1"/>
      <c r="XEH247" s="1"/>
      <c r="XEI247" s="1"/>
      <c r="XEJ247" s="1"/>
      <c r="XEK247" s="1"/>
      <c r="XEL247" s="1"/>
      <c r="XEM247" s="1"/>
      <c r="XEN247" s="1"/>
      <c r="XEO247" s="1"/>
      <c r="XEP247" s="1"/>
      <c r="XEQ247" s="1"/>
      <c r="XER247" s="1"/>
      <c r="XES247" s="1"/>
      <c r="XET247" s="1"/>
      <c r="XEU247" s="1"/>
      <c r="XEV247" s="1"/>
      <c r="XEW247" s="1"/>
      <c r="XEX247" s="1"/>
      <c r="XEY247" s="1"/>
      <c r="XEZ247" s="1"/>
      <c r="XFA247" s="1"/>
      <c r="XFB247" s="1"/>
      <c r="XFC247" s="1"/>
    </row>
    <row r="248" spans="1:150 16226:16383" s="2" customFormat="1" ht="20.25" customHeight="1" x14ac:dyDescent="0.25">
      <c r="A248" s="69">
        <f t="shared" si="6"/>
        <v>120</v>
      </c>
      <c r="B248" s="69">
        <f>186.973</f>
        <v>186.97300000000001</v>
      </c>
      <c r="C248" s="69">
        <f t="shared" si="4"/>
        <v>2012.577372</v>
      </c>
      <c r="D248" s="69">
        <v>0</v>
      </c>
      <c r="E248" s="69">
        <v>0</v>
      </c>
      <c r="F248" s="69">
        <f t="shared" si="5"/>
        <v>3440.2997596968003</v>
      </c>
      <c r="G248" s="108" t="s">
        <v>98</v>
      </c>
      <c r="H248" s="109"/>
      <c r="I248" s="1" t="s">
        <v>342</v>
      </c>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WZB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c r="XEG248" s="1"/>
      <c r="XEH248" s="1"/>
      <c r="XEI248" s="1"/>
      <c r="XEJ248" s="1"/>
      <c r="XEK248" s="1"/>
      <c r="XEL248" s="1"/>
      <c r="XEM248" s="1"/>
      <c r="XEN248" s="1"/>
      <c r="XEO248" s="1"/>
      <c r="XEP248" s="1"/>
      <c r="XEQ248" s="1"/>
      <c r="XER248" s="1"/>
      <c r="XES248" s="1"/>
      <c r="XET248" s="1"/>
      <c r="XEU248" s="1"/>
      <c r="XEV248" s="1"/>
      <c r="XEW248" s="1"/>
      <c r="XEX248" s="1"/>
      <c r="XEY248" s="1"/>
      <c r="XEZ248" s="1"/>
      <c r="XFA248" s="1"/>
      <c r="XFB248" s="1"/>
      <c r="XFC248" s="1"/>
    </row>
    <row r="249" spans="1:150 16226:16383" ht="20.25" x14ac:dyDescent="0.25">
      <c r="A249" s="96" t="s">
        <v>70</v>
      </c>
      <c r="B249" s="96"/>
      <c r="C249" s="96"/>
      <c r="D249" s="96"/>
      <c r="E249" s="96"/>
      <c r="F249" s="96"/>
      <c r="G249" s="96"/>
      <c r="H249" s="96"/>
    </row>
    <row r="250" spans="1:150 16226:16383" ht="20.25" x14ac:dyDescent="0.25">
      <c r="A250" s="34" t="s">
        <v>230</v>
      </c>
      <c r="B250" s="75" t="s">
        <v>339</v>
      </c>
      <c r="C250" s="76"/>
      <c r="D250" s="76"/>
      <c r="E250" s="76"/>
      <c r="F250" s="76"/>
      <c r="G250" s="76"/>
      <c r="H250" s="77"/>
      <c r="I250" s="170" t="s">
        <v>354</v>
      </c>
    </row>
    <row r="251" spans="1:150 16226:16383" ht="20.25" x14ac:dyDescent="0.25">
      <c r="A251" s="34" t="s">
        <v>230</v>
      </c>
      <c r="B251" s="75" t="s">
        <v>340</v>
      </c>
      <c r="C251" s="76"/>
      <c r="D251" s="76"/>
      <c r="E251" s="76"/>
      <c r="F251" s="76"/>
      <c r="G251" s="76"/>
      <c r="H251" s="77"/>
    </row>
    <row r="252" spans="1:150 16226:16383" ht="20.25" x14ac:dyDescent="0.25">
      <c r="A252" s="34" t="s">
        <v>230</v>
      </c>
      <c r="B252" s="75" t="s">
        <v>231</v>
      </c>
      <c r="C252" s="76"/>
      <c r="D252" s="76"/>
      <c r="E252" s="76"/>
      <c r="F252" s="76"/>
      <c r="G252" s="76"/>
      <c r="H252" s="77"/>
    </row>
    <row r="253" spans="1:150 16226:16383" ht="20.25" x14ac:dyDescent="0.25">
      <c r="A253" s="34" t="s">
        <v>230</v>
      </c>
      <c r="B253" s="75" t="s">
        <v>232</v>
      </c>
      <c r="C253" s="76"/>
      <c r="D253" s="76"/>
      <c r="E253" s="76"/>
      <c r="F253" s="76"/>
      <c r="G253" s="76"/>
      <c r="H253" s="77"/>
    </row>
    <row r="254" spans="1:150 16226:16383" ht="20.25" x14ac:dyDescent="0.25">
      <c r="A254" s="123" t="s">
        <v>76</v>
      </c>
      <c r="B254" s="123"/>
      <c r="C254" s="123"/>
      <c r="D254" s="123"/>
      <c r="E254" s="123"/>
      <c r="F254" s="123"/>
      <c r="G254" s="123"/>
      <c r="H254" s="123"/>
    </row>
    <row r="255" spans="1:150 16226:16383" ht="20.25" x14ac:dyDescent="0.25">
      <c r="A255" s="74" t="s">
        <v>71</v>
      </c>
      <c r="B255" s="74"/>
      <c r="C255" s="74"/>
      <c r="D255" s="75" t="str">
        <f>C3</f>
        <v xml:space="preserve">Godrej Golf Side Estate II    </v>
      </c>
      <c r="E255" s="76"/>
      <c r="F255" s="76"/>
      <c r="G255" s="76"/>
      <c r="H255" s="77"/>
    </row>
    <row r="256" spans="1:150 16226:16383" ht="40.5" customHeight="1" x14ac:dyDescent="0.25">
      <c r="A256" s="74" t="s">
        <v>104</v>
      </c>
      <c r="B256" s="74"/>
      <c r="C256" s="74"/>
      <c r="D256" s="75" t="str">
        <f>C9</f>
        <v>Godrej Golf Side Estate, Off NH 48, Near Godrej City, Panvel, Talegaon, Maharashtra 410506​.</v>
      </c>
      <c r="E256" s="76"/>
      <c r="F256" s="76"/>
      <c r="G256" s="76"/>
      <c r="H256" s="77"/>
    </row>
    <row r="257" spans="1:8" ht="20.25" customHeight="1" x14ac:dyDescent="0.25">
      <c r="A257" s="133" t="s">
        <v>110</v>
      </c>
      <c r="B257" s="133"/>
      <c r="C257" s="133"/>
      <c r="D257" s="75" t="str">
        <f>G3</f>
        <v>04/07/2025 @ 11:05 AM</v>
      </c>
      <c r="E257" s="76"/>
      <c r="F257" s="76"/>
      <c r="G257" s="76"/>
      <c r="H257" s="77"/>
    </row>
    <row r="258" spans="1:8" ht="20.25" x14ac:dyDescent="0.25">
      <c r="A258" s="8"/>
      <c r="B258" s="9"/>
      <c r="C258" s="9"/>
      <c r="D258" s="9"/>
      <c r="E258" s="9"/>
      <c r="F258" s="9"/>
      <c r="G258" s="9"/>
      <c r="H258" s="5"/>
    </row>
    <row r="259" spans="1:8" ht="20.25" x14ac:dyDescent="0.25">
      <c r="A259" s="10"/>
      <c r="B259" s="11"/>
      <c r="C259" s="11"/>
      <c r="D259" s="11"/>
      <c r="E259" s="11"/>
      <c r="F259" s="11"/>
      <c r="G259" s="11"/>
      <c r="H259" s="6"/>
    </row>
    <row r="260" spans="1:8" ht="20.25" x14ac:dyDescent="0.25">
      <c r="A260" s="10"/>
      <c r="B260" s="11"/>
      <c r="C260" s="11"/>
      <c r="D260" s="11"/>
      <c r="E260" s="11"/>
      <c r="F260" s="11"/>
      <c r="G260" s="11"/>
      <c r="H260" s="6"/>
    </row>
    <row r="261" spans="1:8" ht="20.25" x14ac:dyDescent="0.25">
      <c r="A261" s="10"/>
      <c r="B261" s="11"/>
      <c r="C261" s="11"/>
      <c r="D261" s="11"/>
      <c r="E261" s="11"/>
      <c r="F261" s="11"/>
      <c r="G261" s="11"/>
      <c r="H261" s="6"/>
    </row>
    <row r="262" spans="1:8" ht="20.25" x14ac:dyDescent="0.25">
      <c r="A262" s="10"/>
      <c r="B262" s="11"/>
      <c r="C262" s="11"/>
      <c r="D262" s="11"/>
      <c r="E262" s="11"/>
      <c r="F262" s="11"/>
      <c r="G262" s="11"/>
      <c r="H262" s="6"/>
    </row>
    <row r="263" spans="1:8" ht="20.25" x14ac:dyDescent="0.25">
      <c r="A263" s="10"/>
      <c r="B263" s="11"/>
      <c r="C263" s="11"/>
      <c r="D263" s="11"/>
      <c r="E263" s="11"/>
      <c r="F263" s="11"/>
      <c r="G263" s="11"/>
      <c r="H263" s="6"/>
    </row>
    <row r="264" spans="1:8" ht="20.25" x14ac:dyDescent="0.25">
      <c r="A264" s="10"/>
      <c r="B264" s="11"/>
      <c r="C264" s="11"/>
      <c r="D264" s="11"/>
      <c r="E264" s="11"/>
      <c r="F264" s="11"/>
      <c r="G264" s="11"/>
      <c r="H264" s="6"/>
    </row>
    <row r="265" spans="1:8" ht="20.25" x14ac:dyDescent="0.25">
      <c r="A265" s="10"/>
      <c r="B265" s="11"/>
      <c r="C265" s="11"/>
      <c r="D265" s="11"/>
      <c r="E265" s="11"/>
      <c r="F265" s="11"/>
      <c r="G265" s="11"/>
      <c r="H265" s="6"/>
    </row>
    <row r="266" spans="1:8" ht="20.25" x14ac:dyDescent="0.25">
      <c r="A266" s="10"/>
      <c r="B266" s="11"/>
      <c r="C266" s="11"/>
      <c r="D266" s="11"/>
      <c r="E266" s="11"/>
      <c r="F266" s="11"/>
      <c r="G266" s="11"/>
      <c r="H266" s="6"/>
    </row>
    <row r="267" spans="1:8" ht="20.25" x14ac:dyDescent="0.25">
      <c r="A267" s="10"/>
      <c r="B267" s="11"/>
      <c r="C267" s="11"/>
      <c r="D267" s="11"/>
      <c r="E267" s="11"/>
      <c r="F267" s="11"/>
      <c r="G267" s="11"/>
      <c r="H267" s="6"/>
    </row>
    <row r="268" spans="1:8" ht="20.25" x14ac:dyDescent="0.25">
      <c r="A268" s="10"/>
      <c r="B268" s="11"/>
      <c r="C268" s="11"/>
      <c r="D268" s="11"/>
      <c r="E268" s="11"/>
      <c r="F268" s="11"/>
      <c r="G268" s="11"/>
      <c r="H268" s="6"/>
    </row>
    <row r="269" spans="1:8" ht="20.25" x14ac:dyDescent="0.25">
      <c r="A269" s="10"/>
      <c r="B269" s="11"/>
      <c r="C269" s="11"/>
      <c r="D269" s="11"/>
      <c r="E269" s="11"/>
      <c r="F269" s="11"/>
      <c r="G269" s="11"/>
      <c r="H269" s="6"/>
    </row>
    <row r="270" spans="1:8" ht="20.25" x14ac:dyDescent="0.25">
      <c r="A270" s="10"/>
      <c r="B270" s="11"/>
      <c r="C270" s="11"/>
      <c r="D270" s="11"/>
      <c r="E270" s="11"/>
      <c r="F270" s="11"/>
      <c r="G270" s="11"/>
      <c r="H270" s="6"/>
    </row>
    <row r="271" spans="1:8" ht="20.25" x14ac:dyDescent="0.25">
      <c r="A271" s="10"/>
      <c r="B271" s="11"/>
      <c r="C271" s="11"/>
      <c r="D271" s="11"/>
      <c r="E271" s="11"/>
      <c r="F271" s="11"/>
      <c r="G271" s="11"/>
      <c r="H271" s="6"/>
    </row>
    <row r="272" spans="1:8" ht="20.25" x14ac:dyDescent="0.25">
      <c r="A272" s="10"/>
      <c r="B272" s="11"/>
      <c r="C272" s="11"/>
      <c r="D272" s="11"/>
      <c r="E272" s="11"/>
      <c r="F272" s="11"/>
      <c r="G272" s="11"/>
      <c r="H272" s="6"/>
    </row>
    <row r="273" spans="1:8" ht="20.25" x14ac:dyDescent="0.25">
      <c r="A273" s="10"/>
      <c r="B273" s="11"/>
      <c r="C273" s="11"/>
      <c r="D273" s="11"/>
      <c r="E273" s="11"/>
      <c r="F273" s="11"/>
      <c r="G273" s="11"/>
      <c r="H273" s="6"/>
    </row>
    <row r="274" spans="1:8" ht="20.25" x14ac:dyDescent="0.25">
      <c r="A274" s="10"/>
      <c r="B274" s="11"/>
      <c r="C274" s="11"/>
      <c r="D274" s="11"/>
      <c r="E274" s="11"/>
      <c r="F274" s="11"/>
      <c r="G274" s="11"/>
      <c r="H274" s="6"/>
    </row>
    <row r="275" spans="1:8" ht="20.25" x14ac:dyDescent="0.25">
      <c r="A275" s="10"/>
      <c r="B275" s="11"/>
      <c r="C275" s="11"/>
      <c r="D275" s="11"/>
      <c r="E275" s="11"/>
      <c r="F275" s="11"/>
      <c r="G275" s="11"/>
      <c r="H275" s="6"/>
    </row>
    <row r="276" spans="1:8" ht="20.25" x14ac:dyDescent="0.25">
      <c r="A276" s="10"/>
      <c r="B276" s="11"/>
      <c r="C276" s="11"/>
      <c r="D276" s="11"/>
      <c r="E276" s="11"/>
      <c r="F276" s="11"/>
      <c r="G276" s="11"/>
      <c r="H276" s="6"/>
    </row>
    <row r="277" spans="1:8" ht="20.25" x14ac:dyDescent="0.25">
      <c r="A277" s="10"/>
      <c r="B277" s="11"/>
      <c r="C277" s="11"/>
      <c r="D277" s="11"/>
      <c r="E277" s="11"/>
      <c r="F277" s="11"/>
      <c r="G277" s="11"/>
      <c r="H277" s="6"/>
    </row>
    <row r="278" spans="1:8" ht="20.25" x14ac:dyDescent="0.25">
      <c r="A278" s="10"/>
      <c r="B278" s="11"/>
      <c r="C278" s="11"/>
      <c r="D278" s="11"/>
      <c r="E278" s="11"/>
      <c r="F278" s="11"/>
      <c r="G278" s="11"/>
      <c r="H278" s="6"/>
    </row>
    <row r="279" spans="1:8" ht="20.25" x14ac:dyDescent="0.25">
      <c r="A279" s="10"/>
      <c r="B279" s="11"/>
      <c r="C279" s="11"/>
      <c r="D279" s="11"/>
      <c r="E279" s="11"/>
      <c r="F279" s="11"/>
      <c r="G279" s="11"/>
      <c r="H279" s="6"/>
    </row>
    <row r="280" spans="1:8" ht="20.25" x14ac:dyDescent="0.25">
      <c r="A280" s="10"/>
      <c r="B280" s="11"/>
      <c r="C280" s="11"/>
      <c r="D280" s="11"/>
      <c r="E280" s="11"/>
      <c r="F280" s="11"/>
      <c r="G280" s="11"/>
      <c r="H280" s="6"/>
    </row>
    <row r="281" spans="1:8" ht="20.25" x14ac:dyDescent="0.25">
      <c r="A281" s="10"/>
      <c r="B281" s="11"/>
      <c r="C281" s="11"/>
      <c r="D281" s="11"/>
      <c r="E281" s="11"/>
      <c r="F281" s="11"/>
      <c r="G281" s="11"/>
      <c r="H281" s="6"/>
    </row>
    <row r="282" spans="1:8" ht="20.25" x14ac:dyDescent="0.25">
      <c r="A282" s="10"/>
      <c r="B282" s="11"/>
      <c r="C282" s="11"/>
      <c r="D282" s="11"/>
      <c r="E282" s="11"/>
      <c r="F282" s="11"/>
      <c r="G282" s="11"/>
      <c r="H282" s="6"/>
    </row>
    <row r="283" spans="1:8" ht="20.25" x14ac:dyDescent="0.25">
      <c r="A283" s="10"/>
      <c r="B283" s="11"/>
      <c r="C283" s="11"/>
      <c r="D283" s="11"/>
      <c r="E283" s="11"/>
      <c r="F283" s="11"/>
      <c r="G283" s="11"/>
      <c r="H283" s="6"/>
    </row>
    <row r="284" spans="1:8" ht="20.25" x14ac:dyDescent="0.25">
      <c r="A284" s="10"/>
      <c r="B284" s="11"/>
      <c r="C284" s="11"/>
      <c r="D284" s="11"/>
      <c r="E284" s="11"/>
      <c r="F284" s="11"/>
      <c r="G284" s="11"/>
      <c r="H284" s="6"/>
    </row>
    <row r="285" spans="1:8" ht="20.25" x14ac:dyDescent="0.25">
      <c r="A285" s="10"/>
      <c r="B285" s="11"/>
      <c r="C285" s="11"/>
      <c r="D285" s="11"/>
      <c r="E285" s="11"/>
      <c r="F285" s="11"/>
      <c r="G285" s="11"/>
      <c r="H285" s="6"/>
    </row>
    <row r="286" spans="1:8" ht="20.25" x14ac:dyDescent="0.25">
      <c r="A286" s="10"/>
      <c r="B286" s="11"/>
      <c r="C286" s="11"/>
      <c r="D286" s="11"/>
      <c r="E286" s="11"/>
      <c r="F286" s="11"/>
      <c r="G286" s="11"/>
      <c r="H286" s="6"/>
    </row>
    <row r="287" spans="1:8" ht="20.25" x14ac:dyDescent="0.25">
      <c r="A287" s="10"/>
      <c r="B287" s="11"/>
      <c r="C287" s="11"/>
      <c r="D287" s="11"/>
      <c r="E287" s="11"/>
      <c r="F287" s="11"/>
      <c r="G287" s="11"/>
      <c r="H287" s="6"/>
    </row>
    <row r="288" spans="1:8" ht="20.25" x14ac:dyDescent="0.25">
      <c r="A288" s="10"/>
      <c r="B288" s="11"/>
      <c r="C288" s="11"/>
      <c r="D288" s="11"/>
      <c r="E288" s="11"/>
      <c r="F288" s="11"/>
      <c r="G288" s="11"/>
      <c r="H288" s="6"/>
    </row>
    <row r="289" spans="1:8" ht="20.25" x14ac:dyDescent="0.25">
      <c r="A289" s="10"/>
      <c r="B289" s="11"/>
      <c r="C289" s="11"/>
      <c r="D289" s="11"/>
      <c r="E289" s="11"/>
      <c r="F289" s="11"/>
      <c r="G289" s="11"/>
      <c r="H289" s="6"/>
    </row>
    <row r="290" spans="1:8" ht="20.25" x14ac:dyDescent="0.25">
      <c r="A290" s="10"/>
      <c r="B290" s="11"/>
      <c r="C290" s="11"/>
      <c r="D290" s="11"/>
      <c r="E290" s="11"/>
      <c r="F290" s="11"/>
      <c r="G290" s="11"/>
      <c r="H290" s="6"/>
    </row>
    <row r="291" spans="1:8" ht="20.25" x14ac:dyDescent="0.25">
      <c r="A291" s="10"/>
      <c r="B291" s="11"/>
      <c r="C291" s="11"/>
      <c r="D291" s="11"/>
      <c r="E291" s="11"/>
      <c r="F291" s="11"/>
      <c r="G291" s="11"/>
      <c r="H291" s="6"/>
    </row>
    <row r="292" spans="1:8" ht="20.25" x14ac:dyDescent="0.25">
      <c r="A292" s="10"/>
      <c r="B292" s="11"/>
      <c r="C292" s="11"/>
      <c r="D292" s="11"/>
      <c r="E292" s="11"/>
      <c r="F292" s="11"/>
      <c r="G292" s="11"/>
      <c r="H292" s="6"/>
    </row>
    <row r="293" spans="1:8" ht="20.25" x14ac:dyDescent="0.25">
      <c r="A293" s="10"/>
      <c r="B293" s="11"/>
      <c r="C293" s="11"/>
      <c r="D293" s="11"/>
      <c r="E293" s="11"/>
      <c r="F293" s="11"/>
      <c r="G293" s="11"/>
      <c r="H293" s="6"/>
    </row>
    <row r="294" spans="1:8" ht="20.25" x14ac:dyDescent="0.25">
      <c r="A294" s="10"/>
      <c r="B294" s="11"/>
      <c r="C294" s="11"/>
      <c r="D294" s="11"/>
      <c r="E294" s="11"/>
      <c r="F294" s="11"/>
      <c r="G294" s="11"/>
      <c r="H294" s="6"/>
    </row>
    <row r="295" spans="1:8" ht="20.25" x14ac:dyDescent="0.25">
      <c r="A295" s="10"/>
      <c r="B295" s="11"/>
      <c r="C295" s="11"/>
      <c r="D295" s="11"/>
      <c r="E295" s="11"/>
      <c r="F295" s="11"/>
      <c r="G295" s="11"/>
      <c r="H295" s="6"/>
    </row>
    <row r="296" spans="1:8" ht="20.25" x14ac:dyDescent="0.25">
      <c r="A296" s="10"/>
      <c r="B296" s="11"/>
      <c r="C296" s="11"/>
      <c r="D296" s="11"/>
      <c r="E296" s="11"/>
      <c r="F296" s="11"/>
      <c r="G296" s="11"/>
      <c r="H296" s="6"/>
    </row>
    <row r="297" spans="1:8" ht="20.25" x14ac:dyDescent="0.25">
      <c r="A297" s="10"/>
      <c r="B297" s="11"/>
      <c r="C297" s="11"/>
      <c r="D297" s="11"/>
      <c r="E297" s="11"/>
      <c r="F297" s="11"/>
      <c r="G297" s="11"/>
      <c r="H297" s="6"/>
    </row>
    <row r="298" spans="1:8" ht="20.25" x14ac:dyDescent="0.25">
      <c r="A298" s="10"/>
      <c r="B298" s="11"/>
      <c r="C298" s="11"/>
      <c r="D298" s="11"/>
      <c r="E298" s="11"/>
      <c r="F298" s="11"/>
      <c r="G298" s="11"/>
      <c r="H298" s="6"/>
    </row>
    <row r="299" spans="1:8" ht="20.25" x14ac:dyDescent="0.25">
      <c r="A299" s="10"/>
      <c r="B299" s="11"/>
      <c r="C299" s="11"/>
      <c r="D299" s="11"/>
      <c r="E299" s="11"/>
      <c r="F299" s="11"/>
      <c r="G299" s="11"/>
      <c r="H299" s="6"/>
    </row>
    <row r="300" spans="1:8" ht="20.25" x14ac:dyDescent="0.25">
      <c r="A300" s="10"/>
      <c r="B300" s="11"/>
      <c r="C300" s="11"/>
      <c r="D300" s="11"/>
      <c r="E300" s="11"/>
      <c r="F300" s="11"/>
      <c r="G300" s="11"/>
      <c r="H300" s="6"/>
    </row>
    <row r="301" spans="1:8" ht="20.25" x14ac:dyDescent="0.25">
      <c r="A301" s="12"/>
      <c r="B301" s="13"/>
      <c r="C301" s="13"/>
      <c r="D301" s="13"/>
      <c r="E301" s="13"/>
      <c r="F301" s="13"/>
      <c r="G301" s="13"/>
      <c r="H301" s="7"/>
    </row>
    <row r="302" spans="1:8" ht="20.25" x14ac:dyDescent="0.25">
      <c r="A302" s="96" t="s">
        <v>157</v>
      </c>
      <c r="B302" s="96"/>
      <c r="C302" s="96"/>
      <c r="D302" s="96"/>
      <c r="E302" s="96"/>
      <c r="F302" s="96"/>
      <c r="G302" s="96"/>
      <c r="H302" s="96"/>
    </row>
    <row r="303" spans="1:8" ht="20.25" x14ac:dyDescent="0.25">
      <c r="A303" s="8"/>
      <c r="B303" s="9"/>
      <c r="C303" s="9"/>
      <c r="D303" s="9"/>
      <c r="E303" s="9"/>
      <c r="F303" s="9"/>
      <c r="G303" s="9"/>
      <c r="H303" s="5"/>
    </row>
    <row r="304" spans="1:8" ht="20.25" x14ac:dyDescent="0.25">
      <c r="A304" s="10"/>
      <c r="B304" s="11"/>
      <c r="C304" s="11"/>
      <c r="D304" s="11"/>
      <c r="E304" s="11"/>
      <c r="F304" s="11"/>
      <c r="G304" s="11"/>
      <c r="H304" s="6"/>
    </row>
    <row r="305" spans="1:8" ht="20.25" x14ac:dyDescent="0.25">
      <c r="A305" s="10"/>
      <c r="B305" s="11"/>
      <c r="C305" s="11"/>
      <c r="D305" s="11"/>
      <c r="E305" s="11"/>
      <c r="F305" s="11"/>
      <c r="G305" s="11"/>
      <c r="H305" s="6"/>
    </row>
    <row r="306" spans="1:8" ht="20.25" x14ac:dyDescent="0.25">
      <c r="A306" s="10"/>
      <c r="B306" s="11"/>
      <c r="C306" s="11"/>
      <c r="D306" s="11"/>
      <c r="E306" s="11"/>
      <c r="F306" s="11"/>
      <c r="G306" s="11"/>
      <c r="H306" s="6"/>
    </row>
    <row r="307" spans="1:8" ht="20.25" x14ac:dyDescent="0.25">
      <c r="A307" s="10"/>
      <c r="B307" s="11"/>
      <c r="C307" s="11"/>
      <c r="D307" s="11"/>
      <c r="E307" s="11"/>
      <c r="F307" s="11"/>
      <c r="G307" s="11"/>
      <c r="H307" s="6"/>
    </row>
    <row r="308" spans="1:8" ht="20.25" x14ac:dyDescent="0.25">
      <c r="A308" s="10"/>
      <c r="B308" s="11"/>
      <c r="C308" s="11"/>
      <c r="D308" s="11"/>
      <c r="E308" s="11"/>
      <c r="F308" s="11"/>
      <c r="G308" s="11"/>
      <c r="H308" s="6"/>
    </row>
    <row r="309" spans="1:8" ht="20.25" x14ac:dyDescent="0.25">
      <c r="A309" s="10"/>
      <c r="B309" s="11"/>
      <c r="C309" s="11"/>
      <c r="D309" s="11"/>
      <c r="E309" s="11"/>
      <c r="F309" s="11"/>
      <c r="G309" s="11"/>
      <c r="H309" s="6"/>
    </row>
    <row r="310" spans="1:8" ht="20.25" x14ac:dyDescent="0.25">
      <c r="A310" s="10"/>
      <c r="B310" s="11"/>
      <c r="C310" s="11"/>
      <c r="D310" s="11"/>
      <c r="E310" s="11"/>
      <c r="F310" s="11"/>
      <c r="G310" s="11"/>
      <c r="H310" s="6"/>
    </row>
    <row r="311" spans="1:8" ht="20.25" x14ac:dyDescent="0.25">
      <c r="A311" s="10"/>
      <c r="B311" s="11"/>
      <c r="C311" s="11"/>
      <c r="D311" s="11"/>
      <c r="E311" s="11"/>
      <c r="F311" s="11"/>
      <c r="G311" s="11"/>
      <c r="H311" s="6"/>
    </row>
    <row r="312" spans="1:8" ht="20.25" x14ac:dyDescent="0.25">
      <c r="A312" s="10"/>
      <c r="B312" s="11"/>
      <c r="C312" s="11"/>
      <c r="D312" s="11"/>
      <c r="E312" s="11"/>
      <c r="F312" s="11"/>
      <c r="G312" s="11"/>
      <c r="H312" s="6"/>
    </row>
    <row r="313" spans="1:8" ht="20.25" x14ac:dyDescent="0.25">
      <c r="A313" s="10"/>
      <c r="B313" s="11"/>
      <c r="C313" s="11"/>
      <c r="D313" s="11"/>
      <c r="E313" s="11"/>
      <c r="F313" s="11"/>
      <c r="G313" s="11"/>
      <c r="H313" s="6"/>
    </row>
    <row r="314" spans="1:8" ht="20.25" x14ac:dyDescent="0.25">
      <c r="A314" s="10"/>
      <c r="B314" s="11"/>
      <c r="C314" s="11"/>
      <c r="D314" s="11"/>
      <c r="E314" s="11"/>
      <c r="F314" s="11"/>
      <c r="G314" s="11"/>
      <c r="H314" s="6"/>
    </row>
    <row r="315" spans="1:8" ht="20.25" x14ac:dyDescent="0.25">
      <c r="A315" s="10"/>
      <c r="B315" s="11"/>
      <c r="C315" s="11"/>
      <c r="D315" s="11"/>
      <c r="E315" s="11"/>
      <c r="F315" s="11"/>
      <c r="G315" s="11"/>
      <c r="H315" s="6"/>
    </row>
    <row r="316" spans="1:8" ht="20.25" x14ac:dyDescent="0.25">
      <c r="A316" s="10"/>
      <c r="B316" s="11"/>
      <c r="C316" s="11"/>
      <c r="D316" s="11"/>
      <c r="E316" s="11"/>
      <c r="F316" s="11"/>
      <c r="G316" s="11"/>
      <c r="H316" s="6"/>
    </row>
    <row r="317" spans="1:8" ht="20.25" x14ac:dyDescent="0.25">
      <c r="A317" s="10"/>
      <c r="B317" s="11"/>
      <c r="C317" s="11"/>
      <c r="D317" s="11"/>
      <c r="E317" s="11"/>
      <c r="F317" s="11"/>
      <c r="G317" s="11"/>
      <c r="H317" s="6"/>
    </row>
    <row r="318" spans="1:8" ht="20.25" x14ac:dyDescent="0.25">
      <c r="A318" s="10"/>
      <c r="B318" s="11"/>
      <c r="C318" s="11"/>
      <c r="D318" s="11"/>
      <c r="E318" s="11"/>
      <c r="F318" s="11"/>
      <c r="G318" s="11"/>
      <c r="H318" s="6"/>
    </row>
    <row r="319" spans="1:8" ht="20.25" x14ac:dyDescent="0.25">
      <c r="A319" s="10"/>
      <c r="B319" s="11"/>
      <c r="C319" s="11"/>
      <c r="D319" s="11"/>
      <c r="E319" s="11"/>
      <c r="F319" s="11"/>
      <c r="G319" s="11"/>
      <c r="H319" s="6"/>
    </row>
    <row r="320" spans="1:8" ht="20.25" x14ac:dyDescent="0.25">
      <c r="A320" s="10"/>
      <c r="B320" s="11"/>
      <c r="C320" s="11"/>
      <c r="D320" s="11"/>
      <c r="E320" s="11"/>
      <c r="F320" s="11"/>
      <c r="G320" s="11"/>
      <c r="H320" s="6"/>
    </row>
    <row r="321" spans="1:8" ht="20.25" x14ac:dyDescent="0.25">
      <c r="A321" s="10"/>
      <c r="B321" s="11"/>
      <c r="C321" s="11"/>
      <c r="D321" s="11"/>
      <c r="E321" s="11"/>
      <c r="F321" s="11"/>
      <c r="G321" s="11"/>
      <c r="H321" s="6"/>
    </row>
    <row r="322" spans="1:8" ht="20.25" x14ac:dyDescent="0.25">
      <c r="A322" s="10"/>
      <c r="B322" s="11"/>
      <c r="C322" s="11"/>
      <c r="D322" s="11"/>
      <c r="E322" s="11"/>
      <c r="F322" s="11"/>
      <c r="G322" s="11"/>
      <c r="H322" s="6"/>
    </row>
    <row r="323" spans="1:8" ht="20.25" x14ac:dyDescent="0.25">
      <c r="A323" s="10"/>
      <c r="B323" s="11"/>
      <c r="C323" s="11"/>
      <c r="D323" s="11"/>
      <c r="E323" s="11"/>
      <c r="F323" s="11"/>
      <c r="G323" s="11"/>
      <c r="H323" s="6"/>
    </row>
    <row r="324" spans="1:8" ht="20.25" x14ac:dyDescent="0.25">
      <c r="A324" s="10"/>
      <c r="B324" s="11"/>
      <c r="C324" s="11"/>
      <c r="D324" s="11"/>
      <c r="E324" s="11"/>
      <c r="F324" s="11"/>
      <c r="G324" s="11"/>
      <c r="H324" s="6"/>
    </row>
    <row r="325" spans="1:8" ht="20.25" x14ac:dyDescent="0.25">
      <c r="A325" s="10"/>
      <c r="B325" s="11"/>
      <c r="C325" s="11"/>
      <c r="D325" s="11"/>
      <c r="E325" s="11"/>
      <c r="F325" s="11"/>
      <c r="G325" s="11"/>
      <c r="H325" s="6"/>
    </row>
    <row r="326" spans="1:8" ht="20.25" x14ac:dyDescent="0.25">
      <c r="A326" s="10"/>
      <c r="B326" s="11"/>
      <c r="C326" s="11"/>
      <c r="D326" s="11"/>
      <c r="E326" s="11"/>
      <c r="F326" s="11"/>
      <c r="G326" s="11"/>
      <c r="H326" s="6"/>
    </row>
    <row r="327" spans="1:8" ht="20.25" x14ac:dyDescent="0.25">
      <c r="A327" s="10"/>
      <c r="B327" s="11"/>
      <c r="C327" s="11"/>
      <c r="D327" s="11"/>
      <c r="E327" s="11"/>
      <c r="F327" s="11"/>
      <c r="G327" s="11"/>
      <c r="H327" s="6"/>
    </row>
    <row r="328" spans="1:8" ht="20.25" x14ac:dyDescent="0.25">
      <c r="A328" s="10"/>
      <c r="B328" s="11"/>
      <c r="C328" s="11"/>
      <c r="D328" s="11"/>
      <c r="E328" s="11"/>
      <c r="F328" s="11"/>
      <c r="G328" s="11"/>
      <c r="H328" s="6"/>
    </row>
    <row r="329" spans="1:8" ht="20.25" x14ac:dyDescent="0.25">
      <c r="A329" s="10"/>
      <c r="B329" s="11"/>
      <c r="C329" s="11"/>
      <c r="D329" s="11"/>
      <c r="E329" s="11"/>
      <c r="F329" s="11"/>
      <c r="G329" s="11"/>
      <c r="H329" s="6"/>
    </row>
    <row r="330" spans="1:8" ht="20.25" x14ac:dyDescent="0.25">
      <c r="A330" s="10"/>
      <c r="B330" s="11"/>
      <c r="C330" s="11"/>
      <c r="D330" s="11"/>
      <c r="E330" s="11"/>
      <c r="F330" s="11"/>
      <c r="G330" s="11"/>
      <c r="H330" s="6"/>
    </row>
    <row r="331" spans="1:8" ht="20.25" x14ac:dyDescent="0.25">
      <c r="A331" s="10"/>
      <c r="B331" s="11"/>
      <c r="C331" s="11"/>
      <c r="D331" s="11"/>
      <c r="E331" s="11"/>
      <c r="F331" s="11"/>
      <c r="G331" s="11"/>
      <c r="H331" s="6"/>
    </row>
    <row r="332" spans="1:8" ht="20.25" x14ac:dyDescent="0.25">
      <c r="A332" s="10"/>
      <c r="B332" s="11"/>
      <c r="C332" s="11"/>
      <c r="D332" s="11"/>
      <c r="E332" s="11"/>
      <c r="F332" s="11"/>
      <c r="G332" s="11"/>
      <c r="H332" s="6"/>
    </row>
    <row r="333" spans="1:8" ht="20.25" x14ac:dyDescent="0.25">
      <c r="A333" s="10"/>
      <c r="B333" s="11"/>
      <c r="C333" s="11"/>
      <c r="D333" s="11"/>
      <c r="E333" s="11"/>
      <c r="F333" s="11"/>
      <c r="G333" s="11"/>
      <c r="H333" s="6"/>
    </row>
    <row r="334" spans="1:8" ht="20.25" x14ac:dyDescent="0.25">
      <c r="A334" s="10"/>
      <c r="B334" s="11"/>
      <c r="C334" s="11"/>
      <c r="D334" s="11"/>
      <c r="E334" s="11"/>
      <c r="F334" s="11"/>
      <c r="G334" s="11"/>
      <c r="H334" s="6"/>
    </row>
    <row r="335" spans="1:8" ht="20.25" x14ac:dyDescent="0.25">
      <c r="A335" s="10"/>
      <c r="B335" s="11"/>
      <c r="C335" s="11"/>
      <c r="D335" s="11"/>
      <c r="E335" s="11"/>
      <c r="F335" s="11"/>
      <c r="G335" s="11"/>
      <c r="H335" s="6"/>
    </row>
    <row r="336" spans="1:8" ht="20.25" x14ac:dyDescent="0.25">
      <c r="A336" s="10"/>
      <c r="B336" s="11"/>
      <c r="C336" s="11"/>
      <c r="D336" s="11"/>
      <c r="E336" s="11"/>
      <c r="F336" s="11"/>
      <c r="G336" s="11"/>
      <c r="H336" s="6"/>
    </row>
    <row r="337" spans="1:8" ht="20.25" x14ac:dyDescent="0.25">
      <c r="A337" s="10"/>
      <c r="B337" s="11"/>
      <c r="C337" s="11"/>
      <c r="D337" s="11"/>
      <c r="E337" s="11"/>
      <c r="F337" s="11"/>
      <c r="G337" s="11"/>
      <c r="H337" s="6"/>
    </row>
    <row r="338" spans="1:8" ht="20.25" x14ac:dyDescent="0.25">
      <c r="A338" s="10"/>
      <c r="B338" s="11"/>
      <c r="C338" s="11"/>
      <c r="D338" s="11"/>
      <c r="E338" s="11"/>
      <c r="F338" s="11"/>
      <c r="G338" s="11"/>
      <c r="H338" s="6"/>
    </row>
    <row r="339" spans="1:8" ht="20.25" x14ac:dyDescent="0.25">
      <c r="A339" s="10"/>
      <c r="B339" s="11"/>
      <c r="C339" s="11"/>
      <c r="D339" s="11"/>
      <c r="E339" s="11"/>
      <c r="F339" s="11"/>
      <c r="G339" s="11"/>
      <c r="H339" s="6"/>
    </row>
    <row r="340" spans="1:8" ht="20.25" x14ac:dyDescent="0.25">
      <c r="A340" s="10"/>
      <c r="B340" s="11"/>
      <c r="C340" s="11"/>
      <c r="D340" s="11"/>
      <c r="E340" s="11"/>
      <c r="F340" s="11"/>
      <c r="G340" s="11"/>
      <c r="H340" s="6"/>
    </row>
    <row r="341" spans="1:8" ht="20.25" x14ac:dyDescent="0.25">
      <c r="A341" s="10"/>
      <c r="B341" s="11"/>
      <c r="C341" s="11"/>
      <c r="D341" s="11"/>
      <c r="E341" s="11"/>
      <c r="F341" s="11"/>
      <c r="G341" s="11"/>
      <c r="H341" s="6"/>
    </row>
    <row r="342" spans="1:8" ht="20.25" x14ac:dyDescent="0.25">
      <c r="A342" s="10"/>
      <c r="B342" s="11"/>
      <c r="C342" s="11"/>
      <c r="D342" s="11"/>
      <c r="E342" s="11"/>
      <c r="F342" s="11"/>
      <c r="G342" s="11"/>
      <c r="H342" s="6"/>
    </row>
    <row r="343" spans="1:8" ht="20.25" x14ac:dyDescent="0.25">
      <c r="A343" s="10"/>
      <c r="B343" s="11"/>
      <c r="C343" s="11"/>
      <c r="D343" s="11"/>
      <c r="E343" s="11"/>
      <c r="F343" s="11"/>
      <c r="G343" s="11"/>
      <c r="H343" s="6"/>
    </row>
    <row r="344" spans="1:8" ht="20.25" x14ac:dyDescent="0.25">
      <c r="A344" s="10"/>
      <c r="B344" s="11"/>
      <c r="C344" s="11"/>
      <c r="D344" s="11"/>
      <c r="E344" s="11"/>
      <c r="F344" s="11"/>
      <c r="G344" s="11"/>
      <c r="H344" s="6"/>
    </row>
    <row r="345" spans="1:8" ht="20.25" x14ac:dyDescent="0.25">
      <c r="A345" s="10"/>
      <c r="B345" s="11"/>
      <c r="C345" s="11"/>
      <c r="D345" s="11"/>
      <c r="E345" s="11"/>
      <c r="F345" s="11"/>
      <c r="G345" s="11"/>
      <c r="H345" s="6"/>
    </row>
    <row r="346" spans="1:8" ht="20.25" x14ac:dyDescent="0.25">
      <c r="A346" s="10"/>
      <c r="B346" s="11"/>
      <c r="C346" s="11"/>
      <c r="D346" s="11"/>
      <c r="E346" s="11"/>
      <c r="F346" s="11"/>
      <c r="G346" s="11"/>
      <c r="H346" s="6"/>
    </row>
    <row r="347" spans="1:8" ht="20.25" x14ac:dyDescent="0.25">
      <c r="A347" s="10"/>
      <c r="B347" s="11"/>
      <c r="C347" s="11"/>
      <c r="D347" s="11"/>
      <c r="E347" s="11"/>
      <c r="F347" s="11"/>
      <c r="G347" s="11"/>
      <c r="H347" s="6"/>
    </row>
    <row r="348" spans="1:8" ht="20.25" x14ac:dyDescent="0.25">
      <c r="A348" s="10"/>
      <c r="B348" s="11"/>
      <c r="C348" s="11"/>
      <c r="D348" s="11"/>
      <c r="E348" s="11"/>
      <c r="F348" s="11"/>
      <c r="G348" s="11"/>
      <c r="H348" s="6"/>
    </row>
    <row r="349" spans="1:8" ht="20.25" x14ac:dyDescent="0.25">
      <c r="A349" s="10"/>
      <c r="B349" s="11"/>
      <c r="C349" s="11"/>
      <c r="D349" s="11"/>
      <c r="E349" s="11"/>
      <c r="F349" s="11"/>
      <c r="G349" s="11"/>
      <c r="H349" s="6"/>
    </row>
    <row r="350" spans="1:8" ht="20.25" x14ac:dyDescent="0.25">
      <c r="A350" s="10"/>
      <c r="B350" s="11"/>
      <c r="C350" s="11"/>
      <c r="D350" s="11"/>
      <c r="E350" s="11"/>
      <c r="F350" s="11"/>
      <c r="G350" s="11"/>
      <c r="H350" s="6"/>
    </row>
    <row r="351" spans="1:8" ht="20.25" x14ac:dyDescent="0.25">
      <c r="A351" s="12"/>
      <c r="B351" s="13"/>
      <c r="C351" s="13"/>
      <c r="D351" s="13"/>
      <c r="E351" s="13"/>
      <c r="F351" s="13"/>
      <c r="G351" s="13"/>
      <c r="H351" s="7"/>
    </row>
    <row r="352" spans="1:8" ht="20.25" x14ac:dyDescent="0.25">
      <c r="A352" s="118" t="s">
        <v>77</v>
      </c>
      <c r="B352" s="119"/>
      <c r="C352" s="119"/>
      <c r="D352" s="119"/>
      <c r="E352" s="119"/>
      <c r="F352" s="119"/>
      <c r="G352" s="119"/>
      <c r="H352" s="120"/>
    </row>
    <row r="353" spans="1:8" ht="20.25" x14ac:dyDescent="0.25">
      <c r="A353" s="8"/>
      <c r="B353" s="9"/>
      <c r="C353" s="9"/>
      <c r="D353" s="9"/>
      <c r="E353" s="9"/>
      <c r="F353" s="9"/>
      <c r="G353" s="9"/>
      <c r="H353" s="5"/>
    </row>
    <row r="354" spans="1:8" ht="20.25" x14ac:dyDescent="0.25">
      <c r="A354" s="10"/>
      <c r="B354" s="11"/>
      <c r="C354" s="11"/>
      <c r="D354" s="11"/>
      <c r="E354" s="11"/>
      <c r="F354" s="11"/>
      <c r="G354" s="11"/>
      <c r="H354" s="6"/>
    </row>
    <row r="355" spans="1:8" ht="20.25" x14ac:dyDescent="0.25">
      <c r="A355" s="10"/>
      <c r="B355" s="11"/>
      <c r="C355" s="11"/>
      <c r="D355" s="11"/>
      <c r="E355" s="11"/>
      <c r="F355" s="11"/>
      <c r="G355" s="11"/>
      <c r="H355" s="6"/>
    </row>
    <row r="356" spans="1:8" ht="20.25" x14ac:dyDescent="0.25">
      <c r="A356" s="10"/>
      <c r="B356" s="11"/>
      <c r="C356" s="11"/>
      <c r="D356" s="11"/>
      <c r="E356" s="11"/>
      <c r="F356" s="11"/>
      <c r="G356" s="11"/>
      <c r="H356" s="6"/>
    </row>
    <row r="357" spans="1:8" ht="20.25" x14ac:dyDescent="0.25">
      <c r="A357" s="10"/>
      <c r="B357" s="11"/>
      <c r="C357" s="11"/>
      <c r="D357" s="11"/>
      <c r="E357" s="11"/>
      <c r="F357" s="11"/>
      <c r="G357" s="11"/>
      <c r="H357" s="6"/>
    </row>
    <row r="358" spans="1:8" ht="20.25" x14ac:dyDescent="0.25">
      <c r="A358" s="10"/>
      <c r="B358" s="11"/>
      <c r="C358" s="11"/>
      <c r="D358" s="11"/>
      <c r="E358" s="11"/>
      <c r="F358" s="11"/>
      <c r="G358" s="11"/>
      <c r="H358" s="6"/>
    </row>
    <row r="359" spans="1:8" ht="20.25" x14ac:dyDescent="0.25">
      <c r="A359" s="10"/>
      <c r="B359" s="11"/>
      <c r="C359" s="11"/>
      <c r="D359" s="11"/>
      <c r="E359" s="11"/>
      <c r="F359" s="11"/>
      <c r="G359" s="11"/>
      <c r="H359" s="6"/>
    </row>
    <row r="360" spans="1:8" ht="20.25" x14ac:dyDescent="0.25">
      <c r="A360" s="10"/>
      <c r="B360" s="11"/>
      <c r="C360" s="11"/>
      <c r="D360" s="11"/>
      <c r="E360" s="11"/>
      <c r="F360" s="11"/>
      <c r="G360" s="11"/>
      <c r="H360" s="6"/>
    </row>
    <row r="361" spans="1:8" ht="20.25" x14ac:dyDescent="0.25">
      <c r="A361" s="10"/>
      <c r="B361" s="11"/>
      <c r="C361" s="11"/>
      <c r="D361" s="11"/>
      <c r="E361" s="11"/>
      <c r="F361" s="11"/>
      <c r="G361" s="11"/>
      <c r="H361" s="6"/>
    </row>
    <row r="362" spans="1:8" ht="20.25" x14ac:dyDescent="0.25">
      <c r="A362" s="10"/>
      <c r="B362" s="11"/>
      <c r="C362" s="11"/>
      <c r="D362" s="11"/>
      <c r="E362" s="11"/>
      <c r="F362" s="11"/>
      <c r="G362" s="11"/>
      <c r="H362" s="6"/>
    </row>
    <row r="363" spans="1:8" ht="20.25" x14ac:dyDescent="0.25">
      <c r="A363" s="10"/>
      <c r="B363" s="11"/>
      <c r="C363" s="11"/>
      <c r="D363" s="11"/>
      <c r="E363" s="11"/>
      <c r="F363" s="11"/>
      <c r="G363" s="11"/>
      <c r="H363" s="6"/>
    </row>
    <row r="364" spans="1:8" ht="20.25" x14ac:dyDescent="0.25">
      <c r="A364" s="10"/>
      <c r="B364" s="11"/>
      <c r="C364" s="11"/>
      <c r="D364" s="11"/>
      <c r="E364" s="11"/>
      <c r="F364" s="11"/>
      <c r="G364" s="11"/>
      <c r="H364" s="6"/>
    </row>
    <row r="365" spans="1:8" ht="20.25" x14ac:dyDescent="0.25">
      <c r="A365" s="10"/>
      <c r="B365" s="11"/>
      <c r="C365" s="11"/>
      <c r="D365" s="11"/>
      <c r="E365" s="11"/>
      <c r="F365" s="11"/>
      <c r="G365" s="11"/>
      <c r="H365" s="6"/>
    </row>
    <row r="366" spans="1:8" ht="20.25" x14ac:dyDescent="0.25">
      <c r="A366" s="10"/>
      <c r="B366" s="11"/>
      <c r="C366" s="11"/>
      <c r="D366" s="11"/>
      <c r="E366" s="11"/>
      <c r="F366" s="11"/>
      <c r="G366" s="11"/>
      <c r="H366" s="6"/>
    </row>
    <row r="367" spans="1:8" ht="20.25" x14ac:dyDescent="0.25">
      <c r="A367" s="10"/>
      <c r="B367" s="11"/>
      <c r="C367" s="11"/>
      <c r="D367" s="11"/>
      <c r="E367" s="11"/>
      <c r="F367" s="11"/>
      <c r="G367" s="11"/>
      <c r="H367" s="6"/>
    </row>
    <row r="368" spans="1:8" ht="20.25" x14ac:dyDescent="0.25">
      <c r="A368" s="10"/>
      <c r="B368" s="11"/>
      <c r="C368" s="11"/>
      <c r="D368" s="11"/>
      <c r="E368" s="11"/>
      <c r="F368" s="11"/>
      <c r="G368" s="11"/>
      <c r="H368" s="6"/>
    </row>
    <row r="369" spans="1:8" ht="20.25" x14ac:dyDescent="0.25">
      <c r="A369" s="10"/>
      <c r="B369" s="11"/>
      <c r="C369" s="11"/>
      <c r="D369" s="11"/>
      <c r="E369" s="11"/>
      <c r="F369" s="11"/>
      <c r="G369" s="11"/>
      <c r="H369" s="6"/>
    </row>
    <row r="370" spans="1:8" ht="20.25" x14ac:dyDescent="0.25">
      <c r="A370" s="10"/>
      <c r="B370" s="11"/>
      <c r="C370" s="11"/>
      <c r="D370" s="11"/>
      <c r="E370" s="11"/>
      <c r="F370" s="11"/>
      <c r="G370" s="11"/>
      <c r="H370" s="6"/>
    </row>
    <row r="371" spans="1:8" ht="20.25" x14ac:dyDescent="0.25">
      <c r="A371" s="10"/>
      <c r="B371" s="11"/>
      <c r="C371" s="11"/>
      <c r="D371" s="11"/>
      <c r="E371" s="11"/>
      <c r="F371" s="11"/>
      <c r="G371" s="11"/>
      <c r="H371" s="6"/>
    </row>
    <row r="372" spans="1:8" ht="20.25" x14ac:dyDescent="0.25">
      <c r="A372" s="10"/>
      <c r="B372" s="11"/>
      <c r="C372" s="11"/>
      <c r="D372" s="11"/>
      <c r="E372" s="11"/>
      <c r="F372" s="11"/>
      <c r="G372" s="11"/>
      <c r="H372" s="6"/>
    </row>
    <row r="373" spans="1:8" ht="20.25" x14ac:dyDescent="0.25">
      <c r="A373" s="10"/>
      <c r="B373" s="11"/>
      <c r="C373" s="11"/>
      <c r="D373" s="11"/>
      <c r="E373" s="11"/>
      <c r="F373" s="11"/>
      <c r="G373" s="11"/>
      <c r="H373" s="6"/>
    </row>
    <row r="374" spans="1:8" ht="20.25" x14ac:dyDescent="0.25">
      <c r="A374" s="10"/>
      <c r="B374" s="11"/>
      <c r="C374" s="11"/>
      <c r="D374" s="11"/>
      <c r="E374" s="11"/>
      <c r="F374" s="11"/>
      <c r="G374" s="11"/>
      <c r="H374" s="6"/>
    </row>
    <row r="375" spans="1:8" ht="20.25" x14ac:dyDescent="0.25">
      <c r="A375" s="10"/>
      <c r="B375" s="11"/>
      <c r="C375" s="11"/>
      <c r="D375" s="11"/>
      <c r="E375" s="11"/>
      <c r="F375" s="11"/>
      <c r="G375" s="11"/>
      <c r="H375" s="6"/>
    </row>
    <row r="376" spans="1:8" ht="20.25" x14ac:dyDescent="0.25">
      <c r="A376" s="10"/>
      <c r="B376" s="11"/>
      <c r="C376" s="11"/>
      <c r="D376" s="11"/>
      <c r="E376" s="11"/>
      <c r="F376" s="11"/>
      <c r="G376" s="11"/>
      <c r="H376" s="6"/>
    </row>
    <row r="377" spans="1:8" ht="20.25" x14ac:dyDescent="0.25">
      <c r="A377" s="10"/>
      <c r="B377" s="11"/>
      <c r="C377" s="11"/>
      <c r="D377" s="11"/>
      <c r="E377" s="11"/>
      <c r="F377" s="11"/>
      <c r="G377" s="11"/>
      <c r="H377" s="6"/>
    </row>
    <row r="378" spans="1:8" ht="20.25" x14ac:dyDescent="0.25">
      <c r="A378" s="10"/>
      <c r="B378" s="11"/>
      <c r="C378" s="11"/>
      <c r="D378" s="11"/>
      <c r="E378" s="11"/>
      <c r="F378" s="11"/>
      <c r="G378" s="11"/>
      <c r="H378" s="6"/>
    </row>
    <row r="379" spans="1:8" ht="20.25" x14ac:dyDescent="0.25">
      <c r="A379" s="10"/>
      <c r="B379" s="11"/>
      <c r="C379" s="11"/>
      <c r="D379" s="11"/>
      <c r="E379" s="11"/>
      <c r="F379" s="11"/>
      <c r="G379" s="11"/>
      <c r="H379" s="6"/>
    </row>
    <row r="380" spans="1:8" ht="20.25" x14ac:dyDescent="0.25">
      <c r="A380" s="10"/>
      <c r="B380" s="11"/>
      <c r="C380" s="11"/>
      <c r="D380" s="11"/>
      <c r="E380" s="11"/>
      <c r="F380" s="11"/>
      <c r="G380" s="11"/>
      <c r="H380" s="6"/>
    </row>
    <row r="381" spans="1:8" ht="20.25" x14ac:dyDescent="0.25">
      <c r="A381" s="10"/>
      <c r="B381" s="11"/>
      <c r="C381" s="11"/>
      <c r="D381" s="11"/>
      <c r="E381" s="11"/>
      <c r="F381" s="11"/>
      <c r="G381" s="11"/>
      <c r="H381" s="6"/>
    </row>
    <row r="382" spans="1:8" ht="20.25" x14ac:dyDescent="0.25">
      <c r="A382" s="10"/>
      <c r="B382" s="11"/>
      <c r="C382" s="11"/>
      <c r="D382" s="11"/>
      <c r="E382" s="11"/>
      <c r="F382" s="11"/>
      <c r="G382" s="11"/>
      <c r="H382" s="6"/>
    </row>
    <row r="383" spans="1:8" ht="20.25" x14ac:dyDescent="0.25">
      <c r="A383" s="96" t="s">
        <v>24</v>
      </c>
      <c r="B383" s="96"/>
      <c r="C383" s="96"/>
      <c r="D383" s="96"/>
      <c r="E383" s="96"/>
      <c r="F383" s="96"/>
      <c r="G383" s="96"/>
      <c r="H383" s="96"/>
    </row>
    <row r="384" spans="1:8" ht="20.25" x14ac:dyDescent="0.25">
      <c r="A384" s="124" t="s">
        <v>78</v>
      </c>
      <c r="B384" s="125"/>
      <c r="C384" s="125"/>
      <c r="D384" s="125"/>
      <c r="E384" s="125"/>
      <c r="F384" s="125"/>
      <c r="G384" s="125"/>
      <c r="H384" s="126"/>
    </row>
    <row r="385" spans="1:8" ht="20.25" x14ac:dyDescent="0.25">
      <c r="A385" s="127" t="s">
        <v>79</v>
      </c>
      <c r="B385" s="128"/>
      <c r="C385" s="128"/>
      <c r="D385" s="128"/>
      <c r="E385" s="128"/>
      <c r="F385" s="128"/>
      <c r="G385" s="128"/>
      <c r="H385" s="129"/>
    </row>
    <row r="386" spans="1:8" ht="45" customHeight="1" x14ac:dyDescent="0.25">
      <c r="A386" s="127" t="s">
        <v>80</v>
      </c>
      <c r="B386" s="128"/>
      <c r="C386" s="128"/>
      <c r="D386" s="128"/>
      <c r="E386" s="128"/>
      <c r="F386" s="128"/>
      <c r="G386" s="128"/>
      <c r="H386" s="129"/>
    </row>
    <row r="387" spans="1:8" ht="42.75" customHeight="1" x14ac:dyDescent="0.25">
      <c r="A387" s="127" t="s">
        <v>81</v>
      </c>
      <c r="B387" s="128"/>
      <c r="C387" s="128"/>
      <c r="D387" s="128"/>
      <c r="E387" s="128"/>
      <c r="F387" s="128"/>
      <c r="G387" s="128"/>
      <c r="H387" s="129"/>
    </row>
    <row r="388" spans="1:8" ht="20.25" x14ac:dyDescent="0.25">
      <c r="A388" s="127" t="s">
        <v>82</v>
      </c>
      <c r="B388" s="128"/>
      <c r="C388" s="128"/>
      <c r="D388" s="128"/>
      <c r="E388" s="128"/>
      <c r="F388" s="128"/>
      <c r="G388" s="128"/>
      <c r="H388" s="129"/>
    </row>
    <row r="389" spans="1:8" ht="20.25" x14ac:dyDescent="0.25">
      <c r="A389" s="127" t="s">
        <v>83</v>
      </c>
      <c r="B389" s="128"/>
      <c r="C389" s="128"/>
      <c r="D389" s="128"/>
      <c r="E389" s="128"/>
      <c r="F389" s="128"/>
      <c r="G389" s="128"/>
      <c r="H389" s="129"/>
    </row>
    <row r="390" spans="1:8" ht="45" customHeight="1" x14ac:dyDescent="0.25">
      <c r="A390" s="127" t="s">
        <v>84</v>
      </c>
      <c r="B390" s="128"/>
      <c r="C390" s="128"/>
      <c r="D390" s="128"/>
      <c r="E390" s="128"/>
      <c r="F390" s="128"/>
      <c r="G390" s="128"/>
      <c r="H390" s="129"/>
    </row>
    <row r="391" spans="1:8" ht="45" customHeight="1" x14ac:dyDescent="0.25">
      <c r="A391" s="127" t="s">
        <v>85</v>
      </c>
      <c r="B391" s="128"/>
      <c r="C391" s="128"/>
      <c r="D391" s="128"/>
      <c r="E391" s="128"/>
      <c r="F391" s="128"/>
      <c r="G391" s="128"/>
      <c r="H391" s="129"/>
    </row>
    <row r="392" spans="1:8" ht="20.25" x14ac:dyDescent="0.25">
      <c r="A392" s="130" t="s">
        <v>86</v>
      </c>
      <c r="B392" s="131"/>
      <c r="C392" s="131"/>
      <c r="D392" s="131"/>
      <c r="E392" s="131"/>
      <c r="F392" s="131"/>
      <c r="G392" s="131"/>
      <c r="H392" s="132"/>
    </row>
    <row r="393" spans="1:8" ht="57" customHeight="1" x14ac:dyDescent="0.25">
      <c r="A393" s="112" t="s">
        <v>30</v>
      </c>
      <c r="B393" s="113"/>
      <c r="C393" s="114" t="s">
        <v>335</v>
      </c>
      <c r="D393" s="115"/>
      <c r="E393" s="112" t="s">
        <v>9</v>
      </c>
      <c r="F393" s="113"/>
      <c r="G393" s="122"/>
      <c r="H393" s="122"/>
    </row>
  </sheetData>
  <mergeCells count="429">
    <mergeCell ref="G235:H235"/>
    <mergeCell ref="G245:H245"/>
    <mergeCell ref="G246:H246"/>
    <mergeCell ref="G247:H247"/>
    <mergeCell ref="G248:H248"/>
    <mergeCell ref="G236:H236"/>
    <mergeCell ref="G237:H237"/>
    <mergeCell ref="G238:H238"/>
    <mergeCell ref="G239:H239"/>
    <mergeCell ref="G240:H240"/>
    <mergeCell ref="G241:H241"/>
    <mergeCell ref="G242:H242"/>
    <mergeCell ref="G243:H243"/>
    <mergeCell ref="G244:H244"/>
    <mergeCell ref="G226:H226"/>
    <mergeCell ref="G227:H227"/>
    <mergeCell ref="G228:H228"/>
    <mergeCell ref="G229:H229"/>
    <mergeCell ref="G230:H230"/>
    <mergeCell ref="G231:H231"/>
    <mergeCell ref="G232:H232"/>
    <mergeCell ref="G233:H233"/>
    <mergeCell ref="G234:H234"/>
    <mergeCell ref="G217:H217"/>
    <mergeCell ref="G218:H218"/>
    <mergeCell ref="G219:H219"/>
    <mergeCell ref="G220:H220"/>
    <mergeCell ref="G221:H221"/>
    <mergeCell ref="G222:H222"/>
    <mergeCell ref="G223:H223"/>
    <mergeCell ref="G224:H224"/>
    <mergeCell ref="G225:H225"/>
    <mergeCell ref="G208:H208"/>
    <mergeCell ref="G209:H209"/>
    <mergeCell ref="G210:H210"/>
    <mergeCell ref="G211:H211"/>
    <mergeCell ref="G212:H212"/>
    <mergeCell ref="G213:H213"/>
    <mergeCell ref="G214:H214"/>
    <mergeCell ref="G215:H215"/>
    <mergeCell ref="G216:H216"/>
    <mergeCell ref="G199:H199"/>
    <mergeCell ref="G200:H200"/>
    <mergeCell ref="G201:H201"/>
    <mergeCell ref="G202:H202"/>
    <mergeCell ref="G203:H203"/>
    <mergeCell ref="G204:H204"/>
    <mergeCell ref="G205:H205"/>
    <mergeCell ref="G206:H206"/>
    <mergeCell ref="G207:H207"/>
    <mergeCell ref="G190:H190"/>
    <mergeCell ref="G191:H191"/>
    <mergeCell ref="G192:H192"/>
    <mergeCell ref="G193:H193"/>
    <mergeCell ref="G194:H194"/>
    <mergeCell ref="G195:H195"/>
    <mergeCell ref="G196:H196"/>
    <mergeCell ref="G197:H197"/>
    <mergeCell ref="G198:H198"/>
    <mergeCell ref="G181:H181"/>
    <mergeCell ref="G182:H182"/>
    <mergeCell ref="G183:H183"/>
    <mergeCell ref="G184:H184"/>
    <mergeCell ref="G185:H185"/>
    <mergeCell ref="G186:H186"/>
    <mergeCell ref="G187:H187"/>
    <mergeCell ref="G188:H188"/>
    <mergeCell ref="G189:H189"/>
    <mergeCell ref="G172:H172"/>
    <mergeCell ref="G173:H173"/>
    <mergeCell ref="G174:H174"/>
    <mergeCell ref="G175:H175"/>
    <mergeCell ref="G176:H176"/>
    <mergeCell ref="G177:H177"/>
    <mergeCell ref="G178:H178"/>
    <mergeCell ref="G179:H179"/>
    <mergeCell ref="G180:H180"/>
    <mergeCell ref="G163:H163"/>
    <mergeCell ref="G164:H164"/>
    <mergeCell ref="G165:H165"/>
    <mergeCell ref="G166:H166"/>
    <mergeCell ref="G167:H167"/>
    <mergeCell ref="G168:H168"/>
    <mergeCell ref="G169:H169"/>
    <mergeCell ref="G170:H170"/>
    <mergeCell ref="G171:H171"/>
    <mergeCell ref="G154:H154"/>
    <mergeCell ref="G155:H155"/>
    <mergeCell ref="G156:H156"/>
    <mergeCell ref="G157:H157"/>
    <mergeCell ref="G158:H158"/>
    <mergeCell ref="G159:H159"/>
    <mergeCell ref="G160:H160"/>
    <mergeCell ref="G161:H161"/>
    <mergeCell ref="G162:H162"/>
    <mergeCell ref="G145:H145"/>
    <mergeCell ref="G146:H146"/>
    <mergeCell ref="G147:H147"/>
    <mergeCell ref="G148:H148"/>
    <mergeCell ref="G149:H149"/>
    <mergeCell ref="G150:H150"/>
    <mergeCell ref="G151:H151"/>
    <mergeCell ref="G152:H152"/>
    <mergeCell ref="G153:H153"/>
    <mergeCell ref="G136:H136"/>
    <mergeCell ref="G137:H137"/>
    <mergeCell ref="G138:H138"/>
    <mergeCell ref="G139:H139"/>
    <mergeCell ref="G140:H140"/>
    <mergeCell ref="G141:H141"/>
    <mergeCell ref="G142:H142"/>
    <mergeCell ref="G143:H143"/>
    <mergeCell ref="G144:H144"/>
    <mergeCell ref="G108:H108"/>
    <mergeCell ref="A109:H109"/>
    <mergeCell ref="G130:H130"/>
    <mergeCell ref="G131:H131"/>
    <mergeCell ref="G132:H132"/>
    <mergeCell ref="G133:H133"/>
    <mergeCell ref="G134:H134"/>
    <mergeCell ref="G110:H110"/>
    <mergeCell ref="G135:H135"/>
    <mergeCell ref="A51:B51"/>
    <mergeCell ref="A53:B53"/>
    <mergeCell ref="A56:B56"/>
    <mergeCell ref="A57:B57"/>
    <mergeCell ref="A52:B52"/>
    <mergeCell ref="A108:F108"/>
    <mergeCell ref="A126:H126"/>
    <mergeCell ref="E118:F118"/>
    <mergeCell ref="E119:F119"/>
    <mergeCell ref="E120:F120"/>
    <mergeCell ref="E121:F121"/>
    <mergeCell ref="A118:B118"/>
    <mergeCell ref="A119:B119"/>
    <mergeCell ref="A120:B120"/>
    <mergeCell ref="C118:D118"/>
    <mergeCell ref="A121:B121"/>
    <mergeCell ref="C119:D119"/>
    <mergeCell ref="G118:H118"/>
    <mergeCell ref="G119:H119"/>
    <mergeCell ref="G120:H120"/>
    <mergeCell ref="G121:H121"/>
    <mergeCell ref="C121:D121"/>
    <mergeCell ref="G123:H123"/>
    <mergeCell ref="A124:B124"/>
    <mergeCell ref="A70:B70"/>
    <mergeCell ref="A31:B31"/>
    <mergeCell ref="A32:B32"/>
    <mergeCell ref="E26:F26"/>
    <mergeCell ref="E27:F27"/>
    <mergeCell ref="A79:B79"/>
    <mergeCell ref="E79:F79"/>
    <mergeCell ref="A80:B80"/>
    <mergeCell ref="A45:B45"/>
    <mergeCell ref="A46:B46"/>
    <mergeCell ref="A47:B47"/>
    <mergeCell ref="D46:F46"/>
    <mergeCell ref="D45:F45"/>
    <mergeCell ref="D47:F47"/>
    <mergeCell ref="A48:B48"/>
    <mergeCell ref="D48:F48"/>
    <mergeCell ref="A58:B58"/>
    <mergeCell ref="A76:H76"/>
    <mergeCell ref="A77:C78"/>
    <mergeCell ref="E77:F77"/>
    <mergeCell ref="G48:H48"/>
    <mergeCell ref="A49:B49"/>
    <mergeCell ref="D49:F49"/>
    <mergeCell ref="G49:H49"/>
    <mergeCell ref="A96:B96"/>
    <mergeCell ref="E96:F107"/>
    <mergeCell ref="A92:H92"/>
    <mergeCell ref="A93:C94"/>
    <mergeCell ref="E78:F78"/>
    <mergeCell ref="C18:D18"/>
    <mergeCell ref="C19:D19"/>
    <mergeCell ref="C20:D20"/>
    <mergeCell ref="C21:D21"/>
    <mergeCell ref="C22:D22"/>
    <mergeCell ref="C24:H24"/>
    <mergeCell ref="C23:H23"/>
    <mergeCell ref="A68:B68"/>
    <mergeCell ref="A71:B71"/>
    <mergeCell ref="C58:F58"/>
    <mergeCell ref="C59:F59"/>
    <mergeCell ref="G64:H75"/>
    <mergeCell ref="A60:H60"/>
    <mergeCell ref="A63:B63"/>
    <mergeCell ref="A64:B64"/>
    <mergeCell ref="E63:F63"/>
    <mergeCell ref="E61:F61"/>
    <mergeCell ref="E62:F62"/>
    <mergeCell ref="A61:C62"/>
    <mergeCell ref="A1:H1"/>
    <mergeCell ref="A255:C255"/>
    <mergeCell ref="G27:H27"/>
    <mergeCell ref="G28:H28"/>
    <mergeCell ref="A37:H37"/>
    <mergeCell ref="A44:H44"/>
    <mergeCell ref="A50:H50"/>
    <mergeCell ref="A117:H117"/>
    <mergeCell ref="G115:H115"/>
    <mergeCell ref="G7:H7"/>
    <mergeCell ref="G47:H47"/>
    <mergeCell ref="G45:H45"/>
    <mergeCell ref="A25:H25"/>
    <mergeCell ref="G26:H26"/>
    <mergeCell ref="G20:H20"/>
    <mergeCell ref="G21:H21"/>
    <mergeCell ref="A9:A11"/>
    <mergeCell ref="G114:H114"/>
    <mergeCell ref="A128:H128"/>
    <mergeCell ref="A122:H122"/>
    <mergeCell ref="A123:B123"/>
    <mergeCell ref="E123:F123"/>
    <mergeCell ref="C124:D124"/>
    <mergeCell ref="A59:B59"/>
    <mergeCell ref="G6:H6"/>
    <mergeCell ref="A5:H5"/>
    <mergeCell ref="A33:H33"/>
    <mergeCell ref="G30:H30"/>
    <mergeCell ref="G29:H29"/>
    <mergeCell ref="A13:H13"/>
    <mergeCell ref="C26:D26"/>
    <mergeCell ref="G393:H393"/>
    <mergeCell ref="A254:H254"/>
    <mergeCell ref="D256:H256"/>
    <mergeCell ref="A384:H384"/>
    <mergeCell ref="A390:H390"/>
    <mergeCell ref="A391:H391"/>
    <mergeCell ref="A392:H392"/>
    <mergeCell ref="A385:H385"/>
    <mergeCell ref="A386:H386"/>
    <mergeCell ref="A387:H387"/>
    <mergeCell ref="A388:H388"/>
    <mergeCell ref="A256:C256"/>
    <mergeCell ref="A383:H383"/>
    <mergeCell ref="A389:H389"/>
    <mergeCell ref="A352:H352"/>
    <mergeCell ref="D255:H255"/>
    <mergeCell ref="A257:C257"/>
    <mergeCell ref="D257:H257"/>
    <mergeCell ref="A302:H302"/>
    <mergeCell ref="E393:F393"/>
    <mergeCell ref="A393:B393"/>
    <mergeCell ref="C393:D393"/>
    <mergeCell ref="G14:H14"/>
    <mergeCell ref="G16:H16"/>
    <mergeCell ref="G17:H17"/>
    <mergeCell ref="G15:H15"/>
    <mergeCell ref="G18:H18"/>
    <mergeCell ref="G19:H19"/>
    <mergeCell ref="G46:H46"/>
    <mergeCell ref="G31:H31"/>
    <mergeCell ref="G22:H22"/>
    <mergeCell ref="G36:H36"/>
    <mergeCell ref="G35:H35"/>
    <mergeCell ref="E64:F75"/>
    <mergeCell ref="E125:F125"/>
    <mergeCell ref="E124:F124"/>
    <mergeCell ref="C123:D123"/>
    <mergeCell ref="C125:D125"/>
    <mergeCell ref="G112:H112"/>
    <mergeCell ref="G116:H116"/>
    <mergeCell ref="A113:H113"/>
    <mergeCell ref="B251:H251"/>
    <mergeCell ref="B250:H250"/>
    <mergeCell ref="B253:H253"/>
    <mergeCell ref="B252:H252"/>
    <mergeCell ref="A249:H249"/>
    <mergeCell ref="A110:B110"/>
    <mergeCell ref="C110:D110"/>
    <mergeCell ref="C111:D111"/>
    <mergeCell ref="C112:D112"/>
    <mergeCell ref="E112:F112"/>
    <mergeCell ref="A114:F114"/>
    <mergeCell ref="A115:F115"/>
    <mergeCell ref="A116:F116"/>
    <mergeCell ref="C120:D120"/>
    <mergeCell ref="A111:B111"/>
    <mergeCell ref="E110:F110"/>
    <mergeCell ref="A112:B112"/>
    <mergeCell ref="E111:F111"/>
    <mergeCell ref="G111:H111"/>
    <mergeCell ref="G127:H127"/>
    <mergeCell ref="G129:H129"/>
    <mergeCell ref="G124:H124"/>
    <mergeCell ref="A125:B125"/>
    <mergeCell ref="G125:H125"/>
    <mergeCell ref="E3:F3"/>
    <mergeCell ref="E4:F4"/>
    <mergeCell ref="E80:F91"/>
    <mergeCell ref="G80:H91"/>
    <mergeCell ref="A81:B81"/>
    <mergeCell ref="A82:B82"/>
    <mergeCell ref="A83:B83"/>
    <mergeCell ref="A84:B84"/>
    <mergeCell ref="A85:B85"/>
    <mergeCell ref="A86:B86"/>
    <mergeCell ref="A87:B87"/>
    <mergeCell ref="A88:B88"/>
    <mergeCell ref="A89:B89"/>
    <mergeCell ref="A90:B90"/>
    <mergeCell ref="A91:B91"/>
    <mergeCell ref="A65:B65"/>
    <mergeCell ref="C27:D27"/>
    <mergeCell ref="A72:B72"/>
    <mergeCell ref="A73:B73"/>
    <mergeCell ref="A74:B74"/>
    <mergeCell ref="A75:B75"/>
    <mergeCell ref="A66:B66"/>
    <mergeCell ref="A67:B67"/>
    <mergeCell ref="A69:B69"/>
    <mergeCell ref="G2:H2"/>
    <mergeCell ref="G3:H3"/>
    <mergeCell ref="G4:H4"/>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C3:D3"/>
    <mergeCell ref="C4:D4"/>
    <mergeCell ref="E2:F2"/>
    <mergeCell ref="E14:F14"/>
    <mergeCell ref="E15:F15"/>
    <mergeCell ref="E16:F16"/>
    <mergeCell ref="E17:F17"/>
    <mergeCell ref="E18:F18"/>
    <mergeCell ref="E19:F19"/>
    <mergeCell ref="A23:B23"/>
    <mergeCell ref="A24:B24"/>
    <mergeCell ref="E20:F20"/>
    <mergeCell ref="E21:F21"/>
    <mergeCell ref="E22:F22"/>
    <mergeCell ref="C14:D14"/>
    <mergeCell ref="C15:D15"/>
    <mergeCell ref="C16:D16"/>
    <mergeCell ref="C17:D17"/>
    <mergeCell ref="A14:B14"/>
    <mergeCell ref="A15:B15"/>
    <mergeCell ref="A16:B16"/>
    <mergeCell ref="A17:B17"/>
    <mergeCell ref="A18:B18"/>
    <mergeCell ref="A19:B19"/>
    <mergeCell ref="A20:B20"/>
    <mergeCell ref="A21:B21"/>
    <mergeCell ref="A22:B22"/>
    <mergeCell ref="A28:B28"/>
    <mergeCell ref="A29:B29"/>
    <mergeCell ref="A30:B30"/>
    <mergeCell ref="A26:B26"/>
    <mergeCell ref="A27:B27"/>
    <mergeCell ref="A43:B43"/>
    <mergeCell ref="A38:B38"/>
    <mergeCell ref="A42:B42"/>
    <mergeCell ref="C42:E42"/>
    <mergeCell ref="E28:F28"/>
    <mergeCell ref="E29:F29"/>
    <mergeCell ref="E30:F30"/>
    <mergeCell ref="E31:F31"/>
    <mergeCell ref="C28:D28"/>
    <mergeCell ref="C29:D29"/>
    <mergeCell ref="C30:D30"/>
    <mergeCell ref="C31:D31"/>
    <mergeCell ref="C32:H32"/>
    <mergeCell ref="F42:H42"/>
    <mergeCell ref="C43:H43"/>
    <mergeCell ref="E34:F34"/>
    <mergeCell ref="E35:F35"/>
    <mergeCell ref="E36:F36"/>
    <mergeCell ref="A34:B34"/>
    <mergeCell ref="A35:B35"/>
    <mergeCell ref="A36:B36"/>
    <mergeCell ref="C34:D34"/>
    <mergeCell ref="C35:D35"/>
    <mergeCell ref="C36:D36"/>
    <mergeCell ref="G34:H34"/>
    <mergeCell ref="J38:K38"/>
    <mergeCell ref="M38:N38"/>
    <mergeCell ref="C38:E38"/>
    <mergeCell ref="F38:H38"/>
    <mergeCell ref="C39:E39"/>
    <mergeCell ref="F39:H39"/>
    <mergeCell ref="F40:H40"/>
    <mergeCell ref="C40:E40"/>
    <mergeCell ref="A41:B41"/>
    <mergeCell ref="C41:E41"/>
    <mergeCell ref="F41:H41"/>
    <mergeCell ref="A39:B39"/>
    <mergeCell ref="A40:B40"/>
    <mergeCell ref="C51:H51"/>
    <mergeCell ref="C52:F52"/>
    <mergeCell ref="C53:F53"/>
    <mergeCell ref="C54:F54"/>
    <mergeCell ref="A54:B55"/>
    <mergeCell ref="C55:H55"/>
    <mergeCell ref="C56:F56"/>
    <mergeCell ref="C57:F57"/>
    <mergeCell ref="G96:H107"/>
    <mergeCell ref="A97:B97"/>
    <mergeCell ref="A98:B98"/>
    <mergeCell ref="A99:B99"/>
    <mergeCell ref="A100:B100"/>
    <mergeCell ref="A101:B101"/>
    <mergeCell ref="A102:B102"/>
    <mergeCell ref="A103:B103"/>
    <mergeCell ref="A104:B104"/>
    <mergeCell ref="A105:B105"/>
    <mergeCell ref="A106:B106"/>
    <mergeCell ref="A107:B107"/>
    <mergeCell ref="E93:F93"/>
    <mergeCell ref="E94:F94"/>
    <mergeCell ref="A95:B95"/>
    <mergeCell ref="E95:F95"/>
  </mergeCells>
  <dataValidations count="4">
    <dataValidation type="list" allowBlank="1" showInputMessage="1" showErrorMessage="1" sqref="G26:H26" xr:uid="{00000000-0002-0000-0000-000001000000}">
      <formula1>"Middle,Upper"</formula1>
    </dataValidation>
    <dataValidation type="list" allowBlank="1" showInputMessage="1" showErrorMessage="1" sqref="C112" xr:uid="{00000000-0002-0000-0000-000002000000}">
      <formula1>"300000,350000,400000,500000,600000,700000,800000,900000,1000000,1200000,1400000,1500000,1600000"</formula1>
    </dataValidation>
    <dataValidation type="list" allowBlank="1" showInputMessage="1" showErrorMessage="1" sqref="C27:D27" xr:uid="{00000000-0002-0000-0000-000003000000}">
      <formula1>"Bitumen,Concrete"</formula1>
    </dataValidation>
    <dataValidation type="list" allowBlank="1" showInputMessage="1" showErrorMessage="1" sqref="C51:H51 G35:H35" xr:uid="{00000000-0002-0000-0000-000004000000}">
      <formula1>"Yes,No"</formula1>
    </dataValidation>
  </dataValidations>
  <hyperlinks>
    <hyperlink ref="C23" r:id="rId1" xr:uid="{00000000-0004-0000-0000-000000000000}"/>
    <hyperlink ref="I24" r:id="rId2" xr:uid="{00000000-0004-0000-0000-000001000000}"/>
  </hyperlinks>
  <printOptions horizontalCentered="1"/>
  <pageMargins left="0.27559055118110237" right="0.27559055118110237" top="0.70866141732283472" bottom="0.47244094488188981" header="0.15748031496062992" footer="0.15748031496062992"/>
  <pageSetup paperSize="9" scale="69" fitToHeight="0" orientation="portrait" r:id="rId3"/>
  <headerFooter>
    <oddHeader>&amp;C&amp;25&amp;G</oddHeader>
    <oddFooter>&amp;L&amp;"Times New Roman,Bold"&amp;16Ref No: &amp;F&amp;R&amp;"Times New Roman,Bold"&amp;16&amp;P</oddFooter>
  </headerFooter>
  <rowBreaks count="3" manualBreakCount="3">
    <brk id="253" max="8" man="1"/>
    <brk id="301" max="16383" man="1"/>
    <brk id="351" max="16383" man="1"/>
  </rowBreaks>
  <drawing r:id="rId4"/>
  <legacyDrawing r:id="rId5"/>
  <legacyDrawingHF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K56"/>
  <sheetViews>
    <sheetView zoomScale="70" zoomScaleNormal="70" workbookViewId="0">
      <selection activeCell="A3" sqref="A3:XFD18"/>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1" s="1" customFormat="1" ht="21" thickBot="1" x14ac:dyDescent="0.3">
      <c r="A3" s="96" t="s">
        <v>69</v>
      </c>
      <c r="B3" s="96"/>
      <c r="C3" s="96"/>
      <c r="D3" s="96"/>
      <c r="E3" s="96"/>
      <c r="F3" s="96"/>
      <c r="G3" s="96"/>
      <c r="H3" s="96"/>
      <c r="I3" s="96"/>
    </row>
    <row r="4" spans="1:11" s="1" customFormat="1" ht="20.25" customHeight="1" x14ac:dyDescent="0.3">
      <c r="A4" s="153">
        <v>1</v>
      </c>
      <c r="B4" s="153"/>
      <c r="C4" s="153"/>
      <c r="D4" s="154" t="s">
        <v>4</v>
      </c>
      <c r="E4" s="27" t="s">
        <v>115</v>
      </c>
      <c r="F4" s="81" t="s">
        <v>102</v>
      </c>
      <c r="G4" s="81"/>
      <c r="H4" s="27" t="s">
        <v>116</v>
      </c>
      <c r="I4" s="27" t="s">
        <v>117</v>
      </c>
      <c r="J4" s="14"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6"/>
    </row>
    <row r="5" spans="1:11" s="1" customFormat="1" ht="20.25" x14ac:dyDescent="0.3">
      <c r="A5" s="153"/>
      <c r="B5" s="153"/>
      <c r="C5" s="153"/>
      <c r="D5" s="154"/>
      <c r="E5" s="27">
        <v>3</v>
      </c>
      <c r="F5" s="81">
        <v>1</v>
      </c>
      <c r="G5" s="81"/>
      <c r="H5" s="27">
        <v>0</v>
      </c>
      <c r="I5" s="27">
        <f ca="1">--TRIM(RIGHT(SUBSTITUTE(LEFT(A4,_xlfn.AGGREGATE(16,6,FIND({0,1,2,3,4,5,6,7,8,9},A4,ROW(INDIRECT("1:"&amp;LEN(A4)))),1))," ",REPT(" ",LEN(A4))),LEN(A4)))</f>
        <v>1</v>
      </c>
      <c r="J5" s="15" t="s">
        <v>121</v>
      </c>
      <c r="K5" s="16"/>
    </row>
    <row r="6" spans="1:11" s="1" customFormat="1" ht="20.25" customHeight="1" x14ac:dyDescent="0.3">
      <c r="A6" s="82" t="s">
        <v>119</v>
      </c>
      <c r="B6" s="82"/>
      <c r="C6" s="82" t="s">
        <v>129</v>
      </c>
      <c r="D6" s="82"/>
      <c r="E6" s="25" t="s">
        <v>130</v>
      </c>
      <c r="F6" s="82" t="s">
        <v>120</v>
      </c>
      <c r="G6" s="82"/>
      <c r="H6" s="26" t="s">
        <v>118</v>
      </c>
      <c r="I6" s="26"/>
      <c r="J6" s="18" t="s">
        <v>131</v>
      </c>
      <c r="K6" s="17">
        <f ca="1">I5*25%</f>
        <v>0.25</v>
      </c>
    </row>
    <row r="7" spans="1:11" s="1" customFormat="1" ht="20.25" customHeight="1" x14ac:dyDescent="0.3">
      <c r="A7" s="78" t="s">
        <v>132</v>
      </c>
      <c r="B7" s="78"/>
      <c r="C7" s="81">
        <f ca="1">K8</f>
        <v>1</v>
      </c>
      <c r="D7" s="81"/>
      <c r="E7" s="4">
        <f ca="1">((100/I5)*C7)/100</f>
        <v>1</v>
      </c>
      <c r="F7" s="78">
        <f ca="1">(((C7/I5*5)+(C8/I5*20)+(25/(F5+H5+I5)*C9)+(5/(I5)*C10)+(2.5/(I5)*C11)+(2.5/(I5)*C12)+(5/I5*C13)+(10/I5*C14)+(2.5/I5*C15)+(2.5/I5*C16)+(10/I5*C17)+(10/I5*C18))/100)</f>
        <v>0.25</v>
      </c>
      <c r="G7" s="78"/>
      <c r="H7" s="78" t="str">
        <f ca="1">J4</f>
        <v>Excavation work Completed. Plinth work completed</v>
      </c>
      <c r="I7" s="78"/>
      <c r="J7" s="18" t="s">
        <v>122</v>
      </c>
      <c r="K7" s="21">
        <f ca="1">I5*50%</f>
        <v>0.5</v>
      </c>
    </row>
    <row r="8" spans="1:11" s="1" customFormat="1" ht="20.25" x14ac:dyDescent="0.3">
      <c r="A8" s="78" t="s">
        <v>103</v>
      </c>
      <c r="B8" s="78"/>
      <c r="C8" s="155">
        <f ca="1">K16</f>
        <v>1</v>
      </c>
      <c r="D8" s="81"/>
      <c r="E8" s="4">
        <f ca="1">((100/I5)*C8)/100</f>
        <v>1</v>
      </c>
      <c r="F8" s="78"/>
      <c r="G8" s="78"/>
      <c r="H8" s="78"/>
      <c r="I8" s="78"/>
      <c r="J8" s="18" t="s">
        <v>123</v>
      </c>
      <c r="K8" s="21">
        <f ca="1">I5</f>
        <v>1</v>
      </c>
    </row>
    <row r="9" spans="1:11" s="1" customFormat="1" ht="21" customHeight="1" x14ac:dyDescent="0.35">
      <c r="A9" s="78" t="s">
        <v>133</v>
      </c>
      <c r="B9" s="78"/>
      <c r="C9" s="81">
        <v>0</v>
      </c>
      <c r="D9" s="81"/>
      <c r="E9" s="4">
        <f ca="1">((100/(F5+H5+I5))*C9)/100</f>
        <v>0</v>
      </c>
      <c r="F9" s="78"/>
      <c r="G9" s="78"/>
      <c r="H9" s="78"/>
      <c r="I9" s="78"/>
      <c r="J9" s="18" t="s">
        <v>124</v>
      </c>
      <c r="K9" s="22">
        <f ca="1">(IF(E5&gt;1,(I5/(E5+2)),I5*0.2))</f>
        <v>0.2</v>
      </c>
    </row>
    <row r="10" spans="1:11" s="1" customFormat="1" ht="21" customHeight="1" x14ac:dyDescent="0.35">
      <c r="A10" s="78" t="s">
        <v>134</v>
      </c>
      <c r="B10" s="78"/>
      <c r="C10" s="81">
        <v>0</v>
      </c>
      <c r="D10" s="81"/>
      <c r="E10" s="4">
        <f ca="1">((100/I5)*C10)/100</f>
        <v>0</v>
      </c>
      <c r="F10" s="78"/>
      <c r="G10" s="78"/>
      <c r="H10" s="78"/>
      <c r="I10" s="78"/>
      <c r="J10" s="18" t="s">
        <v>125</v>
      </c>
      <c r="K10" s="22">
        <f ca="1">(IF(E5&gt;1,(I5/(E5+2)+K9),I5*0.2+K9))</f>
        <v>0.4</v>
      </c>
    </row>
    <row r="11" spans="1:11" s="1" customFormat="1" ht="21" customHeight="1" x14ac:dyDescent="0.35">
      <c r="A11" s="79" t="s">
        <v>135</v>
      </c>
      <c r="B11" s="80"/>
      <c r="C11" s="81">
        <v>0</v>
      </c>
      <c r="D11" s="81"/>
      <c r="E11" s="4">
        <f ca="1">((100/I5)*C11)/100</f>
        <v>0</v>
      </c>
      <c r="F11" s="78"/>
      <c r="G11" s="78"/>
      <c r="H11" s="78"/>
      <c r="I11" s="78"/>
      <c r="J11" s="18" t="s">
        <v>136</v>
      </c>
      <c r="K11" s="22">
        <f ca="1">(IF(E5&gt;1,(I5/(E5+2)+K10),0))</f>
        <v>0.60000000000000009</v>
      </c>
    </row>
    <row r="12" spans="1:11" s="1" customFormat="1" ht="21" customHeight="1" x14ac:dyDescent="0.35">
      <c r="A12" s="79" t="s">
        <v>166</v>
      </c>
      <c r="B12" s="80"/>
      <c r="C12" s="81">
        <v>0</v>
      </c>
      <c r="D12" s="81"/>
      <c r="E12" s="4">
        <f ca="1">((100/I5)*C12)/100</f>
        <v>0</v>
      </c>
      <c r="F12" s="78"/>
      <c r="G12" s="78"/>
      <c r="H12" s="78"/>
      <c r="I12" s="78"/>
      <c r="J12" s="18" t="s">
        <v>137</v>
      </c>
      <c r="K12" s="22">
        <f ca="1">(IF(E5&gt;2,(I5/(E5+2)+K11),0))</f>
        <v>0.8</v>
      </c>
    </row>
    <row r="13" spans="1:11" s="1" customFormat="1" ht="57.75" customHeight="1" x14ac:dyDescent="0.35">
      <c r="A13" s="79" t="s">
        <v>163</v>
      </c>
      <c r="B13" s="80"/>
      <c r="C13" s="81">
        <v>0</v>
      </c>
      <c r="D13" s="81"/>
      <c r="E13" s="4">
        <f ca="1">((100/(I5))*C13)/100</f>
        <v>0</v>
      </c>
      <c r="F13" s="78"/>
      <c r="G13" s="78"/>
      <c r="H13" s="78"/>
      <c r="I13" s="78"/>
      <c r="J13" s="18" t="s">
        <v>139</v>
      </c>
      <c r="K13" s="23">
        <f>(IF(E5&gt;3,(I5/(E5+2)+K12),0))</f>
        <v>0</v>
      </c>
    </row>
    <row r="14" spans="1:11" s="1" customFormat="1" ht="21" x14ac:dyDescent="0.35">
      <c r="A14" s="78" t="s">
        <v>138</v>
      </c>
      <c r="B14" s="78"/>
      <c r="C14" s="81">
        <v>0</v>
      </c>
      <c r="D14" s="81"/>
      <c r="E14" s="4">
        <f ca="1">((100/(I5))*C14)/100</f>
        <v>0</v>
      </c>
      <c r="F14" s="78"/>
      <c r="G14" s="78"/>
      <c r="H14" s="78"/>
      <c r="I14" s="78"/>
      <c r="J14" s="18" t="s">
        <v>140</v>
      </c>
      <c r="K14" s="22">
        <f>(IF(E5&gt;4,(I5/(E5+2)+K13),0))</f>
        <v>0</v>
      </c>
    </row>
    <row r="15" spans="1:11" s="1" customFormat="1" ht="21" customHeight="1" x14ac:dyDescent="0.35">
      <c r="A15" s="78" t="s">
        <v>165</v>
      </c>
      <c r="B15" s="78"/>
      <c r="C15" s="81">
        <v>0</v>
      </c>
      <c r="D15" s="81"/>
      <c r="E15" s="4">
        <f ca="1">((100/I5)*C15)/100</f>
        <v>0</v>
      </c>
      <c r="F15" s="78"/>
      <c r="G15" s="78"/>
      <c r="H15" s="78"/>
      <c r="I15" s="78"/>
      <c r="J15" s="18" t="s">
        <v>126</v>
      </c>
      <c r="K15" s="22">
        <f>(IF(E5=1,(I5/(E5+3)+K10),IF(E5=0,(I5*0.3+K10),IF(E5&gt;1,0))))</f>
        <v>0</v>
      </c>
    </row>
    <row r="16" spans="1:11" s="1" customFormat="1" ht="21.75" thickBot="1" x14ac:dyDescent="0.4">
      <c r="A16" s="78" t="s">
        <v>164</v>
      </c>
      <c r="B16" s="78"/>
      <c r="C16" s="81">
        <v>0</v>
      </c>
      <c r="D16" s="81"/>
      <c r="E16" s="4">
        <f ca="1">((100/I5)*C16)/100</f>
        <v>0</v>
      </c>
      <c r="F16" s="78"/>
      <c r="G16" s="78"/>
      <c r="H16" s="78"/>
      <c r="I16" s="78"/>
      <c r="J16" s="20" t="s">
        <v>127</v>
      </c>
      <c r="K16" s="24">
        <f ca="1">(IF(E5&gt;1.5,(I5/(E5+2)+K10+MAX(0,K11-K10)+MAX(0,K12-K11)+MAX(0,K13-K12)+MAX(0,K14-K13)+MAX(0,K15-K14)),IF(E5=1,(I5/(E5+3)+K15),IF(E5=0,I5*0.3+K15))))</f>
        <v>1</v>
      </c>
    </row>
    <row r="17" spans="1:9" s="1" customFormat="1" ht="20.25" x14ac:dyDescent="0.25">
      <c r="A17" s="78" t="s">
        <v>141</v>
      </c>
      <c r="B17" s="78"/>
      <c r="C17" s="81">
        <v>0</v>
      </c>
      <c r="D17" s="81"/>
      <c r="E17" s="4">
        <f ca="1">((100/(I5))*C17)/100</f>
        <v>0</v>
      </c>
      <c r="F17" s="78"/>
      <c r="G17" s="78"/>
      <c r="H17" s="78"/>
      <c r="I17" s="78"/>
    </row>
    <row r="18" spans="1:9" s="1" customFormat="1" ht="20.25" x14ac:dyDescent="0.25">
      <c r="A18" s="78" t="s">
        <v>142</v>
      </c>
      <c r="B18" s="78"/>
      <c r="C18" s="81">
        <v>0</v>
      </c>
      <c r="D18" s="81"/>
      <c r="E18" s="4">
        <f ca="1">((100/(I5))*C18)/100</f>
        <v>0</v>
      </c>
      <c r="F18" s="78"/>
      <c r="G18" s="78"/>
      <c r="H18" s="78"/>
      <c r="I18" s="78"/>
    </row>
    <row r="23" spans="1:9" x14ac:dyDescent="0.25">
      <c r="B23" s="156" t="s">
        <v>167</v>
      </c>
      <c r="C23" s="156"/>
      <c r="D23" s="156"/>
      <c r="E23" s="156"/>
      <c r="F23" s="156"/>
      <c r="G23" s="156"/>
    </row>
    <row r="24" spans="1:9" ht="14.45" customHeight="1" x14ac:dyDescent="0.25">
      <c r="B24" s="159" t="s">
        <v>168</v>
      </c>
      <c r="C24" s="159" t="s">
        <v>169</v>
      </c>
      <c r="D24" s="162" t="s">
        <v>170</v>
      </c>
      <c r="E24" s="163" t="s">
        <v>171</v>
      </c>
      <c r="F24" s="160" t="s">
        <v>172</v>
      </c>
      <c r="G24" s="159" t="s">
        <v>173</v>
      </c>
    </row>
    <row r="25" spans="1:9" x14ac:dyDescent="0.25">
      <c r="B25" s="159"/>
      <c r="C25" s="159"/>
      <c r="D25" s="162"/>
      <c r="E25" s="163"/>
      <c r="F25" s="160"/>
      <c r="G25" s="159"/>
    </row>
    <row r="26" spans="1:9" x14ac:dyDescent="0.25">
      <c r="B26" s="35" t="s">
        <v>174</v>
      </c>
      <c r="C26" s="36">
        <v>10</v>
      </c>
      <c r="D26" s="36">
        <v>1</v>
      </c>
      <c r="E26" s="37"/>
      <c r="F26" s="38">
        <f>((E26/D26)*0.05)*100</f>
        <v>0</v>
      </c>
      <c r="G26" s="38">
        <f t="shared" ref="G26:G37" si="0">((E26/D26)*(C26/100))*100</f>
        <v>0</v>
      </c>
    </row>
    <row r="27" spans="1:9" x14ac:dyDescent="0.25">
      <c r="B27" s="35" t="s">
        <v>175</v>
      </c>
      <c r="C27" s="37">
        <v>10</v>
      </c>
      <c r="D27" s="37">
        <v>1</v>
      </c>
      <c r="E27" s="37"/>
      <c r="F27" s="38">
        <f>((E27/D27)*0.05)*100</f>
        <v>0</v>
      </c>
      <c r="G27" s="38">
        <f t="shared" si="0"/>
        <v>0</v>
      </c>
    </row>
    <row r="28" spans="1:9" x14ac:dyDescent="0.25">
      <c r="B28" s="35" t="s">
        <v>176</v>
      </c>
      <c r="C28" s="37">
        <v>15</v>
      </c>
      <c r="D28" s="37">
        <v>1</v>
      </c>
      <c r="E28" s="37"/>
      <c r="F28" s="38">
        <f>((E28/D28)*0.15)*100</f>
        <v>0</v>
      </c>
      <c r="G28" s="38">
        <f t="shared" si="0"/>
        <v>0</v>
      </c>
    </row>
    <row r="29" spans="1:9" x14ac:dyDescent="0.25">
      <c r="B29" s="39" t="s">
        <v>177</v>
      </c>
      <c r="C29" s="37">
        <v>25</v>
      </c>
      <c r="D29" s="37">
        <v>40</v>
      </c>
      <c r="E29" s="37"/>
      <c r="F29" s="38">
        <f>((E29/D29)*0.25)*100</f>
        <v>0</v>
      </c>
      <c r="G29" s="38">
        <f t="shared" si="0"/>
        <v>0</v>
      </c>
    </row>
    <row r="30" spans="1:9" x14ac:dyDescent="0.25">
      <c r="B30" s="39" t="s">
        <v>178</v>
      </c>
      <c r="C30" s="37">
        <v>5</v>
      </c>
      <c r="D30" s="37">
        <v>39</v>
      </c>
      <c r="E30" s="37"/>
      <c r="F30" s="38">
        <f>((E30/D30)*0.05)*100</f>
        <v>0</v>
      </c>
      <c r="G30" s="38">
        <f t="shared" si="0"/>
        <v>0</v>
      </c>
    </row>
    <row r="31" spans="1:9" ht="30" x14ac:dyDescent="0.25">
      <c r="B31" s="39" t="s">
        <v>179</v>
      </c>
      <c r="C31" s="37">
        <v>2.5</v>
      </c>
      <c r="D31" s="37">
        <v>39</v>
      </c>
      <c r="E31" s="37"/>
      <c r="F31" s="38">
        <f>((E31/D31)*0.025)*100</f>
        <v>0</v>
      </c>
      <c r="G31" s="38">
        <f t="shared" si="0"/>
        <v>0</v>
      </c>
    </row>
    <row r="32" spans="1:9" ht="30" x14ac:dyDescent="0.25">
      <c r="B32" s="39" t="s">
        <v>180</v>
      </c>
      <c r="C32" s="37">
        <v>2.5</v>
      </c>
      <c r="D32" s="37">
        <v>39</v>
      </c>
      <c r="E32" s="37"/>
      <c r="F32" s="38">
        <f>((E32/D32)*0.025)*100</f>
        <v>0</v>
      </c>
      <c r="G32" s="38">
        <f t="shared" si="0"/>
        <v>0</v>
      </c>
    </row>
    <row r="33" spans="1:7" ht="45" x14ac:dyDescent="0.25">
      <c r="B33" s="40" t="s">
        <v>181</v>
      </c>
      <c r="C33" s="37">
        <v>5</v>
      </c>
      <c r="D33" s="37">
        <v>39</v>
      </c>
      <c r="E33" s="37"/>
      <c r="F33" s="38">
        <f>((E33/D33)*0.05)*100</f>
        <v>0</v>
      </c>
      <c r="G33" s="38">
        <f t="shared" si="0"/>
        <v>0</v>
      </c>
    </row>
    <row r="34" spans="1:7" ht="30" x14ac:dyDescent="0.25">
      <c r="B34" s="40" t="s">
        <v>182</v>
      </c>
      <c r="C34" s="37">
        <v>5</v>
      </c>
      <c r="D34" s="37">
        <v>39</v>
      </c>
      <c r="E34" s="37"/>
      <c r="F34" s="38">
        <f>((E34/D34)*0.1)*100</f>
        <v>0</v>
      </c>
      <c r="G34" s="38">
        <f t="shared" si="0"/>
        <v>0</v>
      </c>
    </row>
    <row r="35" spans="1:7" ht="30" x14ac:dyDescent="0.25">
      <c r="B35" s="40" t="s">
        <v>183</v>
      </c>
      <c r="C35" s="37">
        <v>5</v>
      </c>
      <c r="D35" s="37">
        <v>39</v>
      </c>
      <c r="E35" s="37"/>
      <c r="F35" s="38">
        <f>((E35/D35)*0.05)*100</f>
        <v>0</v>
      </c>
      <c r="G35" s="38">
        <f t="shared" si="0"/>
        <v>0</v>
      </c>
    </row>
    <row r="36" spans="1:7" ht="60" x14ac:dyDescent="0.25">
      <c r="B36" s="40" t="s">
        <v>184</v>
      </c>
      <c r="C36" s="37">
        <v>10</v>
      </c>
      <c r="D36" s="37">
        <v>39</v>
      </c>
      <c r="E36" s="37"/>
      <c r="F36" s="38">
        <f>((E36/D36)*0.1)*100</f>
        <v>0</v>
      </c>
      <c r="G36" s="38">
        <f t="shared" si="0"/>
        <v>0</v>
      </c>
    </row>
    <row r="37" spans="1:7" ht="45" x14ac:dyDescent="0.25">
      <c r="B37" s="40" t="s">
        <v>185</v>
      </c>
      <c r="C37" s="37">
        <v>5</v>
      </c>
      <c r="D37" s="37">
        <v>39</v>
      </c>
      <c r="E37" s="37"/>
      <c r="F37" s="38">
        <f>((E37/D37)*0.1)*100</f>
        <v>0</v>
      </c>
      <c r="G37" s="38">
        <f t="shared" si="0"/>
        <v>0</v>
      </c>
    </row>
    <row r="38" spans="1:7" ht="15.75" x14ac:dyDescent="0.25">
      <c r="B38" s="41" t="s">
        <v>186</v>
      </c>
      <c r="C38" s="42">
        <f>SUM(C26:C37)</f>
        <v>100</v>
      </c>
      <c r="D38" s="41"/>
      <c r="E38" s="41"/>
      <c r="F38" s="42">
        <f>SUM(F26:F37)</f>
        <v>0</v>
      </c>
      <c r="G38" s="42">
        <f>SUM(G26:G37)</f>
        <v>0</v>
      </c>
    </row>
    <row r="39" spans="1:7" x14ac:dyDescent="0.25">
      <c r="B39" s="160" t="s">
        <v>187</v>
      </c>
      <c r="C39" s="160"/>
      <c r="D39" s="160"/>
      <c r="E39" s="160"/>
      <c r="F39" s="160"/>
      <c r="G39" s="160"/>
    </row>
    <row r="40" spans="1:7" x14ac:dyDescent="0.25">
      <c r="B40" s="161" t="s">
        <v>188</v>
      </c>
      <c r="C40" s="161"/>
      <c r="D40" s="161"/>
      <c r="E40" s="161" t="s">
        <v>189</v>
      </c>
      <c r="F40" s="161"/>
      <c r="G40" s="161"/>
    </row>
    <row r="41" spans="1:7" x14ac:dyDescent="0.25">
      <c r="B41" s="157" t="s">
        <v>190</v>
      </c>
      <c r="C41" s="157"/>
      <c r="D41" s="157"/>
      <c r="E41" s="157" t="s">
        <v>191</v>
      </c>
      <c r="F41" s="157"/>
      <c r="G41" s="157"/>
    </row>
    <row r="42" spans="1:7" x14ac:dyDescent="0.25">
      <c r="B42" s="157" t="s">
        <v>192</v>
      </c>
      <c r="C42" s="157"/>
      <c r="D42" s="157"/>
      <c r="E42" s="157" t="s">
        <v>193</v>
      </c>
      <c r="F42" s="157"/>
      <c r="G42" s="157"/>
    </row>
    <row r="43" spans="1:7" x14ac:dyDescent="0.25">
      <c r="B43" s="158" t="s">
        <v>194</v>
      </c>
      <c r="C43" s="158"/>
      <c r="D43" s="158"/>
      <c r="E43" s="158" t="s">
        <v>195</v>
      </c>
      <c r="F43" s="158"/>
      <c r="G43" s="158"/>
    </row>
    <row r="45" spans="1:7" ht="15.75" thickBot="1" x14ac:dyDescent="0.3"/>
    <row r="46" spans="1:7" ht="17.25" thickTop="1" thickBot="1" x14ac:dyDescent="0.3">
      <c r="A46" s="43" t="s">
        <v>196</v>
      </c>
      <c r="B46" s="43" t="s">
        <v>168</v>
      </c>
      <c r="C46" s="44" t="s">
        <v>197</v>
      </c>
      <c r="D46" s="44" t="s">
        <v>198</v>
      </c>
      <c r="E46" s="44" t="s">
        <v>199</v>
      </c>
    </row>
    <row r="47" spans="1:7" ht="31.5" thickTop="1" thickBot="1" x14ac:dyDescent="0.3">
      <c r="A47" s="45">
        <v>1</v>
      </c>
      <c r="B47" s="46" t="s">
        <v>200</v>
      </c>
      <c r="C47" s="47">
        <v>0</v>
      </c>
      <c r="D47" s="48">
        <v>0.1</v>
      </c>
      <c r="E47" s="47">
        <v>0.1</v>
      </c>
    </row>
    <row r="48" spans="1:7" ht="31.5" thickTop="1" thickBot="1" x14ac:dyDescent="0.3">
      <c r="A48" s="45">
        <v>2</v>
      </c>
      <c r="B48" s="46" t="s">
        <v>201</v>
      </c>
      <c r="C48" s="47" t="s">
        <v>202</v>
      </c>
      <c r="D48" s="48" t="s">
        <v>203</v>
      </c>
      <c r="E48" s="47">
        <v>0.3</v>
      </c>
    </row>
    <row r="49" spans="1:5" ht="61.5" thickTop="1" thickBot="1" x14ac:dyDescent="0.3">
      <c r="A49" s="45">
        <v>3</v>
      </c>
      <c r="B49" s="46" t="s">
        <v>204</v>
      </c>
      <c r="C49" s="47" t="s">
        <v>205</v>
      </c>
      <c r="D49" s="48" t="s">
        <v>206</v>
      </c>
      <c r="E49" s="47">
        <v>0.45</v>
      </c>
    </row>
    <row r="50" spans="1:5" ht="76.5" thickTop="1" thickBot="1" x14ac:dyDescent="0.3">
      <c r="A50" s="45">
        <v>4</v>
      </c>
      <c r="B50" s="46" t="s">
        <v>207</v>
      </c>
      <c r="C50" s="47" t="s">
        <v>208</v>
      </c>
      <c r="D50" s="48" t="s">
        <v>209</v>
      </c>
      <c r="E50" s="47">
        <v>0.7</v>
      </c>
    </row>
    <row r="51" spans="1:5" ht="76.5" thickTop="1" thickBot="1" x14ac:dyDescent="0.3">
      <c r="A51" s="45">
        <v>5</v>
      </c>
      <c r="B51" s="46" t="s">
        <v>210</v>
      </c>
      <c r="C51" s="47" t="s">
        <v>211</v>
      </c>
      <c r="D51" s="48" t="s">
        <v>212</v>
      </c>
      <c r="E51" s="47">
        <v>0.75</v>
      </c>
    </row>
    <row r="52" spans="1:5" ht="76.5" thickTop="1" thickBot="1" x14ac:dyDescent="0.3">
      <c r="A52" s="45">
        <v>6</v>
      </c>
      <c r="B52" s="46" t="s">
        <v>213</v>
      </c>
      <c r="C52" s="47" t="s">
        <v>214</v>
      </c>
      <c r="D52" s="48" t="s">
        <v>215</v>
      </c>
      <c r="E52" s="47">
        <v>0.8</v>
      </c>
    </row>
    <row r="53" spans="1:5" ht="121.5" thickTop="1" thickBot="1" x14ac:dyDescent="0.3">
      <c r="A53" s="45">
        <v>7</v>
      </c>
      <c r="B53" s="46" t="s">
        <v>216</v>
      </c>
      <c r="C53" s="47" t="s">
        <v>217</v>
      </c>
      <c r="D53" s="48" t="s">
        <v>218</v>
      </c>
      <c r="E53" s="47">
        <v>0.85</v>
      </c>
    </row>
    <row r="54" spans="1:5" ht="211.5" thickTop="1" thickBot="1" x14ac:dyDescent="0.3">
      <c r="A54" s="45">
        <v>8</v>
      </c>
      <c r="B54" s="46" t="s">
        <v>219</v>
      </c>
      <c r="C54" s="47" t="s">
        <v>220</v>
      </c>
      <c r="D54" s="48" t="s">
        <v>221</v>
      </c>
      <c r="E54" s="47">
        <v>0.95</v>
      </c>
    </row>
    <row r="55" spans="1:5" ht="91.5" thickTop="1" thickBot="1" x14ac:dyDescent="0.3">
      <c r="A55" s="45">
        <v>9</v>
      </c>
      <c r="B55" s="46" t="s">
        <v>222</v>
      </c>
      <c r="C55" s="47" t="s">
        <v>223</v>
      </c>
      <c r="D55" s="48" t="s">
        <v>224</v>
      </c>
      <c r="E55" s="47">
        <v>1</v>
      </c>
    </row>
    <row r="56" spans="1:5" ht="15.75" thickTop="1" x14ac:dyDescent="0.25"/>
  </sheetData>
  <mergeCells count="50">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 ref="A17:B17"/>
    <mergeCell ref="C17:D17"/>
    <mergeCell ref="A18:B18"/>
    <mergeCell ref="C18:D18"/>
    <mergeCell ref="B23:G23"/>
    <mergeCell ref="A14:B14"/>
    <mergeCell ref="C14:D14"/>
    <mergeCell ref="A15:B15"/>
    <mergeCell ref="C15:D15"/>
    <mergeCell ref="A16:B16"/>
    <mergeCell ref="C16:D16"/>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6:B6"/>
    <mergeCell ref="C6:D6"/>
    <mergeCell ref="F6:G6"/>
    <mergeCell ref="A3:I3"/>
    <mergeCell ref="A4:C5"/>
    <mergeCell ref="D4:D5"/>
    <mergeCell ref="F4:G4"/>
    <mergeCell ref="F5:G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C35"/>
  <sheetViews>
    <sheetView topLeftCell="A25" workbookViewId="0">
      <selection activeCell="C37" sqref="C37"/>
    </sheetView>
  </sheetViews>
  <sheetFormatPr defaultRowHeight="15" x14ac:dyDescent="0.25"/>
  <cols>
    <col min="2" max="2" width="3" bestFit="1" customWidth="1"/>
    <col min="3" max="3" width="155.28515625" customWidth="1"/>
  </cols>
  <sheetData>
    <row r="2" spans="2:3" ht="30" x14ac:dyDescent="0.25">
      <c r="B2" s="37">
        <v>1</v>
      </c>
      <c r="C2" s="53" t="s">
        <v>237</v>
      </c>
    </row>
    <row r="3" spans="2:3" x14ac:dyDescent="0.25">
      <c r="B3" s="37">
        <v>2</v>
      </c>
      <c r="C3" s="54" t="s">
        <v>238</v>
      </c>
    </row>
    <row r="4" spans="2:3" x14ac:dyDescent="0.25">
      <c r="B4" s="37">
        <v>3</v>
      </c>
      <c r="C4" s="37" t="s">
        <v>239</v>
      </c>
    </row>
    <row r="5" spans="2:3" x14ac:dyDescent="0.25">
      <c r="B5" s="37">
        <v>4</v>
      </c>
      <c r="C5" s="54" t="s">
        <v>240</v>
      </c>
    </row>
    <row r="6" spans="2:3" x14ac:dyDescent="0.25">
      <c r="B6" s="37">
        <v>5</v>
      </c>
      <c r="C6" s="37" t="s">
        <v>241</v>
      </c>
    </row>
    <row r="7" spans="2:3" ht="30" x14ac:dyDescent="0.25">
      <c r="B7" s="37">
        <v>6</v>
      </c>
      <c r="C7" s="54" t="s">
        <v>242</v>
      </c>
    </row>
    <row r="8" spans="2:3" ht="75" x14ac:dyDescent="0.25">
      <c r="B8" s="37">
        <v>7</v>
      </c>
      <c r="C8" s="54" t="s">
        <v>243</v>
      </c>
    </row>
    <row r="9" spans="2:3" x14ac:dyDescent="0.25">
      <c r="B9" s="37">
        <v>8</v>
      </c>
      <c r="C9" s="37" t="s">
        <v>244</v>
      </c>
    </row>
    <row r="10" spans="2:3" x14ac:dyDescent="0.25">
      <c r="B10" s="37">
        <v>9</v>
      </c>
      <c r="C10" s="37" t="s">
        <v>245</v>
      </c>
    </row>
    <row r="11" spans="2:3" x14ac:dyDescent="0.25">
      <c r="B11" s="37">
        <v>10</v>
      </c>
      <c r="C11" s="37" t="s">
        <v>246</v>
      </c>
    </row>
    <row r="12" spans="2:3" x14ac:dyDescent="0.25">
      <c r="B12" s="37">
        <v>11</v>
      </c>
      <c r="C12" s="37" t="s">
        <v>247</v>
      </c>
    </row>
    <row r="13" spans="2:3" x14ac:dyDescent="0.25">
      <c r="B13" s="37">
        <v>12</v>
      </c>
      <c r="C13" s="37" t="s">
        <v>248</v>
      </c>
    </row>
    <row r="14" spans="2:3" x14ac:dyDescent="0.25">
      <c r="B14" s="37">
        <v>13</v>
      </c>
      <c r="C14" s="37" t="s">
        <v>249</v>
      </c>
    </row>
    <row r="15" spans="2:3" x14ac:dyDescent="0.25">
      <c r="B15" s="37">
        <v>14</v>
      </c>
      <c r="C15" s="37" t="s">
        <v>239</v>
      </c>
    </row>
    <row r="16" spans="2:3" x14ac:dyDescent="0.25">
      <c r="B16" s="37">
        <v>15</v>
      </c>
      <c r="C16" s="37" t="s">
        <v>233</v>
      </c>
    </row>
    <row r="17" spans="2:3" x14ac:dyDescent="0.25">
      <c r="B17" s="55">
        <v>16</v>
      </c>
      <c r="C17" s="56" t="s">
        <v>250</v>
      </c>
    </row>
    <row r="18" spans="2:3" x14ac:dyDescent="0.25">
      <c r="B18" s="57">
        <v>17</v>
      </c>
      <c r="C18" s="56" t="s">
        <v>251</v>
      </c>
    </row>
    <row r="19" spans="2:3" x14ac:dyDescent="0.25">
      <c r="B19" s="58">
        <v>18</v>
      </c>
      <c r="C19" s="37" t="s">
        <v>252</v>
      </c>
    </row>
    <row r="20" spans="2:3" x14ac:dyDescent="0.25">
      <c r="B20" s="57">
        <v>19</v>
      </c>
      <c r="C20" s="37" t="s">
        <v>253</v>
      </c>
    </row>
    <row r="21" spans="2:3" x14ac:dyDescent="0.25">
      <c r="B21" s="37">
        <v>20</v>
      </c>
      <c r="C21" s="37" t="s">
        <v>254</v>
      </c>
    </row>
    <row r="22" spans="2:3" x14ac:dyDescent="0.25">
      <c r="B22" s="57">
        <v>21</v>
      </c>
      <c r="C22" s="37" t="s">
        <v>252</v>
      </c>
    </row>
    <row r="23" spans="2:3" s="60" customFormat="1" ht="30" x14ac:dyDescent="0.25">
      <c r="B23" s="59">
        <v>22</v>
      </c>
      <c r="C23" s="53" t="s">
        <v>255</v>
      </c>
    </row>
    <row r="24" spans="2:3" s="60" customFormat="1" ht="30" x14ac:dyDescent="0.25">
      <c r="B24" s="61">
        <v>23</v>
      </c>
      <c r="C24" s="53" t="s">
        <v>256</v>
      </c>
    </row>
    <row r="25" spans="2:3" x14ac:dyDescent="0.25">
      <c r="B25" s="37">
        <v>24</v>
      </c>
      <c r="C25" s="37" t="s">
        <v>257</v>
      </c>
    </row>
    <row r="26" spans="2:3" x14ac:dyDescent="0.25">
      <c r="B26" s="57">
        <v>25</v>
      </c>
      <c r="C26" s="37" t="s">
        <v>258</v>
      </c>
    </row>
    <row r="27" spans="2:3" x14ac:dyDescent="0.25">
      <c r="B27" s="61">
        <v>26</v>
      </c>
      <c r="C27" s="37" t="s">
        <v>259</v>
      </c>
    </row>
    <row r="28" spans="2:3" x14ac:dyDescent="0.25">
      <c r="B28" s="57">
        <v>27</v>
      </c>
      <c r="C28" s="37" t="s">
        <v>260</v>
      </c>
    </row>
    <row r="29" spans="2:3" ht="60" x14ac:dyDescent="0.25">
      <c r="B29" s="62">
        <v>28</v>
      </c>
      <c r="C29" s="54" t="s">
        <v>261</v>
      </c>
    </row>
    <row r="30" spans="2:3" x14ac:dyDescent="0.25">
      <c r="B30" s="61">
        <v>29</v>
      </c>
      <c r="C30" s="37" t="s">
        <v>262</v>
      </c>
    </row>
    <row r="31" spans="2:3" ht="30" x14ac:dyDescent="0.25">
      <c r="B31" s="61">
        <v>30</v>
      </c>
      <c r="C31" s="54" t="s">
        <v>290</v>
      </c>
    </row>
    <row r="32" spans="2:3" x14ac:dyDescent="0.25">
      <c r="B32" s="61">
        <v>31</v>
      </c>
      <c r="C32" s="37" t="s">
        <v>291</v>
      </c>
    </row>
    <row r="33" spans="2:3" x14ac:dyDescent="0.25">
      <c r="B33" s="61">
        <v>32</v>
      </c>
      <c r="C33" s="37" t="s">
        <v>292</v>
      </c>
    </row>
    <row r="34" spans="2:3" ht="30" x14ac:dyDescent="0.25">
      <c r="B34" s="61">
        <v>33</v>
      </c>
      <c r="C34" s="56" t="s">
        <v>293</v>
      </c>
    </row>
    <row r="35" spans="2:3" x14ac:dyDescent="0.25">
      <c r="B35" s="61">
        <v>34</v>
      </c>
      <c r="C35" s="37"/>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L44"/>
  <sheetViews>
    <sheetView workbookViewId="0">
      <selection sqref="A1:XFD1048576"/>
    </sheetView>
  </sheetViews>
  <sheetFormatPr defaultRowHeight="15" x14ac:dyDescent="0.25"/>
  <cols>
    <col min="1" max="1" width="9.140625" style="63"/>
    <col min="2" max="2" width="12.28515625" style="63" customWidth="1"/>
    <col min="3" max="16384" width="9.140625" style="63"/>
  </cols>
  <sheetData>
    <row r="2" spans="1:12" x14ac:dyDescent="0.25">
      <c r="B2" s="64" t="s">
        <v>263</v>
      </c>
      <c r="C2" s="164"/>
      <c r="D2" s="164"/>
    </row>
    <row r="3" spans="1:12" x14ac:dyDescent="0.25">
      <c r="D3" s="65"/>
      <c r="E3" s="65"/>
      <c r="F3" s="65"/>
      <c r="G3" s="65"/>
      <c r="H3" s="65"/>
      <c r="I3" s="65"/>
    </row>
    <row r="4" spans="1:12" x14ac:dyDescent="0.25">
      <c r="A4" s="64" t="s">
        <v>264</v>
      </c>
      <c r="B4" s="52" t="s">
        <v>265</v>
      </c>
      <c r="C4" s="165" t="s">
        <v>266</v>
      </c>
      <c r="D4" s="165"/>
      <c r="E4" s="165"/>
      <c r="F4" s="52"/>
      <c r="G4" s="166" t="s">
        <v>267</v>
      </c>
      <c r="H4" s="166"/>
      <c r="I4" s="166"/>
      <c r="J4" s="167" t="s">
        <v>268</v>
      </c>
      <c r="K4" s="167"/>
      <c r="L4" s="167"/>
    </row>
    <row r="5" spans="1:12" x14ac:dyDescent="0.25">
      <c r="A5" s="64"/>
      <c r="B5" s="52"/>
      <c r="C5" s="52" t="s">
        <v>269</v>
      </c>
      <c r="D5" s="52" t="s">
        <v>270</v>
      </c>
      <c r="E5" s="52" t="s">
        <v>271</v>
      </c>
      <c r="F5" s="52"/>
      <c r="G5" s="52" t="s">
        <v>269</v>
      </c>
      <c r="H5" s="52" t="s">
        <v>270</v>
      </c>
      <c r="I5" s="52" t="s">
        <v>271</v>
      </c>
      <c r="J5" s="52" t="s">
        <v>269</v>
      </c>
      <c r="K5" s="52" t="s">
        <v>270</v>
      </c>
      <c r="L5" s="52" t="s">
        <v>271</v>
      </c>
    </row>
    <row r="6" spans="1:12" x14ac:dyDescent="0.25">
      <c r="B6" s="51" t="s">
        <v>272</v>
      </c>
      <c r="C6" s="51"/>
      <c r="D6" s="51"/>
      <c r="E6" s="51">
        <f>C6*D6</f>
        <v>0</v>
      </c>
      <c r="F6" s="51" t="s">
        <v>273</v>
      </c>
      <c r="G6" s="51"/>
      <c r="H6" s="51"/>
      <c r="I6" s="51">
        <f>G6*H6</f>
        <v>0</v>
      </c>
      <c r="J6" s="51"/>
      <c r="K6" s="51"/>
      <c r="L6" s="51">
        <f>J6*K6</f>
        <v>0</v>
      </c>
    </row>
    <row r="7" spans="1:12" x14ac:dyDescent="0.25">
      <c r="B7" s="51"/>
      <c r="C7" s="51"/>
      <c r="D7" s="51"/>
      <c r="E7" s="51">
        <f t="shared" ref="E7:E41" si="0">C7*D7</f>
        <v>0</v>
      </c>
      <c r="F7" s="51" t="s">
        <v>273</v>
      </c>
      <c r="G7" s="51"/>
      <c r="H7" s="51"/>
      <c r="I7" s="51">
        <f t="shared" ref="I7:I35" si="1">G7*H7</f>
        <v>0</v>
      </c>
      <c r="J7" s="51"/>
      <c r="K7" s="51"/>
      <c r="L7" s="51">
        <f t="shared" ref="L7:L35" si="2">J7*K7</f>
        <v>0</v>
      </c>
    </row>
    <row r="8" spans="1:12" x14ac:dyDescent="0.25">
      <c r="B8" s="51"/>
      <c r="C8" s="51"/>
      <c r="D8" s="51"/>
      <c r="E8" s="51">
        <f t="shared" si="0"/>
        <v>0</v>
      </c>
      <c r="F8" s="51"/>
      <c r="G8" s="51"/>
      <c r="H8" s="51"/>
      <c r="I8" s="51">
        <f t="shared" si="1"/>
        <v>0</v>
      </c>
      <c r="J8" s="51"/>
      <c r="K8" s="51"/>
      <c r="L8" s="51">
        <f t="shared" si="2"/>
        <v>0</v>
      </c>
    </row>
    <row r="9" spans="1:12" x14ac:dyDescent="0.25">
      <c r="B9" s="51"/>
      <c r="C9" s="51"/>
      <c r="D9" s="51"/>
      <c r="E9" s="51">
        <f t="shared" si="0"/>
        <v>0</v>
      </c>
      <c r="F9" s="51" t="s">
        <v>274</v>
      </c>
      <c r="G9" s="51"/>
      <c r="H9" s="51"/>
      <c r="I9" s="51">
        <f t="shared" si="1"/>
        <v>0</v>
      </c>
      <c r="J9" s="51"/>
      <c r="K9" s="51"/>
      <c r="L9" s="51">
        <f t="shared" si="2"/>
        <v>0</v>
      </c>
    </row>
    <row r="10" spans="1:12" x14ac:dyDescent="0.25">
      <c r="B10" s="51" t="s">
        <v>275</v>
      </c>
      <c r="C10" s="51"/>
      <c r="D10" s="51"/>
      <c r="E10" s="51">
        <f t="shared" si="0"/>
        <v>0</v>
      </c>
      <c r="F10" s="51" t="s">
        <v>274</v>
      </c>
      <c r="G10" s="51"/>
      <c r="H10" s="51"/>
      <c r="I10" s="51">
        <f t="shared" si="1"/>
        <v>0</v>
      </c>
      <c r="J10" s="51"/>
      <c r="K10" s="51"/>
      <c r="L10" s="51">
        <f t="shared" si="2"/>
        <v>0</v>
      </c>
    </row>
    <row r="11" spans="1:12" x14ac:dyDescent="0.25">
      <c r="B11" s="51"/>
      <c r="C11" s="51"/>
      <c r="D11" s="51"/>
      <c r="E11" s="51">
        <f t="shared" si="0"/>
        <v>0</v>
      </c>
      <c r="F11" s="51" t="s">
        <v>276</v>
      </c>
      <c r="G11" s="51"/>
      <c r="H11" s="51"/>
      <c r="I11" s="51">
        <f t="shared" si="1"/>
        <v>0</v>
      </c>
      <c r="J11" s="51"/>
      <c r="K11" s="51"/>
      <c r="L11" s="51">
        <f t="shared" si="2"/>
        <v>0</v>
      </c>
    </row>
    <row r="12" spans="1:12" x14ac:dyDescent="0.25">
      <c r="B12" s="51"/>
      <c r="C12" s="51"/>
      <c r="D12" s="51"/>
      <c r="E12" s="51">
        <f t="shared" si="0"/>
        <v>0</v>
      </c>
      <c r="F12" s="51"/>
      <c r="G12" s="51"/>
      <c r="H12" s="51"/>
      <c r="I12" s="51">
        <f t="shared" si="1"/>
        <v>0</v>
      </c>
      <c r="J12" s="51"/>
      <c r="K12" s="51"/>
      <c r="L12" s="51">
        <f t="shared" si="2"/>
        <v>0</v>
      </c>
    </row>
    <row r="13" spans="1:12" x14ac:dyDescent="0.25">
      <c r="B13" s="51"/>
      <c r="C13" s="51"/>
      <c r="D13" s="51"/>
      <c r="E13" s="51">
        <f t="shared" si="0"/>
        <v>0</v>
      </c>
      <c r="F13" s="51"/>
      <c r="G13" s="51"/>
      <c r="H13" s="51"/>
      <c r="I13" s="51">
        <f t="shared" si="1"/>
        <v>0</v>
      </c>
      <c r="J13" s="51"/>
      <c r="K13" s="51"/>
      <c r="L13" s="51">
        <f t="shared" si="2"/>
        <v>0</v>
      </c>
    </row>
    <row r="14" spans="1:12" x14ac:dyDescent="0.25">
      <c r="B14" s="51" t="s">
        <v>277</v>
      </c>
      <c r="C14" s="51"/>
      <c r="D14" s="51"/>
      <c r="E14" s="51">
        <f t="shared" si="0"/>
        <v>0</v>
      </c>
      <c r="F14" s="51" t="s">
        <v>274</v>
      </c>
      <c r="G14" s="51"/>
      <c r="H14" s="51"/>
      <c r="I14" s="51">
        <f t="shared" si="1"/>
        <v>0</v>
      </c>
      <c r="J14" s="51"/>
      <c r="K14" s="51"/>
      <c r="L14" s="51">
        <f t="shared" si="2"/>
        <v>0</v>
      </c>
    </row>
    <row r="15" spans="1:12" x14ac:dyDescent="0.25">
      <c r="B15" s="51"/>
      <c r="C15" s="51"/>
      <c r="D15" s="51"/>
      <c r="E15" s="51">
        <f t="shared" si="0"/>
        <v>0</v>
      </c>
      <c r="F15" s="51" t="s">
        <v>276</v>
      </c>
      <c r="G15" s="51"/>
      <c r="H15" s="51"/>
      <c r="I15" s="51">
        <f t="shared" si="1"/>
        <v>0</v>
      </c>
      <c r="J15" s="51"/>
      <c r="K15" s="51"/>
      <c r="L15" s="51">
        <f t="shared" si="2"/>
        <v>0</v>
      </c>
    </row>
    <row r="16" spans="1:12" x14ac:dyDescent="0.25">
      <c r="B16" s="51"/>
      <c r="C16" s="51"/>
      <c r="D16" s="51"/>
      <c r="E16" s="51">
        <f t="shared" si="0"/>
        <v>0</v>
      </c>
      <c r="F16" s="51"/>
      <c r="G16" s="51"/>
      <c r="H16" s="51"/>
      <c r="I16" s="51">
        <f t="shared" si="1"/>
        <v>0</v>
      </c>
      <c r="J16" s="51"/>
      <c r="K16" s="51"/>
      <c r="L16" s="51">
        <f t="shared" si="2"/>
        <v>0</v>
      </c>
    </row>
    <row r="17" spans="2:12" x14ac:dyDescent="0.25">
      <c r="B17" s="51"/>
      <c r="C17" s="51"/>
      <c r="D17" s="51"/>
      <c r="E17" s="51">
        <f t="shared" si="0"/>
        <v>0</v>
      </c>
      <c r="F17" s="51"/>
      <c r="G17" s="51"/>
      <c r="H17" s="51"/>
      <c r="I17" s="51">
        <f t="shared" si="1"/>
        <v>0</v>
      </c>
      <c r="J17" s="51"/>
      <c r="K17" s="51"/>
      <c r="L17" s="51">
        <f t="shared" si="2"/>
        <v>0</v>
      </c>
    </row>
    <row r="18" spans="2:12" x14ac:dyDescent="0.25">
      <c r="B18" s="51" t="s">
        <v>278</v>
      </c>
      <c r="C18" s="51"/>
      <c r="D18" s="51"/>
      <c r="E18" s="51">
        <f t="shared" si="0"/>
        <v>0</v>
      </c>
      <c r="F18" s="51" t="s">
        <v>274</v>
      </c>
      <c r="G18" s="51"/>
      <c r="H18" s="51"/>
      <c r="I18" s="51">
        <f t="shared" si="1"/>
        <v>0</v>
      </c>
      <c r="J18" s="51"/>
      <c r="K18" s="51"/>
      <c r="L18" s="51">
        <f t="shared" si="2"/>
        <v>0</v>
      </c>
    </row>
    <row r="19" spans="2:12" x14ac:dyDescent="0.25">
      <c r="B19" s="51"/>
      <c r="C19" s="51"/>
      <c r="D19" s="51"/>
      <c r="E19" s="51">
        <f t="shared" si="0"/>
        <v>0</v>
      </c>
      <c r="F19" s="51" t="s">
        <v>276</v>
      </c>
      <c r="G19" s="51"/>
      <c r="H19" s="51"/>
      <c r="I19" s="51">
        <f t="shared" si="1"/>
        <v>0</v>
      </c>
      <c r="J19" s="51"/>
      <c r="K19" s="51"/>
      <c r="L19" s="51">
        <f t="shared" si="2"/>
        <v>0</v>
      </c>
    </row>
    <row r="20" spans="2:12" x14ac:dyDescent="0.25">
      <c r="B20" s="51"/>
      <c r="C20" s="51"/>
      <c r="D20" s="51"/>
      <c r="E20" s="51">
        <f t="shared" si="0"/>
        <v>0</v>
      </c>
      <c r="F20" s="51"/>
      <c r="G20" s="51"/>
      <c r="H20" s="51"/>
      <c r="I20" s="51">
        <f t="shared" si="1"/>
        <v>0</v>
      </c>
      <c r="J20" s="51"/>
      <c r="K20" s="51"/>
      <c r="L20" s="51">
        <f t="shared" si="2"/>
        <v>0</v>
      </c>
    </row>
    <row r="21" spans="2:12" x14ac:dyDescent="0.25">
      <c r="B21" s="51" t="s">
        <v>279</v>
      </c>
      <c r="C21" s="51"/>
      <c r="D21" s="51"/>
      <c r="E21" s="51">
        <f t="shared" si="0"/>
        <v>0</v>
      </c>
      <c r="F21" s="51" t="s">
        <v>274</v>
      </c>
      <c r="G21" s="51"/>
      <c r="H21" s="51"/>
      <c r="I21" s="51">
        <f t="shared" si="1"/>
        <v>0</v>
      </c>
      <c r="J21" s="51"/>
      <c r="K21" s="51"/>
      <c r="L21" s="51">
        <f t="shared" si="2"/>
        <v>0</v>
      </c>
    </row>
    <row r="22" spans="2:12" x14ac:dyDescent="0.25">
      <c r="B22" s="51"/>
      <c r="C22" s="51"/>
      <c r="D22" s="51"/>
      <c r="E22" s="51">
        <f t="shared" si="0"/>
        <v>0</v>
      </c>
      <c r="F22" s="51" t="s">
        <v>276</v>
      </c>
      <c r="G22" s="51"/>
      <c r="H22" s="51"/>
      <c r="I22" s="51">
        <f t="shared" si="1"/>
        <v>0</v>
      </c>
      <c r="J22" s="51"/>
      <c r="K22" s="51"/>
      <c r="L22" s="51">
        <f t="shared" si="2"/>
        <v>0</v>
      </c>
    </row>
    <row r="23" spans="2:12" x14ac:dyDescent="0.25">
      <c r="B23" s="51"/>
      <c r="C23" s="51"/>
      <c r="D23" s="51"/>
      <c r="E23" s="51">
        <f t="shared" si="0"/>
        <v>0</v>
      </c>
      <c r="F23" s="51"/>
      <c r="G23" s="51"/>
      <c r="H23" s="51"/>
      <c r="I23" s="51">
        <f t="shared" si="1"/>
        <v>0</v>
      </c>
      <c r="J23" s="51"/>
      <c r="K23" s="51"/>
      <c r="L23" s="51">
        <f t="shared" si="2"/>
        <v>0</v>
      </c>
    </row>
    <row r="24" spans="2:12" x14ac:dyDescent="0.25">
      <c r="B24" s="51" t="s">
        <v>280</v>
      </c>
      <c r="C24" s="51"/>
      <c r="D24" s="51"/>
      <c r="E24" s="51">
        <f t="shared" si="0"/>
        <v>0</v>
      </c>
      <c r="F24" s="51" t="s">
        <v>281</v>
      </c>
      <c r="G24" s="51"/>
      <c r="H24" s="51"/>
      <c r="I24" s="51">
        <f t="shared" si="1"/>
        <v>0</v>
      </c>
      <c r="J24" s="51"/>
      <c r="K24" s="51"/>
      <c r="L24" s="51">
        <f t="shared" si="2"/>
        <v>0</v>
      </c>
    </row>
    <row r="25" spans="2:12" x14ac:dyDescent="0.25">
      <c r="B25" s="51"/>
      <c r="C25" s="51"/>
      <c r="D25" s="51"/>
      <c r="E25" s="51">
        <f t="shared" si="0"/>
        <v>0</v>
      </c>
      <c r="F25" s="51" t="s">
        <v>281</v>
      </c>
      <c r="G25" s="51"/>
      <c r="H25" s="51"/>
      <c r="I25" s="51">
        <f t="shared" si="1"/>
        <v>0</v>
      </c>
      <c r="J25" s="51"/>
      <c r="K25" s="51"/>
      <c r="L25" s="51">
        <f t="shared" si="2"/>
        <v>0</v>
      </c>
    </row>
    <row r="26" spans="2:12" x14ac:dyDescent="0.25">
      <c r="B26" s="51"/>
      <c r="C26" s="51"/>
      <c r="D26" s="51"/>
      <c r="E26" s="51">
        <f t="shared" si="0"/>
        <v>0</v>
      </c>
      <c r="F26" s="51" t="s">
        <v>281</v>
      </c>
      <c r="G26" s="51"/>
      <c r="H26" s="51"/>
      <c r="I26" s="51">
        <f t="shared" si="1"/>
        <v>0</v>
      </c>
      <c r="J26" s="51"/>
      <c r="K26" s="51"/>
      <c r="L26" s="51">
        <f t="shared" si="2"/>
        <v>0</v>
      </c>
    </row>
    <row r="27" spans="2:12" x14ac:dyDescent="0.25">
      <c r="B27" s="51"/>
      <c r="C27" s="51"/>
      <c r="D27" s="51"/>
      <c r="E27" s="51">
        <f t="shared" si="0"/>
        <v>0</v>
      </c>
      <c r="F27" s="51" t="s">
        <v>281</v>
      </c>
      <c r="G27" s="51"/>
      <c r="H27" s="51"/>
      <c r="I27" s="51">
        <f t="shared" si="1"/>
        <v>0</v>
      </c>
      <c r="J27" s="51"/>
      <c r="K27" s="51"/>
      <c r="L27" s="51">
        <f t="shared" si="2"/>
        <v>0</v>
      </c>
    </row>
    <row r="28" spans="2:12" x14ac:dyDescent="0.25">
      <c r="B28" s="51" t="s">
        <v>282</v>
      </c>
      <c r="C28" s="51"/>
      <c r="D28" s="51"/>
      <c r="E28" s="51">
        <f t="shared" si="0"/>
        <v>0</v>
      </c>
      <c r="F28" s="51" t="s">
        <v>281</v>
      </c>
      <c r="G28" s="51"/>
      <c r="H28" s="51"/>
      <c r="I28" s="51">
        <f t="shared" si="1"/>
        <v>0</v>
      </c>
      <c r="J28" s="51"/>
      <c r="K28" s="51"/>
      <c r="L28" s="51">
        <f t="shared" si="2"/>
        <v>0</v>
      </c>
    </row>
    <row r="29" spans="2:12" x14ac:dyDescent="0.25">
      <c r="B29" s="51" t="s">
        <v>283</v>
      </c>
      <c r="C29" s="51"/>
      <c r="D29" s="51"/>
      <c r="E29" s="51">
        <f t="shared" si="0"/>
        <v>0</v>
      </c>
      <c r="F29" s="51" t="s">
        <v>281</v>
      </c>
      <c r="G29" s="51"/>
      <c r="H29" s="51"/>
      <c r="I29" s="51">
        <f t="shared" si="1"/>
        <v>0</v>
      </c>
      <c r="J29" s="51"/>
      <c r="K29" s="51"/>
      <c r="L29" s="51">
        <f t="shared" si="2"/>
        <v>0</v>
      </c>
    </row>
    <row r="30" spans="2:12" x14ac:dyDescent="0.25">
      <c r="B30" s="51" t="s">
        <v>284</v>
      </c>
      <c r="C30" s="51"/>
      <c r="D30" s="51"/>
      <c r="E30" s="51">
        <f t="shared" si="0"/>
        <v>0</v>
      </c>
      <c r="F30" s="51"/>
      <c r="G30" s="51"/>
      <c r="H30" s="51"/>
      <c r="I30" s="51">
        <f t="shared" si="1"/>
        <v>0</v>
      </c>
      <c r="J30" s="51"/>
      <c r="K30" s="51"/>
      <c r="L30" s="51">
        <f t="shared" si="2"/>
        <v>0</v>
      </c>
    </row>
    <row r="31" spans="2:12" x14ac:dyDescent="0.25">
      <c r="B31" s="51"/>
      <c r="C31" s="51"/>
      <c r="D31" s="51"/>
      <c r="E31" s="51">
        <f t="shared" si="0"/>
        <v>0</v>
      </c>
      <c r="F31" s="51"/>
      <c r="G31" s="51"/>
      <c r="H31" s="51"/>
      <c r="I31" s="51">
        <f t="shared" si="1"/>
        <v>0</v>
      </c>
      <c r="J31" s="51"/>
      <c r="K31" s="51"/>
      <c r="L31" s="51">
        <f t="shared" si="2"/>
        <v>0</v>
      </c>
    </row>
    <row r="32" spans="2:12" x14ac:dyDescent="0.25">
      <c r="B32" s="51"/>
      <c r="C32" s="51"/>
      <c r="D32" s="51"/>
      <c r="E32" s="51">
        <f t="shared" si="0"/>
        <v>0</v>
      </c>
      <c r="F32" s="51"/>
      <c r="G32" s="51"/>
      <c r="H32" s="51"/>
      <c r="I32" s="51">
        <f t="shared" si="1"/>
        <v>0</v>
      </c>
      <c r="J32" s="51"/>
      <c r="K32" s="51"/>
      <c r="L32" s="51">
        <f t="shared" si="2"/>
        <v>0</v>
      </c>
    </row>
    <row r="33" spans="2:12" x14ac:dyDescent="0.25">
      <c r="B33" s="51" t="s">
        <v>285</v>
      </c>
      <c r="C33" s="51"/>
      <c r="D33" s="51"/>
      <c r="E33" s="51">
        <f t="shared" si="0"/>
        <v>0</v>
      </c>
      <c r="F33" s="51"/>
      <c r="G33" s="51"/>
      <c r="H33" s="51"/>
      <c r="I33" s="51">
        <f t="shared" si="1"/>
        <v>0</v>
      </c>
      <c r="J33" s="51"/>
      <c r="K33" s="51"/>
      <c r="L33" s="51">
        <f t="shared" si="2"/>
        <v>0</v>
      </c>
    </row>
    <row r="34" spans="2:12" x14ac:dyDescent="0.25">
      <c r="B34" s="51" t="s">
        <v>286</v>
      </c>
      <c r="C34" s="51"/>
      <c r="D34" s="51"/>
      <c r="E34" s="51">
        <f t="shared" si="0"/>
        <v>0</v>
      </c>
      <c r="F34" s="51"/>
      <c r="G34" s="51"/>
      <c r="H34" s="51"/>
      <c r="I34" s="51">
        <f t="shared" si="1"/>
        <v>0</v>
      </c>
      <c r="J34" s="51"/>
      <c r="K34" s="51"/>
      <c r="L34" s="51">
        <f t="shared" si="2"/>
        <v>0</v>
      </c>
    </row>
    <row r="35" spans="2:12" x14ac:dyDescent="0.25">
      <c r="B35" s="51" t="s">
        <v>287</v>
      </c>
      <c r="C35" s="51"/>
      <c r="D35" s="51"/>
      <c r="E35" s="51">
        <f t="shared" si="0"/>
        <v>0</v>
      </c>
      <c r="F35" s="51"/>
      <c r="G35" s="51"/>
      <c r="H35" s="51"/>
      <c r="I35" s="51">
        <f t="shared" si="1"/>
        <v>0</v>
      </c>
      <c r="J35" s="51"/>
      <c r="K35" s="51"/>
      <c r="L35" s="51">
        <f t="shared" si="2"/>
        <v>0</v>
      </c>
    </row>
    <row r="36" spans="2:12" x14ac:dyDescent="0.25">
      <c r="B36" s="51" t="s">
        <v>288</v>
      </c>
      <c r="C36" s="51"/>
      <c r="D36" s="51"/>
      <c r="E36" s="51">
        <f t="shared" si="0"/>
        <v>0</v>
      </c>
      <c r="F36" s="51"/>
      <c r="G36" s="51"/>
      <c r="H36" s="51"/>
      <c r="I36" s="51">
        <f>G36*H36</f>
        <v>0</v>
      </c>
      <c r="J36" s="51"/>
      <c r="K36" s="51"/>
      <c r="L36" s="51">
        <f>J36*K36</f>
        <v>0</v>
      </c>
    </row>
    <row r="37" spans="2:12" x14ac:dyDescent="0.25">
      <c r="B37" s="51"/>
      <c r="C37" s="51"/>
      <c r="D37" s="51"/>
      <c r="E37" s="51">
        <f t="shared" si="0"/>
        <v>0</v>
      </c>
      <c r="F37" s="51"/>
      <c r="G37" s="51"/>
      <c r="H37" s="51"/>
      <c r="I37" s="51">
        <f t="shared" ref="I37:I38" si="3">G37*H37</f>
        <v>0</v>
      </c>
      <c r="J37" s="51"/>
      <c r="K37" s="51"/>
      <c r="L37" s="51">
        <f t="shared" ref="L37:L38" si="4">J37*K37</f>
        <v>0</v>
      </c>
    </row>
    <row r="38" spans="2:12" x14ac:dyDescent="0.25">
      <c r="B38" s="51" t="s">
        <v>289</v>
      </c>
      <c r="C38" s="51"/>
      <c r="D38" s="51"/>
      <c r="E38" s="51">
        <f t="shared" si="0"/>
        <v>0</v>
      </c>
      <c r="F38" s="51"/>
      <c r="G38" s="51"/>
      <c r="H38" s="51"/>
      <c r="I38" s="51">
        <f t="shared" si="3"/>
        <v>0</v>
      </c>
      <c r="J38" s="51"/>
      <c r="K38" s="51"/>
      <c r="L38" s="51">
        <f t="shared" si="4"/>
        <v>0</v>
      </c>
    </row>
    <row r="39" spans="2:12" x14ac:dyDescent="0.25">
      <c r="B39" s="51"/>
      <c r="C39" s="51"/>
      <c r="D39" s="51"/>
      <c r="E39" s="51">
        <f t="shared" si="0"/>
        <v>0</v>
      </c>
      <c r="F39" s="51"/>
      <c r="G39" s="51"/>
      <c r="H39" s="51"/>
      <c r="I39" s="51">
        <f>G39*H39</f>
        <v>0</v>
      </c>
      <c r="J39" s="51"/>
      <c r="K39" s="51"/>
      <c r="L39" s="51">
        <f>J39*K39</f>
        <v>0</v>
      </c>
    </row>
    <row r="40" spans="2:12" x14ac:dyDescent="0.25">
      <c r="B40" s="51"/>
      <c r="C40" s="51"/>
      <c r="D40" s="51"/>
      <c r="E40" s="51">
        <f t="shared" si="0"/>
        <v>0</v>
      </c>
      <c r="F40" s="51"/>
      <c r="G40" s="51"/>
      <c r="H40" s="51"/>
      <c r="I40" s="51">
        <f>G40*H40</f>
        <v>0</v>
      </c>
      <c r="J40" s="51"/>
      <c r="K40" s="51"/>
      <c r="L40" s="51">
        <f>J40*K40</f>
        <v>0</v>
      </c>
    </row>
    <row r="41" spans="2:12" x14ac:dyDescent="0.25">
      <c r="B41" s="51"/>
      <c r="C41" s="51"/>
      <c r="D41" s="51"/>
      <c r="E41" s="51">
        <f t="shared" si="0"/>
        <v>0</v>
      </c>
      <c r="F41" s="51"/>
      <c r="G41" s="51"/>
      <c r="H41" s="51"/>
      <c r="I41" s="51">
        <f>G41*H41</f>
        <v>0</v>
      </c>
      <c r="J41" s="51"/>
      <c r="K41" s="51"/>
      <c r="L41" s="51">
        <f>J41*K41</f>
        <v>0</v>
      </c>
    </row>
    <row r="42" spans="2:12" x14ac:dyDescent="0.25">
      <c r="B42" s="51" t="s">
        <v>152</v>
      </c>
      <c r="C42" s="51"/>
      <c r="D42" s="51">
        <f>E42*10.764</f>
        <v>0</v>
      </c>
      <c r="E42" s="66">
        <f>SUM(E6:E41)</f>
        <v>0</v>
      </c>
      <c r="F42" s="51"/>
      <c r="G42" s="51"/>
      <c r="H42" s="51">
        <f>I42*10.764</f>
        <v>0</v>
      </c>
      <c r="I42" s="67">
        <f>SUM(I6:I41)</f>
        <v>0</v>
      </c>
      <c r="J42" s="51"/>
      <c r="K42" s="51">
        <f>L42*10.764</f>
        <v>0</v>
      </c>
      <c r="L42" s="68">
        <f>SUM(L6:L41)</f>
        <v>0</v>
      </c>
    </row>
    <row r="44" spans="2:12" x14ac:dyDescent="0.25">
      <c r="D44" s="63">
        <f>D42+H42</f>
        <v>0</v>
      </c>
      <c r="E44" s="63">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Construction table</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2025-07-05T09:19:52Z</cp:lastPrinted>
  <dcterms:created xsi:type="dcterms:W3CDTF">2010-11-23T11:42:48Z</dcterms:created>
  <dcterms:modified xsi:type="dcterms:W3CDTF">2025-07-05T09:22:08Z</dcterms:modified>
</cp:coreProperties>
</file>