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50BBE637-39B5-4B30-B303-09E72DE0868A}" xr6:coauthVersionLast="47" xr6:coauthVersionMax="47" xr10:uidLastSave="{00000000-0000-0000-0000-000000000000}"/>
  <bookViews>
    <workbookView xWindow="-108" yWindow="-108" windowWidth="23256" windowHeight="12456" xr2:uid="{00000000-000D-0000-FFFF-FFFF00000000}"/>
  </bookViews>
  <sheets>
    <sheet name="Report" sheetId="3" r:id="rId1"/>
    <sheet name="Sheet1" sheetId="4" r:id="rId2"/>
  </sheets>
  <definedNames>
    <definedName name="_xlnm.Print_Area" localSheetId="0">Report!$A$1:$I$369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3" l="1"/>
  <c r="C60" i="3" s="1"/>
  <c r="C61" i="3" s="1"/>
  <c r="N4" i="3"/>
  <c r="C75" i="3" l="1"/>
  <c r="C76" i="3" s="1"/>
  <c r="C77" i="3" s="1"/>
  <c r="A85" i="3"/>
  <c r="A69" i="3"/>
  <c r="A53" i="3"/>
  <c r="M97" i="3"/>
  <c r="K95" i="3"/>
  <c r="K94" i="3"/>
  <c r="K93" i="3"/>
  <c r="K92" i="3"/>
  <c r="M81" i="3"/>
  <c r="K79" i="3"/>
  <c r="K78" i="3"/>
  <c r="K77" i="3"/>
  <c r="K76" i="3"/>
  <c r="M65" i="3"/>
  <c r="K63" i="3"/>
  <c r="K62" i="3"/>
  <c r="K61" i="3"/>
  <c r="K60" i="3"/>
  <c r="I70" i="3"/>
  <c r="I86" i="3"/>
  <c r="I54" i="3"/>
  <c r="E99" i="3" l="1"/>
  <c r="E95" i="3"/>
  <c r="E91" i="3"/>
  <c r="E98" i="3"/>
  <c r="K90" i="3"/>
  <c r="E94" i="3"/>
  <c r="E90" i="3"/>
  <c r="K87" i="3"/>
  <c r="K89" i="3"/>
  <c r="C88" i="3" s="1"/>
  <c r="E97" i="3"/>
  <c r="E93" i="3"/>
  <c r="K88" i="3"/>
  <c r="E96" i="3"/>
  <c r="E92" i="3"/>
  <c r="E82" i="3"/>
  <c r="K74" i="3"/>
  <c r="K75" i="3" s="1"/>
  <c r="K80" i="3" s="1"/>
  <c r="K81" i="3" s="1"/>
  <c r="E78" i="3"/>
  <c r="E74" i="3"/>
  <c r="K71" i="3"/>
  <c r="K73" i="3"/>
  <c r="K72" i="3"/>
  <c r="E79" i="3"/>
  <c r="E75" i="3"/>
  <c r="E77" i="3"/>
  <c r="E80" i="3"/>
  <c r="E76" i="3"/>
  <c r="E83" i="3"/>
  <c r="E81" i="3"/>
  <c r="E73" i="3"/>
  <c r="E67" i="3"/>
  <c r="E63" i="3"/>
  <c r="E59" i="3"/>
  <c r="E58" i="3"/>
  <c r="E66" i="3"/>
  <c r="K58" i="3"/>
  <c r="K59" i="3" s="1"/>
  <c r="K64" i="3" s="1"/>
  <c r="K65" i="3" s="1"/>
  <c r="E62" i="3"/>
  <c r="K57" i="3"/>
  <c r="E65" i="3"/>
  <c r="E61" i="3"/>
  <c r="E57" i="3"/>
  <c r="K55" i="3"/>
  <c r="K56" i="3"/>
  <c r="E64" i="3"/>
  <c r="E60" i="3"/>
  <c r="J143" i="3"/>
  <c r="K91" i="3" l="1"/>
  <c r="C72" i="3"/>
  <c r="F72" i="3" s="1"/>
  <c r="C56" i="3"/>
  <c r="F56" i="3" s="1"/>
  <c r="E88" i="3"/>
  <c r="K96" i="3" l="1"/>
  <c r="K97" i="3" s="1"/>
  <c r="C89" i="3" s="1"/>
  <c r="E56" i="3"/>
  <c r="J53" i="3" s="1"/>
  <c r="H56" i="3" s="1"/>
  <c r="E72" i="3"/>
  <c r="J69" i="3" s="1"/>
  <c r="H72" i="3" s="1"/>
  <c r="F88" i="3" l="1"/>
  <c r="H100" i="3" s="1"/>
  <c r="E89" i="3"/>
  <c r="J119" i="3"/>
  <c r="J118" i="3"/>
  <c r="J117" i="3"/>
  <c r="M117" i="3"/>
  <c r="F211" i="3"/>
  <c r="F210" i="3"/>
  <c r="F209" i="3"/>
  <c r="F208" i="3"/>
  <c r="F205" i="3"/>
  <c r="F204" i="3"/>
  <c r="F203" i="3"/>
  <c r="F202" i="3"/>
  <c r="F201" i="3"/>
  <c r="F196" i="3"/>
  <c r="F194" i="3"/>
  <c r="F185" i="3"/>
  <c r="F183" i="3"/>
  <c r="F172" i="3"/>
  <c r="F171" i="3"/>
  <c r="F170" i="3"/>
  <c r="F168" i="3"/>
  <c r="F167" i="3"/>
  <c r="F165" i="3"/>
  <c r="F164" i="3"/>
  <c r="F162" i="3"/>
  <c r="F161" i="3"/>
  <c r="F163" i="3"/>
  <c r="F160" i="3"/>
  <c r="F156" i="3"/>
  <c r="F153" i="3"/>
  <c r="F149" i="3"/>
  <c r="F146" i="3"/>
  <c r="J202" i="3"/>
  <c r="J201" i="3"/>
  <c r="F195" i="3"/>
  <c r="F193" i="3"/>
  <c r="F191" i="3"/>
  <c r="F190" i="3"/>
  <c r="F189" i="3"/>
  <c r="F188" i="3"/>
  <c r="F187" i="3"/>
  <c r="J177" i="3"/>
  <c r="J176" i="3"/>
  <c r="F184" i="3"/>
  <c r="F182" i="3"/>
  <c r="F181" i="3"/>
  <c r="F178" i="3"/>
  <c r="F179" i="3"/>
  <c r="F180" i="3"/>
  <c r="F177" i="3"/>
  <c r="F176" i="3"/>
  <c r="J165" i="3"/>
  <c r="J146" i="3"/>
  <c r="L146" i="3"/>
  <c r="J139" i="3"/>
  <c r="J135" i="3"/>
  <c r="J131" i="3"/>
  <c r="F142" i="3"/>
  <c r="F141" i="3"/>
  <c r="F140" i="3"/>
  <c r="F139" i="3"/>
  <c r="F138" i="3"/>
  <c r="I138" i="3" s="1"/>
  <c r="F137" i="3"/>
  <c r="I137" i="3" s="1"/>
  <c r="F135" i="3"/>
  <c r="F134" i="3"/>
  <c r="F133" i="3"/>
  <c r="F132" i="3"/>
  <c r="F131" i="3"/>
  <c r="F130" i="3"/>
  <c r="J85" i="3" l="1"/>
  <c r="H88" i="3" s="1"/>
  <c r="F119" i="3"/>
  <c r="H123" i="3"/>
  <c r="H119" i="3"/>
  <c r="F123" i="3"/>
  <c r="H118" i="3"/>
  <c r="F118" i="3"/>
  <c r="E215" i="3"/>
  <c r="K20" i="3" l="1"/>
  <c r="I211" i="3"/>
  <c r="I210" i="3"/>
  <c r="I205" i="3"/>
  <c r="I204" i="3"/>
  <c r="I209" i="3"/>
  <c r="I208" i="3"/>
  <c r="C208" i="3"/>
  <c r="C209" i="3" s="1"/>
  <c r="C210" i="3" s="1"/>
  <c r="C211" i="3" s="1"/>
  <c r="F207" i="3"/>
  <c r="I207" i="3" s="1"/>
  <c r="A207" i="3"/>
  <c r="O204" i="3"/>
  <c r="N204" i="3"/>
  <c r="M204" i="3"/>
  <c r="I203" i="3"/>
  <c r="C202" i="3"/>
  <c r="C203" i="3" s="1"/>
  <c r="C204" i="3" s="1"/>
  <c r="C205" i="3" s="1"/>
  <c r="A201" i="3"/>
  <c r="I201" i="3" l="1"/>
  <c r="I202" i="3"/>
  <c r="I119" i="3" l="1"/>
  <c r="F147" i="3"/>
  <c r="F143" i="3"/>
  <c r="E42" i="4" l="1"/>
  <c r="E57" i="4"/>
  <c r="E56" i="4"/>
  <c r="E55" i="4"/>
  <c r="E54" i="4"/>
  <c r="E52" i="4"/>
  <c r="E51" i="4"/>
  <c r="E50" i="4"/>
  <c r="E49" i="4"/>
  <c r="E48" i="4"/>
  <c r="E46" i="4"/>
  <c r="E45" i="4"/>
  <c r="E44" i="4"/>
  <c r="E43" i="4"/>
  <c r="E41" i="4"/>
  <c r="E40" i="4"/>
  <c r="E39" i="4"/>
  <c r="E38" i="4"/>
  <c r="E37" i="4"/>
  <c r="E31" i="4"/>
  <c r="E28" i="4"/>
  <c r="E24" i="4"/>
  <c r="E21" i="4"/>
  <c r="E19" i="4"/>
  <c r="E18" i="4"/>
  <c r="E17" i="4"/>
  <c r="E15" i="4"/>
  <c r="E14" i="4"/>
  <c r="E12" i="4"/>
  <c r="E11" i="4"/>
  <c r="E10" i="4"/>
  <c r="E9" i="4"/>
  <c r="E8" i="4"/>
  <c r="E7" i="4"/>
  <c r="E5" i="4"/>
  <c r="E4" i="4"/>
  <c r="M161" i="3" l="1"/>
  <c r="O179" i="3"/>
  <c r="N179" i="3"/>
  <c r="M179" i="3"/>
  <c r="H112" i="3" l="1"/>
  <c r="H113" i="3"/>
  <c r="J20" i="3"/>
  <c r="J19" i="3"/>
  <c r="I196" i="3"/>
  <c r="I195" i="3"/>
  <c r="I194" i="3"/>
  <c r="I193" i="3"/>
  <c r="I191" i="3"/>
  <c r="I190" i="3"/>
  <c r="I189" i="3"/>
  <c r="C188" i="3"/>
  <c r="C189" i="3" s="1"/>
  <c r="C190" i="3" s="1"/>
  <c r="C191" i="3" s="1"/>
  <c r="C192" i="3" s="1"/>
  <c r="C193" i="3" s="1"/>
  <c r="C194" i="3" s="1"/>
  <c r="C195" i="3" s="1"/>
  <c r="C196" i="3" s="1"/>
  <c r="I187" i="3"/>
  <c r="A187" i="3"/>
  <c r="I185" i="3"/>
  <c r="I184" i="3"/>
  <c r="M181" i="3"/>
  <c r="I179" i="3"/>
  <c r="I180" i="3"/>
  <c r="I178" i="3"/>
  <c r="I176" i="3"/>
  <c r="I183" i="3"/>
  <c r="I182" i="3"/>
  <c r="C177" i="3"/>
  <c r="C178" i="3" s="1"/>
  <c r="C179" i="3" s="1"/>
  <c r="C180" i="3" s="1"/>
  <c r="C181" i="3" s="1"/>
  <c r="C182" i="3" s="1"/>
  <c r="C183" i="3" s="1"/>
  <c r="C184" i="3" s="1"/>
  <c r="C185" i="3" s="1"/>
  <c r="A176" i="3"/>
  <c r="J21" i="3" l="1"/>
  <c r="K21" i="3" s="1"/>
  <c r="M177" i="3"/>
  <c r="I188" i="3"/>
  <c r="M188" i="3"/>
  <c r="I177" i="3"/>
  <c r="I181" i="3"/>
  <c r="F158" i="3"/>
  <c r="I158" i="3" s="1"/>
  <c r="F157" i="3"/>
  <c r="I157" i="3" s="1"/>
  <c r="I156" i="3"/>
  <c r="F154" i="3"/>
  <c r="C154" i="3"/>
  <c r="C155" i="3" s="1"/>
  <c r="C156" i="3" s="1"/>
  <c r="C157" i="3" s="1"/>
  <c r="C158" i="3" s="1"/>
  <c r="I153" i="3"/>
  <c r="A153" i="3"/>
  <c r="I172" i="3"/>
  <c r="I171" i="3"/>
  <c r="I170" i="3"/>
  <c r="F169" i="3"/>
  <c r="I169" i="3" s="1"/>
  <c r="I168" i="3"/>
  <c r="C168" i="3"/>
  <c r="C169" i="3" s="1"/>
  <c r="C170" i="3" s="1"/>
  <c r="C171" i="3" s="1"/>
  <c r="C172" i="3" s="1"/>
  <c r="I167" i="3"/>
  <c r="A167" i="3"/>
  <c r="I165" i="3"/>
  <c r="I164" i="3"/>
  <c r="I162" i="3"/>
  <c r="I161" i="3"/>
  <c r="I163" i="3"/>
  <c r="C161" i="3"/>
  <c r="C162" i="3" s="1"/>
  <c r="C163" i="3" s="1"/>
  <c r="C164" i="3" s="1"/>
  <c r="C165" i="3" s="1"/>
  <c r="I160" i="3"/>
  <c r="A160" i="3"/>
  <c r="F151" i="3"/>
  <c r="F150" i="3"/>
  <c r="F148" i="3"/>
  <c r="F144" i="3"/>
  <c r="I139" i="3"/>
  <c r="I142" i="3"/>
  <c r="I141" i="3"/>
  <c r="I140" i="3"/>
  <c r="C142" i="3"/>
  <c r="A137" i="3"/>
  <c r="C144" i="3" s="1"/>
  <c r="I135" i="3"/>
  <c r="I134" i="3"/>
  <c r="I132" i="3"/>
  <c r="I133" i="3"/>
  <c r="I131" i="3"/>
  <c r="C131" i="3"/>
  <c r="C132" i="3" s="1"/>
  <c r="C133" i="3" s="1"/>
  <c r="C134" i="3" s="1"/>
  <c r="C135" i="3" s="1"/>
  <c r="A130" i="3"/>
  <c r="C17" i="3"/>
  <c r="H117" i="3" l="1"/>
  <c r="H120" i="3" s="1"/>
  <c r="F117" i="3"/>
  <c r="F120" i="3" s="1"/>
  <c r="I118" i="3"/>
  <c r="I144" i="3"/>
  <c r="I154" i="3"/>
  <c r="J155" i="3"/>
  <c r="I130" i="3"/>
  <c r="I123" i="3" s="1"/>
  <c r="I143" i="3"/>
  <c r="I4" i="3" l="1"/>
  <c r="A146" i="3" l="1"/>
  <c r="C147" i="3"/>
  <c r="C148" i="3" s="1"/>
  <c r="C149" i="3" s="1"/>
  <c r="C150" i="3" s="1"/>
  <c r="C151" i="3" s="1"/>
  <c r="E216" i="3" l="1"/>
  <c r="H114" i="3"/>
  <c r="I147" i="3" l="1"/>
  <c r="I148" i="3"/>
  <c r="I149" i="3"/>
  <c r="I150" i="3"/>
  <c r="I151" i="3"/>
  <c r="I146" i="3"/>
  <c r="I117" i="3" l="1"/>
  <c r="I120" i="3" s="1"/>
  <c r="E217" i="3"/>
</calcChain>
</file>

<file path=xl/sharedStrings.xml><?xml version="1.0" encoding="utf-8"?>
<sst xmlns="http://schemas.openxmlformats.org/spreadsheetml/2006/main" count="552" uniqueCount="271">
  <si>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</si>
  <si>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</si>
  <si>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</si>
  <si>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</si>
  <si>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</si>
  <si>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</si>
  <si>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</si>
  <si>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</si>
  <si>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</si>
  <si>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</si>
  <si>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</si>
  <si>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</si>
  <si>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</si>
  <si>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</si>
  <si>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</si>
  <si>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</si>
  <si>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</si>
  <si>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</si>
  <si>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</si>
  <si>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</si>
  <si>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</si>
  <si>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</si>
  <si>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</si>
  <si>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</si>
  <si>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</si>
  <si>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</si>
  <si>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</si>
  <si>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</si>
  <si>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</si>
  <si>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</si>
  <si>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</si>
  <si>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</si>
  <si>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</si>
  <si>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</si>
  <si>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</si>
  <si>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</si>
  <si>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</si>
  <si>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</si>
  <si>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</si>
  <si>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</si>
  <si>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</si>
  <si>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</si>
  <si>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</si>
  <si>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</si>
  <si>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</si>
  <si>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</si>
  <si>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</si>
  <si>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</si>
  <si>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</si>
  <si>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</si>
  <si>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</si>
  <si>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</si>
  <si>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</si>
  <si>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</si>
  <si>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</si>
  <si>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</si>
  <si>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</si>
  <si>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</si>
  <si>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</si>
  <si>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</si>
  <si>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</si>
  <si>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</si>
  <si>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</si>
  <si>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</si>
  <si>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</si>
  <si>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</si>
  <si>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</si>
  <si>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</si>
  <si>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</si>
  <si>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</si>
  <si>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</si>
  <si>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</si>
  <si>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</si>
  <si>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</si>
  <si>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</si>
  <si>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</si>
  <si>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</si>
  <si>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</si>
  <si>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</si>
  <si>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</si>
  <si>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</si>
  <si>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</si>
  <si>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</si>
  <si>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</si>
  <si>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</si>
  <si>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</si>
  <si>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</si>
  <si>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</si>
  <si>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</si>
  <si>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</si>
  <si>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</si>
  <si>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</si>
  <si>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</si>
  <si>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</si>
  <si>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</si>
  <si>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</si>
  <si>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</si>
  <si>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</si>
  <si>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</si>
  <si>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</si>
  <si>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</si>
  <si>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</si>
  <si>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</si>
  <si>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</si>
  <si>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</si>
  <si>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</si>
  <si>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</si>
  <si>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</si>
  <si>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</si>
  <si>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</si>
  <si>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</si>
  <si>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</si>
  <si>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</si>
  <si>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</si>
  <si>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</si>
  <si>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</si>
  <si>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</si>
  <si>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</si>
  <si>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</si>
  <si>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</si>
  <si>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</si>
  <si>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</si>
  <si>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</si>
  <si>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</si>
  <si>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</si>
  <si>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</si>
  <si>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</si>
  <si>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</si>
  <si>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</si>
  <si>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</si>
  <si>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</si>
  <si>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</si>
  <si>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</si>
  <si>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</si>
  <si>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</si>
  <si>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</si>
  <si>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</si>
  <si>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</si>
  <si>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</si>
  <si>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</si>
  <si>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</si>
  <si>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</si>
  <si>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</si>
  <si>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</si>
  <si>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</si>
  <si>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</si>
  <si>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</si>
  <si>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</si>
  <si>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</si>
  <si>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</si>
  <si>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</si>
  <si>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</si>
  <si>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</si>
  <si>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</si>
  <si>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</si>
  <si>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</si>
  <si>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</si>
  <si>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</si>
  <si>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</si>
  <si>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</si>
  <si>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</si>
  <si>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</si>
  <si>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</si>
  <si>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</si>
  <si>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</si>
  <si>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</si>
  <si>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</si>
  <si>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</si>
  <si>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</si>
  <si>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</si>
  <si>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</si>
  <si>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</si>
  <si>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</si>
  <si>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</si>
  <si>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</si>
  <si>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</si>
  <si>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</si>
  <si>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</si>
  <si>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</si>
  <si>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</si>
  <si>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</si>
  <si>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</si>
  <si>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</si>
  <si>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</si>
  <si>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</si>
  <si>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</si>
  <si>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</si>
  <si>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</si>
  <si>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</si>
  <si>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</si>
  <si>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</si>
  <si>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</si>
  <si>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</si>
  <si>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</si>
  <si>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Residential + Commercial</t>
  </si>
  <si>
    <t>Godrej Properties</t>
  </si>
  <si>
    <t>Ceear Lifespaces Private Limited</t>
  </si>
  <si>
    <t>Unit No. 5C, 5th Floor, Godrej One, Pirojshanagar, Vikhroli East, Mumbai - 400 079</t>
  </si>
  <si>
    <t>5.6 KM from Thane Railway Station</t>
  </si>
  <si>
    <t>Middle</t>
  </si>
  <si>
    <t>About 2.3KM form Universal Multispeciality Hospital</t>
  </si>
  <si>
    <t>400 M from Dhokali Naka Bus Stop</t>
  </si>
  <si>
    <t>About 1.1 KM from Amber International School</t>
  </si>
  <si>
    <t xml:space="preserve">Thane Municipal Corporation
</t>
  </si>
  <si>
    <t>Tower 4</t>
  </si>
  <si>
    <t>Kalpataru Starlight</t>
  </si>
  <si>
    <t>Kolshet Road</t>
  </si>
  <si>
    <t>Open Plot</t>
  </si>
  <si>
    <t>Kalpataru Sunrise Wing C</t>
  </si>
  <si>
    <t>Internal Road</t>
  </si>
  <si>
    <t>Gr + 1st to 42nd Floor</t>
  </si>
  <si>
    <t>Approved Layout &amp; Floor Plans, CC, RERA certificate</t>
  </si>
  <si>
    <t>Shop</t>
  </si>
  <si>
    <t>3BHK</t>
  </si>
  <si>
    <t>2nd to 7th &amp; 9th to 12th, 14th to 17th, 19th to 22nd, 24th to 27th, 29th &amp; 30th Floor</t>
  </si>
  <si>
    <t>31st, 32nd, 34th to 37th, 39th to 42nd Floor</t>
  </si>
  <si>
    <t>Refuge Area</t>
  </si>
  <si>
    <t>33rd &amp; 38th Floor (Part Refuge Area)</t>
  </si>
  <si>
    <t>Flats</t>
  </si>
  <si>
    <t>1st to 7th &amp; 9th to 12th, 14th to 17th, 19th to 22nd, 24th to 27th, 29th &amp; 32nd, 34th to 37th, 39th to 42nd Floor</t>
  </si>
  <si>
    <t>2BHK</t>
  </si>
  <si>
    <t>1BHK</t>
  </si>
  <si>
    <t>8th, 13th, 18th, 23rd, 28th, 33rd &amp; 38th Floor (Part Refuge Area)</t>
  </si>
  <si>
    <t>8th, 13th, 18th, 23rd &amp; 28th Floor (Part Refuge Area)</t>
  </si>
  <si>
    <t>On Carpet area</t>
  </si>
  <si>
    <t>20000 to 21000</t>
  </si>
  <si>
    <t xml:space="preserve">Area Shet </t>
  </si>
  <si>
    <t xml:space="preserve">Flat No </t>
  </si>
  <si>
    <t>CA</t>
  </si>
  <si>
    <t>Phase 1 - P51700034608
Phase 2 - P51700046541</t>
  </si>
  <si>
    <t>Phase 1 - 30/04/2028
Phase 2 - 31/12/2028</t>
  </si>
  <si>
    <t xml:space="preserve">Phase 1 - Axis Bank
                IFSC Code - UTIB0000695
Phase 2 - Axis Bank
                IFSC Code - UTIB0000004
</t>
  </si>
  <si>
    <t>Tower 3</t>
  </si>
  <si>
    <t>2nd to 7th, 9th to 12th, 14th to 17th, 19th to 22nd, 24th to 27th, 29th &amp; 30th Floor</t>
  </si>
  <si>
    <t>1st to 7th,  9th to 12th, 14th to 17th, 19th to 22nd, 24th to 27th, 29th to 32nd, 34th to 37th, 39th to 42nd Floor</t>
  </si>
  <si>
    <t>Godrej Ascend Phase 1 (Tower 2 &amp; Tower 4) &amp; Godrej Ascend Phase 2 (Tower 3),  Road. Kolshet, Village.Balkum &amp; Dhokali, Thane West, Thane - 400607</t>
  </si>
  <si>
    <t>Godrej Ascend Phase 1 (Tower 2 &amp; Tower 4) &amp; Godrej Ascend Phase 2 (Tower 3),  Road. Kolshet, Village. Dhokali, Thane West, Thane - 400607</t>
  </si>
  <si>
    <t>Tower 3 - Panorama</t>
  </si>
  <si>
    <t>Gr + 1st to 41st Floor</t>
  </si>
  <si>
    <t>Phase 1 - 20/04/2022
Phase 2 - 10/08/2022</t>
  </si>
  <si>
    <t>Phase 1 - April - 2022
Phase 2 - August -2022</t>
  </si>
  <si>
    <t>Location Link</t>
  </si>
  <si>
    <t>https://maps.app.goo.gl/wRrtjqDJc6NEPBNU6</t>
  </si>
  <si>
    <t>Phase I</t>
  </si>
  <si>
    <t>1st Floor For Commercial &amp; Residential</t>
  </si>
  <si>
    <t>Ground Floor For  Commercial, Meter Room, Fire Control Room &amp; Entrance</t>
  </si>
  <si>
    <t>Ground Floor For Entrance Lobby, Meter Room, Fire Control Room &amp; Parking</t>
  </si>
  <si>
    <t>1st to 7th &amp; 9th to 12th, 14th to 17th, 19th to 22nd, 24th to 27th, 29th to 32nd, 34th to 37th &amp; 39th to 41st Floor For Residential</t>
  </si>
  <si>
    <t>Ground Floor For Meter Room, Society Office, BMS Room , Entrance Lobby &amp; Parking</t>
  </si>
  <si>
    <t>Flats = 852</t>
  </si>
  <si>
    <t>Shop = 12</t>
  </si>
  <si>
    <t>As Per RERA Site - Flats = 852, 
Shop - 12</t>
  </si>
  <si>
    <t>1. Approx. 800M from D Mart Kolshet.
2. Approx. 1.6KM from Nutro Fresh.</t>
  </si>
  <si>
    <t>Mr. Ajay Songare</t>
  </si>
  <si>
    <t>Layout</t>
  </si>
  <si>
    <t>Phase II</t>
  </si>
  <si>
    <t>External Plaster</t>
  </si>
  <si>
    <t>External Plumbing, Elevation and Waterproofing</t>
  </si>
  <si>
    <t>Wooden Work</t>
  </si>
  <si>
    <t>Electrical &amp; Sanitary fittings</t>
  </si>
  <si>
    <t>Swimming pool/Kids Pool, Indoor Gymnasium, Kids Play Area, Club House, Party Lawn, Meditaion Zone, Multiplay Area, Jogging Track, Senior Citizens Seating, Reflexlogy, Aroma Pool, Co-working space, Premium Guest Suites, Multi purpose hall, Squash Court, Mini Theatre</t>
  </si>
  <si>
    <t>Godrej Ascend Phase 1 (Tower 2 &amp; Tower 4) &amp; Godrej Ascend Phase 2 (Tower 3), Survey No.234/1, 234/2, 235, Village Balkum, &amp; Survey No. 39, 40, 41, Village. Dhokali, Thane, Thane - 400607</t>
  </si>
  <si>
    <r>
      <rPr>
        <b/>
        <sz val="16"/>
        <rFont val="Times New Roman"/>
        <family val="1"/>
      </rPr>
      <t xml:space="preserve">Phase I &amp; Phase II
</t>
    </r>
    <r>
      <rPr>
        <sz val="16"/>
        <rFont val="Times New Roman"/>
        <family val="1"/>
      </rPr>
      <t xml:space="preserve">S05/0194/19TMCB/TDD/0109/ (P/C)/2024/Auto DCR
Date: 26/03/2024
</t>
    </r>
    <r>
      <rPr>
        <b/>
        <sz val="16"/>
        <rFont val="Times New Roman"/>
        <family val="1"/>
      </rPr>
      <t/>
    </r>
  </si>
  <si>
    <r>
      <rPr>
        <b/>
        <sz val="16"/>
        <rFont val="Times New Roman"/>
        <family val="1"/>
      </rPr>
      <t>Phase I (Tower 2) &amp; 
Phase II (Tower 3)</t>
    </r>
    <r>
      <rPr>
        <sz val="16"/>
        <rFont val="Times New Roman"/>
        <family val="1"/>
      </rPr>
      <t xml:space="preserve">
S05/0194/19TMCB/ TDD/0109/ (P/C)/2024/Auto DCR
Date: 26/03/2024
Valid Up to: 
Tower 2 = Gr + 1st to 42nd Floor
Tower 3 = Gr + 41st Floor
</t>
    </r>
    <r>
      <rPr>
        <b/>
        <sz val="16"/>
        <rFont val="Times New Roman"/>
        <family val="1"/>
      </rPr>
      <t>Phase I (Tower 4)</t>
    </r>
    <r>
      <rPr>
        <sz val="16"/>
        <rFont val="Times New Roman"/>
        <family val="1"/>
      </rPr>
      <t xml:space="preserve"> = S05/0194/19TMC/TDD/4351/23
Date: 31/03/2023
Valid Up to: 
Tower 4 = Gr + 1st to 42nd Floor
</t>
    </r>
  </si>
  <si>
    <r>
      <rPr>
        <b/>
        <sz val="16"/>
        <rFont val="Times New Roman"/>
        <family val="1"/>
      </rPr>
      <t>Phase I (Tower 2) &amp; 
Phase II (Tower 3)</t>
    </r>
    <r>
      <rPr>
        <sz val="16"/>
        <rFont val="Times New Roman"/>
        <family val="1"/>
      </rPr>
      <t xml:space="preserve"> S05/0194/19TMCB/TDD/0109/ (P/C)/2024/Auto DCR
Date: 26/03/2024
</t>
    </r>
    <r>
      <rPr>
        <b/>
        <sz val="16"/>
        <rFont val="Times New Roman"/>
        <family val="1"/>
      </rPr>
      <t xml:space="preserve">
Phase I (Tower 4) </t>
    </r>
    <r>
      <rPr>
        <sz val="16"/>
        <rFont val="Times New Roman"/>
        <family val="1"/>
      </rPr>
      <t xml:space="preserve">
S05/0194/19TMC/TDD/4351/23
Date: 31/03/2023</t>
    </r>
  </si>
  <si>
    <t>Godrej Ascend  Phase 1 &amp; 2</t>
  </si>
  <si>
    <t>04/07/2025 @ 11:20AM</t>
  </si>
  <si>
    <t>Godrej Ascend 
Phase 1 (Tower 2 &amp; 4) &amp;  Phase 2 (Tower 3)</t>
  </si>
  <si>
    <t>Mr Suraj Khare</t>
  </si>
  <si>
    <t>Miss. Komal 8655864309</t>
  </si>
  <si>
    <t xml:space="preserve">1. Tower 2 &amp; 4 - Construction work is in process at the time of Visit. Internal visit was not allowed.
Tower  3  - Since internal visit were not permitted, we were unable to determine building progress from an external visit; so, we are maintaining the same progress as in the previous report
2. We considered  Saleable area as per our calculation.
3. We considered Carpet area as per Approved Plan.
4. We considered Gross carpet area = Net carpet + Deck Area.
5. We have considered rate by verifying it from market inquire.
6. Car parking is subjected to authentic documentation.
7. On Site, we meet Ms. Komal
8. We have considered Tower 2, 3 &amp; 4 for APF As it is Registered on RERA Site.
9. We have updated revised approved floor plan of Godrej Ascend Phase 2 (Tower 3) &amp; C.C (on 03/09/2022).
10. We have updated revised approved floor plan of Godrej Ascend Phase 1 &amp; 2 &amp; C.C (on 29/07/2024).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</si>
</sst>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7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3" fontId="4" fillId="4" borderId="1" xfId="0" applyNumberFormat="1" applyFont="1" applyFill="1" applyBorder="1" applyAlignment="1">
      <alignment horizontal="left" vertical="top" wrapText="1"/>
    </xf>
    <xf numFmtId="0" fontId="0" fillId="0" borderId="0" xfId="0" applyAlignment="1">
      <alignment horizontal="center" vertical="center"/>
    </xf>
    <xf numFmtId="1" fontId="0" fillId="0" borderId="0" xfId="0" applyNumberFormat="1"/>
    <xf numFmtId="1" fontId="6" fillId="0" borderId="2" xfId="1" applyNumberFormat="1" applyFont="1" applyBorder="1" applyAlignment="1">
      <alignment horizontal="center" vertical="center" wrapText="1"/>
    </xf>
    <xf numFmtId="0" fontId="0" fillId="0" borderId="13" xfId="0" applyBorder="1"/>
    <xf numFmtId="0" fontId="0" fillId="0" borderId="9" xfId="0" applyBorder="1"/>
    <xf numFmtId="0" fontId="0" fillId="0" borderId="15" xfId="0" applyBorder="1"/>
    <xf numFmtId="1" fontId="3" fillId="0" borderId="0" xfId="0" applyNumberFormat="1" applyFont="1" applyAlignment="1">
      <alignment horizontal="center" vertical="top"/>
    </xf>
    <xf numFmtId="1" fontId="3" fillId="0" borderId="0" xfId="0" applyNumberFormat="1" applyFont="1" applyAlignment="1">
      <alignment vertical="top"/>
    </xf>
    <xf numFmtId="1" fontId="3" fillId="4" borderId="1" xfId="0" applyNumberFormat="1" applyFont="1" applyFill="1" applyBorder="1" applyAlignment="1">
      <alignment horizontal="center" vertical="top"/>
    </xf>
    <xf numFmtId="1" fontId="3" fillId="3" borderId="0" xfId="0" applyNumberFormat="1" applyFont="1" applyFill="1" applyAlignment="1">
      <alignment horizontal="center" vertical="top"/>
    </xf>
    <xf numFmtId="0" fontId="3" fillId="0" borderId="0" xfId="0" applyFont="1" applyAlignment="1">
      <alignment horizontal="left" vertical="top"/>
    </xf>
    <xf numFmtId="0" fontId="4" fillId="0" borderId="5" xfId="0" applyFont="1" applyBorder="1" applyAlignment="1">
      <alignment vertical="top" wrapText="1"/>
    </xf>
    <xf numFmtId="0" fontId="8" fillId="0" borderId="0" xfId="0" applyFont="1" applyProtection="1">
      <protection hidden="1"/>
    </xf>
    <xf numFmtId="9" fontId="8" fillId="0" borderId="0" xfId="0" applyNumberFormat="1" applyFont="1" applyProtection="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11" fillId="4" borderId="2" xfId="2" applyFont="1" applyFill="1" applyBorder="1" applyAlignment="1">
      <alignment horizontal="left" vertical="top" wrapText="1"/>
    </xf>
    <xf numFmtId="0" fontId="4"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4" fillId="4" borderId="4"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xf>
    <xf numFmtId="0" fontId="2" fillId="2" borderId="8" xfId="0" applyFont="1" applyFill="1" applyBorder="1" applyAlignment="1">
      <alignment horizontal="center" vertical="top"/>
    </xf>
    <xf numFmtId="0" fontId="4" fillId="0" borderId="1" xfId="0"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1" xfId="0" applyFont="1" applyBorder="1" applyAlignment="1">
      <alignment horizontal="left" vertical="top"/>
    </xf>
    <xf numFmtId="0" fontId="4" fillId="4" borderId="1" xfId="0" applyFont="1" applyFill="1" applyBorder="1" applyAlignment="1">
      <alignment horizontal="left" vertical="top"/>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4" fontId="4" fillId="4" borderId="7" xfId="0" applyNumberFormat="1" applyFont="1" applyFill="1" applyBorder="1" applyAlignment="1">
      <alignment horizontal="left" vertical="top" wrapText="1"/>
    </xf>
    <xf numFmtId="1" fontId="5" fillId="0" borderId="2" xfId="1" applyNumberFormat="1" applyFont="1" applyBorder="1" applyAlignment="1">
      <alignment horizontal="center" vertical="top" wrapText="1"/>
    </xf>
    <xf numFmtId="1" fontId="5" fillId="0" borderId="5" xfId="1" applyNumberFormat="1" applyFont="1" applyBorder="1" applyAlignment="1">
      <alignment horizontal="center" vertical="top" wrapText="1"/>
    </xf>
    <xf numFmtId="1" fontId="6" fillId="0" borderId="2"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0" xfId="1" applyNumberFormat="1" applyFont="1" applyAlignment="1">
      <alignment horizontal="center" vertical="center" wrapText="1"/>
    </xf>
    <xf numFmtId="1" fontId="6" fillId="0" borderId="13" xfId="1" applyNumberFormat="1" applyFont="1" applyBorder="1" applyAlignment="1">
      <alignment horizontal="center" vertical="center"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EF2E8"/>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9</xdr:col>
      <xdr:colOff>1575955</xdr:colOff>
      <xdr:row>199</xdr:row>
      <xdr:rowOff>207819</xdr:rowOff>
    </xdr:from>
    <xdr:to>
      <xdr:col>13</xdr:col>
      <xdr:colOff>841224</xdr:colOff>
      <xdr:row>211</xdr:row>
      <xdr:rowOff>67580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1958205" y="69073569"/>
          <a:ext cx="4163360" cy="3600000"/>
        </a:xfrm>
        <a:prstGeom prst="rect">
          <a:avLst/>
        </a:prstGeom>
      </xdr:spPr>
    </xdr:pic>
    <xdr:clientData/>
  </xdr:twoCellAnchor>
  <xdr:twoCellAnchor editAs="oneCell">
    <xdr:from>
      <xdr:col>9</xdr:col>
      <xdr:colOff>1835240</xdr:colOff>
      <xdr:row>126</xdr:row>
      <xdr:rowOff>132447</xdr:rowOff>
    </xdr:from>
    <xdr:to>
      <xdr:col>13</xdr:col>
      <xdr:colOff>277954</xdr:colOff>
      <xdr:row>139</xdr:row>
      <xdr:rowOff>19304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2218832" y="48844102"/>
          <a:ext cx="3451838" cy="3200486"/>
        </a:xfrm>
        <a:prstGeom prst="rect">
          <a:avLst/>
        </a:prstGeom>
      </xdr:spPr>
    </xdr:pic>
    <xdr:clientData/>
  </xdr:twoCellAnchor>
  <xdr:twoCellAnchor editAs="oneCell">
    <xdr:from>
      <xdr:col>9</xdr:col>
      <xdr:colOff>1898415</xdr:colOff>
      <xdr:row>139</xdr:row>
      <xdr:rowOff>14390</xdr:rowOff>
    </xdr:from>
    <xdr:to>
      <xdr:col>12</xdr:col>
      <xdr:colOff>861435</xdr:colOff>
      <xdr:row>151</xdr:row>
      <xdr:rowOff>154538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282007" y="52039672"/>
          <a:ext cx="2905344" cy="3198878"/>
        </a:xfrm>
        <a:prstGeom prst="rect">
          <a:avLst/>
        </a:prstGeom>
      </xdr:spPr>
    </xdr:pic>
    <xdr:clientData/>
  </xdr:twoCellAnchor>
  <xdr:twoCellAnchor editAs="oneCell">
    <xdr:from>
      <xdr:col>11</xdr:col>
      <xdr:colOff>426613</xdr:colOff>
      <xdr:row>176</xdr:row>
      <xdr:rowOff>59761</xdr:rowOff>
    </xdr:from>
    <xdr:to>
      <xdr:col>14</xdr:col>
      <xdr:colOff>72160</xdr:colOff>
      <xdr:row>188</xdr:row>
      <xdr:rowOff>83189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3667705" y="61516134"/>
          <a:ext cx="2816306" cy="3229733"/>
        </a:xfrm>
        <a:prstGeom prst="rect">
          <a:avLst/>
        </a:prstGeom>
      </xdr:spPr>
    </xdr:pic>
    <xdr:clientData/>
  </xdr:twoCellAnchor>
  <xdr:twoCellAnchor>
    <xdr:from>
      <xdr:col>0</xdr:col>
      <xdr:colOff>963031</xdr:colOff>
      <xdr:row>272</xdr:row>
      <xdr:rowOff>225135</xdr:rowOff>
    </xdr:from>
    <xdr:to>
      <xdr:col>8</xdr:col>
      <xdr:colOff>935183</xdr:colOff>
      <xdr:row>320</xdr:row>
      <xdr:rowOff>51957</xdr:rowOff>
    </xdr:to>
    <xdr:grpSp>
      <xdr:nvGrpSpPr>
        <xdr:cNvPr id="12" name="Group 11">
          <a:extLst>
            <a:ext uri="{FF2B5EF4-FFF2-40B4-BE49-F238E27FC236}">
              <a16:creationId xmlns:a16="http://schemas.microsoft.com/office/drawing/2014/main" id="{B6992F2B-2863-0832-7AC5-3A489B74EA81}"/>
            </a:ext>
          </a:extLst>
        </xdr:cNvPr>
        <xdr:cNvGrpSpPr/>
      </xdr:nvGrpSpPr>
      <xdr:grpSpPr>
        <a:xfrm>
          <a:off x="963031" y="89020547"/>
          <a:ext cx="8972717" cy="12735998"/>
          <a:chOff x="963031" y="88635064"/>
          <a:chExt cx="8972717" cy="12735999"/>
        </a:xfrm>
      </xdr:grpSpPr>
      <xdr:grpSp>
        <xdr:nvGrpSpPr>
          <xdr:cNvPr id="20" name="Group 19">
            <a:extLst>
              <a:ext uri="{FF2B5EF4-FFF2-40B4-BE49-F238E27FC236}">
                <a16:creationId xmlns:a16="http://schemas.microsoft.com/office/drawing/2014/main" id="{00000000-0008-0000-0000-000014000000}"/>
              </a:ext>
            </a:extLst>
          </xdr:cNvPr>
          <xdr:cNvGrpSpPr/>
        </xdr:nvGrpSpPr>
        <xdr:grpSpPr>
          <a:xfrm>
            <a:off x="963031" y="93320146"/>
            <a:ext cx="8972717" cy="8050917"/>
            <a:chOff x="176956" y="62888811"/>
            <a:chExt cx="9737085" cy="834927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176956" y="62888811"/>
              <a:ext cx="9737085" cy="8349273"/>
              <a:chOff x="176721" y="62553271"/>
              <a:chExt cx="9771956" cy="8280000"/>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a:stretch>
                <a:fillRect/>
              </a:stretch>
            </xdr:blipFill>
            <xdr:spPr>
              <a:xfrm>
                <a:off x="242456" y="62553271"/>
                <a:ext cx="9706221" cy="8280000"/>
              </a:xfrm>
              <a:prstGeom prst="rect">
                <a:avLst/>
              </a:prstGeom>
              <a:ln>
                <a:solidFill>
                  <a:schemeClr val="tx1"/>
                </a:solidFill>
              </a:ln>
            </xdr:spPr>
          </xdr:pic>
          <xdr:sp macro="" textlink="">
            <xdr:nvSpPr>
              <xdr:cNvPr id="25" name="Rectangle 24">
                <a:extLst>
                  <a:ext uri="{FF2B5EF4-FFF2-40B4-BE49-F238E27FC236}">
                    <a16:creationId xmlns:a16="http://schemas.microsoft.com/office/drawing/2014/main" id="{00000000-0008-0000-0000-000019000000}"/>
                  </a:ext>
                </a:extLst>
              </xdr:cNvPr>
              <xdr:cNvSpPr/>
            </xdr:nvSpPr>
            <xdr:spPr>
              <a:xfrm rot="19763414">
                <a:off x="2024211" y="63787191"/>
                <a:ext cx="1463892" cy="1241566"/>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6" name="Rectangle 25">
                <a:extLst>
                  <a:ext uri="{FF2B5EF4-FFF2-40B4-BE49-F238E27FC236}">
                    <a16:creationId xmlns:a16="http://schemas.microsoft.com/office/drawing/2014/main" id="{00000000-0008-0000-0000-00001A000000}"/>
                  </a:ext>
                </a:extLst>
              </xdr:cNvPr>
              <xdr:cNvSpPr/>
            </xdr:nvSpPr>
            <xdr:spPr>
              <a:xfrm>
                <a:off x="1610591" y="68295981"/>
                <a:ext cx="2043544" cy="1097974"/>
              </a:xfrm>
              <a:prstGeom prst="rect">
                <a:avLst/>
              </a:prstGeom>
              <a:noFill/>
              <a:ln w="762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7" name="Rectangle 26">
                <a:extLst>
                  <a:ext uri="{FF2B5EF4-FFF2-40B4-BE49-F238E27FC236}">
                    <a16:creationId xmlns:a16="http://schemas.microsoft.com/office/drawing/2014/main" id="{00000000-0008-0000-0000-00001B000000}"/>
                  </a:ext>
                </a:extLst>
              </xdr:cNvPr>
              <xdr:cNvSpPr/>
            </xdr:nvSpPr>
            <xdr:spPr>
              <a:xfrm rot="16200000">
                <a:off x="297947" y="66448945"/>
                <a:ext cx="1625291" cy="835727"/>
              </a:xfrm>
              <a:prstGeom prst="rect">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8" name="Rectangle 27">
                <a:extLst>
                  <a:ext uri="{FF2B5EF4-FFF2-40B4-BE49-F238E27FC236}">
                    <a16:creationId xmlns:a16="http://schemas.microsoft.com/office/drawing/2014/main" id="{00000000-0008-0000-0000-00001C000000}"/>
                  </a:ext>
                </a:extLst>
              </xdr:cNvPr>
              <xdr:cNvSpPr/>
            </xdr:nvSpPr>
            <xdr:spPr>
              <a:xfrm rot="19763414">
                <a:off x="762297" y="64499190"/>
                <a:ext cx="1386247" cy="1252019"/>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9" name="Rectangle 28">
                <a:extLst>
                  <a:ext uri="{FF2B5EF4-FFF2-40B4-BE49-F238E27FC236}">
                    <a16:creationId xmlns:a16="http://schemas.microsoft.com/office/drawing/2014/main" id="{00000000-0008-0000-0000-00001D000000}"/>
                  </a:ext>
                </a:extLst>
              </xdr:cNvPr>
              <xdr:cNvSpPr/>
            </xdr:nvSpPr>
            <xdr:spPr>
              <a:xfrm rot="16200000">
                <a:off x="17806" y="68395930"/>
                <a:ext cx="2130136" cy="835727"/>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0" name="TextBox 29">
                <a:extLst>
                  <a:ext uri="{FF2B5EF4-FFF2-40B4-BE49-F238E27FC236}">
                    <a16:creationId xmlns:a16="http://schemas.microsoft.com/office/drawing/2014/main" id="{00000000-0008-0000-0000-00001E000000}"/>
                  </a:ext>
                </a:extLst>
              </xdr:cNvPr>
              <xdr:cNvSpPr txBox="1"/>
            </xdr:nvSpPr>
            <xdr:spPr>
              <a:xfrm rot="3695442">
                <a:off x="2870218" y="63586141"/>
                <a:ext cx="1343635" cy="696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Phase</a:t>
                </a:r>
                <a:r>
                  <a:rPr lang="en-IN" sz="2400" b="1" baseline="0">
                    <a:solidFill>
                      <a:srgbClr val="FF0000"/>
                    </a:solidFill>
                  </a:rPr>
                  <a:t> 4 </a:t>
                </a:r>
                <a:endParaRPr lang="en-IN" sz="2400" b="1">
                  <a:solidFill>
                    <a:srgbClr val="FF0000"/>
                  </a:solidFill>
                </a:endParaRPr>
              </a:p>
            </xdr:txBody>
          </xdr:sp>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168236" y="67769509"/>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002060"/>
                    </a:solidFill>
                  </a:rPr>
                  <a:t>Phase</a:t>
                </a:r>
                <a:r>
                  <a:rPr lang="en-IN" sz="2400" b="1" baseline="0">
                    <a:solidFill>
                      <a:srgbClr val="002060"/>
                    </a:solidFill>
                  </a:rPr>
                  <a:t> 3 </a:t>
                </a:r>
                <a:endParaRPr lang="en-IN" sz="2400" b="1">
                  <a:solidFill>
                    <a:srgbClr val="002060"/>
                  </a:solidFill>
                </a:endParaRPr>
              </a:p>
            </xdr:txBody>
          </xdr:sp>
          <xdr:sp macro="" textlink="">
            <xdr:nvSpPr>
              <xdr:cNvPr id="32" name="TextBox 31">
                <a:extLst>
                  <a:ext uri="{FF2B5EF4-FFF2-40B4-BE49-F238E27FC236}">
                    <a16:creationId xmlns:a16="http://schemas.microsoft.com/office/drawing/2014/main" id="{00000000-0008-0000-0000-000020000000}"/>
                  </a:ext>
                </a:extLst>
              </xdr:cNvPr>
              <xdr:cNvSpPr txBox="1"/>
            </xdr:nvSpPr>
            <xdr:spPr>
              <a:xfrm rot="16200000">
                <a:off x="-146882" y="66430613"/>
                <a:ext cx="1343635" cy="696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ysClr val="windowText" lastClr="000000"/>
                    </a:solidFill>
                  </a:rPr>
                  <a:t>Phase</a:t>
                </a:r>
                <a:r>
                  <a:rPr lang="en-IN" sz="2400" b="1" baseline="0">
                    <a:solidFill>
                      <a:sysClr val="windowText" lastClr="000000"/>
                    </a:solidFill>
                  </a:rPr>
                  <a:t> 2</a:t>
                </a:r>
                <a:endParaRPr lang="en-IN" sz="2400" b="1">
                  <a:solidFill>
                    <a:sysClr val="windowText" lastClr="000000"/>
                  </a:solidFill>
                </a:endParaRPr>
              </a:p>
            </xdr:txBody>
          </xdr:sp>
          <xdr:sp macro="" textlink="">
            <xdr:nvSpPr>
              <xdr:cNvPr id="33" name="TextBox 32">
                <a:extLst>
                  <a:ext uri="{FF2B5EF4-FFF2-40B4-BE49-F238E27FC236}">
                    <a16:creationId xmlns:a16="http://schemas.microsoft.com/office/drawing/2014/main" id="{00000000-0008-0000-0000-000021000000}"/>
                  </a:ext>
                </a:extLst>
              </xdr:cNvPr>
              <xdr:cNvSpPr txBox="1"/>
            </xdr:nvSpPr>
            <xdr:spPr>
              <a:xfrm rot="19774279">
                <a:off x="421396" y="64072582"/>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Phase</a:t>
                </a:r>
                <a:r>
                  <a:rPr lang="en-IN" sz="2400" b="1" baseline="0">
                    <a:solidFill>
                      <a:srgbClr val="FFFF00"/>
                    </a:solidFill>
                  </a:rPr>
                  <a:t> 1 </a:t>
                </a:r>
                <a:endParaRPr lang="en-IN" sz="2400" b="1">
                  <a:solidFill>
                    <a:srgbClr val="FFFF00"/>
                  </a:solidFill>
                </a:endParaRPr>
              </a:p>
            </xdr:txBody>
          </xdr:sp>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2192481" y="64104982"/>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Tower</a:t>
                </a:r>
                <a:r>
                  <a:rPr lang="en-IN" sz="2400" b="1" baseline="0">
                    <a:solidFill>
                      <a:srgbClr val="FF0000"/>
                    </a:solidFill>
                  </a:rPr>
                  <a:t> 1 </a:t>
                </a:r>
                <a:endParaRPr lang="en-IN" sz="2400" b="1">
                  <a:solidFill>
                    <a:srgbClr val="FF0000"/>
                  </a:solidFill>
                </a:endParaRPr>
              </a:p>
            </xdr:txBody>
          </xdr:sp>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536865" y="69948137"/>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Phase</a:t>
                </a:r>
                <a:r>
                  <a:rPr lang="en-IN" sz="2400" b="1" baseline="0">
                    <a:solidFill>
                      <a:srgbClr val="FFFF00"/>
                    </a:solidFill>
                  </a:rPr>
                  <a:t> 1 </a:t>
                </a:r>
                <a:endParaRPr lang="en-IN" sz="2400" b="1">
                  <a:solidFill>
                    <a:srgbClr val="FFFF00"/>
                  </a:solidFill>
                </a:endParaRPr>
              </a:p>
            </xdr:txBody>
          </xdr:sp>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917864" y="64839273"/>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Tower</a:t>
                </a:r>
                <a:r>
                  <a:rPr lang="en-IN" sz="2400" b="1" baseline="0">
                    <a:solidFill>
                      <a:srgbClr val="FFFF00"/>
                    </a:solidFill>
                  </a:rPr>
                  <a:t> 2 </a:t>
                </a:r>
                <a:endParaRPr lang="en-IN" sz="2400" b="1">
                  <a:solidFill>
                    <a:srgbClr val="FFFF00"/>
                  </a:solidFill>
                </a:endParaRPr>
              </a:p>
            </xdr:txBody>
          </xdr:sp>
          <xdr:sp macro="" textlink="">
            <xdr:nvSpPr>
              <xdr:cNvPr id="37" name="TextBox 36">
                <a:extLst>
                  <a:ext uri="{FF2B5EF4-FFF2-40B4-BE49-F238E27FC236}">
                    <a16:creationId xmlns:a16="http://schemas.microsoft.com/office/drawing/2014/main" id="{00000000-0008-0000-0000-000025000000}"/>
                  </a:ext>
                </a:extLst>
              </xdr:cNvPr>
              <xdr:cNvSpPr txBox="1"/>
            </xdr:nvSpPr>
            <xdr:spPr>
              <a:xfrm rot="16200000">
                <a:off x="539336" y="68438638"/>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Tower</a:t>
                </a:r>
                <a:r>
                  <a:rPr lang="en-IN" sz="2400" b="1" baseline="0">
                    <a:solidFill>
                      <a:srgbClr val="FFFF00"/>
                    </a:solidFill>
                  </a:rPr>
                  <a:t> 4 </a:t>
                </a:r>
                <a:endParaRPr lang="en-IN" sz="2400" b="1">
                  <a:solidFill>
                    <a:srgbClr val="FFFF00"/>
                  </a:solidFill>
                </a:endParaRPr>
              </a:p>
            </xdr:txBody>
          </xdr:sp>
          <xdr:sp macro="" textlink="">
            <xdr:nvSpPr>
              <xdr:cNvPr id="38" name="TextBox 37">
                <a:extLst>
                  <a:ext uri="{FF2B5EF4-FFF2-40B4-BE49-F238E27FC236}">
                    <a16:creationId xmlns:a16="http://schemas.microsoft.com/office/drawing/2014/main" id="{00000000-0008-0000-0000-000026000000}"/>
                  </a:ext>
                </a:extLst>
              </xdr:cNvPr>
              <xdr:cNvSpPr txBox="1"/>
            </xdr:nvSpPr>
            <xdr:spPr>
              <a:xfrm rot="16200000">
                <a:off x="519546" y="66432545"/>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ysClr val="windowText" lastClr="000000"/>
                    </a:solidFill>
                  </a:rPr>
                  <a:t>Tower</a:t>
                </a:r>
                <a:r>
                  <a:rPr lang="en-IN" sz="2400" b="1" baseline="0">
                    <a:solidFill>
                      <a:sysClr val="windowText" lastClr="000000"/>
                    </a:solidFill>
                  </a:rPr>
                  <a:t> 3</a:t>
                </a:r>
                <a:endParaRPr lang="en-IN" sz="2400" b="1">
                  <a:solidFill>
                    <a:sysClr val="windowText" lastClr="000000"/>
                  </a:solidFill>
                </a:endParaRPr>
              </a:p>
            </xdr:txBody>
          </xdr:sp>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017569" y="68519386"/>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002060"/>
                    </a:solidFill>
                  </a:rPr>
                  <a:t>Tower</a:t>
                </a:r>
                <a:r>
                  <a:rPr lang="en-IN" sz="2400" b="1" baseline="0">
                    <a:solidFill>
                      <a:srgbClr val="002060"/>
                    </a:solidFill>
                  </a:rPr>
                  <a:t> 5</a:t>
                </a:r>
                <a:endParaRPr lang="en-IN" sz="2400" b="1">
                  <a:solidFill>
                    <a:srgbClr val="002060"/>
                  </a:solidFill>
                </a:endParaRPr>
              </a:p>
            </xdr:txBody>
          </xdr: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V="1">
              <a:off x="9317182" y="63536079"/>
              <a:ext cx="0" cy="76849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9120189" y="63046842"/>
              <a:ext cx="554182" cy="67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grpSp>
        <xdr:nvGrpSpPr>
          <xdr:cNvPr id="40" name="Group 39">
            <a:extLst>
              <a:ext uri="{FF2B5EF4-FFF2-40B4-BE49-F238E27FC236}">
                <a16:creationId xmlns:a16="http://schemas.microsoft.com/office/drawing/2014/main" id="{00000000-0008-0000-0000-000028000000}"/>
              </a:ext>
            </a:extLst>
          </xdr:cNvPr>
          <xdr:cNvGrpSpPr/>
        </xdr:nvGrpSpPr>
        <xdr:grpSpPr>
          <a:xfrm>
            <a:off x="2485992" y="88635064"/>
            <a:ext cx="5877263" cy="4475864"/>
            <a:chOff x="2195513" y="71670863"/>
            <a:chExt cx="6025402" cy="4977494"/>
          </a:xfrm>
        </xdr:grpSpPr>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6"/>
            <a:stretch>
              <a:fillRect/>
            </a:stretch>
          </xdr:blipFill>
          <xdr:spPr>
            <a:xfrm>
              <a:off x="2195513" y="71670863"/>
              <a:ext cx="6025402" cy="4977494"/>
            </a:xfrm>
            <a:prstGeom prst="rect">
              <a:avLst/>
            </a:prstGeom>
            <a:ln>
              <a:solidFill>
                <a:schemeClr val="tx1"/>
              </a:solidFill>
            </a:ln>
          </xdr:spPr>
        </xdr:pic>
        <xdr:cxnSp macro="">
          <xdr:nvCxnSpPr>
            <xdr:cNvPr id="42" name="Straight Arrow Connector 41">
              <a:extLst>
                <a:ext uri="{FF2B5EF4-FFF2-40B4-BE49-F238E27FC236}">
                  <a16:creationId xmlns:a16="http://schemas.microsoft.com/office/drawing/2014/main" id="{00000000-0008-0000-0000-00002A000000}"/>
                </a:ext>
              </a:extLst>
            </xdr:cNvPr>
            <xdr:cNvCxnSpPr/>
          </xdr:nvCxnSpPr>
          <xdr:spPr>
            <a:xfrm flipV="1">
              <a:off x="2530619" y="72279162"/>
              <a:ext cx="0" cy="76849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2333625" y="71789925"/>
              <a:ext cx="554182" cy="67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grpSp>
    <xdr:clientData/>
  </xdr:twoCellAnchor>
  <xdr:twoCellAnchor>
    <xdr:from>
      <xdr:col>2</xdr:col>
      <xdr:colOff>322321</xdr:colOff>
      <xdr:row>322</xdr:row>
      <xdr:rowOff>242047</xdr:rowOff>
    </xdr:from>
    <xdr:to>
      <xdr:col>7</xdr:col>
      <xdr:colOff>717176</xdr:colOff>
      <xdr:row>352</xdr:row>
      <xdr:rowOff>206188</xdr:rowOff>
    </xdr:to>
    <xdr:grpSp>
      <xdr:nvGrpSpPr>
        <xdr:cNvPr id="13" name="Group 12">
          <a:extLst>
            <a:ext uri="{FF2B5EF4-FFF2-40B4-BE49-F238E27FC236}">
              <a16:creationId xmlns:a16="http://schemas.microsoft.com/office/drawing/2014/main" id="{7AF96736-5F80-E867-C2B8-02D401D35D85}"/>
            </a:ext>
          </a:extLst>
        </xdr:cNvPr>
        <xdr:cNvGrpSpPr/>
      </xdr:nvGrpSpPr>
      <xdr:grpSpPr>
        <a:xfrm>
          <a:off x="2545568" y="102484518"/>
          <a:ext cx="5495773" cy="8032376"/>
          <a:chOff x="2043545" y="101927124"/>
          <a:chExt cx="6410173" cy="9719323"/>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915963" y="101927124"/>
            <a:ext cx="5074691" cy="5106201"/>
          </a:xfrm>
          <a:prstGeom prst="rect">
            <a:avLst/>
          </a:prstGeom>
          <a:ln>
            <a:solidFill>
              <a:schemeClr val="tx1"/>
            </a:solidFill>
          </a:ln>
        </xdr:spPr>
      </xdr:pic>
      <xdr:grpSp>
        <xdr:nvGrpSpPr>
          <xdr:cNvPr id="44" name="Group 43">
            <a:extLst>
              <a:ext uri="{FF2B5EF4-FFF2-40B4-BE49-F238E27FC236}">
                <a16:creationId xmlns:a16="http://schemas.microsoft.com/office/drawing/2014/main" id="{00000000-0008-0000-0000-00002C000000}"/>
              </a:ext>
            </a:extLst>
          </xdr:cNvPr>
          <xdr:cNvGrpSpPr/>
        </xdr:nvGrpSpPr>
        <xdr:grpSpPr>
          <a:xfrm>
            <a:off x="2043545" y="107127860"/>
            <a:ext cx="6410173" cy="4518587"/>
            <a:chOff x="1571625" y="82741633"/>
            <a:chExt cx="6856755" cy="5685161"/>
          </a:xfrm>
        </xdr:grpSpPr>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stretch>
              <a:fillRect/>
            </a:stretch>
          </xdr:blipFill>
          <xdr:spPr>
            <a:xfrm>
              <a:off x="1571625" y="82741633"/>
              <a:ext cx="6856755" cy="5685161"/>
            </a:xfrm>
            <a:prstGeom prst="rect">
              <a:avLst/>
            </a:prstGeom>
            <a:ln>
              <a:solidFill>
                <a:schemeClr val="tx1"/>
              </a:solidFill>
            </a:ln>
          </xdr:spPr>
        </xdr:pic>
        <xdr:sp macro="" textlink="">
          <xdr:nvSpPr>
            <xdr:cNvPr id="46" name="Freeform 45">
              <a:extLst>
                <a:ext uri="{FF2B5EF4-FFF2-40B4-BE49-F238E27FC236}">
                  <a16:creationId xmlns:a16="http://schemas.microsoft.com/office/drawing/2014/main" id="{00000000-0008-0000-0000-00002E000000}"/>
                </a:ext>
              </a:extLst>
            </xdr:cNvPr>
            <xdr:cNvSpPr/>
          </xdr:nvSpPr>
          <xdr:spPr>
            <a:xfrm>
              <a:off x="3786868" y="84058125"/>
              <a:ext cx="3152775" cy="2737757"/>
            </a:xfrm>
            <a:custGeom>
              <a:avLst/>
              <a:gdLst>
                <a:gd name="connsiteX0" fmla="*/ 133350 w 3152775"/>
                <a:gd name="connsiteY0" fmla="*/ 2724150 h 2724150"/>
                <a:gd name="connsiteX1" fmla="*/ 0 w 3152775"/>
                <a:gd name="connsiteY1" fmla="*/ 1695450 h 2724150"/>
                <a:gd name="connsiteX2" fmla="*/ 76200 w 3152775"/>
                <a:gd name="connsiteY2" fmla="*/ 552450 h 2724150"/>
                <a:gd name="connsiteX3" fmla="*/ 1028700 w 3152775"/>
                <a:gd name="connsiteY3" fmla="*/ 0 h 2724150"/>
                <a:gd name="connsiteX4" fmla="*/ 1343025 w 3152775"/>
                <a:gd name="connsiteY4" fmla="*/ 381000 h 2724150"/>
                <a:gd name="connsiteX5" fmla="*/ 1257300 w 3152775"/>
                <a:gd name="connsiteY5" fmla="*/ 952500 h 2724150"/>
                <a:gd name="connsiteX6" fmla="*/ 3152775 w 3152775"/>
                <a:gd name="connsiteY6" fmla="*/ 1333500 h 2724150"/>
                <a:gd name="connsiteX7" fmla="*/ 3086100 w 3152775"/>
                <a:gd name="connsiteY7" fmla="*/ 2305050 h 2724150"/>
                <a:gd name="connsiteX8" fmla="*/ 1895475 w 3152775"/>
                <a:gd name="connsiteY8" fmla="*/ 2000250 h 2724150"/>
                <a:gd name="connsiteX9" fmla="*/ 1828800 w 3152775"/>
                <a:gd name="connsiteY9" fmla="*/ 1905000 h 2724150"/>
                <a:gd name="connsiteX10" fmla="*/ 1552575 w 3152775"/>
                <a:gd name="connsiteY10" fmla="*/ 2057400 h 2724150"/>
                <a:gd name="connsiteX11" fmla="*/ 1419225 w 3152775"/>
                <a:gd name="connsiteY11" fmla="*/ 2057400 h 2724150"/>
                <a:gd name="connsiteX12" fmla="*/ 1419225 w 3152775"/>
                <a:gd name="connsiteY12" fmla="*/ 2286000 h 2724150"/>
                <a:gd name="connsiteX13" fmla="*/ 1362075 w 3152775"/>
                <a:gd name="connsiteY13" fmla="*/ 2505075 h 2724150"/>
                <a:gd name="connsiteX14" fmla="*/ 133350 w 3152775"/>
                <a:gd name="connsiteY14" fmla="*/ 2724150 h 2724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152775" h="2724150">
                  <a:moveTo>
                    <a:pt x="133350" y="2724150"/>
                  </a:moveTo>
                  <a:lnTo>
                    <a:pt x="0" y="1695450"/>
                  </a:lnTo>
                  <a:lnTo>
                    <a:pt x="76200" y="552450"/>
                  </a:lnTo>
                  <a:lnTo>
                    <a:pt x="1028700" y="0"/>
                  </a:lnTo>
                  <a:lnTo>
                    <a:pt x="1343025" y="381000"/>
                  </a:lnTo>
                  <a:lnTo>
                    <a:pt x="1257300" y="952500"/>
                  </a:lnTo>
                  <a:lnTo>
                    <a:pt x="3152775" y="1333500"/>
                  </a:lnTo>
                  <a:lnTo>
                    <a:pt x="3086100" y="2305050"/>
                  </a:lnTo>
                  <a:lnTo>
                    <a:pt x="1895475" y="2000250"/>
                  </a:lnTo>
                  <a:lnTo>
                    <a:pt x="1828800" y="1905000"/>
                  </a:lnTo>
                  <a:lnTo>
                    <a:pt x="1552575" y="2057400"/>
                  </a:lnTo>
                  <a:lnTo>
                    <a:pt x="1419225" y="2057400"/>
                  </a:lnTo>
                  <a:lnTo>
                    <a:pt x="1419225" y="2286000"/>
                  </a:lnTo>
                  <a:lnTo>
                    <a:pt x="1362075" y="2505075"/>
                  </a:lnTo>
                  <a:lnTo>
                    <a:pt x="133350" y="272415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9</xdr:col>
      <xdr:colOff>753036</xdr:colOff>
      <xdr:row>216</xdr:row>
      <xdr:rowOff>107576</xdr:rowOff>
    </xdr:from>
    <xdr:to>
      <xdr:col>24</xdr:col>
      <xdr:colOff>502025</xdr:colOff>
      <xdr:row>243</xdr:row>
      <xdr:rowOff>80682</xdr:rowOff>
    </xdr:to>
    <xdr:grpSp>
      <xdr:nvGrpSpPr>
        <xdr:cNvPr id="2" name="Group 1">
          <a:extLst>
            <a:ext uri="{FF2B5EF4-FFF2-40B4-BE49-F238E27FC236}">
              <a16:creationId xmlns:a16="http://schemas.microsoft.com/office/drawing/2014/main" id="{1E9983F2-9E29-437C-2B5A-09176E4450A3}"/>
            </a:ext>
          </a:extLst>
        </xdr:cNvPr>
        <xdr:cNvGrpSpPr/>
      </xdr:nvGrpSpPr>
      <xdr:grpSpPr>
        <a:xfrm>
          <a:off x="11430001" y="77087505"/>
          <a:ext cx="10381130" cy="7216589"/>
          <a:chOff x="198120" y="199546"/>
          <a:chExt cx="6862090" cy="5202240"/>
        </a:xfrm>
      </xdr:grpSpPr>
      <xdr:pic>
        <xdr:nvPicPr>
          <xdr:cNvPr id="7" name="Picture 6">
            <a:extLst>
              <a:ext uri="{FF2B5EF4-FFF2-40B4-BE49-F238E27FC236}">
                <a16:creationId xmlns:a16="http://schemas.microsoft.com/office/drawing/2014/main" id="{5A6448B9-272F-6B9F-E6F7-BFD8507629D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8120" y="2881786"/>
            <a:ext cx="3356889" cy="2520000"/>
          </a:xfrm>
          <a:prstGeom prst="rect">
            <a:avLst/>
          </a:prstGeom>
          <a:ln>
            <a:solidFill>
              <a:schemeClr val="tx1"/>
            </a:solidFill>
          </a:ln>
        </xdr:spPr>
      </xdr:pic>
      <xdr:pic>
        <xdr:nvPicPr>
          <xdr:cNvPr id="9" name="Picture 8">
            <a:extLst>
              <a:ext uri="{FF2B5EF4-FFF2-40B4-BE49-F238E27FC236}">
                <a16:creationId xmlns:a16="http://schemas.microsoft.com/office/drawing/2014/main" id="{52506154-945B-C06D-B7EE-AEE5982D7FF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703321" y="199546"/>
            <a:ext cx="3356889"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F43241DD-F376-778F-B10A-B664E860EE6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703321" y="2881786"/>
            <a:ext cx="3356889"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7D438FD1-E7E0-5562-246E-E68294B9970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98121" y="199546"/>
            <a:ext cx="3356889" cy="2520000"/>
          </a:xfrm>
          <a:prstGeom prst="rect">
            <a:avLst/>
          </a:prstGeom>
          <a:ln>
            <a:solidFill>
              <a:schemeClr val="tx1"/>
            </a:solidFill>
          </a:ln>
        </xdr:spPr>
      </xdr:pic>
    </xdr:grpSp>
    <xdr:clientData/>
  </xdr:twoCellAnchor>
  <xdr:twoCellAnchor>
    <xdr:from>
      <xdr:col>0</xdr:col>
      <xdr:colOff>887505</xdr:colOff>
      <xdr:row>218</xdr:row>
      <xdr:rowOff>17929</xdr:rowOff>
    </xdr:from>
    <xdr:to>
      <xdr:col>8</xdr:col>
      <xdr:colOff>206187</xdr:colOff>
      <xdr:row>246</xdr:row>
      <xdr:rowOff>44824</xdr:rowOff>
    </xdr:to>
    <xdr:grpSp>
      <xdr:nvGrpSpPr>
        <xdr:cNvPr id="8" name="Group 7">
          <a:extLst>
            <a:ext uri="{FF2B5EF4-FFF2-40B4-BE49-F238E27FC236}">
              <a16:creationId xmlns:a16="http://schemas.microsoft.com/office/drawing/2014/main" id="{5781D915-A4CF-2943-18F7-220307CC014B}"/>
            </a:ext>
          </a:extLst>
        </xdr:cNvPr>
        <xdr:cNvGrpSpPr/>
      </xdr:nvGrpSpPr>
      <xdr:grpSpPr>
        <a:xfrm>
          <a:off x="887505" y="77517811"/>
          <a:ext cx="8319247" cy="7557248"/>
          <a:chOff x="579121" y="406240"/>
          <a:chExt cx="5352591" cy="4676558"/>
        </a:xfrm>
      </xdr:grpSpPr>
      <xdr:pic>
        <xdr:nvPicPr>
          <xdr:cNvPr id="15" name="Picture 14">
            <a:extLst>
              <a:ext uri="{FF2B5EF4-FFF2-40B4-BE49-F238E27FC236}">
                <a16:creationId xmlns:a16="http://schemas.microsoft.com/office/drawing/2014/main" id="{E365B839-3CDA-5D67-9AFE-0742E782E8A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870645" y="3102798"/>
            <a:ext cx="1483453" cy="1980000"/>
          </a:xfrm>
          <a:prstGeom prst="rect">
            <a:avLst/>
          </a:prstGeom>
          <a:ln>
            <a:solidFill>
              <a:schemeClr val="tx1"/>
            </a:solidFill>
          </a:ln>
        </xdr:spPr>
      </xdr:pic>
      <xdr:pic>
        <xdr:nvPicPr>
          <xdr:cNvPr id="16" name="Picture 15">
            <a:extLst>
              <a:ext uri="{FF2B5EF4-FFF2-40B4-BE49-F238E27FC236}">
                <a16:creationId xmlns:a16="http://schemas.microsoft.com/office/drawing/2014/main" id="{B3E71CD3-0506-1856-31D6-B65943A71D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579121" y="446880"/>
            <a:ext cx="3356889"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BC3662C5-5D46-2451-2CE6-7E910C3F6CF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043681" y="446880"/>
            <a:ext cx="1888031"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2DD3CF6C-DFA2-D37C-4BD2-BA8672C4244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1125418" y="3102798"/>
            <a:ext cx="2637556" cy="1980000"/>
          </a:xfrm>
          <a:prstGeom prst="rect">
            <a:avLst/>
          </a:prstGeom>
          <a:ln>
            <a:solidFill>
              <a:schemeClr val="tx1"/>
            </a:solidFill>
          </a:ln>
        </xdr:spPr>
      </xdr:pic>
      <xdr:sp macro="" textlink="">
        <xdr:nvSpPr>
          <xdr:cNvPr id="19" name="TextBox 11">
            <a:extLst>
              <a:ext uri="{FF2B5EF4-FFF2-40B4-BE49-F238E27FC236}">
                <a16:creationId xmlns:a16="http://schemas.microsoft.com/office/drawing/2014/main" id="{E1F24AD1-031B-0185-3BF1-402519BD5955}"/>
              </a:ext>
            </a:extLst>
          </xdr:cNvPr>
          <xdr:cNvSpPr txBox="1"/>
        </xdr:nvSpPr>
        <xdr:spPr>
          <a:xfrm>
            <a:off x="2959833" y="446880"/>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2</a:t>
            </a:r>
            <a:endParaRPr lang="en-IN" b="1"/>
          </a:p>
        </xdr:txBody>
      </xdr:sp>
      <xdr:sp macro="" textlink="">
        <xdr:nvSpPr>
          <xdr:cNvPr id="47" name="TextBox 12">
            <a:extLst>
              <a:ext uri="{FF2B5EF4-FFF2-40B4-BE49-F238E27FC236}">
                <a16:creationId xmlns:a16="http://schemas.microsoft.com/office/drawing/2014/main" id="{6E477EA0-F7B3-0F16-1872-09E87329FEC3}"/>
              </a:ext>
            </a:extLst>
          </xdr:cNvPr>
          <xdr:cNvSpPr txBox="1"/>
        </xdr:nvSpPr>
        <xdr:spPr>
          <a:xfrm>
            <a:off x="4409512" y="406240"/>
            <a:ext cx="69083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Tower 4</a:t>
            </a:r>
            <a:endParaRPr lang="en-IN" sz="1200" b="1"/>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RrtjqDJc6NEPBNU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69"/>
  <sheetViews>
    <sheetView tabSelected="1" view="pageBreakPreview" topLeftCell="A94" zoomScale="85" zoomScaleNormal="85" zoomScaleSheetLayoutView="85" zoomScalePageLayoutView="55" workbookViewId="0">
      <selection activeCell="J6" sqref="J6"/>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3" customWidth="1"/>
    <col min="5" max="6" width="27.109375" style="1" customWidth="1"/>
    <col min="7" max="7" width="1.44140625" style="1" customWidth="1"/>
    <col min="8" max="8" width="24.44140625" style="1" customWidth="1"/>
    <col min="9" max="9" width="24.44140625" style="13" customWidth="1"/>
    <col min="10" max="10" width="33.88671875" style="1" customWidth="1"/>
    <col min="11" max="11" width="9.109375" style="1"/>
    <col min="12" max="12" width="16.88671875" style="1" bestFit="1" customWidth="1"/>
    <col min="13" max="14" width="15.5546875" style="1" bestFit="1" customWidth="1"/>
    <col min="15" max="20" width="9.109375" style="1"/>
    <col min="21" max="23" width="0" style="1" hidden="1" customWidth="1"/>
    <col min="24" max="26" width="9.109375" style="1"/>
    <col min="27" max="27" width="7.88671875" style="1" customWidth="1"/>
    <col min="28" max="16384" width="9.109375" style="1"/>
  </cols>
  <sheetData>
    <row r="1" spans="1:14" ht="21" x14ac:dyDescent="0.3">
      <c r="A1" s="124" t="s">
        <v>43</v>
      </c>
      <c r="B1" s="125"/>
      <c r="C1" s="125"/>
      <c r="D1" s="125"/>
      <c r="E1" s="125"/>
      <c r="F1" s="125"/>
      <c r="G1" s="125"/>
      <c r="H1" s="125"/>
      <c r="I1" s="126"/>
    </row>
    <row r="2" spans="1:14" ht="42" customHeight="1" x14ac:dyDescent="0.3">
      <c r="A2" s="144" t="s">
        <v>11</v>
      </c>
      <c r="B2" s="144"/>
      <c r="C2" s="144"/>
      <c r="D2" s="4" t="s">
        <v>4</v>
      </c>
      <c r="E2" s="145" t="s">
        <v>97</v>
      </c>
      <c r="F2" s="145"/>
      <c r="G2" s="123" t="s">
        <v>15</v>
      </c>
      <c r="H2" s="123"/>
      <c r="I2" s="46">
        <v>45840</v>
      </c>
    </row>
    <row r="3" spans="1:14" ht="69" customHeight="1" x14ac:dyDescent="0.3">
      <c r="A3" s="106" t="s">
        <v>44</v>
      </c>
      <c r="B3" s="107"/>
      <c r="C3" s="108"/>
      <c r="D3" s="20" t="s">
        <v>4</v>
      </c>
      <c r="E3" s="148" t="s">
        <v>267</v>
      </c>
      <c r="F3" s="149"/>
      <c r="G3" s="123" t="s">
        <v>193</v>
      </c>
      <c r="H3" s="123"/>
      <c r="I3" s="46" t="s">
        <v>266</v>
      </c>
      <c r="J3" s="1" t="s">
        <v>265</v>
      </c>
      <c r="M3" s="69">
        <v>45775</v>
      </c>
      <c r="N3" s="69">
        <v>45842</v>
      </c>
    </row>
    <row r="4" spans="1:14" ht="43.5" customHeight="1" x14ac:dyDescent="0.3">
      <c r="A4" s="106" t="s">
        <v>41</v>
      </c>
      <c r="B4" s="107"/>
      <c r="C4" s="108"/>
      <c r="D4" s="27" t="s">
        <v>4</v>
      </c>
      <c r="E4" s="100" t="s">
        <v>269</v>
      </c>
      <c r="F4" s="101"/>
      <c r="G4" s="123" t="s">
        <v>38</v>
      </c>
      <c r="H4" s="123"/>
      <c r="I4" s="17" t="str">
        <f ca="1">TEXT(TODAY(),"DD/MM/YYYY")</f>
        <v>08/07/2025</v>
      </c>
      <c r="N4" s="1">
        <f>N3-M3</f>
        <v>67</v>
      </c>
    </row>
    <row r="5" spans="1:14" ht="21" x14ac:dyDescent="0.3">
      <c r="A5" s="77" t="s">
        <v>45</v>
      </c>
      <c r="B5" s="77"/>
      <c r="C5" s="77"/>
      <c r="D5" s="77"/>
      <c r="E5" s="77"/>
      <c r="F5" s="77"/>
      <c r="G5" s="77"/>
      <c r="H5" s="77"/>
      <c r="I5" s="150"/>
      <c r="L5" s="1">
        <v>8655864309</v>
      </c>
    </row>
    <row r="6" spans="1:14" ht="43.5" customHeight="1" x14ac:dyDescent="0.3">
      <c r="A6" s="146" t="s">
        <v>34</v>
      </c>
      <c r="B6" s="146"/>
      <c r="C6" s="146"/>
      <c r="D6" s="2" t="s">
        <v>4</v>
      </c>
      <c r="E6" s="21" t="s">
        <v>110</v>
      </c>
      <c r="F6" s="20" t="s">
        <v>40</v>
      </c>
      <c r="G6" s="2" t="s">
        <v>4</v>
      </c>
      <c r="H6" s="99" t="s">
        <v>268</v>
      </c>
      <c r="I6" s="99"/>
    </row>
    <row r="7" spans="1:14" ht="45" customHeight="1" x14ac:dyDescent="0.3">
      <c r="A7" s="146" t="s">
        <v>47</v>
      </c>
      <c r="B7" s="146"/>
      <c r="C7" s="146"/>
      <c r="D7" s="2" t="s">
        <v>4</v>
      </c>
      <c r="E7" s="5" t="s">
        <v>196</v>
      </c>
      <c r="F7" s="20" t="s">
        <v>48</v>
      </c>
      <c r="G7" s="2" t="s">
        <v>4</v>
      </c>
      <c r="H7" s="100" t="s">
        <v>195</v>
      </c>
      <c r="I7" s="101"/>
    </row>
    <row r="8" spans="1:14" ht="21" x14ac:dyDescent="0.3">
      <c r="A8" s="146" t="s">
        <v>49</v>
      </c>
      <c r="B8" s="146"/>
      <c r="C8" s="146"/>
      <c r="D8" s="2" t="s">
        <v>4</v>
      </c>
      <c r="E8" s="147" t="s">
        <v>197</v>
      </c>
      <c r="F8" s="147"/>
      <c r="G8" s="147"/>
      <c r="H8" s="147"/>
      <c r="I8" s="147"/>
    </row>
    <row r="9" spans="1:14" ht="45" customHeight="1" x14ac:dyDescent="0.3">
      <c r="A9" s="123" t="s">
        <v>181</v>
      </c>
      <c r="B9" s="20" t="s">
        <v>4</v>
      </c>
      <c r="C9" s="20" t="s">
        <v>46</v>
      </c>
      <c r="D9" s="2" t="s">
        <v>4</v>
      </c>
      <c r="E9" s="100" t="s">
        <v>235</v>
      </c>
      <c r="F9" s="110"/>
      <c r="G9" s="110"/>
      <c r="H9" s="110"/>
      <c r="I9" s="101"/>
    </row>
    <row r="10" spans="1:14" ht="66" customHeight="1" x14ac:dyDescent="0.3">
      <c r="A10" s="123"/>
      <c r="B10" s="20" t="s">
        <v>4</v>
      </c>
      <c r="C10" s="20" t="s">
        <v>14</v>
      </c>
      <c r="D10" s="2" t="s">
        <v>4</v>
      </c>
      <c r="E10" s="100" t="s">
        <v>261</v>
      </c>
      <c r="F10" s="110"/>
      <c r="G10" s="110"/>
      <c r="H10" s="110"/>
      <c r="I10" s="101"/>
    </row>
    <row r="11" spans="1:14" ht="42" customHeight="1" x14ac:dyDescent="0.3">
      <c r="A11" s="123"/>
      <c r="B11" s="20" t="s">
        <v>4</v>
      </c>
      <c r="C11" s="20" t="s">
        <v>5</v>
      </c>
      <c r="D11" s="2" t="s">
        <v>4</v>
      </c>
      <c r="E11" s="100" t="s">
        <v>236</v>
      </c>
      <c r="F11" s="110"/>
      <c r="G11" s="110"/>
      <c r="H11" s="110"/>
      <c r="I11" s="101"/>
    </row>
    <row r="12" spans="1:14" ht="21" x14ac:dyDescent="0.3">
      <c r="A12" s="123" t="s">
        <v>39</v>
      </c>
      <c r="B12" s="123"/>
      <c r="C12" s="123"/>
      <c r="D12" s="2" t="s">
        <v>4</v>
      </c>
      <c r="E12" s="99" t="s">
        <v>211</v>
      </c>
      <c r="F12" s="99"/>
      <c r="G12" s="99"/>
      <c r="H12" s="99"/>
      <c r="I12" s="99"/>
    </row>
    <row r="13" spans="1:14" ht="20.100000000000001" customHeight="1" x14ac:dyDescent="0.3">
      <c r="A13" s="77" t="s">
        <v>50</v>
      </c>
      <c r="B13" s="77"/>
      <c r="C13" s="77"/>
      <c r="D13" s="77"/>
      <c r="E13" s="77"/>
      <c r="F13" s="77"/>
      <c r="G13" s="77"/>
      <c r="H13" s="77"/>
      <c r="I13" s="77"/>
    </row>
    <row r="14" spans="1:14" ht="63" x14ac:dyDescent="0.3">
      <c r="A14" s="20" t="s">
        <v>32</v>
      </c>
      <c r="B14" s="2" t="s">
        <v>4</v>
      </c>
      <c r="C14" s="102" t="s">
        <v>98</v>
      </c>
      <c r="D14" s="137"/>
      <c r="E14" s="103"/>
      <c r="F14" s="16" t="s">
        <v>51</v>
      </c>
      <c r="G14" s="2" t="s">
        <v>4</v>
      </c>
      <c r="H14" s="99" t="s">
        <v>203</v>
      </c>
      <c r="I14" s="99"/>
    </row>
    <row r="15" spans="1:14" ht="60.75" customHeight="1" x14ac:dyDescent="0.3">
      <c r="A15" s="20" t="s">
        <v>52</v>
      </c>
      <c r="B15" s="2" t="s">
        <v>4</v>
      </c>
      <c r="C15" s="102" t="s">
        <v>229</v>
      </c>
      <c r="D15" s="137"/>
      <c r="E15" s="103"/>
      <c r="F15" s="20" t="s">
        <v>53</v>
      </c>
      <c r="G15" s="2" t="s">
        <v>4</v>
      </c>
      <c r="H15" s="142" t="s">
        <v>230</v>
      </c>
      <c r="I15" s="99"/>
    </row>
    <row r="16" spans="1:14" ht="42" customHeight="1" x14ac:dyDescent="0.3">
      <c r="A16" s="43" t="s">
        <v>54</v>
      </c>
      <c r="B16" s="2" t="s">
        <v>4</v>
      </c>
      <c r="C16" s="164" t="s">
        <v>239</v>
      </c>
      <c r="D16" s="137"/>
      <c r="E16" s="103"/>
      <c r="F16" s="20" t="s">
        <v>55</v>
      </c>
      <c r="G16" s="2" t="s">
        <v>4</v>
      </c>
      <c r="H16" s="141" t="s">
        <v>240</v>
      </c>
      <c r="I16" s="101"/>
    </row>
    <row r="17" spans="1:11" ht="85.5" customHeight="1" x14ac:dyDescent="0.3">
      <c r="A17" s="43" t="s">
        <v>56</v>
      </c>
      <c r="B17" s="2" t="s">
        <v>4</v>
      </c>
      <c r="C17" s="164" t="str">
        <f>H15</f>
        <v>Phase 1 - 30/04/2028
Phase 2 - 31/12/2028</v>
      </c>
      <c r="D17" s="137"/>
      <c r="E17" s="103"/>
      <c r="F17" s="20" t="s">
        <v>57</v>
      </c>
      <c r="G17" s="2" t="s">
        <v>4</v>
      </c>
      <c r="H17" s="100" t="s">
        <v>231</v>
      </c>
      <c r="I17" s="101"/>
    </row>
    <row r="18" spans="1:11" ht="42" x14ac:dyDescent="0.3">
      <c r="A18" s="43" t="s">
        <v>58</v>
      </c>
      <c r="B18" s="2" t="s">
        <v>4</v>
      </c>
      <c r="C18" s="102" t="s">
        <v>194</v>
      </c>
      <c r="D18" s="137"/>
      <c r="E18" s="103"/>
      <c r="F18" s="20" t="s">
        <v>113</v>
      </c>
      <c r="G18" s="2" t="s">
        <v>4</v>
      </c>
      <c r="H18" s="99">
        <v>24332.03</v>
      </c>
      <c r="I18" s="99"/>
    </row>
    <row r="19" spans="1:11" ht="42" x14ac:dyDescent="0.3">
      <c r="A19" s="20" t="s">
        <v>59</v>
      </c>
      <c r="B19" s="2" t="s">
        <v>4</v>
      </c>
      <c r="C19" s="102">
        <v>1.1000000000000001</v>
      </c>
      <c r="D19" s="137"/>
      <c r="E19" s="103"/>
      <c r="F19" s="20" t="s">
        <v>112</v>
      </c>
      <c r="G19" s="2" t="s">
        <v>4</v>
      </c>
      <c r="H19" s="99">
        <v>142964.49</v>
      </c>
      <c r="I19" s="99"/>
      <c r="J19" s="1">
        <f>113+46+82</f>
        <v>241</v>
      </c>
    </row>
    <row r="20" spans="1:11" ht="42" x14ac:dyDescent="0.3">
      <c r="A20" s="20" t="s">
        <v>111</v>
      </c>
      <c r="B20" s="2" t="s">
        <v>4</v>
      </c>
      <c r="C20" s="102">
        <v>142964.71</v>
      </c>
      <c r="D20" s="137"/>
      <c r="E20" s="103"/>
      <c r="F20" s="59" t="s">
        <v>60</v>
      </c>
      <c r="G20" s="2" t="s">
        <v>4</v>
      </c>
      <c r="H20" s="100" t="s">
        <v>251</v>
      </c>
      <c r="I20" s="101"/>
      <c r="J20" s="1">
        <f>168+77+84+42+42</f>
        <v>413</v>
      </c>
      <c r="K20" s="1">
        <f>75+41+82</f>
        <v>198</v>
      </c>
    </row>
    <row r="21" spans="1:11" ht="42" x14ac:dyDescent="0.3">
      <c r="A21" s="20" t="s">
        <v>61</v>
      </c>
      <c r="B21" s="2" t="s">
        <v>4</v>
      </c>
      <c r="C21" s="102" t="s">
        <v>249</v>
      </c>
      <c r="D21" s="137"/>
      <c r="E21" s="103"/>
      <c r="F21" s="20" t="s">
        <v>62</v>
      </c>
      <c r="G21" s="2" t="s">
        <v>4</v>
      </c>
      <c r="H21" s="99" t="s">
        <v>250</v>
      </c>
      <c r="I21" s="99"/>
      <c r="J21" s="1">
        <f>J19+J20</f>
        <v>654</v>
      </c>
      <c r="K21" s="1">
        <f>J21+198</f>
        <v>852</v>
      </c>
    </row>
    <row r="22" spans="1:11" ht="21" x14ac:dyDescent="0.3">
      <c r="A22" s="43" t="s">
        <v>27</v>
      </c>
      <c r="B22" s="2" t="s">
        <v>4</v>
      </c>
      <c r="C22" s="102">
        <v>19.228783</v>
      </c>
      <c r="D22" s="137"/>
      <c r="E22" s="103"/>
      <c r="F22" s="28" t="s">
        <v>28</v>
      </c>
      <c r="G22" s="28" t="s">
        <v>4</v>
      </c>
      <c r="H22" s="102">
        <v>72.983789000000002</v>
      </c>
      <c r="I22" s="103"/>
    </row>
    <row r="23" spans="1:11" ht="22.5" customHeight="1" x14ac:dyDescent="0.3">
      <c r="A23" s="43" t="s">
        <v>241</v>
      </c>
      <c r="B23" s="2" t="s">
        <v>4</v>
      </c>
      <c r="C23" s="109" t="s">
        <v>242</v>
      </c>
      <c r="D23" s="110"/>
      <c r="E23" s="110"/>
      <c r="F23" s="110"/>
      <c r="G23" s="110"/>
      <c r="H23" s="110"/>
      <c r="I23" s="101"/>
    </row>
    <row r="24" spans="1:11" ht="63" customHeight="1" x14ac:dyDescent="0.3">
      <c r="A24" s="43" t="s">
        <v>30</v>
      </c>
      <c r="B24" s="2" t="s">
        <v>4</v>
      </c>
      <c r="C24" s="99" t="s">
        <v>260</v>
      </c>
      <c r="D24" s="99"/>
      <c r="E24" s="99"/>
      <c r="F24" s="99"/>
      <c r="G24" s="99"/>
      <c r="H24" s="99"/>
      <c r="I24" s="99"/>
    </row>
    <row r="25" spans="1:11" ht="24" customHeight="1" x14ac:dyDescent="0.3">
      <c r="A25" s="124" t="s">
        <v>23</v>
      </c>
      <c r="B25" s="125"/>
      <c r="C25" s="125"/>
      <c r="D25" s="125"/>
      <c r="E25" s="125"/>
      <c r="F25" s="125"/>
      <c r="G25" s="125"/>
      <c r="H25" s="125"/>
      <c r="I25" s="126"/>
    </row>
    <row r="26" spans="1:11" ht="42" x14ac:dyDescent="0.3">
      <c r="A26" s="20" t="s">
        <v>31</v>
      </c>
      <c r="B26" s="2" t="s">
        <v>4</v>
      </c>
      <c r="C26" s="99" t="s">
        <v>99</v>
      </c>
      <c r="D26" s="99"/>
      <c r="E26" s="99"/>
      <c r="F26" s="20" t="s">
        <v>16</v>
      </c>
      <c r="G26" s="2" t="s">
        <v>4</v>
      </c>
      <c r="H26" s="99" t="s">
        <v>199</v>
      </c>
      <c r="I26" s="99"/>
    </row>
    <row r="27" spans="1:11" ht="21" x14ac:dyDescent="0.3">
      <c r="A27" s="20" t="s">
        <v>17</v>
      </c>
      <c r="B27" s="2" t="s">
        <v>4</v>
      </c>
      <c r="C27" s="99" t="s">
        <v>116</v>
      </c>
      <c r="D27" s="99"/>
      <c r="E27" s="99"/>
      <c r="F27" s="20" t="s">
        <v>182</v>
      </c>
      <c r="G27" s="2" t="s">
        <v>4</v>
      </c>
      <c r="H27" s="99" t="s">
        <v>180</v>
      </c>
      <c r="I27" s="99"/>
    </row>
    <row r="28" spans="1:11" ht="42" x14ac:dyDescent="0.3">
      <c r="A28" s="20" t="s">
        <v>26</v>
      </c>
      <c r="B28" s="2" t="s">
        <v>4</v>
      </c>
      <c r="C28" s="99" t="s">
        <v>115</v>
      </c>
      <c r="D28" s="99"/>
      <c r="E28" s="99"/>
      <c r="F28" s="20" t="s">
        <v>19</v>
      </c>
      <c r="G28" s="2" t="s">
        <v>4</v>
      </c>
      <c r="H28" s="99" t="s">
        <v>201</v>
      </c>
      <c r="I28" s="99"/>
    </row>
    <row r="29" spans="1:11" ht="42" x14ac:dyDescent="0.3">
      <c r="A29" s="43" t="s">
        <v>137</v>
      </c>
      <c r="B29" s="2" t="s">
        <v>4</v>
      </c>
      <c r="C29" s="99" t="s">
        <v>202</v>
      </c>
      <c r="D29" s="99"/>
      <c r="E29" s="99"/>
      <c r="F29" s="20" t="s">
        <v>138</v>
      </c>
      <c r="G29" s="2" t="s">
        <v>4</v>
      </c>
      <c r="H29" s="100" t="s">
        <v>200</v>
      </c>
      <c r="I29" s="101"/>
    </row>
    <row r="30" spans="1:11" ht="66" customHeight="1" x14ac:dyDescent="0.3">
      <c r="A30" s="20" t="s">
        <v>20</v>
      </c>
      <c r="B30" s="2" t="s">
        <v>4</v>
      </c>
      <c r="C30" s="99" t="s">
        <v>252</v>
      </c>
      <c r="D30" s="99"/>
      <c r="E30" s="99"/>
      <c r="F30" s="20" t="s">
        <v>18</v>
      </c>
      <c r="G30" s="2" t="s">
        <v>4</v>
      </c>
      <c r="H30" s="99" t="s">
        <v>198</v>
      </c>
      <c r="I30" s="99"/>
    </row>
    <row r="31" spans="1:11" ht="21.75" customHeight="1" x14ac:dyDescent="0.3">
      <c r="A31" s="43" t="s">
        <v>143</v>
      </c>
      <c r="B31" s="2" t="s">
        <v>4</v>
      </c>
      <c r="C31" s="99" t="s">
        <v>144</v>
      </c>
      <c r="D31" s="99"/>
      <c r="E31" s="99"/>
      <c r="F31" s="20" t="s">
        <v>145</v>
      </c>
      <c r="G31" s="2" t="s">
        <v>4</v>
      </c>
      <c r="H31" s="100" t="s">
        <v>144</v>
      </c>
      <c r="I31" s="101"/>
    </row>
    <row r="32" spans="1:11" ht="21.75" customHeight="1" x14ac:dyDescent="0.3">
      <c r="A32" s="43" t="s">
        <v>146</v>
      </c>
      <c r="B32" s="2" t="s">
        <v>4</v>
      </c>
      <c r="C32" s="100" t="s">
        <v>144</v>
      </c>
      <c r="D32" s="110"/>
      <c r="E32" s="110"/>
      <c r="F32" s="110"/>
      <c r="G32" s="110"/>
      <c r="H32" s="110"/>
      <c r="I32" s="101"/>
    </row>
    <row r="33" spans="1:9" ht="21" x14ac:dyDescent="0.3">
      <c r="A33" s="138" t="s">
        <v>42</v>
      </c>
      <c r="B33" s="139"/>
      <c r="C33" s="139"/>
      <c r="D33" s="139"/>
      <c r="E33" s="139"/>
      <c r="F33" s="139"/>
      <c r="G33" s="139"/>
      <c r="H33" s="139"/>
      <c r="I33" s="140"/>
    </row>
    <row r="34" spans="1:9" ht="42" x14ac:dyDescent="0.3">
      <c r="A34" s="106" t="s">
        <v>21</v>
      </c>
      <c r="B34" s="107"/>
      <c r="C34" s="108"/>
      <c r="D34" s="2" t="s">
        <v>4</v>
      </c>
      <c r="E34" s="21" t="s">
        <v>117</v>
      </c>
      <c r="F34" s="20" t="s">
        <v>22</v>
      </c>
      <c r="G34" s="6" t="s">
        <v>4</v>
      </c>
      <c r="H34" s="100" t="s">
        <v>118</v>
      </c>
      <c r="I34" s="101"/>
    </row>
    <row r="35" spans="1:9" ht="42" x14ac:dyDescent="0.3">
      <c r="A35" s="106" t="s">
        <v>25</v>
      </c>
      <c r="B35" s="107"/>
      <c r="C35" s="108"/>
      <c r="D35" s="2" t="s">
        <v>4</v>
      </c>
      <c r="E35" s="21" t="s">
        <v>118</v>
      </c>
      <c r="F35" s="7" t="s">
        <v>37</v>
      </c>
      <c r="G35" s="2" t="s">
        <v>4</v>
      </c>
      <c r="H35" s="100" t="s">
        <v>118</v>
      </c>
      <c r="I35" s="101"/>
    </row>
    <row r="36" spans="1:9" ht="42" x14ac:dyDescent="0.3">
      <c r="A36" s="106" t="s">
        <v>36</v>
      </c>
      <c r="B36" s="107"/>
      <c r="C36" s="108"/>
      <c r="D36" s="2" t="s">
        <v>4</v>
      </c>
      <c r="E36" s="5" t="s">
        <v>119</v>
      </c>
      <c r="F36" s="20" t="s">
        <v>24</v>
      </c>
      <c r="G36" s="23" t="s">
        <v>4</v>
      </c>
      <c r="H36" s="100" t="s">
        <v>120</v>
      </c>
      <c r="I36" s="101"/>
    </row>
    <row r="37" spans="1:9" ht="21" x14ac:dyDescent="0.3">
      <c r="A37" s="124" t="s">
        <v>0</v>
      </c>
      <c r="B37" s="125"/>
      <c r="C37" s="125"/>
      <c r="D37" s="125"/>
      <c r="E37" s="125"/>
      <c r="F37" s="125"/>
      <c r="G37" s="125"/>
      <c r="H37" s="125"/>
      <c r="I37" s="126"/>
    </row>
    <row r="38" spans="1:9" ht="21" x14ac:dyDescent="0.3">
      <c r="A38" s="134" t="s">
        <v>0</v>
      </c>
      <c r="B38" s="136"/>
      <c r="C38" s="135"/>
      <c r="D38" s="2" t="s">
        <v>4</v>
      </c>
      <c r="E38" s="8" t="s">
        <v>1</v>
      </c>
      <c r="F38" s="8" t="s">
        <v>6</v>
      </c>
      <c r="G38" s="134" t="s">
        <v>2</v>
      </c>
      <c r="H38" s="135"/>
      <c r="I38" s="8" t="s">
        <v>3</v>
      </c>
    </row>
    <row r="39" spans="1:9" ht="21" x14ac:dyDescent="0.3">
      <c r="A39" s="106" t="s">
        <v>7</v>
      </c>
      <c r="B39" s="107"/>
      <c r="C39" s="108"/>
      <c r="D39" s="2" t="s">
        <v>4</v>
      </c>
      <c r="E39" s="22" t="s">
        <v>206</v>
      </c>
      <c r="F39" s="22" t="s">
        <v>207</v>
      </c>
      <c r="G39" s="104" t="s">
        <v>209</v>
      </c>
      <c r="H39" s="105"/>
      <c r="I39" s="22" t="s">
        <v>209</v>
      </c>
    </row>
    <row r="40" spans="1:9" ht="40.5" customHeight="1" x14ac:dyDescent="0.3">
      <c r="A40" s="106" t="s">
        <v>8</v>
      </c>
      <c r="B40" s="107"/>
      <c r="C40" s="108"/>
      <c r="D40" s="2" t="s">
        <v>4</v>
      </c>
      <c r="E40" s="22" t="s">
        <v>206</v>
      </c>
      <c r="F40" s="22" t="s">
        <v>207</v>
      </c>
      <c r="G40" s="104" t="s">
        <v>208</v>
      </c>
      <c r="H40" s="105"/>
      <c r="I40" s="22" t="s">
        <v>205</v>
      </c>
    </row>
    <row r="41" spans="1:9" ht="20.25" customHeight="1" x14ac:dyDescent="0.3">
      <c r="A41" s="106" t="s">
        <v>12</v>
      </c>
      <c r="B41" s="107"/>
      <c r="C41" s="108"/>
      <c r="D41" s="2" t="s">
        <v>4</v>
      </c>
      <c r="E41" s="17" t="s">
        <v>115</v>
      </c>
      <c r="F41" s="20" t="s">
        <v>13</v>
      </c>
      <c r="G41" s="2" t="s">
        <v>4</v>
      </c>
      <c r="H41" s="100" t="s">
        <v>114</v>
      </c>
      <c r="I41" s="101"/>
    </row>
    <row r="42" spans="1:9" ht="21" x14ac:dyDescent="0.3">
      <c r="A42" s="124" t="s">
        <v>63</v>
      </c>
      <c r="B42" s="125"/>
      <c r="C42" s="125"/>
      <c r="D42" s="125"/>
      <c r="E42" s="125"/>
      <c r="F42" s="125"/>
      <c r="G42" s="125"/>
      <c r="H42" s="125"/>
      <c r="I42" s="126"/>
    </row>
    <row r="43" spans="1:9" ht="21" customHeight="1" x14ac:dyDescent="0.3">
      <c r="A43" s="143" t="s">
        <v>64</v>
      </c>
      <c r="B43" s="143"/>
      <c r="C43" s="143" t="s">
        <v>65</v>
      </c>
      <c r="D43" s="143"/>
      <c r="E43" s="143" t="s">
        <v>179</v>
      </c>
      <c r="F43" s="143"/>
      <c r="G43" s="143"/>
      <c r="H43" s="143" t="s">
        <v>66</v>
      </c>
      <c r="I43" s="143"/>
    </row>
    <row r="44" spans="1:9" ht="21" x14ac:dyDescent="0.3">
      <c r="A44" s="151" t="s">
        <v>178</v>
      </c>
      <c r="B44" s="151"/>
      <c r="C44" s="112" t="s">
        <v>100</v>
      </c>
      <c r="D44" s="112"/>
      <c r="E44" s="99" t="s">
        <v>210</v>
      </c>
      <c r="F44" s="99"/>
      <c r="G44" s="99"/>
      <c r="H44" s="99" t="s">
        <v>210</v>
      </c>
      <c r="I44" s="99"/>
    </row>
    <row r="45" spans="1:9" ht="21" x14ac:dyDescent="0.3">
      <c r="A45" s="151" t="s">
        <v>204</v>
      </c>
      <c r="B45" s="151"/>
      <c r="C45" s="112" t="s">
        <v>100</v>
      </c>
      <c r="D45" s="112"/>
      <c r="E45" s="99" t="s">
        <v>210</v>
      </c>
      <c r="F45" s="99"/>
      <c r="G45" s="99"/>
      <c r="H45" s="99" t="s">
        <v>210</v>
      </c>
      <c r="I45" s="99"/>
    </row>
    <row r="46" spans="1:9" ht="21" x14ac:dyDescent="0.3">
      <c r="A46" s="151" t="s">
        <v>237</v>
      </c>
      <c r="B46" s="151"/>
      <c r="C46" s="112" t="s">
        <v>100</v>
      </c>
      <c r="D46" s="112"/>
      <c r="E46" s="99" t="s">
        <v>238</v>
      </c>
      <c r="F46" s="99"/>
      <c r="G46" s="99"/>
      <c r="H46" s="99" t="s">
        <v>238</v>
      </c>
      <c r="I46" s="99"/>
    </row>
    <row r="47" spans="1:9" ht="21" x14ac:dyDescent="0.3">
      <c r="A47" s="77" t="s">
        <v>67</v>
      </c>
      <c r="B47" s="77"/>
      <c r="C47" s="77"/>
      <c r="D47" s="77"/>
      <c r="E47" s="77"/>
      <c r="F47" s="77"/>
      <c r="G47" s="77"/>
      <c r="H47" s="77"/>
      <c r="I47" s="77"/>
    </row>
    <row r="48" spans="1:9" ht="94.5" customHeight="1" x14ac:dyDescent="0.3">
      <c r="A48" s="16" t="s">
        <v>68</v>
      </c>
      <c r="B48" s="16" t="s">
        <v>4</v>
      </c>
      <c r="C48" s="99" t="s">
        <v>115</v>
      </c>
      <c r="D48" s="99"/>
      <c r="E48" s="99"/>
      <c r="F48" s="16" t="s">
        <v>69</v>
      </c>
      <c r="G48" s="16" t="s">
        <v>4</v>
      </c>
      <c r="H48" s="99" t="s">
        <v>262</v>
      </c>
      <c r="I48" s="99"/>
    </row>
    <row r="49" spans="1:11" ht="318.60000000000002" customHeight="1" x14ac:dyDescent="0.3">
      <c r="A49" s="16" t="s">
        <v>101</v>
      </c>
      <c r="B49" s="16" t="s">
        <v>4</v>
      </c>
      <c r="C49" s="99" t="s">
        <v>263</v>
      </c>
      <c r="D49" s="99"/>
      <c r="E49" s="99"/>
      <c r="F49" s="16" t="s">
        <v>70</v>
      </c>
      <c r="G49" s="16" t="s">
        <v>4</v>
      </c>
      <c r="H49" s="99" t="s">
        <v>264</v>
      </c>
      <c r="I49" s="99"/>
    </row>
    <row r="50" spans="1:11" ht="46.5" hidden="1" customHeight="1" x14ac:dyDescent="0.3">
      <c r="A50" s="16" t="s">
        <v>71</v>
      </c>
      <c r="B50" s="16" t="s">
        <v>4</v>
      </c>
      <c r="C50" s="99"/>
      <c r="D50" s="99"/>
      <c r="E50" s="99"/>
      <c r="F50" s="16" t="s">
        <v>72</v>
      </c>
      <c r="G50" s="16" t="s">
        <v>4</v>
      </c>
      <c r="H50" s="99"/>
      <c r="I50" s="99"/>
    </row>
    <row r="51" spans="1:11" ht="45" hidden="1" customHeight="1" x14ac:dyDescent="0.3">
      <c r="A51" s="16" t="s">
        <v>73</v>
      </c>
      <c r="B51" s="16" t="s">
        <v>4</v>
      </c>
      <c r="C51" s="99" t="s">
        <v>114</v>
      </c>
      <c r="D51" s="99"/>
      <c r="E51" s="99"/>
      <c r="F51" s="16" t="s">
        <v>74</v>
      </c>
      <c r="G51" s="16" t="s">
        <v>4</v>
      </c>
      <c r="H51" s="99"/>
      <c r="I51" s="99"/>
    </row>
    <row r="52" spans="1:11" ht="21.6" thickBot="1" x14ac:dyDescent="0.35">
      <c r="A52" s="77" t="s">
        <v>75</v>
      </c>
      <c r="B52" s="77"/>
      <c r="C52" s="77"/>
      <c r="D52" s="77"/>
      <c r="E52" s="77"/>
      <c r="F52" s="77"/>
      <c r="G52" s="77"/>
      <c r="H52" s="77"/>
      <c r="I52" s="77"/>
    </row>
    <row r="53" spans="1:11" ht="20.25" customHeight="1" x14ac:dyDescent="0.4">
      <c r="A53" s="78" t="str">
        <f>CONCATENATE((IF(OR(A44="",A44="NA"),"",A44))," - ",(IF(OR(E44="",E44="NA"),"",E44))," ")</f>
        <v xml:space="preserve">Tower 2 - Gr + 1st to 42nd Floor </v>
      </c>
      <c r="B53" s="78"/>
      <c r="C53" s="78"/>
      <c r="D53" s="79" t="s">
        <v>4</v>
      </c>
      <c r="E53" s="64" t="s">
        <v>147</v>
      </c>
      <c r="F53" s="71" t="s">
        <v>133</v>
      </c>
      <c r="G53" s="71"/>
      <c r="H53" s="64" t="s">
        <v>148</v>
      </c>
      <c r="I53" s="64" t="s">
        <v>149</v>
      </c>
      <c r="J53" s="65"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upto 13 Slab, Brickwork upto 12 Floor, Internal Plaster upto 9.6 Floor, External Plaster upto 9.6 Floor Completed</v>
      </c>
      <c r="K53" s="37"/>
    </row>
    <row r="54" spans="1:11" ht="21" x14ac:dyDescent="0.4">
      <c r="A54" s="78"/>
      <c r="B54" s="78"/>
      <c r="C54" s="78"/>
      <c r="D54" s="79"/>
      <c r="E54" s="64">
        <v>0</v>
      </c>
      <c r="F54" s="71">
        <v>1</v>
      </c>
      <c r="G54" s="71"/>
      <c r="H54" s="64">
        <v>0</v>
      </c>
      <c r="I54" s="64">
        <f ca="1">--TRIM(RIGHT(SUBSTITUTE(LEFT(A53,_xlfn.AGGREGATE(16,6,FIND({0,1,2,3,4,5,6,7,8,9},A53,ROW(INDIRECT("1:"&amp;LEN(A53)))),1))," ",REPT(" ",LEN(A53))),LEN(A53)))</f>
        <v>42</v>
      </c>
      <c r="J54" s="66" t="s">
        <v>153</v>
      </c>
      <c r="K54" s="37"/>
    </row>
    <row r="55" spans="1:11" ht="20.25" customHeight="1" x14ac:dyDescent="0.4">
      <c r="A55" s="80" t="s">
        <v>151</v>
      </c>
      <c r="B55" s="80"/>
      <c r="C55" s="80" t="s">
        <v>162</v>
      </c>
      <c r="D55" s="80"/>
      <c r="E55" s="62" t="s">
        <v>163</v>
      </c>
      <c r="F55" s="80" t="s">
        <v>152</v>
      </c>
      <c r="G55" s="80"/>
      <c r="H55" s="42" t="s">
        <v>150</v>
      </c>
      <c r="I55" s="42"/>
      <c r="J55" s="60" t="s">
        <v>164</v>
      </c>
      <c r="K55" s="38">
        <f ca="1">I54*25%</f>
        <v>10.5</v>
      </c>
    </row>
    <row r="56" spans="1:11" ht="20.25" customHeight="1" x14ac:dyDescent="0.4">
      <c r="A56" s="70" t="s">
        <v>165</v>
      </c>
      <c r="B56" s="70"/>
      <c r="C56" s="71">
        <f ca="1">K57</f>
        <v>42</v>
      </c>
      <c r="D56" s="71"/>
      <c r="E56" s="63">
        <f ca="1">((100/I54)*C56)/100</f>
        <v>1</v>
      </c>
      <c r="F56" s="70">
        <f ca="1">(((C56/I54*5)+(C57/I54*20)+(25/(F54+H54+I54)*C58)+(5/(I54)*C59)+(2.5/(I54)*C60)+(2.5/(I54)*C61)+(5/I54*C62)+(10/I54*C63)+(2.5/I54*C64)+(2.5/I54*C65)+(10/I54*C66)+(10/I54*C67))/100)</f>
        <v>0.35129568106312292</v>
      </c>
      <c r="G56" s="70"/>
      <c r="H56" s="70" t="str">
        <f ca="1">J53</f>
        <v>Excavation work Completed. Plinth work completed, RCC upto 13 Slab, Brickwork upto 12 Floor, Internal Plaster upto 9.6 Floor, External Plaster upto 9.6 Floor Completed</v>
      </c>
      <c r="I56" s="70"/>
      <c r="J56" s="60" t="s">
        <v>154</v>
      </c>
      <c r="K56" s="67">
        <f ca="1">I54*50%</f>
        <v>21</v>
      </c>
    </row>
    <row r="57" spans="1:11" ht="21" x14ac:dyDescent="0.4">
      <c r="A57" s="70" t="s">
        <v>134</v>
      </c>
      <c r="B57" s="70"/>
      <c r="C57" s="74">
        <v>42</v>
      </c>
      <c r="D57" s="71"/>
      <c r="E57" s="63">
        <f ca="1">((100/I54)*C57)/100</f>
        <v>1</v>
      </c>
      <c r="F57" s="70"/>
      <c r="G57" s="70"/>
      <c r="H57" s="70"/>
      <c r="I57" s="70"/>
      <c r="J57" s="60" t="s">
        <v>155</v>
      </c>
      <c r="K57" s="67">
        <f ca="1">I54</f>
        <v>42</v>
      </c>
    </row>
    <row r="58" spans="1:11" ht="21" customHeight="1" x14ac:dyDescent="0.4">
      <c r="A58" s="70" t="s">
        <v>166</v>
      </c>
      <c r="B58" s="70"/>
      <c r="C58" s="71">
        <v>13</v>
      </c>
      <c r="D58" s="71"/>
      <c r="E58" s="63">
        <f ca="1">((100/(F54+H54+I54))*C58)/100</f>
        <v>0.30232558139534882</v>
      </c>
      <c r="F58" s="70"/>
      <c r="G58" s="70"/>
      <c r="H58" s="70"/>
      <c r="I58" s="70"/>
      <c r="J58" s="60" t="s">
        <v>156</v>
      </c>
      <c r="K58" s="39">
        <f ca="1">(IF(E54&gt;1,(I54/(E54+2)),I54/4))</f>
        <v>10.5</v>
      </c>
    </row>
    <row r="59" spans="1:11" ht="21" customHeight="1" x14ac:dyDescent="0.4">
      <c r="A59" s="70" t="s">
        <v>167</v>
      </c>
      <c r="B59" s="70"/>
      <c r="C59" s="71">
        <f>C58-F54</f>
        <v>12</v>
      </c>
      <c r="D59" s="71"/>
      <c r="E59" s="63">
        <f ca="1">((100/I54)*C59)/100</f>
        <v>0.2857142857142857</v>
      </c>
      <c r="F59" s="70"/>
      <c r="G59" s="70"/>
      <c r="H59" s="70"/>
      <c r="I59" s="70"/>
      <c r="J59" s="60" t="s">
        <v>157</v>
      </c>
      <c r="K59" s="39">
        <f ca="1">(IF(E54&gt;1,(I54/(E54+2)+K58),I54/4+K58))</f>
        <v>21</v>
      </c>
    </row>
    <row r="60" spans="1:11" ht="21" customHeight="1" x14ac:dyDescent="0.4">
      <c r="A60" s="72" t="s">
        <v>168</v>
      </c>
      <c r="B60" s="73"/>
      <c r="C60" s="74">
        <f>C59*0.8</f>
        <v>9.6000000000000014</v>
      </c>
      <c r="D60" s="74"/>
      <c r="E60" s="63">
        <f ca="1">((100/I54)*C60)/100</f>
        <v>0.22857142857142862</v>
      </c>
      <c r="F60" s="70"/>
      <c r="G60" s="70"/>
      <c r="H60" s="70"/>
      <c r="I60" s="70"/>
      <c r="J60" s="60" t="s">
        <v>169</v>
      </c>
      <c r="K60" s="39">
        <f>(IF(E54&gt;1,(I54/(E54+2)+K59),0))</f>
        <v>0</v>
      </c>
    </row>
    <row r="61" spans="1:11" ht="21" customHeight="1" x14ac:dyDescent="0.4">
      <c r="A61" s="72" t="s">
        <v>256</v>
      </c>
      <c r="B61" s="73"/>
      <c r="C61" s="74">
        <f>C60</f>
        <v>9.6000000000000014</v>
      </c>
      <c r="D61" s="74"/>
      <c r="E61" s="63">
        <f ca="1">((100/I54)*C61)/100</f>
        <v>0.22857142857142862</v>
      </c>
      <c r="F61" s="70"/>
      <c r="G61" s="70"/>
      <c r="H61" s="70"/>
      <c r="I61" s="70"/>
      <c r="J61" s="60" t="s">
        <v>170</v>
      </c>
      <c r="K61" s="39">
        <f>(IF(E54&gt;2,(I54/(E54+2)+K60),0))</f>
        <v>0</v>
      </c>
    </row>
    <row r="62" spans="1:11" ht="57.75" customHeight="1" x14ac:dyDescent="0.4">
      <c r="A62" s="72" t="s">
        <v>257</v>
      </c>
      <c r="B62" s="73"/>
      <c r="C62" s="71">
        <v>0</v>
      </c>
      <c r="D62" s="71"/>
      <c r="E62" s="63">
        <f ca="1">((100/(I54))*C62)/100</f>
        <v>0</v>
      </c>
      <c r="F62" s="70"/>
      <c r="G62" s="70"/>
      <c r="H62" s="70"/>
      <c r="I62" s="70"/>
      <c r="J62" s="60" t="s">
        <v>172</v>
      </c>
      <c r="K62" s="40">
        <f>(IF(E54&gt;3,(I54/(E54+2)+K61),0))</f>
        <v>0</v>
      </c>
    </row>
    <row r="63" spans="1:11" ht="21" x14ac:dyDescent="0.4">
      <c r="A63" s="70" t="s">
        <v>171</v>
      </c>
      <c r="B63" s="70"/>
      <c r="C63" s="71">
        <v>0</v>
      </c>
      <c r="D63" s="71"/>
      <c r="E63" s="63">
        <f ca="1">((100/(I54))*C63)/100</f>
        <v>0</v>
      </c>
      <c r="F63" s="70"/>
      <c r="G63" s="70"/>
      <c r="H63" s="70"/>
      <c r="I63" s="70"/>
      <c r="J63" s="60" t="s">
        <v>173</v>
      </c>
      <c r="K63" s="39">
        <f>(IF(E54&gt;4,(I54/(E54+2)+K62),0))</f>
        <v>0</v>
      </c>
    </row>
    <row r="64" spans="1:11" ht="21" customHeight="1" x14ac:dyDescent="0.4">
      <c r="A64" s="70" t="s">
        <v>258</v>
      </c>
      <c r="B64" s="70"/>
      <c r="C64" s="71">
        <v>0</v>
      </c>
      <c r="D64" s="71"/>
      <c r="E64" s="63">
        <f ca="1">((100/I54)*C64)/100</f>
        <v>0</v>
      </c>
      <c r="F64" s="70"/>
      <c r="G64" s="70"/>
      <c r="H64" s="70"/>
      <c r="I64" s="70"/>
      <c r="J64" s="60" t="s">
        <v>158</v>
      </c>
      <c r="K64" s="39">
        <f ca="1">(IF(E54=1,(I54/(E54+3)+K59),IF(E54=0,(I54/4+K59),IF(E54&gt;1,0))))</f>
        <v>31.5</v>
      </c>
    </row>
    <row r="65" spans="1:13" ht="42" customHeight="1" thickBot="1" x14ac:dyDescent="0.45">
      <c r="A65" s="70" t="s">
        <v>259</v>
      </c>
      <c r="B65" s="70"/>
      <c r="C65" s="71">
        <v>0</v>
      </c>
      <c r="D65" s="71"/>
      <c r="E65" s="63">
        <f ca="1">((100/I54)*C65)/100</f>
        <v>0</v>
      </c>
      <c r="F65" s="70"/>
      <c r="G65" s="70"/>
      <c r="H65" s="70"/>
      <c r="I65" s="70"/>
      <c r="J65" s="68" t="s">
        <v>159</v>
      </c>
      <c r="K65" s="41">
        <f ca="1">(IF(E54&gt;1.5,(I54/(E54+2)+K58+MAX(0,K59-K58)+MAX(0,K60-K59)+MAX(0,K61-K60)+MAX(0,K62-K61)+MAX(0,K63-K62)),IF(E54=1,(I54/(E54+3)+K64),IF(E54=0,I54/4+K64))))</f>
        <v>42</v>
      </c>
      <c r="M65" s="1" t="e">
        <f>(IF(D53&gt;1.5,(H53/(D53+2)+J58+MAX(0,J59-J58)+MAX(0,J60-J59)+MAX(0,J61-J60)+MAX(0,J62-J61)+MAX(0,J63-J62)),IF(D53=1,(H53/(D53+3)+J63),IF(D53=0,H53*0.3+J63))))</f>
        <v>#VALUE!</v>
      </c>
    </row>
    <row r="66" spans="1:13" ht="21" x14ac:dyDescent="0.3">
      <c r="A66" s="70" t="s">
        <v>174</v>
      </c>
      <c r="B66" s="70"/>
      <c r="C66" s="71">
        <v>0</v>
      </c>
      <c r="D66" s="71"/>
      <c r="E66" s="63">
        <f ca="1">((100/(I54))*C66)/100</f>
        <v>0</v>
      </c>
      <c r="F66" s="70"/>
      <c r="G66" s="70"/>
      <c r="H66" s="70"/>
      <c r="I66" s="70"/>
    </row>
    <row r="67" spans="1:13" ht="21" x14ac:dyDescent="0.3">
      <c r="A67" s="70" t="s">
        <v>175</v>
      </c>
      <c r="B67" s="70"/>
      <c r="C67" s="71">
        <v>0</v>
      </c>
      <c r="D67" s="71"/>
      <c r="E67" s="63">
        <f ca="1">((100/(I54))*C67)/100</f>
        <v>0</v>
      </c>
      <c r="F67" s="70"/>
      <c r="G67" s="70"/>
      <c r="H67" s="70"/>
      <c r="I67" s="70"/>
    </row>
    <row r="68" spans="1:13" ht="21.6" thickBot="1" x14ac:dyDescent="0.35">
      <c r="A68" s="77" t="s">
        <v>75</v>
      </c>
      <c r="B68" s="77"/>
      <c r="C68" s="77"/>
      <c r="D68" s="77"/>
      <c r="E68" s="77"/>
      <c r="F68" s="77"/>
      <c r="G68" s="77"/>
      <c r="H68" s="77"/>
      <c r="I68" s="77"/>
    </row>
    <row r="69" spans="1:13" ht="20.25" customHeight="1" x14ac:dyDescent="0.4">
      <c r="A69" s="78" t="str">
        <f>CONCATENATE((IF(OR(A45="",A45="NA"),"",A45))," - ",(IF(OR(E45="",E45="NA"),"",E45))," ")</f>
        <v xml:space="preserve">Tower 4 - Gr + 1st to 42nd Floor </v>
      </c>
      <c r="B69" s="78"/>
      <c r="C69" s="78"/>
      <c r="D69" s="79" t="s">
        <v>4</v>
      </c>
      <c r="E69" s="64" t="s">
        <v>147</v>
      </c>
      <c r="F69" s="71" t="s">
        <v>133</v>
      </c>
      <c r="G69" s="71"/>
      <c r="H69" s="64" t="s">
        <v>148</v>
      </c>
      <c r="I69" s="64" t="s">
        <v>149</v>
      </c>
      <c r="J69" s="65"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upto 25 Slab, Brickwork upto 24 Floor, Internal Plaster upto 19.2 Floor, External Plaster upto 19.2 Floor Completed</v>
      </c>
      <c r="K69" s="37"/>
    </row>
    <row r="70" spans="1:13" ht="21" x14ac:dyDescent="0.4">
      <c r="A70" s="78"/>
      <c r="B70" s="78"/>
      <c r="C70" s="78"/>
      <c r="D70" s="79"/>
      <c r="E70" s="64">
        <v>0</v>
      </c>
      <c r="F70" s="71">
        <v>1</v>
      </c>
      <c r="G70" s="71"/>
      <c r="H70" s="64">
        <v>0</v>
      </c>
      <c r="I70" s="64">
        <f ca="1">--TRIM(RIGHT(SUBSTITUTE(LEFT(A69,_xlfn.AGGREGATE(16,6,FIND({0,1,2,3,4,5,6,7,8,9},A69,ROW(INDIRECT("1:"&amp;LEN(A69)))),1))," ",REPT(" ",LEN(A69))),LEN(A69)))</f>
        <v>42</v>
      </c>
      <c r="J70" s="66" t="s">
        <v>153</v>
      </c>
      <c r="K70" s="37"/>
    </row>
    <row r="71" spans="1:13" ht="20.25" customHeight="1" x14ac:dyDescent="0.4">
      <c r="A71" s="80" t="s">
        <v>151</v>
      </c>
      <c r="B71" s="80"/>
      <c r="C71" s="80" t="s">
        <v>162</v>
      </c>
      <c r="D71" s="80"/>
      <c r="E71" s="62" t="s">
        <v>163</v>
      </c>
      <c r="F71" s="80" t="s">
        <v>152</v>
      </c>
      <c r="G71" s="80"/>
      <c r="H71" s="42" t="s">
        <v>150</v>
      </c>
      <c r="I71" s="42"/>
      <c r="J71" s="60" t="s">
        <v>164</v>
      </c>
      <c r="K71" s="38">
        <f ca="1">I70*25%</f>
        <v>10.5</v>
      </c>
    </row>
    <row r="72" spans="1:13" ht="20.25" customHeight="1" x14ac:dyDescent="0.4">
      <c r="A72" s="70" t="s">
        <v>165</v>
      </c>
      <c r="B72" s="70"/>
      <c r="C72" s="71">
        <f ca="1">K73</f>
        <v>42</v>
      </c>
      <c r="D72" s="71"/>
      <c r="E72" s="63">
        <f ca="1">((100/I70)*C72)/100</f>
        <v>1</v>
      </c>
      <c r="F72" s="70">
        <f ca="1">(((C72/I70*5)+(C73/I70*20)+(25/(F70+H70+I70)*C74)+(5/(I70)*C75)+(2.5/(I70)*C76)+(2.5/(I70)*C77)+(5/I70*C78)+(10/I70*C79)+(2.5/I70*C80)+(2.5/I70*C81)+(10/I70*C82)+(10/I70*C83))/100)</f>
        <v>0.4467774086378738</v>
      </c>
      <c r="G72" s="70"/>
      <c r="H72" s="70" t="str">
        <f ca="1">J69</f>
        <v>Excavation work Completed. Plinth work completed, RCC upto 25 Slab, Brickwork upto 24 Floor, Internal Plaster upto 19.2 Floor, External Plaster upto 19.2 Floor Completed</v>
      </c>
      <c r="I72" s="70"/>
      <c r="J72" s="60" t="s">
        <v>154</v>
      </c>
      <c r="K72" s="67">
        <f ca="1">I70*50%</f>
        <v>21</v>
      </c>
    </row>
    <row r="73" spans="1:13" ht="21" x14ac:dyDescent="0.4">
      <c r="A73" s="70" t="s">
        <v>134</v>
      </c>
      <c r="B73" s="70"/>
      <c r="C73" s="74">
        <v>42</v>
      </c>
      <c r="D73" s="71"/>
      <c r="E73" s="63">
        <f ca="1">((100/I70)*C73)/100</f>
        <v>1</v>
      </c>
      <c r="F73" s="70"/>
      <c r="G73" s="70"/>
      <c r="H73" s="70"/>
      <c r="I73" s="70"/>
      <c r="J73" s="60" t="s">
        <v>155</v>
      </c>
      <c r="K73" s="67">
        <f ca="1">I70</f>
        <v>42</v>
      </c>
    </row>
    <row r="74" spans="1:13" ht="21" customHeight="1" x14ac:dyDescent="0.4">
      <c r="A74" s="70" t="s">
        <v>166</v>
      </c>
      <c r="B74" s="70"/>
      <c r="C74" s="71">
        <v>25</v>
      </c>
      <c r="D74" s="71"/>
      <c r="E74" s="63">
        <f ca="1">((100/(F70+H70+I70))*C74)/100</f>
        <v>0.58139534883720934</v>
      </c>
      <c r="F74" s="70"/>
      <c r="G74" s="70"/>
      <c r="H74" s="70"/>
      <c r="I74" s="70"/>
      <c r="J74" s="60" t="s">
        <v>156</v>
      </c>
      <c r="K74" s="39">
        <f ca="1">(IF(E70&gt;1,(I70/(E70+2)),I70/4))</f>
        <v>10.5</v>
      </c>
    </row>
    <row r="75" spans="1:13" ht="21" customHeight="1" x14ac:dyDescent="0.4">
      <c r="A75" s="70" t="s">
        <v>167</v>
      </c>
      <c r="B75" s="70"/>
      <c r="C75" s="71">
        <f>C74-F70</f>
        <v>24</v>
      </c>
      <c r="D75" s="71"/>
      <c r="E75" s="63">
        <f ca="1">((100/I70)*C75)/100</f>
        <v>0.5714285714285714</v>
      </c>
      <c r="F75" s="70"/>
      <c r="G75" s="70"/>
      <c r="H75" s="70"/>
      <c r="I75" s="70"/>
      <c r="J75" s="60" t="s">
        <v>157</v>
      </c>
      <c r="K75" s="39">
        <f ca="1">(IF(E70&gt;1,(I70/(E70+2)+K74),I70/4+K74))</f>
        <v>21</v>
      </c>
    </row>
    <row r="76" spans="1:13" ht="21" customHeight="1" x14ac:dyDescent="0.4">
      <c r="A76" s="72" t="s">
        <v>168</v>
      </c>
      <c r="B76" s="73"/>
      <c r="C76" s="74">
        <f>C75*0.8</f>
        <v>19.200000000000003</v>
      </c>
      <c r="D76" s="74"/>
      <c r="E76" s="63">
        <f ca="1">((100/I70)*C76)/100</f>
        <v>0.45714285714285724</v>
      </c>
      <c r="F76" s="70"/>
      <c r="G76" s="70"/>
      <c r="H76" s="70"/>
      <c r="I76" s="70"/>
      <c r="J76" s="60" t="s">
        <v>169</v>
      </c>
      <c r="K76" s="39">
        <f>(IF(E70&gt;1,(I70/(E70+2)+K75),0))</f>
        <v>0</v>
      </c>
    </row>
    <row r="77" spans="1:13" ht="21" customHeight="1" x14ac:dyDescent="0.4">
      <c r="A77" s="72" t="s">
        <v>256</v>
      </c>
      <c r="B77" s="73"/>
      <c r="C77" s="74">
        <f>C76</f>
        <v>19.200000000000003</v>
      </c>
      <c r="D77" s="74"/>
      <c r="E77" s="63">
        <f ca="1">((100/I70)*C77)/100</f>
        <v>0.45714285714285724</v>
      </c>
      <c r="F77" s="70"/>
      <c r="G77" s="70"/>
      <c r="H77" s="70"/>
      <c r="I77" s="70"/>
      <c r="J77" s="60" t="s">
        <v>170</v>
      </c>
      <c r="K77" s="39">
        <f>(IF(E70&gt;2,(I70/(E70+2)+K76),0))</f>
        <v>0</v>
      </c>
    </row>
    <row r="78" spans="1:13" ht="57.75" customHeight="1" x14ac:dyDescent="0.4">
      <c r="A78" s="72" t="s">
        <v>257</v>
      </c>
      <c r="B78" s="73"/>
      <c r="C78" s="71">
        <v>0</v>
      </c>
      <c r="D78" s="71"/>
      <c r="E78" s="63">
        <f ca="1">((100/(I70))*C78)/100</f>
        <v>0</v>
      </c>
      <c r="F78" s="70"/>
      <c r="G78" s="70"/>
      <c r="H78" s="70"/>
      <c r="I78" s="70"/>
      <c r="J78" s="60" t="s">
        <v>172</v>
      </c>
      <c r="K78" s="40">
        <f>(IF(E70&gt;3,(I70/(E70+2)+K77),0))</f>
        <v>0</v>
      </c>
    </row>
    <row r="79" spans="1:13" ht="21" x14ac:dyDescent="0.4">
      <c r="A79" s="70" t="s">
        <v>171</v>
      </c>
      <c r="B79" s="70"/>
      <c r="C79" s="71">
        <v>0</v>
      </c>
      <c r="D79" s="71"/>
      <c r="E79" s="63">
        <f ca="1">((100/(I70))*C79)/100</f>
        <v>0</v>
      </c>
      <c r="F79" s="70"/>
      <c r="G79" s="70"/>
      <c r="H79" s="70"/>
      <c r="I79" s="70"/>
      <c r="J79" s="60" t="s">
        <v>173</v>
      </c>
      <c r="K79" s="39">
        <f>(IF(E70&gt;4,(I70/(E70+2)+K78),0))</f>
        <v>0</v>
      </c>
    </row>
    <row r="80" spans="1:13" ht="21" customHeight="1" x14ac:dyDescent="0.4">
      <c r="A80" s="70" t="s">
        <v>258</v>
      </c>
      <c r="B80" s="70"/>
      <c r="C80" s="71">
        <v>0</v>
      </c>
      <c r="D80" s="71"/>
      <c r="E80" s="63">
        <f ca="1">((100/I70)*C80)/100</f>
        <v>0</v>
      </c>
      <c r="F80" s="70"/>
      <c r="G80" s="70"/>
      <c r="H80" s="70"/>
      <c r="I80" s="70"/>
      <c r="J80" s="60" t="s">
        <v>158</v>
      </c>
      <c r="K80" s="39">
        <f ca="1">(IF(E70=1,(I70/(E70+3)+K75),IF(E70=0,(I70/4+K75),IF(E70&gt;1,0))))</f>
        <v>31.5</v>
      </c>
    </row>
    <row r="81" spans="1:13" ht="42" customHeight="1" thickBot="1" x14ac:dyDescent="0.45">
      <c r="A81" s="70" t="s">
        <v>259</v>
      </c>
      <c r="B81" s="70"/>
      <c r="C81" s="71">
        <v>0</v>
      </c>
      <c r="D81" s="71"/>
      <c r="E81" s="63">
        <f ca="1">((100/I70)*C81)/100</f>
        <v>0</v>
      </c>
      <c r="F81" s="70"/>
      <c r="G81" s="70"/>
      <c r="H81" s="70"/>
      <c r="I81" s="70"/>
      <c r="J81" s="68" t="s">
        <v>159</v>
      </c>
      <c r="K81" s="41">
        <f ca="1">(IF(E70&gt;1.5,(I70/(E70+2)+K74+MAX(0,K75-K74)+MAX(0,K76-K75)+MAX(0,K77-K76)+MAX(0,K78-K77)+MAX(0,K79-K78)),IF(E70=1,(I70/(E70+3)+K80),IF(E70=0,I70/4+K80))))</f>
        <v>42</v>
      </c>
      <c r="M81" s="1" t="e">
        <f>(IF(D69&gt;1.5,(H69/(D69+2)+J74+MAX(0,J75-J74)+MAX(0,J76-J75)+MAX(0,J77-J76)+MAX(0,J78-J77)+MAX(0,J79-J78)),IF(D69=1,(H69/(D69+3)+J79),IF(D69=0,H69*0.3+J79))))</f>
        <v>#VALUE!</v>
      </c>
    </row>
    <row r="82" spans="1:13" ht="21" x14ac:dyDescent="0.3">
      <c r="A82" s="70" t="s">
        <v>174</v>
      </c>
      <c r="B82" s="70"/>
      <c r="C82" s="71">
        <v>0</v>
      </c>
      <c r="D82" s="71"/>
      <c r="E82" s="63">
        <f ca="1">((100/(I70))*C82)/100</f>
        <v>0</v>
      </c>
      <c r="F82" s="70"/>
      <c r="G82" s="70"/>
      <c r="H82" s="70"/>
      <c r="I82" s="70"/>
    </row>
    <row r="83" spans="1:13" ht="21" x14ac:dyDescent="0.3">
      <c r="A83" s="70" t="s">
        <v>175</v>
      </c>
      <c r="B83" s="70"/>
      <c r="C83" s="71">
        <v>0</v>
      </c>
      <c r="D83" s="71"/>
      <c r="E83" s="63">
        <f ca="1">((100/(I70))*C83)/100</f>
        <v>0</v>
      </c>
      <c r="F83" s="70"/>
      <c r="G83" s="70"/>
      <c r="H83" s="70"/>
      <c r="I83" s="70"/>
    </row>
    <row r="84" spans="1:13" ht="21.6" thickBot="1" x14ac:dyDescent="0.35">
      <c r="A84" s="77" t="s">
        <v>75</v>
      </c>
      <c r="B84" s="77"/>
      <c r="C84" s="77"/>
      <c r="D84" s="77"/>
      <c r="E84" s="77"/>
      <c r="F84" s="77"/>
      <c r="G84" s="77"/>
      <c r="H84" s="77"/>
      <c r="I84" s="77"/>
    </row>
    <row r="85" spans="1:13" ht="20.25" customHeight="1" x14ac:dyDescent="0.4">
      <c r="A85" s="78" t="str">
        <f>CONCATENATE((IF(OR(A46="",A46="NA"),"",A46))," - ",(IF(OR(E46="",E46="NA"),"",E46))," ")</f>
        <v xml:space="preserve">Tower 3 - Panorama - Gr + 1st to 41st Floor </v>
      </c>
      <c r="B85" s="78"/>
      <c r="C85" s="78"/>
      <c r="D85" s="79" t="s">
        <v>4</v>
      </c>
      <c r="E85" s="64" t="s">
        <v>147</v>
      </c>
      <c r="F85" s="71" t="s">
        <v>133</v>
      </c>
      <c r="G85" s="71"/>
      <c r="H85" s="64" t="s">
        <v>148</v>
      </c>
      <c r="I85" s="64" t="s">
        <v>149</v>
      </c>
      <c r="J85" s="65"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upto 2 Slab Completed</v>
      </c>
      <c r="K85" s="37"/>
    </row>
    <row r="86" spans="1:13" ht="21" x14ac:dyDescent="0.4">
      <c r="A86" s="78"/>
      <c r="B86" s="78"/>
      <c r="C86" s="78"/>
      <c r="D86" s="79"/>
      <c r="E86" s="64">
        <v>0</v>
      </c>
      <c r="F86" s="71">
        <v>1</v>
      </c>
      <c r="G86" s="71"/>
      <c r="H86" s="64">
        <v>0</v>
      </c>
      <c r="I86" s="64">
        <f ca="1">--TRIM(RIGHT(SUBSTITUTE(LEFT(A85,_xlfn.AGGREGATE(16,6,FIND({0,1,2,3,4,5,6,7,8,9},A85,ROW(INDIRECT("1:"&amp;LEN(A85)))),1))," ",REPT(" ",LEN(A85))),LEN(A85)))</f>
        <v>41</v>
      </c>
      <c r="J86" s="66" t="s">
        <v>153</v>
      </c>
      <c r="K86" s="37"/>
    </row>
    <row r="87" spans="1:13" ht="20.25" customHeight="1" x14ac:dyDescent="0.4">
      <c r="A87" s="80" t="s">
        <v>151</v>
      </c>
      <c r="B87" s="80"/>
      <c r="C87" s="80" t="s">
        <v>162</v>
      </c>
      <c r="D87" s="80"/>
      <c r="E87" s="62" t="s">
        <v>163</v>
      </c>
      <c r="F87" s="80" t="s">
        <v>152</v>
      </c>
      <c r="G87" s="80"/>
      <c r="H87" s="42" t="s">
        <v>150</v>
      </c>
      <c r="I87" s="42"/>
      <c r="J87" s="60" t="s">
        <v>164</v>
      </c>
      <c r="K87" s="38">
        <f ca="1">I86*25%</f>
        <v>10.25</v>
      </c>
    </row>
    <row r="88" spans="1:13" ht="20.25" customHeight="1" x14ac:dyDescent="0.4">
      <c r="A88" s="70" t="s">
        <v>165</v>
      </c>
      <c r="B88" s="70"/>
      <c r="C88" s="71">
        <f ca="1">K89</f>
        <v>41</v>
      </c>
      <c r="D88" s="71"/>
      <c r="E88" s="63">
        <f ca="1">((100/I86)*C88)/100</f>
        <v>1</v>
      </c>
      <c r="F88" s="70">
        <f ca="1">(((C88/I86*5)+(C89/I86*20)+(25/(F86+H86+I86)*C90)+(5/(I86)*C91)+(2.5/(I86)*C92)+(2.5/(I86)*C93)+(5/I86*C94)+(10/I86*C95)+(2.5/I86*C96)+(2.5/I86*C97)+(10/I86*C98)+(10/I86*C99))/100)</f>
        <v>0.26190476190476192</v>
      </c>
      <c r="G88" s="70"/>
      <c r="H88" s="70" t="str">
        <f ca="1">J85</f>
        <v>Excavation work Completed. Plinth work completed, RCC upto 2 Slab Completed</v>
      </c>
      <c r="I88" s="70"/>
      <c r="J88" s="60" t="s">
        <v>154</v>
      </c>
      <c r="K88" s="67">
        <f ca="1">I86*50%</f>
        <v>20.5</v>
      </c>
    </row>
    <row r="89" spans="1:13" ht="21" x14ac:dyDescent="0.4">
      <c r="A89" s="70" t="s">
        <v>134</v>
      </c>
      <c r="B89" s="70"/>
      <c r="C89" s="74">
        <f ca="1">K97</f>
        <v>41</v>
      </c>
      <c r="D89" s="71"/>
      <c r="E89" s="63">
        <f ca="1">((100/I86)*C89)/100</f>
        <v>1</v>
      </c>
      <c r="F89" s="70"/>
      <c r="G89" s="70"/>
      <c r="H89" s="70"/>
      <c r="I89" s="70"/>
      <c r="J89" s="60" t="s">
        <v>155</v>
      </c>
      <c r="K89" s="67">
        <f ca="1">I86</f>
        <v>41</v>
      </c>
    </row>
    <row r="90" spans="1:13" ht="21" customHeight="1" x14ac:dyDescent="0.4">
      <c r="A90" s="70" t="s">
        <v>166</v>
      </c>
      <c r="B90" s="70"/>
      <c r="C90" s="71">
        <v>2</v>
      </c>
      <c r="D90" s="71"/>
      <c r="E90" s="63">
        <f ca="1">((100/(F86+H86+I86))*C90)/100</f>
        <v>4.7619047619047616E-2</v>
      </c>
      <c r="F90" s="70"/>
      <c r="G90" s="70"/>
      <c r="H90" s="70"/>
      <c r="I90" s="70"/>
      <c r="J90" s="60" t="s">
        <v>156</v>
      </c>
      <c r="K90" s="39">
        <f ca="1">(IF(E86&gt;1,(I86/(E86+2)),I86/4))</f>
        <v>10.25</v>
      </c>
    </row>
    <row r="91" spans="1:13" ht="21" customHeight="1" x14ac:dyDescent="0.4">
      <c r="A91" s="70" t="s">
        <v>167</v>
      </c>
      <c r="B91" s="70"/>
      <c r="C91" s="71">
        <v>0</v>
      </c>
      <c r="D91" s="71"/>
      <c r="E91" s="63">
        <f ca="1">((100/I86)*C91)/100</f>
        <v>0</v>
      </c>
      <c r="F91" s="70"/>
      <c r="G91" s="70"/>
      <c r="H91" s="70"/>
      <c r="I91" s="70"/>
      <c r="J91" s="60" t="s">
        <v>157</v>
      </c>
      <c r="K91" s="39">
        <f ca="1">(IF(E86&gt;1,(I86/(E86+2)+K90),I86/4+K90))</f>
        <v>20.5</v>
      </c>
    </row>
    <row r="92" spans="1:13" ht="21" customHeight="1" x14ac:dyDescent="0.4">
      <c r="A92" s="72" t="s">
        <v>168</v>
      </c>
      <c r="B92" s="73"/>
      <c r="C92" s="71">
        <v>0</v>
      </c>
      <c r="D92" s="71"/>
      <c r="E92" s="63">
        <f ca="1">((100/I86)*C92)/100</f>
        <v>0</v>
      </c>
      <c r="F92" s="70"/>
      <c r="G92" s="70"/>
      <c r="H92" s="70"/>
      <c r="I92" s="70"/>
      <c r="J92" s="60" t="s">
        <v>169</v>
      </c>
      <c r="K92" s="39">
        <f>(IF(E86&gt;1,(I86/(E86+2)+K91),0))</f>
        <v>0</v>
      </c>
    </row>
    <row r="93" spans="1:13" ht="21" customHeight="1" x14ac:dyDescent="0.4">
      <c r="A93" s="72" t="s">
        <v>256</v>
      </c>
      <c r="B93" s="73"/>
      <c r="C93" s="71">
        <v>0</v>
      </c>
      <c r="D93" s="71"/>
      <c r="E93" s="63">
        <f ca="1">((100/I86)*C93)/100</f>
        <v>0</v>
      </c>
      <c r="F93" s="70"/>
      <c r="G93" s="70"/>
      <c r="H93" s="70"/>
      <c r="I93" s="70"/>
      <c r="J93" s="60" t="s">
        <v>170</v>
      </c>
      <c r="K93" s="39">
        <f>(IF(E86&gt;2,(I86/(E86+2)+K92),0))</f>
        <v>0</v>
      </c>
    </row>
    <row r="94" spans="1:13" ht="57.75" customHeight="1" x14ac:dyDescent="0.4">
      <c r="A94" s="72" t="s">
        <v>257</v>
      </c>
      <c r="B94" s="73"/>
      <c r="C94" s="71">
        <v>0</v>
      </c>
      <c r="D94" s="71"/>
      <c r="E94" s="63">
        <f ca="1">((100/(I86))*C94)/100</f>
        <v>0</v>
      </c>
      <c r="F94" s="70"/>
      <c r="G94" s="70"/>
      <c r="H94" s="70"/>
      <c r="I94" s="70"/>
      <c r="J94" s="60" t="s">
        <v>172</v>
      </c>
      <c r="K94" s="40">
        <f>(IF(E86&gt;3,(I86/(E86+2)+K93),0))</f>
        <v>0</v>
      </c>
    </row>
    <row r="95" spans="1:13" ht="21" x14ac:dyDescent="0.4">
      <c r="A95" s="70" t="s">
        <v>171</v>
      </c>
      <c r="B95" s="70"/>
      <c r="C95" s="71">
        <v>0</v>
      </c>
      <c r="D95" s="71"/>
      <c r="E95" s="63">
        <f ca="1">((100/(I86))*C95)/100</f>
        <v>0</v>
      </c>
      <c r="F95" s="70"/>
      <c r="G95" s="70"/>
      <c r="H95" s="70"/>
      <c r="I95" s="70"/>
      <c r="J95" s="60" t="s">
        <v>173</v>
      </c>
      <c r="K95" s="39">
        <f>(IF(E86&gt;4,(I86/(E86+2)+K94),0))</f>
        <v>0</v>
      </c>
    </row>
    <row r="96" spans="1:13" ht="21" customHeight="1" x14ac:dyDescent="0.4">
      <c r="A96" s="70" t="s">
        <v>258</v>
      </c>
      <c r="B96" s="70"/>
      <c r="C96" s="71">
        <v>0</v>
      </c>
      <c r="D96" s="71"/>
      <c r="E96" s="63">
        <f ca="1">((100/I86)*C96)/100</f>
        <v>0</v>
      </c>
      <c r="F96" s="70"/>
      <c r="G96" s="70"/>
      <c r="H96" s="70"/>
      <c r="I96" s="70"/>
      <c r="J96" s="60" t="s">
        <v>158</v>
      </c>
      <c r="K96" s="39">
        <f ca="1">(IF(E86=1,(I86/(E86+3)+K91),IF(E86=0,(I86/4+K91),IF(E86&gt;1,0))))</f>
        <v>30.75</v>
      </c>
    </row>
    <row r="97" spans="1:13" ht="42" customHeight="1" thickBot="1" x14ac:dyDescent="0.45">
      <c r="A97" s="70" t="s">
        <v>259</v>
      </c>
      <c r="B97" s="70"/>
      <c r="C97" s="71">
        <v>0</v>
      </c>
      <c r="D97" s="71"/>
      <c r="E97" s="63">
        <f ca="1">((100/I86)*C97)/100</f>
        <v>0</v>
      </c>
      <c r="F97" s="70"/>
      <c r="G97" s="70"/>
      <c r="H97" s="70"/>
      <c r="I97" s="70"/>
      <c r="J97" s="68" t="s">
        <v>159</v>
      </c>
      <c r="K97" s="41">
        <f ca="1">(IF(E86&gt;1.5,(I86/(E86+2)+K90+MAX(0,K91-K90)+MAX(0,K92-K91)+MAX(0,K93-K92)+MAX(0,K94-K93)+MAX(0,K95-K94)),IF(E86=1,(I86/(E86+3)+K96),IF(E86=0,I86/4+K96))))</f>
        <v>41</v>
      </c>
      <c r="M97" s="1" t="e">
        <f>(IF(D85&gt;1.5,(H85/(D85+2)+J90+MAX(0,J91-J90)+MAX(0,J92-J91)+MAX(0,J93-J92)+MAX(0,J94-J93)+MAX(0,J95-J94)),IF(D85=1,(H85/(D85+3)+J95),IF(D85=0,H85*0.3+J95))))</f>
        <v>#VALUE!</v>
      </c>
    </row>
    <row r="98" spans="1:13" ht="21" x14ac:dyDescent="0.3">
      <c r="A98" s="70" t="s">
        <v>174</v>
      </c>
      <c r="B98" s="70"/>
      <c r="C98" s="71">
        <v>0</v>
      </c>
      <c r="D98" s="71"/>
      <c r="E98" s="63">
        <f ca="1">((100/(I86))*C98)/100</f>
        <v>0</v>
      </c>
      <c r="F98" s="70"/>
      <c r="G98" s="70"/>
      <c r="H98" s="70"/>
      <c r="I98" s="70"/>
    </row>
    <row r="99" spans="1:13" ht="21" x14ac:dyDescent="0.3">
      <c r="A99" s="70" t="s">
        <v>175</v>
      </c>
      <c r="B99" s="70"/>
      <c r="C99" s="71">
        <v>0</v>
      </c>
      <c r="D99" s="71"/>
      <c r="E99" s="63">
        <f ca="1">((100/(I86))*C99)/100</f>
        <v>0</v>
      </c>
      <c r="F99" s="70"/>
      <c r="G99" s="70"/>
      <c r="H99" s="70"/>
      <c r="I99" s="70"/>
    </row>
    <row r="100" spans="1:13" ht="36.75" customHeight="1" x14ac:dyDescent="0.4">
      <c r="A100" s="160" t="s">
        <v>160</v>
      </c>
      <c r="B100" s="161"/>
      <c r="C100" s="161"/>
      <c r="D100" s="161"/>
      <c r="E100" s="161"/>
      <c r="F100" s="161"/>
      <c r="G100" s="161"/>
      <c r="H100" s="162">
        <f ca="1">AVERAGE(F56,F72,F88)</f>
        <v>0.35332595053525284</v>
      </c>
      <c r="I100" s="163"/>
      <c r="J100" s="60"/>
      <c r="K100" s="61"/>
      <c r="L100" s="61"/>
    </row>
    <row r="101" spans="1:13" ht="21" x14ac:dyDescent="0.3">
      <c r="A101" s="124" t="s">
        <v>79</v>
      </c>
      <c r="B101" s="125"/>
      <c r="C101" s="125"/>
      <c r="D101" s="125"/>
      <c r="E101" s="125"/>
      <c r="F101" s="125"/>
      <c r="G101" s="125"/>
      <c r="H101" s="125"/>
      <c r="I101" s="126"/>
    </row>
    <row r="102" spans="1:13" ht="63" x14ac:dyDescent="0.3">
      <c r="A102" s="123" t="s">
        <v>80</v>
      </c>
      <c r="B102" s="123"/>
      <c r="C102" s="123"/>
      <c r="D102" s="3" t="s">
        <v>4</v>
      </c>
      <c r="E102" s="14" t="s">
        <v>139</v>
      </c>
      <c r="F102" s="20" t="s">
        <v>176</v>
      </c>
      <c r="G102" s="3" t="s">
        <v>4</v>
      </c>
      <c r="H102" s="156" t="s">
        <v>224</v>
      </c>
      <c r="I102" s="156"/>
    </row>
    <row r="103" spans="1:13" ht="63" x14ac:dyDescent="0.3">
      <c r="A103" s="123" t="s">
        <v>191</v>
      </c>
      <c r="B103" s="123"/>
      <c r="C103" s="123"/>
      <c r="D103" s="2" t="s">
        <v>135</v>
      </c>
      <c r="E103" s="17" t="s">
        <v>225</v>
      </c>
      <c r="F103" s="20" t="s">
        <v>192</v>
      </c>
      <c r="G103" s="2" t="s">
        <v>4</v>
      </c>
      <c r="H103" s="99" t="s">
        <v>177</v>
      </c>
      <c r="I103" s="99"/>
    </row>
    <row r="104" spans="1:13" ht="26.25" customHeight="1" x14ac:dyDescent="0.3">
      <c r="A104" s="155" t="s">
        <v>83</v>
      </c>
      <c r="B104" s="155"/>
      <c r="C104" s="155"/>
      <c r="D104" s="3" t="s">
        <v>4</v>
      </c>
      <c r="E104" s="47">
        <v>800000</v>
      </c>
      <c r="F104" s="3" t="s">
        <v>132</v>
      </c>
      <c r="G104" s="3" t="s">
        <v>4</v>
      </c>
      <c r="H104" s="153" t="s">
        <v>140</v>
      </c>
      <c r="I104" s="154"/>
    </row>
    <row r="105" spans="1:13" ht="21" hidden="1" x14ac:dyDescent="0.3">
      <c r="A105" s="123" t="s">
        <v>122</v>
      </c>
      <c r="B105" s="123"/>
      <c r="C105" s="123"/>
      <c r="D105" s="2" t="s">
        <v>4</v>
      </c>
      <c r="E105" s="17" t="s">
        <v>123</v>
      </c>
      <c r="F105" s="20" t="s">
        <v>124</v>
      </c>
      <c r="G105" s="2" t="s">
        <v>4</v>
      </c>
      <c r="H105" s="99" t="s">
        <v>102</v>
      </c>
      <c r="I105" s="99"/>
    </row>
    <row r="106" spans="1:13" ht="63" hidden="1" x14ac:dyDescent="0.3">
      <c r="A106" s="123" t="s">
        <v>125</v>
      </c>
      <c r="B106" s="123"/>
      <c r="C106" s="123"/>
      <c r="D106" s="2" t="s">
        <v>4</v>
      </c>
      <c r="E106" s="17" t="s">
        <v>126</v>
      </c>
      <c r="F106" s="20" t="s">
        <v>127</v>
      </c>
      <c r="G106" s="2" t="s">
        <v>4</v>
      </c>
      <c r="H106" s="99" t="s">
        <v>128</v>
      </c>
      <c r="I106" s="99"/>
    </row>
    <row r="107" spans="1:13" ht="21" hidden="1" x14ac:dyDescent="0.3">
      <c r="A107" s="123" t="s">
        <v>82</v>
      </c>
      <c r="B107" s="123"/>
      <c r="C107" s="123"/>
      <c r="D107" s="2" t="s">
        <v>4</v>
      </c>
      <c r="E107" s="17" t="s">
        <v>104</v>
      </c>
      <c r="F107" s="20" t="s">
        <v>81</v>
      </c>
      <c r="G107" s="2" t="s">
        <v>4</v>
      </c>
      <c r="H107" s="100" t="s">
        <v>104</v>
      </c>
      <c r="I107" s="101"/>
    </row>
    <row r="108" spans="1:13" ht="21" hidden="1" x14ac:dyDescent="0.3">
      <c r="A108" s="123" t="s">
        <v>129</v>
      </c>
      <c r="B108" s="123"/>
      <c r="C108" s="123"/>
      <c r="D108" s="2" t="s">
        <v>4</v>
      </c>
      <c r="E108" s="17" t="s">
        <v>103</v>
      </c>
      <c r="F108" s="20" t="s">
        <v>83</v>
      </c>
      <c r="G108" s="2" t="s">
        <v>4</v>
      </c>
      <c r="H108" s="99" t="s">
        <v>121</v>
      </c>
      <c r="I108" s="99"/>
    </row>
    <row r="109" spans="1:13" ht="21" hidden="1" x14ac:dyDescent="0.3">
      <c r="A109" s="123" t="s">
        <v>130</v>
      </c>
      <c r="B109" s="123"/>
      <c r="C109" s="123"/>
      <c r="D109" s="2" t="s">
        <v>4</v>
      </c>
      <c r="E109" s="18" t="s">
        <v>114</v>
      </c>
      <c r="F109" s="20" t="s">
        <v>131</v>
      </c>
      <c r="G109" s="2" t="s">
        <v>4</v>
      </c>
      <c r="H109" s="157" t="s">
        <v>114</v>
      </c>
      <c r="I109" s="157"/>
    </row>
    <row r="110" spans="1:13" ht="18" hidden="1" customHeight="1" x14ac:dyDescent="0.3">
      <c r="A110" s="155" t="s">
        <v>132</v>
      </c>
      <c r="B110" s="155"/>
      <c r="C110" s="155"/>
      <c r="D110" s="3" t="s">
        <v>4</v>
      </c>
      <c r="E110" s="9"/>
      <c r="F110" s="3" t="s">
        <v>132</v>
      </c>
      <c r="G110" s="3" t="s">
        <v>4</v>
      </c>
      <c r="H110" s="158" t="s">
        <v>114</v>
      </c>
      <c r="I110" s="159"/>
    </row>
    <row r="111" spans="1:13" ht="21" x14ac:dyDescent="0.3">
      <c r="A111" s="124" t="s">
        <v>78</v>
      </c>
      <c r="B111" s="125"/>
      <c r="C111" s="125"/>
      <c r="D111" s="125"/>
      <c r="E111" s="125"/>
      <c r="F111" s="125"/>
      <c r="G111" s="125"/>
      <c r="H111" s="125"/>
      <c r="I111" s="126"/>
    </row>
    <row r="112" spans="1:13" ht="21" x14ac:dyDescent="0.3">
      <c r="A112" s="106" t="s">
        <v>9</v>
      </c>
      <c r="B112" s="107"/>
      <c r="C112" s="107"/>
      <c r="D112" s="107"/>
      <c r="E112" s="107"/>
      <c r="F112" s="108"/>
      <c r="G112" s="2" t="s">
        <v>4</v>
      </c>
      <c r="H112" s="132">
        <f>30000/10.764</f>
        <v>2787.0680044593091</v>
      </c>
      <c r="I112" s="133"/>
    </row>
    <row r="113" spans="1:151 16227:16384" ht="21" x14ac:dyDescent="0.3">
      <c r="A113" s="106" t="s">
        <v>33</v>
      </c>
      <c r="B113" s="107"/>
      <c r="C113" s="107"/>
      <c r="D113" s="107"/>
      <c r="E113" s="107"/>
      <c r="F113" s="108"/>
      <c r="G113" s="2" t="s">
        <v>4</v>
      </c>
      <c r="H113" s="131">
        <f>98600/10.764</f>
        <v>9160.163507989595</v>
      </c>
      <c r="I113" s="131"/>
    </row>
    <row r="114" spans="1:151 16227:16384" ht="21" x14ac:dyDescent="0.3">
      <c r="A114" s="106" t="s">
        <v>141</v>
      </c>
      <c r="B114" s="107"/>
      <c r="C114" s="107"/>
      <c r="D114" s="107"/>
      <c r="E114" s="107"/>
      <c r="F114" s="108"/>
      <c r="G114" s="2" t="s">
        <v>4</v>
      </c>
      <c r="H114" s="131">
        <f>H112*0.8</f>
        <v>2229.6544035674474</v>
      </c>
      <c r="I114" s="131"/>
    </row>
    <row r="115" spans="1:151 16227:16384" ht="21" x14ac:dyDescent="0.3">
      <c r="A115" s="94" t="s">
        <v>87</v>
      </c>
      <c r="B115" s="95"/>
      <c r="C115" s="95"/>
      <c r="D115" s="95"/>
      <c r="E115" s="95"/>
      <c r="F115" s="95"/>
      <c r="G115" s="95"/>
      <c r="H115" s="95"/>
      <c r="I115" s="96"/>
    </row>
    <row r="116" spans="1:151 16227:16384" s="10" customFormat="1" ht="40.799999999999997" x14ac:dyDescent="0.3">
      <c r="A116" s="97" t="s">
        <v>187</v>
      </c>
      <c r="B116" s="98"/>
      <c r="C116" s="97" t="s">
        <v>188</v>
      </c>
      <c r="D116" s="98"/>
      <c r="E116" s="44" t="s">
        <v>189</v>
      </c>
      <c r="F116" s="97" t="s">
        <v>186</v>
      </c>
      <c r="G116" s="98"/>
      <c r="H116" s="44" t="s">
        <v>185</v>
      </c>
      <c r="I116" s="44" t="s">
        <v>184</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0" customFormat="1" ht="21" x14ac:dyDescent="0.3">
      <c r="A117" s="75" t="s">
        <v>178</v>
      </c>
      <c r="B117" s="76"/>
      <c r="C117" s="75" t="s">
        <v>100</v>
      </c>
      <c r="D117" s="76"/>
      <c r="E117" s="45" t="s">
        <v>218</v>
      </c>
      <c r="F117" s="75">
        <f>COUNT(F143:G144)+COUNT(F146:G151)*24+COUNT(F153:G154)*5+COUNT(F156:G158)*5+COUNT(F160:G165)*10+COUNT(F167:G168)*2+COUNT(F170:G172)*2</f>
        <v>241</v>
      </c>
      <c r="G117" s="76"/>
      <c r="H117" s="45">
        <f>SUM(F143:G144)+SUM(F146:G151)*24+SUM(F153:G154)*5+SUM(F156:G158)*5+SUM(F160:G165)*10+SUM(F167:G168)*2+SUM(F170:G172)*2</f>
        <v>194481.47627999997</v>
      </c>
      <c r="I117" s="45">
        <f>SUM(I143:I144)+SUM(I146:I151)*24+SUM(I153:I154)*5+SUM(I156:I158)*5+SUM(I160:I165)*10+SUM(I167:I168)*2+SUM(I170:I172)*2</f>
        <v>311170.36204799998</v>
      </c>
      <c r="J117" s="1">
        <f>2+144+25+60+10</f>
        <v>241</v>
      </c>
      <c r="K117" s="1"/>
      <c r="L117" s="1"/>
      <c r="M117" s="56">
        <f>(10.764)</f>
        <v>10.763999999999999</v>
      </c>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0" customFormat="1" ht="21" x14ac:dyDescent="0.3">
      <c r="A118" s="75" t="s">
        <v>204</v>
      </c>
      <c r="B118" s="76"/>
      <c r="C118" s="75" t="s">
        <v>100</v>
      </c>
      <c r="D118" s="76"/>
      <c r="E118" s="45" t="s">
        <v>218</v>
      </c>
      <c r="F118" s="75">
        <f>COUNT(F176:G185)*35+COUNT(F187:G191)*7+COUNT(F193:G196)*7</f>
        <v>413</v>
      </c>
      <c r="G118" s="76"/>
      <c r="H118" s="45">
        <f>SUM(F176:G185)*35+SUM(F187:G191)*7+SUM(F193:G196)*7</f>
        <v>206495.63953200003</v>
      </c>
      <c r="I118" s="45">
        <f>SUM(I176:I185)*35+SUM(I187:I191)*7+SUM(I193:I196)*7</f>
        <v>330393.02325119998</v>
      </c>
      <c r="J118" s="1">
        <f>350+63</f>
        <v>413</v>
      </c>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0" customFormat="1" ht="21" x14ac:dyDescent="0.3">
      <c r="A119" s="75" t="s">
        <v>232</v>
      </c>
      <c r="B119" s="76"/>
      <c r="C119" s="75" t="s">
        <v>100</v>
      </c>
      <c r="D119" s="76"/>
      <c r="E119" s="45" t="s">
        <v>218</v>
      </c>
      <c r="F119" s="75">
        <f>COUNT(F201:G205)*34+COUNT(F208:G211)*7</f>
        <v>198</v>
      </c>
      <c r="G119" s="76"/>
      <c r="H119" s="45">
        <f>SUM(F201:G205)*34+SUM(F208:G211)*7</f>
        <v>165912.15858749999</v>
      </c>
      <c r="I119" s="45">
        <f>SUM(I201:I205)*34+SUM(I208:I211)*7</f>
        <v>265459.45373999997</v>
      </c>
      <c r="J119" s="1">
        <f>170+28</f>
        <v>198</v>
      </c>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0" customFormat="1" ht="21" x14ac:dyDescent="0.3">
      <c r="A120" s="165" t="s">
        <v>190</v>
      </c>
      <c r="B120" s="166"/>
      <c r="C120" s="97"/>
      <c r="D120" s="98"/>
      <c r="E120" s="44" t="s">
        <v>218</v>
      </c>
      <c r="F120" s="97">
        <f>SUM(F117:G119)</f>
        <v>852</v>
      </c>
      <c r="G120" s="98"/>
      <c r="H120" s="44">
        <f>SUM(H117:H119)</f>
        <v>566889.27439949999</v>
      </c>
      <c r="I120" s="44">
        <f>SUM(I117:I119)</f>
        <v>907022.83903919999</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ht="21" x14ac:dyDescent="0.3">
      <c r="A121" s="94" t="s">
        <v>87</v>
      </c>
      <c r="B121" s="95"/>
      <c r="C121" s="95"/>
      <c r="D121" s="95"/>
      <c r="E121" s="95"/>
      <c r="F121" s="95"/>
      <c r="G121" s="95"/>
      <c r="H121" s="95"/>
      <c r="I121" s="96"/>
    </row>
    <row r="122" spans="1:151 16227:16384" s="10" customFormat="1" ht="40.799999999999997" x14ac:dyDescent="0.3">
      <c r="A122" s="97" t="s">
        <v>187</v>
      </c>
      <c r="B122" s="98"/>
      <c r="C122" s="97" t="s">
        <v>188</v>
      </c>
      <c r="D122" s="98"/>
      <c r="E122" s="44" t="s">
        <v>189</v>
      </c>
      <c r="F122" s="97" t="s">
        <v>186</v>
      </c>
      <c r="G122" s="98"/>
      <c r="H122" s="44" t="s">
        <v>185</v>
      </c>
      <c r="I122" s="44" t="s">
        <v>184</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0" customFormat="1" ht="21" x14ac:dyDescent="0.3">
      <c r="A123" s="75" t="s">
        <v>178</v>
      </c>
      <c r="B123" s="76"/>
      <c r="C123" s="75" t="s">
        <v>100</v>
      </c>
      <c r="D123" s="76"/>
      <c r="E123" s="45" t="s">
        <v>212</v>
      </c>
      <c r="F123" s="75">
        <f>COUNT(F130:G135)+COUNT(F137:G142)</f>
        <v>12</v>
      </c>
      <c r="G123" s="76"/>
      <c r="H123" s="45">
        <f>SUM(F130:G135)+SUM(F137:G142)</f>
        <v>8320.8949199999988</v>
      </c>
      <c r="I123" s="45">
        <f>SUM(I130:I135)+SUM(I137:I142)</f>
        <v>13313.431872000001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ht="21" x14ac:dyDescent="0.3">
      <c r="A124" s="138" t="s">
        <v>183</v>
      </c>
      <c r="B124" s="139"/>
      <c r="C124" s="139"/>
      <c r="D124" s="139"/>
      <c r="E124" s="139"/>
      <c r="F124" s="139"/>
      <c r="G124" s="139"/>
      <c r="H124" s="139"/>
      <c r="I124" s="96"/>
    </row>
    <row r="125" spans="1:151 16227:16384" ht="44.25" customHeight="1" x14ac:dyDescent="0.3">
      <c r="A125" s="152" t="s">
        <v>109</v>
      </c>
      <c r="B125" s="152"/>
      <c r="C125" s="152" t="s">
        <v>105</v>
      </c>
      <c r="D125" s="152"/>
      <c r="E125" s="152" t="s">
        <v>106</v>
      </c>
      <c r="F125" s="152" t="s">
        <v>107</v>
      </c>
      <c r="G125" s="152"/>
      <c r="H125" s="152" t="s">
        <v>108</v>
      </c>
      <c r="I125" s="35" t="s">
        <v>161</v>
      </c>
    </row>
    <row r="126" spans="1:151 16227:16384" s="10" customFormat="1" ht="21" x14ac:dyDescent="0.3">
      <c r="A126" s="152"/>
      <c r="B126" s="152"/>
      <c r="C126" s="152"/>
      <c r="D126" s="152"/>
      <c r="E126" s="152"/>
      <c r="F126" s="152"/>
      <c r="G126" s="152"/>
      <c r="H126" s="152"/>
      <c r="I126" s="36">
        <v>0.6</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0" customFormat="1" ht="21" x14ac:dyDescent="0.3">
      <c r="A127" s="84" t="s">
        <v>243</v>
      </c>
      <c r="B127" s="85"/>
      <c r="C127" s="85"/>
      <c r="D127" s="85"/>
      <c r="E127" s="85"/>
      <c r="F127" s="85"/>
      <c r="G127" s="85"/>
      <c r="H127" s="85"/>
      <c r="I127" s="86"/>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0" customFormat="1" ht="21" x14ac:dyDescent="0.3">
      <c r="A128" s="84" t="s">
        <v>178</v>
      </c>
      <c r="B128" s="85"/>
      <c r="C128" s="85"/>
      <c r="D128" s="85"/>
      <c r="E128" s="85"/>
      <c r="F128" s="85"/>
      <c r="G128" s="85"/>
      <c r="H128" s="85"/>
      <c r="I128" s="86"/>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0" customFormat="1" ht="21" x14ac:dyDescent="0.3">
      <c r="A129" s="84" t="s">
        <v>245</v>
      </c>
      <c r="B129" s="85"/>
      <c r="C129" s="85"/>
      <c r="D129" s="85"/>
      <c r="E129" s="85"/>
      <c r="F129" s="85"/>
      <c r="G129" s="85"/>
      <c r="H129" s="85"/>
      <c r="I129" s="86"/>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0" customFormat="1" ht="20.25" customHeight="1" x14ac:dyDescent="0.3">
      <c r="A130" s="88" t="str">
        <f t="shared" ref="A130" si="0">A129</f>
        <v>Ground Floor For  Commercial, Meter Room, Fire Control Room &amp; Entrance</v>
      </c>
      <c r="B130" s="89"/>
      <c r="C130" s="81">
        <v>101</v>
      </c>
      <c r="D130" s="81"/>
      <c r="E130" s="19" t="s">
        <v>212</v>
      </c>
      <c r="F130" s="82">
        <f>61.77*10.764</f>
        <v>664.89228000000003</v>
      </c>
      <c r="G130" s="83"/>
      <c r="H130" s="19">
        <v>0</v>
      </c>
      <c r="I130" s="19">
        <f t="shared" ref="I130:I135" si="1">F130*(($I$126)+1)+H130</f>
        <v>1063.8276480000002</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0" customFormat="1" ht="20.25" customHeight="1" x14ac:dyDescent="0.3">
      <c r="A131" s="90"/>
      <c r="B131" s="91"/>
      <c r="C131" s="81">
        <f>C130+1</f>
        <v>102</v>
      </c>
      <c r="D131" s="81"/>
      <c r="E131" s="19" t="s">
        <v>212</v>
      </c>
      <c r="F131" s="82">
        <f>60.71*10.764</f>
        <v>653.48244</v>
      </c>
      <c r="G131" s="83"/>
      <c r="H131" s="19">
        <v>0</v>
      </c>
      <c r="I131" s="19">
        <f t="shared" si="1"/>
        <v>1045.5719040000001</v>
      </c>
      <c r="J131" s="54">
        <f>(5.575*6.801+3.625*3.275+4.085*1.325+2.185*1.475+1.4*1.375)</f>
        <v>60.347950000000004</v>
      </c>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0" customFormat="1" ht="20.25" customHeight="1" x14ac:dyDescent="0.3">
      <c r="A132" s="90"/>
      <c r="B132" s="91"/>
      <c r="C132" s="81">
        <f>C131+1</f>
        <v>103</v>
      </c>
      <c r="D132" s="81"/>
      <c r="E132" s="19" t="s">
        <v>212</v>
      </c>
      <c r="F132" s="82">
        <f>60.68*10.764</f>
        <v>653.15951999999993</v>
      </c>
      <c r="G132" s="83"/>
      <c r="H132" s="19">
        <v>0</v>
      </c>
      <c r="I132" s="19">
        <f t="shared" si="1"/>
        <v>1045.0552319999999</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0" customFormat="1" ht="20.25" customHeight="1" x14ac:dyDescent="0.3">
      <c r="A133" s="90"/>
      <c r="B133" s="91"/>
      <c r="C133" s="81">
        <f>C132+1</f>
        <v>104</v>
      </c>
      <c r="D133" s="81"/>
      <c r="E133" s="19" t="s">
        <v>212</v>
      </c>
      <c r="F133" s="82">
        <f>46.81*10.764</f>
        <v>503.86284000000001</v>
      </c>
      <c r="G133" s="83"/>
      <c r="H133" s="19">
        <v>0</v>
      </c>
      <c r="I133" s="19">
        <f t="shared" si="1"/>
        <v>806.18054400000005</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0" customFormat="1" ht="20.25" customHeight="1" x14ac:dyDescent="0.3">
      <c r="A134" s="90"/>
      <c r="B134" s="91"/>
      <c r="C134" s="81">
        <f>C133+1</f>
        <v>105</v>
      </c>
      <c r="D134" s="81"/>
      <c r="E134" s="19" t="s">
        <v>212</v>
      </c>
      <c r="F134" s="82">
        <f>115.89*10.764</f>
        <v>1247.4399599999999</v>
      </c>
      <c r="G134" s="83"/>
      <c r="H134" s="19">
        <v>0</v>
      </c>
      <c r="I134" s="19">
        <f t="shared" si="1"/>
        <v>1995.9039359999999</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0" customFormat="1" ht="20.25" customHeight="1" x14ac:dyDescent="0.3">
      <c r="A135" s="92"/>
      <c r="B135" s="93"/>
      <c r="C135" s="81">
        <f>C134+1</f>
        <v>106</v>
      </c>
      <c r="D135" s="81"/>
      <c r="E135" s="19" t="s">
        <v>212</v>
      </c>
      <c r="F135" s="82">
        <f>84.83*10.764</f>
        <v>913.11011999999994</v>
      </c>
      <c r="G135" s="83"/>
      <c r="H135" s="19">
        <v>0</v>
      </c>
      <c r="I135" s="19">
        <f t="shared" si="1"/>
        <v>1460.9761920000001</v>
      </c>
      <c r="J135" s="54">
        <f>(5.525*12.5+3.05*4.125+1.275*2.225)</f>
        <v>84.480625000000003</v>
      </c>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0" customFormat="1" ht="21" x14ac:dyDescent="0.3">
      <c r="A136" s="84" t="s">
        <v>244</v>
      </c>
      <c r="B136" s="85"/>
      <c r="C136" s="85"/>
      <c r="D136" s="85"/>
      <c r="E136" s="85"/>
      <c r="F136" s="85"/>
      <c r="G136" s="85"/>
      <c r="H136" s="85"/>
      <c r="I136" s="86"/>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0" customFormat="1" ht="21" x14ac:dyDescent="0.3">
      <c r="A137" s="88" t="str">
        <f>A136</f>
        <v>1st Floor For Commercial &amp; Residential</v>
      </c>
      <c r="B137" s="89"/>
      <c r="C137" s="81">
        <v>201</v>
      </c>
      <c r="D137" s="81"/>
      <c r="E137" s="19" t="s">
        <v>212</v>
      </c>
      <c r="F137" s="82">
        <f>48.59*10.764</f>
        <v>523.02275999999995</v>
      </c>
      <c r="G137" s="83"/>
      <c r="H137" s="19">
        <v>0</v>
      </c>
      <c r="I137" s="19">
        <f t="shared" ref="I137" si="2">F137*(($I$126)+1)+H137</f>
        <v>836.83641599999999</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0" customFormat="1" ht="21" x14ac:dyDescent="0.3">
      <c r="A138" s="90"/>
      <c r="B138" s="91"/>
      <c r="C138" s="81">
        <v>202</v>
      </c>
      <c r="D138" s="81"/>
      <c r="E138" s="19" t="s">
        <v>212</v>
      </c>
      <c r="F138" s="82">
        <f>45.1*10.764</f>
        <v>485.45639999999997</v>
      </c>
      <c r="G138" s="83"/>
      <c r="H138" s="19">
        <v>0</v>
      </c>
      <c r="I138" s="19">
        <f t="shared" ref="I138" si="3">F138*(($I$126)+1)+H138</f>
        <v>776.73023999999998</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0" customFormat="1" ht="20.25" customHeight="1" x14ac:dyDescent="0.3">
      <c r="A139" s="90"/>
      <c r="B139" s="91"/>
      <c r="C139" s="81">
        <v>203</v>
      </c>
      <c r="D139" s="81"/>
      <c r="E139" s="19" t="s">
        <v>212</v>
      </c>
      <c r="F139" s="82">
        <f>45.1*10.764</f>
        <v>485.45639999999997</v>
      </c>
      <c r="G139" s="83"/>
      <c r="H139" s="19">
        <v>0</v>
      </c>
      <c r="I139" s="19">
        <f t="shared" ref="I139:I144" si="4">F139*(($I$126)+1)+H139</f>
        <v>776.73023999999998</v>
      </c>
      <c r="J139" s="54">
        <f>(5.6*3.9+3.625*3.275+2.185*2.89+1.9*0.925+1.4*1.375)</f>
        <v>43.709024999999997</v>
      </c>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0" customFormat="1" ht="21" x14ac:dyDescent="0.3">
      <c r="A140" s="90"/>
      <c r="B140" s="91"/>
      <c r="C140" s="81">
        <v>204</v>
      </c>
      <c r="D140" s="81"/>
      <c r="E140" s="19" t="s">
        <v>212</v>
      </c>
      <c r="F140" s="82">
        <f>33.72*10.764</f>
        <v>362.96207999999996</v>
      </c>
      <c r="G140" s="83"/>
      <c r="H140" s="19">
        <v>0</v>
      </c>
      <c r="I140" s="19">
        <f t="shared" si="4"/>
        <v>580.739328</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0" customFormat="1" ht="21" x14ac:dyDescent="0.3">
      <c r="A141" s="90"/>
      <c r="B141" s="91"/>
      <c r="C141" s="81">
        <v>205</v>
      </c>
      <c r="D141" s="81"/>
      <c r="E141" s="19" t="s">
        <v>212</v>
      </c>
      <c r="F141" s="82">
        <f>100.34*10.764</f>
        <v>1080.0597599999999</v>
      </c>
      <c r="G141" s="83"/>
      <c r="H141" s="19">
        <v>0</v>
      </c>
      <c r="I141" s="19">
        <f t="shared" si="4"/>
        <v>1728.0956159999998</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0" customFormat="1" ht="20.25" customHeight="1" x14ac:dyDescent="0.3">
      <c r="A142" s="90"/>
      <c r="B142" s="91"/>
      <c r="C142" s="81">
        <f>C141+1</f>
        <v>206</v>
      </c>
      <c r="D142" s="81"/>
      <c r="E142" s="19" t="s">
        <v>212</v>
      </c>
      <c r="F142" s="82">
        <f>69.49*10.764</f>
        <v>747.9903599999999</v>
      </c>
      <c r="G142" s="83"/>
      <c r="H142" s="19">
        <v>0</v>
      </c>
      <c r="I142" s="19">
        <f t="shared" si="4"/>
        <v>1196.7845759999998</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0" customFormat="1" ht="21" x14ac:dyDescent="0.3">
      <c r="A143" s="90"/>
      <c r="B143" s="91"/>
      <c r="C143" s="81">
        <v>5</v>
      </c>
      <c r="D143" s="81"/>
      <c r="E143" s="19" t="s">
        <v>213</v>
      </c>
      <c r="F143" s="82">
        <f>69.31*10.764</f>
        <v>746.05283999999995</v>
      </c>
      <c r="G143" s="83"/>
      <c r="H143" s="19">
        <v>0</v>
      </c>
      <c r="I143" s="19">
        <f t="shared" si="4"/>
        <v>1193.684544</v>
      </c>
      <c r="J143" s="54">
        <f>1.21*1.575+3.05*5.08+0.6*3.125+2.75*2.4+2.45*2.75+3.05*3.65+3.05*3.125+3.05*0.9+1.375*2.125*3+0.925*1.525</f>
        <v>66.197249999999997</v>
      </c>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0" customFormat="1" ht="21" x14ac:dyDescent="0.3">
      <c r="A144" s="92"/>
      <c r="B144" s="93"/>
      <c r="C144" s="81">
        <f>C143+1</f>
        <v>6</v>
      </c>
      <c r="D144" s="81"/>
      <c r="E144" s="19" t="s">
        <v>213</v>
      </c>
      <c r="F144" s="82">
        <f>69.31*10.764</f>
        <v>746.05283999999995</v>
      </c>
      <c r="G144" s="83"/>
      <c r="H144" s="19">
        <v>0</v>
      </c>
      <c r="I144" s="19">
        <f t="shared" si="4"/>
        <v>1193.684544</v>
      </c>
      <c r="J144" s="54"/>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0" customFormat="1" ht="21" x14ac:dyDescent="0.3">
      <c r="A145" s="84" t="s">
        <v>233</v>
      </c>
      <c r="B145" s="85"/>
      <c r="C145" s="85"/>
      <c r="D145" s="85"/>
      <c r="E145" s="85"/>
      <c r="F145" s="85"/>
      <c r="G145" s="85"/>
      <c r="H145" s="85"/>
      <c r="I145" s="86"/>
      <c r="J145" s="58">
        <v>24</v>
      </c>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0" customFormat="1" ht="20.25" customHeight="1" x14ac:dyDescent="0.3">
      <c r="A146" s="88" t="str">
        <f t="shared" ref="A146" si="5">A145</f>
        <v>2nd to 7th, 9th to 12th, 14th to 17th, 19th to 22nd, 24th to 27th, 29th &amp; 30th Floor</v>
      </c>
      <c r="B146" s="89"/>
      <c r="C146" s="81">
        <v>1</v>
      </c>
      <c r="D146" s="81"/>
      <c r="E146" s="19" t="s">
        <v>213</v>
      </c>
      <c r="F146" s="82">
        <f>(80.18+(3.05*1.225))*10.764</f>
        <v>903.27451499999995</v>
      </c>
      <c r="G146" s="83"/>
      <c r="H146" s="56">
        <v>0</v>
      </c>
      <c r="I146" s="19">
        <f t="shared" ref="I146:I151" si="6">F146*(($I$126)+1)+H146</f>
        <v>1445.2392239999999</v>
      </c>
      <c r="J146" s="54">
        <f>(3.4*1.075+3.35*5.825+2.125*3.05+3.05*3.6+3.05*3.55+3.05*2.9+1.375*2.275*3+2.05*0.675+2.05*0.6+2.575*1.075+0.925*1.525)</f>
        <v>76.479375000000005</v>
      </c>
      <c r="K146" s="13"/>
      <c r="L146" s="13">
        <f>3.05*1.225</f>
        <v>3.7362500000000001</v>
      </c>
      <c r="M146" s="1"/>
      <c r="N146" s="55"/>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0" customFormat="1" ht="20.25" customHeight="1" x14ac:dyDescent="0.3">
      <c r="A147" s="90"/>
      <c r="B147" s="91"/>
      <c r="C147" s="81">
        <f>C146+1</f>
        <v>2</v>
      </c>
      <c r="D147" s="81"/>
      <c r="E147" s="19" t="s">
        <v>213</v>
      </c>
      <c r="F147" s="82">
        <f>69.31*10.764</f>
        <v>746.05283999999995</v>
      </c>
      <c r="G147" s="83"/>
      <c r="H147" s="19">
        <v>0</v>
      </c>
      <c r="I147" s="19">
        <f t="shared" si="6"/>
        <v>1193.684544</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0" customFormat="1" ht="20.25" customHeight="1" x14ac:dyDescent="0.3">
      <c r="A148" s="90"/>
      <c r="B148" s="91"/>
      <c r="C148" s="81">
        <f>C147+1</f>
        <v>3</v>
      </c>
      <c r="D148" s="81"/>
      <c r="E148" s="19" t="s">
        <v>213</v>
      </c>
      <c r="F148" s="82">
        <f>69.31*10.764</f>
        <v>746.05283999999995</v>
      </c>
      <c r="G148" s="83"/>
      <c r="H148" s="19">
        <v>0</v>
      </c>
      <c r="I148" s="19">
        <f t="shared" si="6"/>
        <v>1193.684544</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0" customFormat="1" ht="20.25" customHeight="1" x14ac:dyDescent="0.3">
      <c r="A149" s="90"/>
      <c r="B149" s="91"/>
      <c r="C149" s="81">
        <f>C148+1</f>
        <v>4</v>
      </c>
      <c r="D149" s="81"/>
      <c r="E149" s="19" t="s">
        <v>213</v>
      </c>
      <c r="F149" s="82">
        <f>(80.18+(3.05*1.225))*10.764</f>
        <v>903.27451499999995</v>
      </c>
      <c r="G149" s="83"/>
      <c r="H149" s="19">
        <v>0</v>
      </c>
      <c r="I149" s="19">
        <f t="shared" si="6"/>
        <v>1445.2392239999999</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0" customFormat="1" ht="20.25" customHeight="1" x14ac:dyDescent="0.3">
      <c r="A150" s="90"/>
      <c r="B150" s="91"/>
      <c r="C150" s="81">
        <f>C149+1</f>
        <v>5</v>
      </c>
      <c r="D150" s="81"/>
      <c r="E150" s="19" t="s">
        <v>213</v>
      </c>
      <c r="F150" s="82">
        <f>69.31*10.764</f>
        <v>746.05283999999995</v>
      </c>
      <c r="G150" s="83"/>
      <c r="H150" s="19">
        <v>0</v>
      </c>
      <c r="I150" s="19">
        <f t="shared" si="6"/>
        <v>1193.684544</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0" customFormat="1" ht="20.25" customHeight="1" x14ac:dyDescent="0.3">
      <c r="A151" s="92"/>
      <c r="B151" s="93"/>
      <c r="C151" s="81">
        <f>C150+1</f>
        <v>6</v>
      </c>
      <c r="D151" s="81"/>
      <c r="E151" s="19" t="s">
        <v>213</v>
      </c>
      <c r="F151" s="82">
        <f>69.31*10.764</f>
        <v>746.05283999999995</v>
      </c>
      <c r="G151" s="83"/>
      <c r="H151" s="19">
        <v>0</v>
      </c>
      <c r="I151" s="19">
        <f t="shared" si="6"/>
        <v>1193.684544</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0" customFormat="1" ht="21" x14ac:dyDescent="0.3">
      <c r="A152" s="84" t="s">
        <v>223</v>
      </c>
      <c r="B152" s="85"/>
      <c r="C152" s="85"/>
      <c r="D152" s="85"/>
      <c r="E152" s="85"/>
      <c r="F152" s="85"/>
      <c r="G152" s="85"/>
      <c r="H152" s="85"/>
      <c r="I152" s="86"/>
      <c r="J152" s="58">
        <v>5</v>
      </c>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0" customFormat="1" ht="20.25" customHeight="1" x14ac:dyDescent="0.3">
      <c r="A153" s="88" t="str">
        <f t="shared" ref="A153" si="7">A152</f>
        <v>8th, 13th, 18th, 23rd &amp; 28th Floor (Part Refuge Area)</v>
      </c>
      <c r="B153" s="89"/>
      <c r="C153" s="81">
        <v>1</v>
      </c>
      <c r="D153" s="81"/>
      <c r="E153" s="19" t="s">
        <v>213</v>
      </c>
      <c r="F153" s="82">
        <f>(80.18+(3.05*1.225))*10.764</f>
        <v>903.27451499999995</v>
      </c>
      <c r="G153" s="83"/>
      <c r="H153" s="56">
        <v>0</v>
      </c>
      <c r="I153" s="19">
        <f>F153*(($I$126)+1)+H153</f>
        <v>1445.2392239999999</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0" customFormat="1" ht="20.25" customHeight="1" x14ac:dyDescent="0.3">
      <c r="A154" s="90"/>
      <c r="B154" s="91"/>
      <c r="C154" s="81">
        <f>C153+1</f>
        <v>2</v>
      </c>
      <c r="D154" s="81"/>
      <c r="E154" s="19" t="s">
        <v>213</v>
      </c>
      <c r="F154" s="82">
        <f>69.31*10.764</f>
        <v>746.05283999999995</v>
      </c>
      <c r="G154" s="83"/>
      <c r="H154" s="56">
        <v>0</v>
      </c>
      <c r="I154" s="19">
        <f>F154*(($I$126)+1)+H154</f>
        <v>1193.684544</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0" customFormat="1" ht="20.25" customHeight="1" x14ac:dyDescent="0.3">
      <c r="A155" s="90"/>
      <c r="B155" s="91"/>
      <c r="C155" s="81">
        <f>C154+1</f>
        <v>3</v>
      </c>
      <c r="D155" s="81"/>
      <c r="E155" s="82" t="s">
        <v>216</v>
      </c>
      <c r="F155" s="87"/>
      <c r="G155" s="87"/>
      <c r="H155" s="87"/>
      <c r="I155" s="83"/>
      <c r="J155" s="1">
        <f>17500000/F154</f>
        <v>23456.783570450589</v>
      </c>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0" customFormat="1" ht="20.25" customHeight="1" x14ac:dyDescent="0.3">
      <c r="A156" s="90"/>
      <c r="B156" s="91"/>
      <c r="C156" s="81">
        <f>C155+1</f>
        <v>4</v>
      </c>
      <c r="D156" s="81"/>
      <c r="E156" s="19" t="s">
        <v>213</v>
      </c>
      <c r="F156" s="82">
        <f>(80.18+(3.05*1.225))*10.764</f>
        <v>903.27451499999995</v>
      </c>
      <c r="G156" s="83"/>
      <c r="H156" s="19">
        <v>0</v>
      </c>
      <c r="I156" s="19">
        <f>F156*(($I$126)+1)+H156</f>
        <v>1445.2392239999999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0" customFormat="1" ht="20.25" customHeight="1" x14ac:dyDescent="0.3">
      <c r="A157" s="90"/>
      <c r="B157" s="91"/>
      <c r="C157" s="81">
        <f>C156+1</f>
        <v>5</v>
      </c>
      <c r="D157" s="81"/>
      <c r="E157" s="19" t="s">
        <v>213</v>
      </c>
      <c r="F157" s="82">
        <f>69.31*10.764</f>
        <v>746.05283999999995</v>
      </c>
      <c r="G157" s="83"/>
      <c r="H157" s="19">
        <v>0</v>
      </c>
      <c r="I157" s="19">
        <f>F157*(($I$126)+1)+H157</f>
        <v>1193.684544</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0" customFormat="1" ht="20.25" customHeight="1" x14ac:dyDescent="0.3">
      <c r="A158" s="92"/>
      <c r="B158" s="93"/>
      <c r="C158" s="81">
        <f>C157+1</f>
        <v>6</v>
      </c>
      <c r="D158" s="81"/>
      <c r="E158" s="19" t="s">
        <v>213</v>
      </c>
      <c r="F158" s="82">
        <f>69.31*10.764</f>
        <v>746.05283999999995</v>
      </c>
      <c r="G158" s="83"/>
      <c r="H158" s="19">
        <v>0</v>
      </c>
      <c r="I158" s="19">
        <f>F158*(($I$126)+1)+H158</f>
        <v>1193.684544</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0" customFormat="1" ht="21" x14ac:dyDescent="0.3">
      <c r="A159" s="84" t="s">
        <v>215</v>
      </c>
      <c r="B159" s="85"/>
      <c r="C159" s="85"/>
      <c r="D159" s="85"/>
      <c r="E159" s="85"/>
      <c r="F159" s="85"/>
      <c r="G159" s="85"/>
      <c r="H159" s="85"/>
      <c r="I159" s="86"/>
      <c r="J159" s="58">
        <v>10</v>
      </c>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0" customFormat="1" ht="20.25" customHeight="1" x14ac:dyDescent="0.3">
      <c r="A160" s="88" t="str">
        <f t="shared" ref="A160" si="8">A159</f>
        <v>31st, 32nd, 34th to 37th, 39th to 42nd Floor</v>
      </c>
      <c r="B160" s="89"/>
      <c r="C160" s="81">
        <v>1</v>
      </c>
      <c r="D160" s="81"/>
      <c r="E160" s="19" t="s">
        <v>213</v>
      </c>
      <c r="F160" s="82">
        <f>(80.18+(3.05*1.225))*10.764</f>
        <v>903.27451499999995</v>
      </c>
      <c r="G160" s="83"/>
      <c r="H160" s="56">
        <v>0</v>
      </c>
      <c r="I160" s="19">
        <f t="shared" ref="I160:I165" si="9">F160*(($I$126)+1)+H160</f>
        <v>1445.2392239999999</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0" customFormat="1" ht="20.25" customHeight="1" x14ac:dyDescent="0.3">
      <c r="A161" s="90"/>
      <c r="B161" s="91"/>
      <c r="C161" s="81">
        <f>C160+1</f>
        <v>2</v>
      </c>
      <c r="D161" s="81"/>
      <c r="E161" s="19" t="s">
        <v>213</v>
      </c>
      <c r="F161" s="82">
        <f>(70.17+(2.625*1.05))*10.764</f>
        <v>784.9781549999999</v>
      </c>
      <c r="G161" s="83"/>
      <c r="H161" s="56">
        <v>0</v>
      </c>
      <c r="I161" s="19">
        <f t="shared" si="9"/>
        <v>1255.965048</v>
      </c>
      <c r="K161" s="1"/>
      <c r="L161" s="1"/>
      <c r="M161" s="1">
        <f>17500000/F161</f>
        <v>22293.614017832129</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0" customFormat="1" ht="20.25" customHeight="1" x14ac:dyDescent="0.3">
      <c r="A162" s="90"/>
      <c r="B162" s="91"/>
      <c r="C162" s="81">
        <f>C161+1</f>
        <v>3</v>
      </c>
      <c r="D162" s="81"/>
      <c r="E162" s="19" t="s">
        <v>213</v>
      </c>
      <c r="F162" s="82">
        <f>(70.17+(2.625*1.05))*10.764</f>
        <v>784.9781549999999</v>
      </c>
      <c r="G162" s="83"/>
      <c r="H162" s="56">
        <v>0</v>
      </c>
      <c r="I162" s="19">
        <f t="shared" si="9"/>
        <v>1255.965048</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0" customFormat="1" ht="20.25" customHeight="1" x14ac:dyDescent="0.3">
      <c r="A163" s="90"/>
      <c r="B163" s="91"/>
      <c r="C163" s="81">
        <f>C162+1</f>
        <v>4</v>
      </c>
      <c r="D163" s="81"/>
      <c r="E163" s="19" t="s">
        <v>213</v>
      </c>
      <c r="F163" s="82">
        <f>(80.18+(3.05*1.225))*10.764</f>
        <v>903.27451499999995</v>
      </c>
      <c r="G163" s="83"/>
      <c r="H163" s="56">
        <v>0</v>
      </c>
      <c r="I163" s="19">
        <f t="shared" si="9"/>
        <v>1445.2392239999999</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0" customFormat="1" ht="20.25" customHeight="1" x14ac:dyDescent="0.3">
      <c r="A164" s="90"/>
      <c r="B164" s="91"/>
      <c r="C164" s="81">
        <f>C163+1</f>
        <v>5</v>
      </c>
      <c r="D164" s="81"/>
      <c r="E164" s="19" t="s">
        <v>213</v>
      </c>
      <c r="F164" s="82">
        <f>(70.17+(2.625*1.05))*10.764</f>
        <v>784.9781549999999</v>
      </c>
      <c r="G164" s="83"/>
      <c r="H164" s="56">
        <v>0</v>
      </c>
      <c r="I164" s="19">
        <f t="shared" si="9"/>
        <v>1255.965048</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0" customFormat="1" ht="20.25" customHeight="1" x14ac:dyDescent="0.3">
      <c r="A165" s="92"/>
      <c r="B165" s="93"/>
      <c r="C165" s="81">
        <f>C164+1</f>
        <v>6</v>
      </c>
      <c r="D165" s="81"/>
      <c r="E165" s="19" t="s">
        <v>213</v>
      </c>
      <c r="F165" s="82">
        <f>(70.17+(2.625*1.05))*10.764</f>
        <v>784.9781549999999</v>
      </c>
      <c r="G165" s="83"/>
      <c r="H165" s="56">
        <v>0</v>
      </c>
      <c r="I165" s="19">
        <f t="shared" si="9"/>
        <v>1255.965048</v>
      </c>
      <c r="J165" s="54">
        <f>(1.21*1.575+3.05*5.08+0.6*3.125+2.75*2.4+2.45*2.75+3.05*3.65+3.05*3.125+1.375*2.125*3+3.05*0.9+0.925*1.525)</f>
        <v>66.197249999999997</v>
      </c>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0" customFormat="1" ht="21" x14ac:dyDescent="0.3">
      <c r="A166" s="84" t="s">
        <v>217</v>
      </c>
      <c r="B166" s="85"/>
      <c r="C166" s="85"/>
      <c r="D166" s="85"/>
      <c r="E166" s="85"/>
      <c r="F166" s="85"/>
      <c r="G166" s="85"/>
      <c r="H166" s="85"/>
      <c r="I166" s="86"/>
      <c r="J166" s="58">
        <v>2</v>
      </c>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0" customFormat="1" ht="20.25" customHeight="1" x14ac:dyDescent="0.3">
      <c r="A167" s="88" t="str">
        <f t="shared" ref="A167" si="10">A166</f>
        <v>33rd &amp; 38th Floor (Part Refuge Area)</v>
      </c>
      <c r="B167" s="89"/>
      <c r="C167" s="81">
        <v>1</v>
      </c>
      <c r="D167" s="81"/>
      <c r="E167" s="19" t="s">
        <v>213</v>
      </c>
      <c r="F167" s="82">
        <f>(80.18+(3.05*1.225))*10.764</f>
        <v>903.27451499999995</v>
      </c>
      <c r="G167" s="83"/>
      <c r="H167" s="56">
        <v>0</v>
      </c>
      <c r="I167" s="19">
        <f t="shared" ref="I167:I172" si="11">F167*(($I$126)+1)+H167</f>
        <v>1445.2392239999999</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0" customFormat="1" ht="20.25" customHeight="1" x14ac:dyDescent="0.3">
      <c r="A168" s="90"/>
      <c r="B168" s="91"/>
      <c r="C168" s="81">
        <f>C167+1</f>
        <v>2</v>
      </c>
      <c r="D168" s="81"/>
      <c r="E168" s="19" t="s">
        <v>213</v>
      </c>
      <c r="F168" s="82">
        <f>(70.17+(2.625*1.05))*10.764</f>
        <v>784.9781549999999</v>
      </c>
      <c r="G168" s="83"/>
      <c r="H168" s="56">
        <v>0</v>
      </c>
      <c r="I168" s="19">
        <f t="shared" si="11"/>
        <v>1255.965048</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0" customFormat="1" ht="20.25" customHeight="1" x14ac:dyDescent="0.3">
      <c r="A169" s="90"/>
      <c r="B169" s="91"/>
      <c r="C169" s="81">
        <f>C168+1</f>
        <v>3</v>
      </c>
      <c r="D169" s="81"/>
      <c r="E169" s="82" t="s">
        <v>216</v>
      </c>
      <c r="F169" s="87">
        <f>70.1*10.764</f>
        <v>754.55639999999994</v>
      </c>
      <c r="G169" s="87"/>
      <c r="H169" s="87">
        <v>0</v>
      </c>
      <c r="I169" s="83">
        <f t="shared" si="11"/>
        <v>1207.29024</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0" customFormat="1" ht="20.25" customHeight="1" x14ac:dyDescent="0.3">
      <c r="A170" s="90"/>
      <c r="B170" s="91"/>
      <c r="C170" s="81">
        <f>C169+1</f>
        <v>4</v>
      </c>
      <c r="D170" s="81"/>
      <c r="E170" s="19" t="s">
        <v>213</v>
      </c>
      <c r="F170" s="82">
        <f>(80.18+(3.05*1.225))*10.764</f>
        <v>903.27451499999995</v>
      </c>
      <c r="G170" s="83"/>
      <c r="H170" s="56">
        <v>0</v>
      </c>
      <c r="I170" s="19">
        <f t="shared" si="11"/>
        <v>1445.2392239999999</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0" customFormat="1" ht="20.25" customHeight="1" x14ac:dyDescent="0.3">
      <c r="A171" s="90"/>
      <c r="B171" s="91"/>
      <c r="C171" s="81">
        <f>C170+1</f>
        <v>5</v>
      </c>
      <c r="D171" s="81"/>
      <c r="E171" s="19" t="s">
        <v>213</v>
      </c>
      <c r="F171" s="82">
        <f>(70.17+(2.625*1.05))*10.764</f>
        <v>784.9781549999999</v>
      </c>
      <c r="G171" s="83"/>
      <c r="H171" s="56">
        <v>0</v>
      </c>
      <c r="I171" s="19">
        <f t="shared" si="11"/>
        <v>1255.965048</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0" customFormat="1" ht="20.25" customHeight="1" x14ac:dyDescent="0.3">
      <c r="A172" s="92"/>
      <c r="B172" s="93"/>
      <c r="C172" s="81">
        <f>C171+1</f>
        <v>6</v>
      </c>
      <c r="D172" s="81"/>
      <c r="E172" s="19" t="s">
        <v>213</v>
      </c>
      <c r="F172" s="82">
        <f>(70.17+(2.625*1.05))*10.764</f>
        <v>784.9781549999999</v>
      </c>
      <c r="G172" s="83"/>
      <c r="H172" s="56">
        <v>0</v>
      </c>
      <c r="I172" s="19">
        <f t="shared" si="11"/>
        <v>1255.965048</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0" customFormat="1" ht="21" x14ac:dyDescent="0.3">
      <c r="A173" s="84" t="s">
        <v>204</v>
      </c>
      <c r="B173" s="85"/>
      <c r="C173" s="85"/>
      <c r="D173" s="85"/>
      <c r="E173" s="85"/>
      <c r="F173" s="85"/>
      <c r="G173" s="85"/>
      <c r="H173" s="85"/>
      <c r="I173" s="86"/>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0" customFormat="1" ht="21" x14ac:dyDescent="0.3">
      <c r="A174" s="84" t="s">
        <v>246</v>
      </c>
      <c r="B174" s="85"/>
      <c r="C174" s="85"/>
      <c r="D174" s="85"/>
      <c r="E174" s="85"/>
      <c r="F174" s="85"/>
      <c r="G174" s="85"/>
      <c r="H174" s="85"/>
      <c r="I174" s="86"/>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0" customFormat="1" ht="33.75" customHeight="1" x14ac:dyDescent="0.3">
      <c r="A175" s="84" t="s">
        <v>234</v>
      </c>
      <c r="B175" s="85"/>
      <c r="C175" s="85"/>
      <c r="D175" s="85"/>
      <c r="E175" s="85"/>
      <c r="F175" s="85"/>
      <c r="G175" s="85"/>
      <c r="H175" s="85"/>
      <c r="I175" s="86"/>
      <c r="J175" s="58">
        <v>35</v>
      </c>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0" customFormat="1" ht="20.25" customHeight="1" x14ac:dyDescent="0.3">
      <c r="A176" s="88" t="str">
        <f>A175</f>
        <v>1st to 7th,  9th to 12th, 14th to 17th, 19th to 22nd, 24th to 27th, 29th to 32nd, 34th to 37th, 39th to 42nd Floor</v>
      </c>
      <c r="B176" s="89"/>
      <c r="C176" s="81">
        <v>1</v>
      </c>
      <c r="D176" s="81"/>
      <c r="E176" s="19" t="s">
        <v>220</v>
      </c>
      <c r="F176" s="82">
        <f>54.17*10.764</f>
        <v>583.08587999999997</v>
      </c>
      <c r="G176" s="83"/>
      <c r="H176" s="19">
        <v>0</v>
      </c>
      <c r="I176" s="19">
        <f t="shared" ref="I176:I181" si="12">F176*(($I$126)+1)+H176</f>
        <v>932.937408</v>
      </c>
      <c r="J176" s="54">
        <f>(2.9*4.95+0.6*3.175+2.125*2.7+3.05*3.05+3.05*3.85+2.125*1.375+1.175*0.9+1.575*0.9+1.375*2.125+1.525*0.75)</f>
        <v>52.504999999999995</v>
      </c>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0" customFormat="1" ht="20.25" customHeight="1" x14ac:dyDescent="0.3">
      <c r="A177" s="90"/>
      <c r="B177" s="91"/>
      <c r="C177" s="81">
        <f>C176+1</f>
        <v>2</v>
      </c>
      <c r="D177" s="81"/>
      <c r="E177" s="19" t="s">
        <v>221</v>
      </c>
      <c r="F177" s="82">
        <f>35.64*10.764</f>
        <v>383.62896000000001</v>
      </c>
      <c r="G177" s="83"/>
      <c r="H177" s="19">
        <v>0</v>
      </c>
      <c r="I177" s="19">
        <f t="shared" si="12"/>
        <v>613.80633599999999</v>
      </c>
      <c r="J177" s="57">
        <f>(2.9*4.575+2.125*2.7+3.05*3.05+1.375*2.125+1.4*0.9+1.3*1.225+1.525*0.75)</f>
        <v>35.225625000000001</v>
      </c>
      <c r="L177" s="1"/>
      <c r="M177" s="1">
        <f>7400000/F177</f>
        <v>19289.471785446021</v>
      </c>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0" customFormat="1" ht="20.25" customHeight="1" x14ac:dyDescent="0.3">
      <c r="A178" s="90"/>
      <c r="B178" s="91"/>
      <c r="C178" s="81">
        <f t="shared" ref="C178:C185" si="13">C177+1</f>
        <v>3</v>
      </c>
      <c r="D178" s="81"/>
      <c r="E178" s="19" t="s">
        <v>221</v>
      </c>
      <c r="F178" s="82">
        <f t="shared" ref="F178:F180" si="14">35.64*10.764</f>
        <v>383.62896000000001</v>
      </c>
      <c r="G178" s="83"/>
      <c r="H178" s="19">
        <v>0</v>
      </c>
      <c r="I178" s="19">
        <f t="shared" si="12"/>
        <v>613.80633599999999</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0" customFormat="1" ht="20.25" customHeight="1" x14ac:dyDescent="0.3">
      <c r="A179" s="90"/>
      <c r="B179" s="91"/>
      <c r="C179" s="81">
        <f t="shared" si="13"/>
        <v>4</v>
      </c>
      <c r="D179" s="81"/>
      <c r="E179" s="19" t="s">
        <v>221</v>
      </c>
      <c r="F179" s="82">
        <f t="shared" si="14"/>
        <v>383.62896000000001</v>
      </c>
      <c r="G179" s="83"/>
      <c r="H179" s="19">
        <v>0</v>
      </c>
      <c r="I179" s="19">
        <f t="shared" si="12"/>
        <v>613.80633599999999</v>
      </c>
      <c r="J179" s="1"/>
      <c r="K179" s="1"/>
      <c r="L179" s="1"/>
      <c r="M179" s="1">
        <f>2.9*5.18+0.6*3.175+1.075*0.925+2.125*2.6+3.05*3.05+1.575*0.9+1.175*0.9+3.05*4.05+2.125*1.375*2</f>
        <v>53.420124999999992</v>
      </c>
      <c r="N179" s="1">
        <f>0.995*2.95</f>
        <v>2.9352500000000004</v>
      </c>
      <c r="O179" s="1">
        <f>1.525*0.75</f>
        <v>1.1437499999999998</v>
      </c>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0" customFormat="1" ht="20.25" customHeight="1" x14ac:dyDescent="0.3">
      <c r="A180" s="90"/>
      <c r="B180" s="91"/>
      <c r="C180" s="81">
        <f t="shared" si="13"/>
        <v>5</v>
      </c>
      <c r="D180" s="81"/>
      <c r="E180" s="19" t="s">
        <v>221</v>
      </c>
      <c r="F180" s="82">
        <f t="shared" si="14"/>
        <v>383.62896000000001</v>
      </c>
      <c r="G180" s="83"/>
      <c r="H180" s="19">
        <v>0</v>
      </c>
      <c r="I180" s="19">
        <f t="shared" si="12"/>
        <v>613.80633599999999</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0" customFormat="1" ht="20.25" customHeight="1" x14ac:dyDescent="0.3">
      <c r="A181" s="90"/>
      <c r="B181" s="91"/>
      <c r="C181" s="81">
        <f t="shared" si="13"/>
        <v>6</v>
      </c>
      <c r="D181" s="81"/>
      <c r="E181" s="19" t="s">
        <v>220</v>
      </c>
      <c r="F181" s="82">
        <f>48.73*10.764</f>
        <v>524.52971999999988</v>
      </c>
      <c r="G181" s="83"/>
      <c r="H181" s="19">
        <v>0</v>
      </c>
      <c r="I181" s="19">
        <f t="shared" si="12"/>
        <v>839.24755199999981</v>
      </c>
      <c r="K181" s="1"/>
      <c r="L181" s="1"/>
      <c r="M181" s="1">
        <f>(9900000)/F181</f>
        <v>18874.049691598033</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0" customFormat="1" ht="20.25" customHeight="1" x14ac:dyDescent="0.3">
      <c r="A182" s="90"/>
      <c r="B182" s="91"/>
      <c r="C182" s="81">
        <f t="shared" si="13"/>
        <v>7</v>
      </c>
      <c r="D182" s="81"/>
      <c r="E182" s="19" t="s">
        <v>220</v>
      </c>
      <c r="F182" s="82">
        <f>48.73*10.764</f>
        <v>524.52971999999988</v>
      </c>
      <c r="G182" s="83"/>
      <c r="H182" s="19">
        <v>0</v>
      </c>
      <c r="I182" s="19">
        <f>F182*(($I$126)+1)+H182</f>
        <v>839.24755199999981</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0" customFormat="1" ht="20.25" customHeight="1" x14ac:dyDescent="0.3">
      <c r="A183" s="90"/>
      <c r="B183" s="91"/>
      <c r="C183" s="81">
        <f t="shared" si="13"/>
        <v>8</v>
      </c>
      <c r="D183" s="81"/>
      <c r="E183" s="19" t="s">
        <v>220</v>
      </c>
      <c r="F183" s="82">
        <f>(53.99+(2.75*0.995))*10.764</f>
        <v>610.60135500000001</v>
      </c>
      <c r="G183" s="83"/>
      <c r="H183" s="19">
        <v>0</v>
      </c>
      <c r="I183" s="19">
        <f>F183*(($I$126)+1)+H183</f>
        <v>976.96216800000002</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0" customFormat="1" ht="20.25" customHeight="1" x14ac:dyDescent="0.3">
      <c r="A184" s="90"/>
      <c r="B184" s="91"/>
      <c r="C184" s="81">
        <f t="shared" si="13"/>
        <v>9</v>
      </c>
      <c r="D184" s="81"/>
      <c r="E184" s="19" t="s">
        <v>220</v>
      </c>
      <c r="F184" s="82">
        <f>53.24*10.764</f>
        <v>573.07535999999993</v>
      </c>
      <c r="G184" s="83"/>
      <c r="H184" s="19">
        <v>0</v>
      </c>
      <c r="I184" s="19">
        <f>F184*(($I$126)+1)+H184</f>
        <v>916.92057599999998</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0" customFormat="1" ht="20.25" customHeight="1" x14ac:dyDescent="0.3">
      <c r="A185" s="92"/>
      <c r="B185" s="93"/>
      <c r="C185" s="81">
        <f t="shared" si="13"/>
        <v>10</v>
      </c>
      <c r="D185" s="81"/>
      <c r="E185" s="19" t="s">
        <v>220</v>
      </c>
      <c r="F185" s="82">
        <f>(57.79+(2.95*0.995))*10.764</f>
        <v>653.64659099999994</v>
      </c>
      <c r="G185" s="83"/>
      <c r="H185" s="19">
        <v>0</v>
      </c>
      <c r="I185" s="19">
        <f>F185*(($I$126)+1)+H185</f>
        <v>1045.8345456</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0" customFormat="1" ht="31.5" customHeight="1" x14ac:dyDescent="0.3">
      <c r="A186" s="84" t="s">
        <v>222</v>
      </c>
      <c r="B186" s="85"/>
      <c r="C186" s="85"/>
      <c r="D186" s="85"/>
      <c r="E186" s="85"/>
      <c r="F186" s="85"/>
      <c r="G186" s="85"/>
      <c r="H186" s="85"/>
      <c r="I186" s="86"/>
      <c r="J186" s="58">
        <v>7</v>
      </c>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0" customFormat="1" ht="20.25" customHeight="1" x14ac:dyDescent="0.3">
      <c r="A187" s="88" t="str">
        <f>A186</f>
        <v>8th, 13th, 18th, 23rd, 28th, 33rd &amp; 38th Floor (Part Refuge Area)</v>
      </c>
      <c r="B187" s="89"/>
      <c r="C187" s="81">
        <v>1</v>
      </c>
      <c r="D187" s="81"/>
      <c r="E187" s="19" t="s">
        <v>220</v>
      </c>
      <c r="F187" s="82">
        <f>54.17*10.764</f>
        <v>583.08587999999997</v>
      </c>
      <c r="G187" s="83"/>
      <c r="H187" s="19">
        <v>0</v>
      </c>
      <c r="I187" s="19">
        <f>F187*(($I$126)+1)+H187</f>
        <v>932.937408</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0" customFormat="1" ht="20.25" customHeight="1" x14ac:dyDescent="0.3">
      <c r="A188" s="90"/>
      <c r="B188" s="91"/>
      <c r="C188" s="81">
        <f>C187+1</f>
        <v>2</v>
      </c>
      <c r="D188" s="81"/>
      <c r="E188" s="19" t="s">
        <v>221</v>
      </c>
      <c r="F188" s="82">
        <f>35.64*10.764</f>
        <v>383.62896000000001</v>
      </c>
      <c r="G188" s="83"/>
      <c r="H188" s="19">
        <v>0</v>
      </c>
      <c r="I188" s="19">
        <f>F188*(($I$126)+1)+H188</f>
        <v>613.80633599999999</v>
      </c>
      <c r="K188" s="1"/>
      <c r="L188" s="1"/>
      <c r="M188" s="1">
        <f>7400000/F188</f>
        <v>19289.471785446021</v>
      </c>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0" customFormat="1" ht="20.25" customHeight="1" x14ac:dyDescent="0.3">
      <c r="A189" s="90"/>
      <c r="B189" s="91"/>
      <c r="C189" s="81">
        <f t="shared" ref="C189:C196" si="15">C188+1</f>
        <v>3</v>
      </c>
      <c r="D189" s="81"/>
      <c r="E189" s="19" t="s">
        <v>221</v>
      </c>
      <c r="F189" s="82">
        <f t="shared" ref="F189:F191" si="16">35.64*10.764</f>
        <v>383.62896000000001</v>
      </c>
      <c r="G189" s="83"/>
      <c r="H189" s="19">
        <v>0</v>
      </c>
      <c r="I189" s="19">
        <f>F189*(($I$126)+1)+H189</f>
        <v>613.80633599999999</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0" customFormat="1" ht="20.25" customHeight="1" x14ac:dyDescent="0.3">
      <c r="A190" s="90"/>
      <c r="B190" s="91"/>
      <c r="C190" s="81">
        <f t="shared" si="15"/>
        <v>4</v>
      </c>
      <c r="D190" s="81"/>
      <c r="E190" s="19" t="s">
        <v>221</v>
      </c>
      <c r="F190" s="82">
        <f t="shared" si="16"/>
        <v>383.62896000000001</v>
      </c>
      <c r="G190" s="83"/>
      <c r="H190" s="19">
        <v>0</v>
      </c>
      <c r="I190" s="19">
        <f>F190*(($I$126)+1)+H190</f>
        <v>613.80633599999999</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0" customFormat="1" ht="20.25" customHeight="1" x14ac:dyDescent="0.3">
      <c r="A191" s="90"/>
      <c r="B191" s="91"/>
      <c r="C191" s="81">
        <f t="shared" si="15"/>
        <v>5</v>
      </c>
      <c r="D191" s="81"/>
      <c r="E191" s="19" t="s">
        <v>221</v>
      </c>
      <c r="F191" s="82">
        <f t="shared" si="16"/>
        <v>383.62896000000001</v>
      </c>
      <c r="G191" s="83"/>
      <c r="H191" s="19">
        <v>0</v>
      </c>
      <c r="I191" s="19">
        <f>F191*(($I$126)+1)+H191</f>
        <v>613.80633599999999</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0" customFormat="1" ht="20.25" customHeight="1" x14ac:dyDescent="0.3">
      <c r="A192" s="90"/>
      <c r="B192" s="91"/>
      <c r="C192" s="81">
        <f t="shared" si="15"/>
        <v>6</v>
      </c>
      <c r="D192" s="81"/>
      <c r="E192" s="82" t="s">
        <v>216</v>
      </c>
      <c r="F192" s="87"/>
      <c r="G192" s="87"/>
      <c r="H192" s="87"/>
      <c r="I192" s="8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0" customFormat="1" ht="20.25" customHeight="1" x14ac:dyDescent="0.3">
      <c r="A193" s="90"/>
      <c r="B193" s="91"/>
      <c r="C193" s="81">
        <f t="shared" si="15"/>
        <v>7</v>
      </c>
      <c r="D193" s="81"/>
      <c r="E193" s="19" t="s">
        <v>220</v>
      </c>
      <c r="F193" s="82">
        <f>48.73*10.764</f>
        <v>524.52971999999988</v>
      </c>
      <c r="G193" s="83"/>
      <c r="H193" s="19">
        <v>0</v>
      </c>
      <c r="I193" s="19">
        <f>F193*(($I$126)+1)+H193</f>
        <v>839.24755199999981</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0" customFormat="1" ht="20.25" customHeight="1" x14ac:dyDescent="0.3">
      <c r="A194" s="90"/>
      <c r="B194" s="91"/>
      <c r="C194" s="81">
        <f t="shared" si="15"/>
        <v>8</v>
      </c>
      <c r="D194" s="81"/>
      <c r="E194" s="19" t="s">
        <v>220</v>
      </c>
      <c r="F194" s="82">
        <f>(53.99+(2.75*0.995))*10.764</f>
        <v>610.60135500000001</v>
      </c>
      <c r="G194" s="83"/>
      <c r="H194" s="19">
        <v>0</v>
      </c>
      <c r="I194" s="19">
        <f>F194*(($I$126)+1)+H194</f>
        <v>976.96216800000002</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0" customFormat="1" ht="20.25" customHeight="1" x14ac:dyDescent="0.3">
      <c r="A195" s="90"/>
      <c r="B195" s="91"/>
      <c r="C195" s="81">
        <f t="shared" si="15"/>
        <v>9</v>
      </c>
      <c r="D195" s="81"/>
      <c r="E195" s="19" t="s">
        <v>220</v>
      </c>
      <c r="F195" s="82">
        <f>53.24*10.764</f>
        <v>573.07535999999993</v>
      </c>
      <c r="G195" s="83"/>
      <c r="H195" s="19">
        <v>0</v>
      </c>
      <c r="I195" s="19">
        <f>F195*(($I$126)+1)+H195</f>
        <v>916.92057599999998</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0" customFormat="1" ht="20.25" customHeight="1" x14ac:dyDescent="0.3">
      <c r="A196" s="92"/>
      <c r="B196" s="93"/>
      <c r="C196" s="81">
        <f t="shared" si="15"/>
        <v>10</v>
      </c>
      <c r="D196" s="81"/>
      <c r="E196" s="19" t="s">
        <v>220</v>
      </c>
      <c r="F196" s="82">
        <f>(57.79+(2.95*0.995))*10.764</f>
        <v>653.64659099999994</v>
      </c>
      <c r="G196" s="83"/>
      <c r="H196" s="19">
        <v>0</v>
      </c>
      <c r="I196" s="19">
        <f>F196*(($I$126)+1)+H196</f>
        <v>1045.8345456</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0" customFormat="1" ht="21" x14ac:dyDescent="0.3">
      <c r="A197" s="84" t="s">
        <v>255</v>
      </c>
      <c r="B197" s="85"/>
      <c r="C197" s="85"/>
      <c r="D197" s="85"/>
      <c r="E197" s="85"/>
      <c r="F197" s="85"/>
      <c r="G197" s="85"/>
      <c r="H197" s="85"/>
      <c r="I197" s="86"/>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0" customFormat="1" ht="21" x14ac:dyDescent="0.3">
      <c r="A198" s="84" t="s">
        <v>232</v>
      </c>
      <c r="B198" s="85"/>
      <c r="C198" s="85"/>
      <c r="D198" s="85"/>
      <c r="E198" s="85"/>
      <c r="F198" s="85"/>
      <c r="G198" s="85"/>
      <c r="H198" s="85"/>
      <c r="I198" s="86"/>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0" customFormat="1" ht="21" x14ac:dyDescent="0.3">
      <c r="A199" s="84" t="s">
        <v>248</v>
      </c>
      <c r="B199" s="85"/>
      <c r="C199" s="85"/>
      <c r="D199" s="85"/>
      <c r="E199" s="85"/>
      <c r="F199" s="85"/>
      <c r="G199" s="85"/>
      <c r="H199" s="85"/>
      <c r="I199" s="86"/>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0" customFormat="1" ht="40.5" customHeight="1" x14ac:dyDescent="0.3">
      <c r="A200" s="84" t="s">
        <v>247</v>
      </c>
      <c r="B200" s="85"/>
      <c r="C200" s="85"/>
      <c r="D200" s="85"/>
      <c r="E200" s="85"/>
      <c r="F200" s="85"/>
      <c r="G200" s="85"/>
      <c r="H200" s="85"/>
      <c r="I200" s="86"/>
      <c r="J200" s="58">
        <v>34</v>
      </c>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0" customFormat="1" ht="20.25" customHeight="1" x14ac:dyDescent="0.3">
      <c r="A201" s="88" t="str">
        <f>A200</f>
        <v>1st to 7th &amp; 9th to 12th, 14th to 17th, 19th to 22nd, 24th to 27th, 29th to 32nd, 34th to 37th &amp; 39th to 41st Floor For Residential</v>
      </c>
      <c r="B201" s="89"/>
      <c r="C201" s="81">
        <v>1</v>
      </c>
      <c r="D201" s="81"/>
      <c r="E201" s="19" t="s">
        <v>220</v>
      </c>
      <c r="F201" s="82">
        <f>(55.56+(2.975*1))*10.764</f>
        <v>630.07074</v>
      </c>
      <c r="G201" s="83"/>
      <c r="H201" s="19">
        <v>0</v>
      </c>
      <c r="I201" s="19">
        <f>F201*(($I$126)+1)+H201</f>
        <v>1008.113184</v>
      </c>
      <c r="J201" s="54">
        <f>(2.9*5.175+0.6*3.175+2.125*2.6+3.05*3.05+3.05*3.65+2.125*1.375+1.375*2.125+1.075*0.9+1.675*0.9+1.525*0.75)</f>
        <v>52.334999999999994</v>
      </c>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0" customFormat="1" ht="20.25" customHeight="1" x14ac:dyDescent="0.3">
      <c r="A202" s="90"/>
      <c r="B202" s="91"/>
      <c r="C202" s="81">
        <f>C201+1</f>
        <v>2</v>
      </c>
      <c r="D202" s="81"/>
      <c r="E202" s="19" t="s">
        <v>213</v>
      </c>
      <c r="F202" s="82">
        <f>(81.84+(2.85*1.225))*10.764</f>
        <v>918.50557499999991</v>
      </c>
      <c r="G202" s="83"/>
      <c r="H202" s="19">
        <v>0</v>
      </c>
      <c r="I202" s="19">
        <f>F202*(($I$126)+1)+H202</f>
        <v>1469.6089199999999</v>
      </c>
      <c r="J202" s="54">
        <f>(3.25*5.175+1.65*2.425+2.125*3.05+3.15*3.65+3.05*3.35+3.1*3.95+1.375*2.275+1.225*0.9+4.27*0.9+1.375*2.275+1.375*2.275+1.675*0.9+1.525*0.775)</f>
        <v>78.280500000000004</v>
      </c>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0" customFormat="1" ht="20.25" customHeight="1" x14ac:dyDescent="0.3">
      <c r="A203" s="90"/>
      <c r="B203" s="91"/>
      <c r="C203" s="81">
        <f t="shared" ref="C203:C205" si="17">C202+1</f>
        <v>3</v>
      </c>
      <c r="D203" s="81"/>
      <c r="E203" s="19" t="s">
        <v>220</v>
      </c>
      <c r="F203" s="82">
        <f>(59.22+(2.975*1.175))*10.764</f>
        <v>675.0709875</v>
      </c>
      <c r="G203" s="83"/>
      <c r="H203" s="19">
        <v>0</v>
      </c>
      <c r="I203" s="19">
        <f>F203*(($I$126)+1)+H203</f>
        <v>1080.11358</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0" customFormat="1" ht="20.25" customHeight="1" x14ac:dyDescent="0.3">
      <c r="A204" s="90"/>
      <c r="B204" s="91"/>
      <c r="C204" s="81">
        <f t="shared" si="17"/>
        <v>4</v>
      </c>
      <c r="D204" s="81"/>
      <c r="E204" s="19" t="s">
        <v>213</v>
      </c>
      <c r="F204" s="82">
        <f>(83.32+(2.875*1.225+3.15*0.9))*10.764</f>
        <v>965.28188249999994</v>
      </c>
      <c r="G204" s="83"/>
      <c r="H204" s="19">
        <v>0</v>
      </c>
      <c r="I204" s="19">
        <f>F204*(($I$126)+1)+H204</f>
        <v>1544.451012</v>
      </c>
      <c r="J204" s="1"/>
      <c r="K204" s="1"/>
      <c r="L204" s="1"/>
      <c r="M204" s="1">
        <f>2.9*5.18+0.6*3.175+1.075*0.925+2.125*2.6+3.05*3.05+1.575*0.9+1.175*0.9+3.05*4.05+2.125*1.375*2</f>
        <v>53.420124999999992</v>
      </c>
      <c r="N204" s="1">
        <f>0.995*2.95</f>
        <v>2.9352500000000004</v>
      </c>
      <c r="O204" s="1">
        <f>1.525*0.75</f>
        <v>1.1437499999999998</v>
      </c>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0" customFormat="1" ht="20.25" customHeight="1" x14ac:dyDescent="0.3">
      <c r="A205" s="92"/>
      <c r="B205" s="93"/>
      <c r="C205" s="81">
        <f t="shared" si="17"/>
        <v>5</v>
      </c>
      <c r="D205" s="81"/>
      <c r="E205" s="19" t="s">
        <v>213</v>
      </c>
      <c r="F205" s="82">
        <f>(83.32+(2.875*1.225+3.15*0.9))*10.764</f>
        <v>965.28188249999994</v>
      </c>
      <c r="G205" s="83"/>
      <c r="H205" s="19">
        <v>0</v>
      </c>
      <c r="I205" s="19">
        <f>F205*(($I$126)+1)+H205</f>
        <v>1544.451012</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0" customFormat="1" ht="30" customHeight="1" x14ac:dyDescent="0.3">
      <c r="A206" s="84" t="s">
        <v>222</v>
      </c>
      <c r="B206" s="85"/>
      <c r="C206" s="85"/>
      <c r="D206" s="85"/>
      <c r="E206" s="85"/>
      <c r="F206" s="85"/>
      <c r="G206" s="85"/>
      <c r="H206" s="85"/>
      <c r="I206" s="86"/>
      <c r="J206" s="58">
        <v>7</v>
      </c>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0" customFormat="1" ht="20.25" customHeight="1" x14ac:dyDescent="0.3">
      <c r="A207" s="88" t="str">
        <f>A206</f>
        <v>8th, 13th, 18th, 23rd, 28th, 33rd &amp; 38th Floor (Part Refuge Area)</v>
      </c>
      <c r="B207" s="89"/>
      <c r="C207" s="81">
        <v>1</v>
      </c>
      <c r="D207" s="81"/>
      <c r="E207" s="82" t="s">
        <v>216</v>
      </c>
      <c r="F207" s="87">
        <f>53.94*10.764</f>
        <v>580.61015999999995</v>
      </c>
      <c r="G207" s="87"/>
      <c r="H207" s="87">
        <v>0</v>
      </c>
      <c r="I207" s="83">
        <f>F207*(($I$126)+1)+H207</f>
        <v>928.97625599999992</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0" customFormat="1" ht="20.25" customHeight="1" x14ac:dyDescent="0.3">
      <c r="A208" s="90"/>
      <c r="B208" s="91"/>
      <c r="C208" s="81">
        <f>C207+1</f>
        <v>2</v>
      </c>
      <c r="D208" s="81"/>
      <c r="E208" s="19" t="s">
        <v>213</v>
      </c>
      <c r="F208" s="82">
        <f>(81.84+(2.85*1.225))*10.764</f>
        <v>918.50557499999991</v>
      </c>
      <c r="G208" s="83"/>
      <c r="H208" s="19">
        <v>0</v>
      </c>
      <c r="I208" s="19">
        <f>F208*(($I$126)+1)+H208</f>
        <v>1469.6089199999999</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0" customFormat="1" ht="20.25" customHeight="1" x14ac:dyDescent="0.3">
      <c r="A209" s="90"/>
      <c r="B209" s="91"/>
      <c r="C209" s="81">
        <f t="shared" ref="C209:C211" si="18">C208+1</f>
        <v>3</v>
      </c>
      <c r="D209" s="81"/>
      <c r="E209" s="19" t="s">
        <v>220</v>
      </c>
      <c r="F209" s="82">
        <f>(59.22+(2.975*1.175))*10.764</f>
        <v>675.0709875</v>
      </c>
      <c r="G209" s="83"/>
      <c r="H209" s="19">
        <v>0</v>
      </c>
      <c r="I209" s="19">
        <f>F209*(($I$126)+1)+H209</f>
        <v>1080.11358</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0" customFormat="1" ht="20.25" customHeight="1" x14ac:dyDescent="0.3">
      <c r="A210" s="90"/>
      <c r="B210" s="91"/>
      <c r="C210" s="81">
        <f t="shared" si="18"/>
        <v>4</v>
      </c>
      <c r="D210" s="81"/>
      <c r="E210" s="19" t="s">
        <v>213</v>
      </c>
      <c r="F210" s="82">
        <f>(83.32+(2.875*1.225+3.15*0.9))*10.764</f>
        <v>965.28188249999994</v>
      </c>
      <c r="G210" s="83"/>
      <c r="H210" s="19">
        <v>0</v>
      </c>
      <c r="I210" s="19">
        <f>F210*(($I$126)+1)+H210</f>
        <v>1544.451012</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0" customFormat="1" ht="20.25" customHeight="1" x14ac:dyDescent="0.3">
      <c r="A211" s="92"/>
      <c r="B211" s="93"/>
      <c r="C211" s="81">
        <f t="shared" si="18"/>
        <v>5</v>
      </c>
      <c r="D211" s="81"/>
      <c r="E211" s="19" t="s">
        <v>213</v>
      </c>
      <c r="F211" s="82">
        <f>(83.32+(2.875*1.225+3.15*0.9))*10.764</f>
        <v>965.28188249999994</v>
      </c>
      <c r="G211" s="83"/>
      <c r="H211" s="19">
        <v>0</v>
      </c>
      <c r="I211" s="19">
        <f>F211*(($I$126)+1)+H211</f>
        <v>1544.451012</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ht="21" x14ac:dyDescent="0.3">
      <c r="A212" s="77" t="s">
        <v>76</v>
      </c>
      <c r="B212" s="77"/>
      <c r="C212" s="77"/>
      <c r="D212" s="77"/>
      <c r="E212" s="77"/>
      <c r="F212" s="77"/>
      <c r="G212" s="77"/>
      <c r="H212" s="77"/>
      <c r="I212" s="77"/>
    </row>
    <row r="213" spans="1:151 16227:16384" ht="276.60000000000002" customHeight="1" x14ac:dyDescent="0.3">
      <c r="A213" s="8" t="s">
        <v>84</v>
      </c>
      <c r="B213" s="11" t="s">
        <v>4</v>
      </c>
      <c r="C213" s="99" t="s">
        <v>270</v>
      </c>
      <c r="D213" s="99"/>
      <c r="E213" s="99"/>
      <c r="F213" s="99"/>
      <c r="G213" s="99"/>
      <c r="H213" s="99"/>
      <c r="I213" s="99"/>
    </row>
    <row r="214" spans="1:151 16227:16384" ht="21" x14ac:dyDescent="0.3">
      <c r="A214" s="113" t="s">
        <v>85</v>
      </c>
      <c r="B214" s="113"/>
      <c r="C214" s="113"/>
      <c r="D214" s="113"/>
      <c r="E214" s="113"/>
      <c r="F214" s="113"/>
      <c r="G214" s="113"/>
      <c r="H214" s="113"/>
      <c r="I214" s="113"/>
    </row>
    <row r="215" spans="1:151 16227:16384" ht="21" x14ac:dyDescent="0.3">
      <c r="A215" s="123" t="s">
        <v>77</v>
      </c>
      <c r="B215" s="123"/>
      <c r="C215" s="123"/>
      <c r="D215" s="2" t="s">
        <v>4</v>
      </c>
      <c r="E215" s="100" t="str">
        <f>E3</f>
        <v>Godrej Ascend 
Phase 1 (Tower 2 &amp; 4) &amp;  Phase 2 (Tower 3)</v>
      </c>
      <c r="F215" s="110"/>
      <c r="G215" s="110"/>
      <c r="H215" s="110"/>
      <c r="I215" s="101"/>
    </row>
    <row r="216" spans="1:151 16227:16384" ht="46.8" customHeight="1" x14ac:dyDescent="0.3">
      <c r="A216" s="123" t="s">
        <v>136</v>
      </c>
      <c r="B216" s="123"/>
      <c r="C216" s="123"/>
      <c r="D216" s="2" t="s">
        <v>4</v>
      </c>
      <c r="E216" s="100" t="str">
        <f>E9</f>
        <v>Godrej Ascend Phase 1 (Tower 2 &amp; Tower 4) &amp; Godrej Ascend Phase 2 (Tower 3),  Road. Kolshet, Village.Balkum &amp; Dhokali, Thane West, Thane - 400607</v>
      </c>
      <c r="F216" s="110"/>
      <c r="G216" s="110"/>
      <c r="H216" s="110"/>
      <c r="I216" s="101"/>
    </row>
    <row r="217" spans="1:151 16227:16384" ht="20.25" customHeight="1" x14ac:dyDescent="0.3">
      <c r="A217" s="127" t="s">
        <v>142</v>
      </c>
      <c r="B217" s="127"/>
      <c r="C217" s="127"/>
      <c r="D217" s="15" t="s">
        <v>4</v>
      </c>
      <c r="E217" s="128" t="str">
        <f>I3</f>
        <v>04/07/2025 @ 11:20AM</v>
      </c>
      <c r="F217" s="129"/>
      <c r="G217" s="129"/>
      <c r="H217" s="129"/>
      <c r="I217" s="130"/>
    </row>
    <row r="218" spans="1:151 16227:16384" ht="21" x14ac:dyDescent="0.3">
      <c r="A218" s="29"/>
      <c r="B218" s="30"/>
      <c r="C218" s="30"/>
      <c r="D218" s="30"/>
      <c r="E218" s="30"/>
      <c r="F218" s="30"/>
      <c r="G218" s="30"/>
      <c r="H218" s="30"/>
      <c r="I218" s="24"/>
    </row>
    <row r="219" spans="1:151 16227:16384" ht="21" x14ac:dyDescent="0.3">
      <c r="A219" s="31"/>
      <c r="B219" s="32"/>
      <c r="C219" s="32"/>
      <c r="D219" s="32"/>
      <c r="E219" s="32"/>
      <c r="F219" s="32"/>
      <c r="G219" s="32"/>
      <c r="H219" s="32"/>
      <c r="I219" s="25"/>
    </row>
    <row r="220" spans="1:151 16227:16384" ht="21" x14ac:dyDescent="0.3">
      <c r="A220" s="31"/>
      <c r="B220" s="32"/>
      <c r="C220" s="32"/>
      <c r="D220" s="32"/>
      <c r="E220" s="32"/>
      <c r="F220" s="32"/>
      <c r="G220" s="32"/>
      <c r="H220" s="32"/>
      <c r="I220" s="25"/>
    </row>
    <row r="221" spans="1:151 16227:16384" ht="21" x14ac:dyDescent="0.3">
      <c r="A221" s="31"/>
      <c r="B221" s="32"/>
      <c r="C221" s="32"/>
      <c r="D221" s="32"/>
      <c r="E221" s="32"/>
      <c r="F221" s="32"/>
      <c r="G221" s="32"/>
      <c r="H221" s="32"/>
      <c r="I221" s="25"/>
    </row>
    <row r="222" spans="1:151 16227:16384" ht="21" x14ac:dyDescent="0.3">
      <c r="A222" s="31"/>
      <c r="B222" s="32"/>
      <c r="C222" s="32"/>
      <c r="D222" s="32"/>
      <c r="E222" s="32"/>
      <c r="F222" s="32"/>
      <c r="G222" s="32"/>
      <c r="H222" s="32"/>
      <c r="I222" s="25"/>
    </row>
    <row r="223" spans="1:151 16227:16384" ht="21" x14ac:dyDescent="0.3">
      <c r="A223" s="31"/>
      <c r="B223" s="32"/>
      <c r="C223" s="32"/>
      <c r="D223" s="32"/>
      <c r="E223" s="32"/>
      <c r="F223" s="32"/>
      <c r="G223" s="32"/>
      <c r="H223" s="32"/>
      <c r="I223" s="25"/>
    </row>
    <row r="224" spans="1:151 16227:16384" ht="21" x14ac:dyDescent="0.3">
      <c r="A224" s="31"/>
      <c r="B224" s="32"/>
      <c r="C224" s="32"/>
      <c r="D224" s="32"/>
      <c r="E224" s="32"/>
      <c r="F224" s="32"/>
      <c r="G224" s="32"/>
      <c r="H224" s="32"/>
      <c r="I224" s="25"/>
    </row>
    <row r="225" spans="1:9" ht="21" x14ac:dyDescent="0.3">
      <c r="A225" s="31"/>
      <c r="B225" s="32"/>
      <c r="C225" s="32"/>
      <c r="D225" s="32"/>
      <c r="E225" s="32"/>
      <c r="F225" s="32"/>
      <c r="G225" s="32"/>
      <c r="H225" s="32"/>
      <c r="I225" s="25"/>
    </row>
    <row r="226" spans="1:9" ht="21" x14ac:dyDescent="0.3">
      <c r="A226" s="31"/>
      <c r="B226" s="32"/>
      <c r="C226" s="32"/>
      <c r="D226" s="32"/>
      <c r="E226" s="32"/>
      <c r="F226" s="32"/>
      <c r="G226" s="32"/>
      <c r="H226" s="32"/>
      <c r="I226" s="25"/>
    </row>
    <row r="227" spans="1:9" ht="21" x14ac:dyDescent="0.3">
      <c r="A227" s="31"/>
      <c r="B227" s="32"/>
      <c r="C227" s="32"/>
      <c r="D227" s="32"/>
      <c r="E227" s="32"/>
      <c r="F227" s="32"/>
      <c r="G227" s="32"/>
      <c r="H227" s="32"/>
      <c r="I227" s="25"/>
    </row>
    <row r="228" spans="1:9" ht="21" x14ac:dyDescent="0.3">
      <c r="A228" s="31"/>
      <c r="B228" s="32"/>
      <c r="C228" s="32"/>
      <c r="D228" s="32"/>
      <c r="E228" s="32"/>
      <c r="F228" s="32"/>
      <c r="G228" s="32"/>
      <c r="H228" s="32"/>
      <c r="I228" s="25"/>
    </row>
    <row r="229" spans="1:9" ht="21" x14ac:dyDescent="0.3">
      <c r="A229" s="31"/>
      <c r="B229" s="32"/>
      <c r="C229" s="32"/>
      <c r="D229" s="32"/>
      <c r="E229" s="32"/>
      <c r="F229" s="32"/>
      <c r="G229" s="32"/>
      <c r="H229" s="32"/>
      <c r="I229" s="25"/>
    </row>
    <row r="230" spans="1:9" ht="21" x14ac:dyDescent="0.3">
      <c r="A230" s="31"/>
      <c r="B230" s="32"/>
      <c r="C230" s="32"/>
      <c r="D230" s="32"/>
      <c r="E230" s="32"/>
      <c r="F230" s="32"/>
      <c r="G230" s="32"/>
      <c r="H230" s="32"/>
      <c r="I230" s="25"/>
    </row>
    <row r="231" spans="1:9" ht="21" x14ac:dyDescent="0.3">
      <c r="A231" s="31"/>
      <c r="B231" s="32"/>
      <c r="C231" s="32"/>
      <c r="D231" s="32"/>
      <c r="E231" s="32"/>
      <c r="F231" s="32"/>
      <c r="G231" s="32"/>
      <c r="H231" s="32"/>
      <c r="I231" s="25"/>
    </row>
    <row r="232" spans="1:9" ht="21" x14ac:dyDescent="0.3">
      <c r="A232" s="31"/>
      <c r="B232" s="32"/>
      <c r="C232" s="32"/>
      <c r="D232" s="32"/>
      <c r="E232" s="32"/>
      <c r="F232" s="32"/>
      <c r="G232" s="32"/>
      <c r="H232" s="32"/>
      <c r="I232" s="25"/>
    </row>
    <row r="233" spans="1:9" ht="21" x14ac:dyDescent="0.3">
      <c r="A233" s="31"/>
      <c r="B233" s="32"/>
      <c r="C233" s="32"/>
      <c r="D233" s="32"/>
      <c r="E233" s="32"/>
      <c r="F233" s="32"/>
      <c r="G233" s="32"/>
      <c r="H233" s="32"/>
      <c r="I233" s="25"/>
    </row>
    <row r="234" spans="1:9" ht="21" x14ac:dyDescent="0.3">
      <c r="A234" s="31"/>
      <c r="B234" s="32"/>
      <c r="C234" s="32"/>
      <c r="D234" s="32"/>
      <c r="E234" s="32"/>
      <c r="F234" s="32"/>
      <c r="G234" s="32"/>
      <c r="H234" s="32"/>
      <c r="I234" s="25"/>
    </row>
    <row r="235" spans="1:9" ht="21" x14ac:dyDescent="0.3">
      <c r="A235" s="31"/>
      <c r="B235" s="32"/>
      <c r="C235" s="32"/>
      <c r="D235" s="32"/>
      <c r="E235" s="32"/>
      <c r="F235" s="32"/>
      <c r="G235" s="32"/>
      <c r="H235" s="32"/>
      <c r="I235" s="25"/>
    </row>
    <row r="236" spans="1:9" ht="21" x14ac:dyDescent="0.3">
      <c r="A236" s="31"/>
      <c r="B236" s="32"/>
      <c r="C236" s="32"/>
      <c r="D236" s="32"/>
      <c r="E236" s="32"/>
      <c r="F236" s="32"/>
      <c r="G236" s="32"/>
      <c r="H236" s="32"/>
      <c r="I236" s="25"/>
    </row>
    <row r="237" spans="1:9" ht="21" x14ac:dyDescent="0.3">
      <c r="A237" s="31"/>
      <c r="B237" s="32"/>
      <c r="C237" s="32"/>
      <c r="D237" s="32"/>
      <c r="E237" s="32"/>
      <c r="F237" s="32"/>
      <c r="G237" s="32"/>
      <c r="H237" s="32"/>
      <c r="I237" s="25"/>
    </row>
    <row r="238" spans="1:9" ht="21" x14ac:dyDescent="0.3">
      <c r="A238" s="31"/>
      <c r="B238" s="32"/>
      <c r="C238" s="32"/>
      <c r="D238" s="32"/>
      <c r="E238" s="32"/>
      <c r="F238" s="32"/>
      <c r="G238" s="32"/>
      <c r="H238" s="32"/>
      <c r="I238" s="25"/>
    </row>
    <row r="239" spans="1:9" ht="21" x14ac:dyDescent="0.3">
      <c r="A239" s="31"/>
      <c r="B239" s="32"/>
      <c r="C239" s="32"/>
      <c r="D239" s="32"/>
      <c r="E239" s="32"/>
      <c r="F239" s="32"/>
      <c r="G239" s="32"/>
      <c r="H239" s="32"/>
      <c r="I239" s="25"/>
    </row>
    <row r="240" spans="1:9" ht="21" x14ac:dyDescent="0.3">
      <c r="A240" s="31"/>
      <c r="B240" s="32"/>
      <c r="C240" s="32"/>
      <c r="D240" s="32"/>
      <c r="E240" s="32"/>
      <c r="F240" s="32"/>
      <c r="G240" s="32"/>
      <c r="H240" s="32"/>
      <c r="I240" s="25"/>
    </row>
    <row r="241" spans="1:9" ht="21" x14ac:dyDescent="0.3">
      <c r="A241" s="31"/>
      <c r="B241" s="32"/>
      <c r="C241" s="32"/>
      <c r="D241" s="32"/>
      <c r="E241" s="32"/>
      <c r="F241" s="32"/>
      <c r="G241" s="32"/>
      <c r="H241" s="32"/>
      <c r="I241" s="25"/>
    </row>
    <row r="242" spans="1:9" ht="21" x14ac:dyDescent="0.3">
      <c r="A242" s="31"/>
      <c r="B242" s="32"/>
      <c r="C242" s="32"/>
      <c r="D242" s="32"/>
      <c r="E242" s="32"/>
      <c r="F242" s="32"/>
      <c r="G242" s="32"/>
      <c r="H242" s="32"/>
      <c r="I242" s="25"/>
    </row>
    <row r="243" spans="1:9" ht="21" x14ac:dyDescent="0.3">
      <c r="A243" s="31"/>
      <c r="B243" s="32"/>
      <c r="C243" s="32"/>
      <c r="D243" s="32"/>
      <c r="E243" s="32"/>
      <c r="F243" s="32"/>
      <c r="G243" s="32"/>
      <c r="H243" s="32"/>
      <c r="I243" s="25"/>
    </row>
    <row r="244" spans="1:9" ht="21" x14ac:dyDescent="0.3">
      <c r="A244" s="31"/>
      <c r="B244" s="32"/>
      <c r="C244" s="32"/>
      <c r="D244" s="32"/>
      <c r="E244" s="32"/>
      <c r="F244" s="32"/>
      <c r="G244" s="32"/>
      <c r="H244" s="32"/>
      <c r="I244" s="25"/>
    </row>
    <row r="245" spans="1:9" ht="21" x14ac:dyDescent="0.3">
      <c r="A245" s="31"/>
      <c r="B245" s="32"/>
      <c r="C245" s="32"/>
      <c r="D245" s="32"/>
      <c r="E245" s="32"/>
      <c r="F245" s="32"/>
      <c r="G245" s="32"/>
      <c r="H245" s="32"/>
      <c r="I245" s="25"/>
    </row>
    <row r="246" spans="1:9" ht="21" x14ac:dyDescent="0.3">
      <c r="A246" s="31"/>
      <c r="B246" s="32"/>
      <c r="C246" s="32"/>
      <c r="D246" s="32"/>
      <c r="E246" s="32"/>
      <c r="F246" s="32"/>
      <c r="G246" s="32"/>
      <c r="H246" s="32"/>
      <c r="I246" s="25"/>
    </row>
    <row r="247" spans="1:9" ht="21" x14ac:dyDescent="0.3">
      <c r="A247" s="31"/>
      <c r="B247" s="32"/>
      <c r="C247" s="32"/>
      <c r="D247" s="32"/>
      <c r="E247" s="32"/>
      <c r="F247" s="32"/>
      <c r="G247" s="32"/>
      <c r="H247" s="32"/>
      <c r="I247" s="25"/>
    </row>
    <row r="248" spans="1:9" ht="21" x14ac:dyDescent="0.3">
      <c r="A248" s="31"/>
      <c r="B248" s="32"/>
      <c r="C248" s="32"/>
      <c r="D248" s="32"/>
      <c r="E248" s="32"/>
      <c r="F248" s="32"/>
      <c r="G248" s="32"/>
      <c r="H248" s="32"/>
      <c r="I248" s="25"/>
    </row>
    <row r="249" spans="1:9" ht="21" x14ac:dyDescent="0.3">
      <c r="A249" s="31"/>
      <c r="B249" s="32"/>
      <c r="C249" s="32"/>
      <c r="D249" s="32"/>
      <c r="E249" s="32"/>
      <c r="F249" s="32"/>
      <c r="G249" s="32"/>
      <c r="H249" s="32"/>
      <c r="I249" s="25"/>
    </row>
    <row r="250" spans="1:9" ht="21" x14ac:dyDescent="0.3">
      <c r="A250" s="31"/>
      <c r="B250" s="32"/>
      <c r="C250" s="32"/>
      <c r="D250" s="32"/>
      <c r="E250" s="32"/>
      <c r="F250" s="32"/>
      <c r="G250" s="32"/>
      <c r="H250" s="32"/>
      <c r="I250" s="25"/>
    </row>
    <row r="251" spans="1:9" ht="21" x14ac:dyDescent="0.3">
      <c r="A251" s="31"/>
      <c r="B251" s="32"/>
      <c r="C251" s="32"/>
      <c r="D251" s="32"/>
      <c r="E251" s="32"/>
      <c r="F251" s="32"/>
      <c r="G251" s="32"/>
      <c r="H251" s="32"/>
      <c r="I251" s="25"/>
    </row>
    <row r="252" spans="1:9" ht="21" x14ac:dyDescent="0.3">
      <c r="A252" s="31"/>
      <c r="B252" s="32"/>
      <c r="C252" s="32"/>
      <c r="D252" s="32"/>
      <c r="E252" s="32"/>
      <c r="F252" s="32"/>
      <c r="G252" s="32"/>
      <c r="H252" s="32"/>
      <c r="I252" s="25"/>
    </row>
    <row r="253" spans="1:9" ht="21" hidden="1" x14ac:dyDescent="0.3">
      <c r="A253" s="31"/>
      <c r="B253" s="32"/>
      <c r="C253" s="32"/>
      <c r="D253" s="32"/>
      <c r="E253" s="32"/>
      <c r="F253" s="32"/>
      <c r="G253" s="32"/>
      <c r="H253" s="32"/>
      <c r="I253" s="25"/>
    </row>
    <row r="254" spans="1:9" ht="21" hidden="1" x14ac:dyDescent="0.3">
      <c r="A254" s="31"/>
      <c r="B254" s="32"/>
      <c r="C254" s="32"/>
      <c r="D254" s="32"/>
      <c r="E254" s="32"/>
      <c r="F254" s="32"/>
      <c r="G254" s="32"/>
      <c r="H254" s="32"/>
      <c r="I254" s="25"/>
    </row>
    <row r="255" spans="1:9" ht="21" hidden="1" x14ac:dyDescent="0.3">
      <c r="A255" s="31"/>
      <c r="B255" s="32"/>
      <c r="C255" s="32"/>
      <c r="D255" s="32"/>
      <c r="E255" s="32"/>
      <c r="F255" s="32"/>
      <c r="G255" s="32"/>
      <c r="H255" s="32"/>
      <c r="I255" s="25"/>
    </row>
    <row r="256" spans="1:9" ht="21" hidden="1" x14ac:dyDescent="0.3">
      <c r="A256" s="31"/>
      <c r="B256" s="32"/>
      <c r="C256" s="32"/>
      <c r="D256" s="32"/>
      <c r="E256" s="32"/>
      <c r="F256" s="32"/>
      <c r="G256" s="32"/>
      <c r="H256" s="32"/>
      <c r="I256" s="25"/>
    </row>
    <row r="257" spans="1:9" ht="21" hidden="1" x14ac:dyDescent="0.3">
      <c r="A257" s="31"/>
      <c r="B257" s="32"/>
      <c r="C257" s="32"/>
      <c r="D257" s="32"/>
      <c r="E257" s="32"/>
      <c r="F257" s="32"/>
      <c r="G257" s="32"/>
      <c r="H257" s="32"/>
      <c r="I257" s="25"/>
    </row>
    <row r="258" spans="1:9" ht="21" hidden="1" x14ac:dyDescent="0.3">
      <c r="A258" s="31"/>
      <c r="B258" s="32"/>
      <c r="C258" s="32"/>
      <c r="D258" s="32"/>
      <c r="E258" s="32"/>
      <c r="F258" s="32"/>
      <c r="G258" s="32"/>
      <c r="H258" s="32"/>
      <c r="I258" s="25"/>
    </row>
    <row r="259" spans="1:9" ht="21" hidden="1" x14ac:dyDescent="0.3">
      <c r="A259" s="31"/>
      <c r="B259" s="32"/>
      <c r="C259" s="32"/>
      <c r="D259" s="32"/>
      <c r="E259" s="32"/>
      <c r="F259" s="32"/>
      <c r="G259" s="32"/>
      <c r="H259" s="32"/>
      <c r="I259" s="25"/>
    </row>
    <row r="260" spans="1:9" ht="21" hidden="1" x14ac:dyDescent="0.3">
      <c r="A260" s="31"/>
      <c r="B260" s="32"/>
      <c r="C260" s="32"/>
      <c r="D260" s="32"/>
      <c r="E260" s="32"/>
      <c r="F260" s="32"/>
      <c r="G260" s="32"/>
      <c r="H260" s="32"/>
      <c r="I260" s="25"/>
    </row>
    <row r="261" spans="1:9" ht="21" hidden="1" x14ac:dyDescent="0.3">
      <c r="A261" s="31"/>
      <c r="B261" s="32"/>
      <c r="C261" s="32"/>
      <c r="D261" s="32"/>
      <c r="E261" s="32"/>
      <c r="F261" s="32"/>
      <c r="G261" s="32"/>
      <c r="H261" s="32"/>
      <c r="I261" s="25"/>
    </row>
    <row r="262" spans="1:9" ht="21" hidden="1" x14ac:dyDescent="0.3">
      <c r="A262" s="31"/>
      <c r="B262" s="32"/>
      <c r="C262" s="32"/>
      <c r="D262" s="32"/>
      <c r="E262" s="32"/>
      <c r="F262" s="32"/>
      <c r="G262" s="32"/>
      <c r="H262" s="32"/>
      <c r="I262" s="25"/>
    </row>
    <row r="263" spans="1:9" ht="21" hidden="1" x14ac:dyDescent="0.3">
      <c r="A263" s="31"/>
      <c r="B263" s="32"/>
      <c r="C263" s="32"/>
      <c r="D263" s="32"/>
      <c r="E263" s="32"/>
      <c r="F263" s="32"/>
      <c r="G263" s="32"/>
      <c r="H263" s="32"/>
      <c r="I263" s="25"/>
    </row>
    <row r="264" spans="1:9" ht="21" hidden="1" x14ac:dyDescent="0.3">
      <c r="A264" s="31"/>
      <c r="B264" s="32"/>
      <c r="C264" s="32"/>
      <c r="D264" s="32"/>
      <c r="E264" s="32"/>
      <c r="F264" s="32"/>
      <c r="G264" s="32"/>
      <c r="H264" s="32"/>
      <c r="I264" s="25"/>
    </row>
    <row r="265" spans="1:9" ht="21" x14ac:dyDescent="0.3">
      <c r="A265" s="31"/>
      <c r="B265" s="32"/>
      <c r="C265" s="32"/>
      <c r="D265" s="32"/>
      <c r="E265" s="32"/>
      <c r="F265" s="32"/>
      <c r="G265" s="32"/>
      <c r="H265" s="32"/>
      <c r="I265" s="25"/>
    </row>
    <row r="266" spans="1:9" ht="21" x14ac:dyDescent="0.3">
      <c r="A266" s="31"/>
      <c r="B266" s="32"/>
      <c r="C266" s="32"/>
      <c r="D266" s="32"/>
      <c r="E266" s="32"/>
      <c r="F266" s="32"/>
      <c r="G266" s="32"/>
      <c r="H266" s="32"/>
      <c r="I266" s="25"/>
    </row>
    <row r="267" spans="1:9" ht="21" x14ac:dyDescent="0.3">
      <c r="A267" s="31"/>
      <c r="B267" s="32"/>
      <c r="C267" s="32"/>
      <c r="D267" s="32"/>
      <c r="E267" s="32"/>
      <c r="F267" s="32"/>
      <c r="G267" s="32"/>
      <c r="H267" s="32"/>
      <c r="I267" s="25"/>
    </row>
    <row r="268" spans="1:9" ht="21" x14ac:dyDescent="0.3">
      <c r="A268" s="31"/>
      <c r="B268" s="32"/>
      <c r="C268" s="32"/>
      <c r="D268" s="32"/>
      <c r="E268" s="32"/>
      <c r="F268" s="32"/>
      <c r="G268" s="32"/>
      <c r="H268" s="32"/>
      <c r="I268" s="25"/>
    </row>
    <row r="269" spans="1:9" ht="21" x14ac:dyDescent="0.3">
      <c r="A269" s="31"/>
      <c r="B269" s="32"/>
      <c r="C269" s="32"/>
      <c r="D269" s="32"/>
      <c r="E269" s="32"/>
      <c r="F269" s="32"/>
      <c r="G269" s="32"/>
      <c r="H269" s="32"/>
      <c r="I269" s="25"/>
    </row>
    <row r="270" spans="1:9" ht="21" x14ac:dyDescent="0.3">
      <c r="A270" s="31"/>
      <c r="B270" s="32"/>
      <c r="C270" s="32"/>
      <c r="D270" s="32"/>
      <c r="E270" s="32"/>
      <c r="F270" s="32"/>
      <c r="G270" s="32"/>
      <c r="H270" s="32"/>
      <c r="I270" s="25"/>
    </row>
    <row r="271" spans="1:9" ht="21" x14ac:dyDescent="0.3">
      <c r="A271" s="33"/>
      <c r="B271" s="34"/>
      <c r="C271" s="34"/>
      <c r="D271" s="34"/>
      <c r="E271" s="34"/>
      <c r="F271" s="34"/>
      <c r="G271" s="34"/>
      <c r="H271" s="34"/>
      <c r="I271" s="26"/>
    </row>
    <row r="272" spans="1:9" ht="21" x14ac:dyDescent="0.3">
      <c r="A272" s="124" t="s">
        <v>254</v>
      </c>
      <c r="B272" s="125"/>
      <c r="C272" s="125"/>
      <c r="D272" s="125"/>
      <c r="E272" s="125"/>
      <c r="F272" s="125"/>
      <c r="G272" s="125"/>
      <c r="H272" s="125"/>
      <c r="I272" s="126"/>
    </row>
    <row r="273" spans="1:9" ht="21" x14ac:dyDescent="0.3">
      <c r="A273" s="29"/>
      <c r="B273" s="30"/>
      <c r="C273" s="30"/>
      <c r="D273" s="30"/>
      <c r="E273" s="30"/>
      <c r="F273" s="30"/>
      <c r="G273" s="30"/>
      <c r="H273" s="30"/>
      <c r="I273" s="24"/>
    </row>
    <row r="274" spans="1:9" ht="21" x14ac:dyDescent="0.3">
      <c r="A274" s="31"/>
      <c r="B274" s="32"/>
      <c r="C274" s="32"/>
      <c r="D274" s="32"/>
      <c r="E274" s="32"/>
      <c r="F274" s="32"/>
      <c r="G274" s="32"/>
      <c r="H274" s="32"/>
      <c r="I274" s="25"/>
    </row>
    <row r="275" spans="1:9" ht="21" x14ac:dyDescent="0.3">
      <c r="A275" s="31"/>
      <c r="B275" s="32"/>
      <c r="C275" s="32"/>
      <c r="D275" s="32"/>
      <c r="E275" s="32"/>
      <c r="F275" s="32"/>
      <c r="G275" s="32"/>
      <c r="H275" s="32"/>
      <c r="I275" s="25"/>
    </row>
    <row r="276" spans="1:9" ht="21" x14ac:dyDescent="0.3">
      <c r="A276" s="31"/>
      <c r="B276" s="32"/>
      <c r="C276" s="32"/>
      <c r="D276" s="32"/>
      <c r="E276" s="32"/>
      <c r="F276" s="32"/>
      <c r="G276" s="32"/>
      <c r="H276" s="32"/>
      <c r="I276" s="25"/>
    </row>
    <row r="277" spans="1:9" ht="21" x14ac:dyDescent="0.3">
      <c r="A277" s="31"/>
      <c r="B277" s="32"/>
      <c r="C277" s="32"/>
      <c r="D277" s="32"/>
      <c r="E277" s="32"/>
      <c r="F277" s="32"/>
      <c r="G277" s="32"/>
      <c r="H277" s="32"/>
      <c r="I277" s="25"/>
    </row>
    <row r="278" spans="1:9" ht="21" x14ac:dyDescent="0.3">
      <c r="A278" s="31"/>
      <c r="B278" s="32"/>
      <c r="C278" s="32"/>
      <c r="D278" s="32"/>
      <c r="E278" s="32"/>
      <c r="F278" s="32"/>
      <c r="G278" s="32"/>
      <c r="H278" s="32"/>
      <c r="I278" s="25"/>
    </row>
    <row r="279" spans="1:9" ht="21" x14ac:dyDescent="0.3">
      <c r="A279" s="31"/>
      <c r="B279" s="32"/>
      <c r="C279" s="32"/>
      <c r="D279" s="32"/>
      <c r="E279" s="32"/>
      <c r="F279" s="32"/>
      <c r="G279" s="32"/>
      <c r="H279" s="32"/>
      <c r="I279" s="25"/>
    </row>
    <row r="280" spans="1:9" ht="21" x14ac:dyDescent="0.3">
      <c r="A280" s="31"/>
      <c r="B280" s="32"/>
      <c r="C280" s="32"/>
      <c r="D280" s="32"/>
      <c r="E280" s="32"/>
      <c r="F280" s="32"/>
      <c r="G280" s="32"/>
      <c r="H280" s="32"/>
      <c r="I280" s="25"/>
    </row>
    <row r="281" spans="1:9" ht="21" x14ac:dyDescent="0.3">
      <c r="A281" s="31"/>
      <c r="B281" s="32"/>
      <c r="C281" s="32"/>
      <c r="D281" s="32"/>
      <c r="E281" s="32"/>
      <c r="F281" s="32"/>
      <c r="G281" s="32"/>
      <c r="H281" s="32"/>
      <c r="I281" s="25"/>
    </row>
    <row r="282" spans="1:9" ht="21" x14ac:dyDescent="0.3">
      <c r="A282" s="31"/>
      <c r="B282" s="32"/>
      <c r="C282" s="32"/>
      <c r="D282" s="32"/>
      <c r="E282" s="32"/>
      <c r="F282" s="32"/>
      <c r="G282" s="32"/>
      <c r="H282" s="32"/>
      <c r="I282" s="25"/>
    </row>
    <row r="283" spans="1:9" ht="21" x14ac:dyDescent="0.3">
      <c r="A283" s="31"/>
      <c r="B283" s="32"/>
      <c r="C283" s="32"/>
      <c r="D283" s="32"/>
      <c r="E283" s="32"/>
      <c r="F283" s="32"/>
      <c r="G283" s="32"/>
      <c r="H283" s="32"/>
      <c r="I283" s="25"/>
    </row>
    <row r="284" spans="1:9" ht="21" x14ac:dyDescent="0.3">
      <c r="A284" s="31"/>
      <c r="B284" s="32"/>
      <c r="C284" s="32"/>
      <c r="D284" s="32"/>
      <c r="E284" s="32"/>
      <c r="F284" s="32"/>
      <c r="G284" s="32"/>
      <c r="H284" s="32"/>
      <c r="I284" s="25"/>
    </row>
    <row r="285" spans="1:9" ht="21" x14ac:dyDescent="0.3">
      <c r="A285" s="31"/>
      <c r="B285" s="32"/>
      <c r="C285" s="32"/>
      <c r="D285" s="32"/>
      <c r="E285" s="32"/>
      <c r="F285" s="32"/>
      <c r="G285" s="32"/>
      <c r="H285" s="32"/>
      <c r="I285" s="25"/>
    </row>
    <row r="286" spans="1:9" ht="21" x14ac:dyDescent="0.3">
      <c r="A286" s="31"/>
      <c r="B286" s="32"/>
      <c r="C286" s="32"/>
      <c r="D286" s="32"/>
      <c r="E286" s="32"/>
      <c r="F286" s="32"/>
      <c r="G286" s="32"/>
      <c r="H286" s="32"/>
      <c r="I286" s="25"/>
    </row>
    <row r="287" spans="1:9" ht="21" x14ac:dyDescent="0.3">
      <c r="A287" s="31"/>
      <c r="B287" s="32"/>
      <c r="C287" s="32"/>
      <c r="D287" s="32"/>
      <c r="E287" s="32"/>
      <c r="F287" s="32"/>
      <c r="G287" s="32"/>
      <c r="H287" s="32"/>
      <c r="I287" s="25"/>
    </row>
    <row r="288" spans="1:9" ht="21" x14ac:dyDescent="0.3">
      <c r="A288" s="31"/>
      <c r="B288" s="32"/>
      <c r="C288" s="32"/>
      <c r="D288" s="32"/>
      <c r="E288" s="32"/>
      <c r="F288" s="32"/>
      <c r="G288" s="32"/>
      <c r="H288" s="32"/>
      <c r="I288" s="25"/>
    </row>
    <row r="289" spans="1:9" ht="21" x14ac:dyDescent="0.3">
      <c r="A289" s="31"/>
      <c r="B289" s="32"/>
      <c r="C289" s="32"/>
      <c r="D289" s="32"/>
      <c r="E289" s="32"/>
      <c r="F289" s="32"/>
      <c r="G289" s="32"/>
      <c r="H289" s="32"/>
      <c r="I289" s="25"/>
    </row>
    <row r="290" spans="1:9" ht="21" x14ac:dyDescent="0.3">
      <c r="A290" s="31"/>
      <c r="B290" s="32"/>
      <c r="C290" s="32"/>
      <c r="D290" s="32"/>
      <c r="E290" s="32"/>
      <c r="F290" s="32"/>
      <c r="G290" s="32"/>
      <c r="H290" s="32"/>
      <c r="I290" s="25"/>
    </row>
    <row r="291" spans="1:9" ht="21" x14ac:dyDescent="0.3">
      <c r="A291" s="31"/>
      <c r="B291" s="32"/>
      <c r="C291" s="32"/>
      <c r="D291" s="32"/>
      <c r="E291" s="32"/>
      <c r="F291" s="32"/>
      <c r="G291" s="32"/>
      <c r="H291" s="32"/>
      <c r="I291" s="25"/>
    </row>
    <row r="292" spans="1:9" ht="21" x14ac:dyDescent="0.3">
      <c r="A292" s="31"/>
      <c r="B292" s="32"/>
      <c r="C292" s="32"/>
      <c r="D292" s="32"/>
      <c r="E292" s="32"/>
      <c r="F292" s="32"/>
      <c r="G292" s="32"/>
      <c r="H292" s="32"/>
      <c r="I292" s="25"/>
    </row>
    <row r="293" spans="1:9" ht="21" x14ac:dyDescent="0.3">
      <c r="A293" s="31"/>
      <c r="B293" s="32"/>
      <c r="C293" s="32"/>
      <c r="D293" s="32"/>
      <c r="E293" s="32"/>
      <c r="F293" s="32"/>
      <c r="G293" s="32"/>
      <c r="H293" s="32"/>
      <c r="I293" s="25"/>
    </row>
    <row r="294" spans="1:9" ht="21" x14ac:dyDescent="0.3">
      <c r="A294" s="31"/>
      <c r="B294" s="32"/>
      <c r="C294" s="32"/>
      <c r="D294" s="32"/>
      <c r="E294" s="32"/>
      <c r="F294" s="32"/>
      <c r="G294" s="32"/>
      <c r="H294" s="32"/>
      <c r="I294" s="25"/>
    </row>
    <row r="295" spans="1:9" ht="21" x14ac:dyDescent="0.3">
      <c r="A295" s="31"/>
      <c r="B295" s="32"/>
      <c r="C295" s="32"/>
      <c r="D295" s="32"/>
      <c r="E295" s="32"/>
      <c r="F295" s="32"/>
      <c r="G295" s="32"/>
      <c r="H295" s="32"/>
      <c r="I295" s="25"/>
    </row>
    <row r="296" spans="1:9" ht="21" x14ac:dyDescent="0.3">
      <c r="A296" s="31"/>
      <c r="B296" s="32"/>
      <c r="C296" s="32"/>
      <c r="D296" s="32"/>
      <c r="E296" s="32"/>
      <c r="F296" s="32"/>
      <c r="G296" s="32"/>
      <c r="H296" s="32"/>
      <c r="I296" s="25"/>
    </row>
    <row r="297" spans="1:9" ht="21" x14ac:dyDescent="0.3">
      <c r="A297" s="31"/>
      <c r="B297" s="32"/>
      <c r="C297" s="32"/>
      <c r="D297" s="32"/>
      <c r="E297" s="32"/>
      <c r="F297" s="32"/>
      <c r="G297" s="32"/>
      <c r="H297" s="32"/>
      <c r="I297" s="25"/>
    </row>
    <row r="298" spans="1:9" ht="21" x14ac:dyDescent="0.3">
      <c r="A298" s="31"/>
      <c r="B298" s="32"/>
      <c r="C298" s="32"/>
      <c r="D298" s="32"/>
      <c r="E298" s="32"/>
      <c r="F298" s="32"/>
      <c r="G298" s="32"/>
      <c r="H298" s="32"/>
      <c r="I298" s="25"/>
    </row>
    <row r="299" spans="1:9" ht="21" x14ac:dyDescent="0.3">
      <c r="A299" s="31"/>
      <c r="B299" s="32"/>
      <c r="C299" s="32"/>
      <c r="D299" s="32"/>
      <c r="E299" s="32"/>
      <c r="F299" s="32"/>
      <c r="G299" s="32"/>
      <c r="H299" s="32"/>
      <c r="I299" s="25"/>
    </row>
    <row r="300" spans="1:9" ht="21" x14ac:dyDescent="0.3">
      <c r="A300" s="31"/>
      <c r="B300" s="32"/>
      <c r="C300" s="32"/>
      <c r="D300" s="32"/>
      <c r="E300" s="32"/>
      <c r="F300" s="32"/>
      <c r="G300" s="32"/>
      <c r="H300" s="32"/>
      <c r="I300" s="25"/>
    </row>
    <row r="301" spans="1:9" ht="21" x14ac:dyDescent="0.3">
      <c r="A301" s="31"/>
      <c r="B301" s="32"/>
      <c r="C301" s="32"/>
      <c r="D301" s="32"/>
      <c r="E301" s="32"/>
      <c r="F301" s="32"/>
      <c r="G301" s="32"/>
      <c r="H301" s="32"/>
      <c r="I301" s="25"/>
    </row>
    <row r="302" spans="1:9" ht="21" x14ac:dyDescent="0.3">
      <c r="A302" s="31"/>
      <c r="B302" s="32"/>
      <c r="C302" s="32"/>
      <c r="D302" s="32"/>
      <c r="E302" s="32"/>
      <c r="F302" s="32"/>
      <c r="G302" s="32"/>
      <c r="H302" s="32"/>
      <c r="I302" s="25"/>
    </row>
    <row r="303" spans="1:9" ht="21" x14ac:dyDescent="0.3">
      <c r="A303" s="31"/>
      <c r="B303" s="32"/>
      <c r="C303" s="32"/>
      <c r="D303" s="32"/>
      <c r="E303" s="32"/>
      <c r="F303" s="32"/>
      <c r="G303" s="32"/>
      <c r="H303" s="32"/>
      <c r="I303" s="25"/>
    </row>
    <row r="304" spans="1:9" ht="21" x14ac:dyDescent="0.3">
      <c r="A304" s="31"/>
      <c r="B304" s="32"/>
      <c r="C304" s="32"/>
      <c r="D304" s="32"/>
      <c r="E304" s="32"/>
      <c r="F304" s="32"/>
      <c r="G304" s="32"/>
      <c r="H304" s="32"/>
      <c r="I304" s="25"/>
    </row>
    <row r="305" spans="1:9" ht="21" x14ac:dyDescent="0.3">
      <c r="A305" s="31"/>
      <c r="B305" s="32"/>
      <c r="C305" s="32"/>
      <c r="D305" s="32"/>
      <c r="E305" s="32"/>
      <c r="F305" s="32"/>
      <c r="G305" s="32"/>
      <c r="H305" s="32"/>
      <c r="I305" s="25"/>
    </row>
    <row r="306" spans="1:9" ht="21" x14ac:dyDescent="0.3">
      <c r="A306" s="31"/>
      <c r="B306" s="32"/>
      <c r="C306" s="32"/>
      <c r="D306" s="32"/>
      <c r="E306" s="32"/>
      <c r="F306" s="32"/>
      <c r="G306" s="32"/>
      <c r="H306" s="32"/>
      <c r="I306" s="25"/>
    </row>
    <row r="307" spans="1:9" ht="21" x14ac:dyDescent="0.3">
      <c r="A307" s="31"/>
      <c r="B307" s="32"/>
      <c r="C307" s="32"/>
      <c r="D307" s="32"/>
      <c r="E307" s="32"/>
      <c r="F307" s="32"/>
      <c r="G307" s="32"/>
      <c r="H307" s="32"/>
      <c r="I307" s="25"/>
    </row>
    <row r="308" spans="1:9" ht="21" x14ac:dyDescent="0.3">
      <c r="A308" s="31"/>
      <c r="B308" s="32"/>
      <c r="C308" s="32"/>
      <c r="D308" s="32"/>
      <c r="E308" s="32"/>
      <c r="F308" s="32"/>
      <c r="G308" s="32"/>
      <c r="H308" s="32"/>
      <c r="I308" s="25"/>
    </row>
    <row r="309" spans="1:9" ht="21" x14ac:dyDescent="0.3">
      <c r="A309" s="31"/>
      <c r="B309" s="32"/>
      <c r="C309" s="32"/>
      <c r="D309" s="32"/>
      <c r="E309" s="32"/>
      <c r="F309" s="32"/>
      <c r="G309" s="32"/>
      <c r="H309" s="32"/>
      <c r="I309" s="25"/>
    </row>
    <row r="310" spans="1:9" ht="21" x14ac:dyDescent="0.3">
      <c r="A310" s="31"/>
      <c r="B310" s="32"/>
      <c r="C310" s="32"/>
      <c r="D310" s="32"/>
      <c r="E310" s="32"/>
      <c r="F310" s="32"/>
      <c r="G310" s="32"/>
      <c r="H310" s="32"/>
      <c r="I310" s="25"/>
    </row>
    <row r="311" spans="1:9" ht="21" x14ac:dyDescent="0.3">
      <c r="A311" s="31"/>
      <c r="B311" s="32"/>
      <c r="C311" s="32"/>
      <c r="D311" s="32"/>
      <c r="E311" s="32"/>
      <c r="F311" s="32"/>
      <c r="G311" s="32"/>
      <c r="H311" s="32"/>
      <c r="I311" s="25"/>
    </row>
    <row r="312" spans="1:9" ht="21" x14ac:dyDescent="0.3">
      <c r="A312" s="31"/>
      <c r="B312" s="32"/>
      <c r="C312" s="32"/>
      <c r="D312" s="32"/>
      <c r="E312" s="32"/>
      <c r="F312" s="32"/>
      <c r="G312" s="32"/>
      <c r="H312" s="32"/>
      <c r="I312" s="25"/>
    </row>
    <row r="313" spans="1:9" ht="21" x14ac:dyDescent="0.3">
      <c r="A313" s="31"/>
      <c r="B313" s="32"/>
      <c r="C313" s="32"/>
      <c r="D313" s="32"/>
      <c r="E313" s="32"/>
      <c r="F313" s="32"/>
      <c r="G313" s="32"/>
      <c r="H313" s="32"/>
      <c r="I313" s="25"/>
    </row>
    <row r="314" spans="1:9" ht="21" x14ac:dyDescent="0.3">
      <c r="A314" s="31"/>
      <c r="B314" s="32"/>
      <c r="C314" s="32"/>
      <c r="D314" s="32"/>
      <c r="E314" s="32"/>
      <c r="F314" s="32"/>
      <c r="G314" s="32"/>
      <c r="H314" s="32"/>
      <c r="I314" s="25"/>
    </row>
    <row r="315" spans="1:9" ht="21" x14ac:dyDescent="0.3">
      <c r="A315" s="31"/>
      <c r="B315" s="32"/>
      <c r="C315" s="32"/>
      <c r="D315" s="32"/>
      <c r="E315" s="32"/>
      <c r="F315" s="32"/>
      <c r="G315" s="32"/>
      <c r="H315" s="32"/>
      <c r="I315" s="25"/>
    </row>
    <row r="316" spans="1:9" ht="21" x14ac:dyDescent="0.3">
      <c r="A316" s="31"/>
      <c r="B316" s="32"/>
      <c r="C316" s="32"/>
      <c r="D316" s="32"/>
      <c r="E316" s="32"/>
      <c r="F316" s="32"/>
      <c r="G316" s="32"/>
      <c r="H316" s="32"/>
      <c r="I316" s="25"/>
    </row>
    <row r="317" spans="1:9" ht="21" x14ac:dyDescent="0.3">
      <c r="A317" s="31"/>
      <c r="B317" s="32"/>
      <c r="C317" s="32"/>
      <c r="D317" s="32"/>
      <c r="E317" s="32"/>
      <c r="F317" s="32"/>
      <c r="G317" s="32"/>
      <c r="H317" s="32"/>
      <c r="I317" s="25"/>
    </row>
    <row r="318" spans="1:9" ht="21" x14ac:dyDescent="0.3">
      <c r="A318" s="31"/>
      <c r="B318" s="32"/>
      <c r="C318" s="32"/>
      <c r="D318" s="32"/>
      <c r="E318" s="32"/>
      <c r="F318" s="32"/>
      <c r="G318" s="32"/>
      <c r="H318" s="32"/>
      <c r="I318" s="25"/>
    </row>
    <row r="319" spans="1:9" ht="21" x14ac:dyDescent="0.3">
      <c r="A319" s="31"/>
      <c r="B319" s="32"/>
      <c r="C319" s="32"/>
      <c r="D319" s="32"/>
      <c r="E319" s="32"/>
      <c r="F319" s="32"/>
      <c r="G319" s="32"/>
      <c r="H319" s="32"/>
      <c r="I319" s="25"/>
    </row>
    <row r="320" spans="1:9" ht="21" x14ac:dyDescent="0.3">
      <c r="A320" s="31"/>
      <c r="B320" s="32"/>
      <c r="C320" s="32"/>
      <c r="D320" s="32"/>
      <c r="E320" s="32"/>
      <c r="F320" s="32"/>
      <c r="G320" s="32"/>
      <c r="H320" s="32"/>
      <c r="I320" s="25"/>
    </row>
    <row r="321" spans="1:9" ht="21" x14ac:dyDescent="0.3">
      <c r="A321" s="31"/>
      <c r="B321" s="32"/>
      <c r="C321" s="32"/>
      <c r="D321" s="32"/>
      <c r="E321" s="32"/>
      <c r="F321" s="32"/>
      <c r="G321" s="32"/>
      <c r="H321" s="32"/>
      <c r="I321" s="25"/>
    </row>
    <row r="322" spans="1:9" ht="21" x14ac:dyDescent="0.3">
      <c r="A322" s="124" t="s">
        <v>86</v>
      </c>
      <c r="B322" s="125"/>
      <c r="C322" s="125"/>
      <c r="D322" s="125"/>
      <c r="E322" s="125"/>
      <c r="F322" s="125"/>
      <c r="G322" s="125"/>
      <c r="H322" s="125"/>
      <c r="I322" s="126"/>
    </row>
    <row r="323" spans="1:9" ht="21" x14ac:dyDescent="0.3">
      <c r="A323" s="29"/>
      <c r="B323" s="30"/>
      <c r="C323" s="30"/>
      <c r="D323" s="30"/>
      <c r="E323" s="30"/>
      <c r="F323" s="30"/>
      <c r="G323" s="30"/>
      <c r="H323" s="30"/>
      <c r="I323" s="24"/>
    </row>
    <row r="324" spans="1:9" ht="21" x14ac:dyDescent="0.3">
      <c r="A324" s="31"/>
      <c r="B324" s="32"/>
      <c r="C324" s="32"/>
      <c r="D324" s="32"/>
      <c r="E324" s="32"/>
      <c r="F324" s="32"/>
      <c r="G324" s="32"/>
      <c r="H324" s="32"/>
      <c r="I324" s="25"/>
    </row>
    <row r="325" spans="1:9" ht="21" x14ac:dyDescent="0.3">
      <c r="A325" s="31"/>
      <c r="B325" s="32"/>
      <c r="C325" s="32"/>
      <c r="D325" s="32"/>
      <c r="E325" s="32"/>
      <c r="F325" s="32"/>
      <c r="G325" s="32"/>
      <c r="H325" s="32"/>
      <c r="I325" s="25"/>
    </row>
    <row r="326" spans="1:9" ht="21" x14ac:dyDescent="0.3">
      <c r="A326" s="31"/>
      <c r="B326" s="32"/>
      <c r="C326" s="32"/>
      <c r="D326" s="32"/>
      <c r="E326" s="32"/>
      <c r="F326" s="32"/>
      <c r="G326" s="32"/>
      <c r="H326" s="32"/>
      <c r="I326" s="25"/>
    </row>
    <row r="327" spans="1:9" ht="21" x14ac:dyDescent="0.3">
      <c r="A327" s="31"/>
      <c r="B327" s="32"/>
      <c r="C327" s="32"/>
      <c r="D327" s="32"/>
      <c r="E327" s="32"/>
      <c r="F327" s="32"/>
      <c r="G327" s="32"/>
      <c r="H327" s="32"/>
      <c r="I327" s="25"/>
    </row>
    <row r="328" spans="1:9" ht="21" x14ac:dyDescent="0.3">
      <c r="A328" s="31"/>
      <c r="B328" s="32"/>
      <c r="C328" s="32"/>
      <c r="D328" s="32"/>
      <c r="E328" s="32"/>
      <c r="F328" s="32"/>
      <c r="G328" s="32"/>
      <c r="H328" s="32"/>
      <c r="I328" s="25"/>
    </row>
    <row r="329" spans="1:9" ht="21" x14ac:dyDescent="0.3">
      <c r="A329" s="31"/>
      <c r="B329" s="32"/>
      <c r="C329" s="32"/>
      <c r="D329" s="32"/>
      <c r="E329" s="32"/>
      <c r="F329" s="32"/>
      <c r="G329" s="32"/>
      <c r="H329" s="32"/>
      <c r="I329" s="25"/>
    </row>
    <row r="330" spans="1:9" ht="21" x14ac:dyDescent="0.3">
      <c r="A330" s="31"/>
      <c r="B330" s="32"/>
      <c r="C330" s="32"/>
      <c r="D330" s="32"/>
      <c r="E330" s="32"/>
      <c r="F330" s="32"/>
      <c r="G330" s="32"/>
      <c r="H330" s="32"/>
      <c r="I330" s="25"/>
    </row>
    <row r="331" spans="1:9" ht="21" x14ac:dyDescent="0.3">
      <c r="A331" s="31"/>
      <c r="B331" s="32"/>
      <c r="C331" s="32"/>
      <c r="D331" s="32"/>
      <c r="E331" s="32"/>
      <c r="F331" s="32"/>
      <c r="G331" s="32"/>
      <c r="H331" s="32"/>
      <c r="I331" s="25"/>
    </row>
    <row r="332" spans="1:9" ht="21" x14ac:dyDescent="0.3">
      <c r="A332" s="31"/>
      <c r="B332" s="32"/>
      <c r="C332" s="32"/>
      <c r="D332" s="32"/>
      <c r="E332" s="32"/>
      <c r="F332" s="32"/>
      <c r="G332" s="32"/>
      <c r="H332" s="32"/>
      <c r="I332" s="25"/>
    </row>
    <row r="333" spans="1:9" ht="21" x14ac:dyDescent="0.3">
      <c r="A333" s="31"/>
      <c r="B333" s="32"/>
      <c r="C333" s="32"/>
      <c r="D333" s="32"/>
      <c r="E333" s="32"/>
      <c r="F333" s="32"/>
      <c r="G333" s="32"/>
      <c r="H333" s="32"/>
      <c r="I333" s="25"/>
    </row>
    <row r="334" spans="1:9" ht="21" x14ac:dyDescent="0.3">
      <c r="A334" s="31"/>
      <c r="B334" s="32"/>
      <c r="C334" s="32"/>
      <c r="D334" s="32"/>
      <c r="E334" s="32"/>
      <c r="F334" s="32"/>
      <c r="G334" s="32"/>
      <c r="H334" s="32"/>
      <c r="I334" s="25"/>
    </row>
    <row r="335" spans="1:9" ht="21" x14ac:dyDescent="0.3">
      <c r="A335" s="31"/>
      <c r="B335" s="32"/>
      <c r="C335" s="32"/>
      <c r="D335" s="32"/>
      <c r="E335" s="32"/>
      <c r="F335" s="32"/>
      <c r="G335" s="32"/>
      <c r="H335" s="32"/>
      <c r="I335" s="25"/>
    </row>
    <row r="336" spans="1:9" ht="21" x14ac:dyDescent="0.3">
      <c r="A336" s="31"/>
      <c r="B336" s="32"/>
      <c r="C336" s="32"/>
      <c r="D336" s="32"/>
      <c r="E336" s="32"/>
      <c r="F336" s="32"/>
      <c r="G336" s="32"/>
      <c r="H336" s="32"/>
      <c r="I336" s="25"/>
    </row>
    <row r="337" spans="1:9" ht="21" x14ac:dyDescent="0.3">
      <c r="A337" s="31"/>
      <c r="B337" s="32"/>
      <c r="C337" s="32"/>
      <c r="D337" s="32"/>
      <c r="E337" s="32"/>
      <c r="F337" s="32"/>
      <c r="G337" s="32"/>
      <c r="H337" s="32"/>
      <c r="I337" s="25"/>
    </row>
    <row r="338" spans="1:9" ht="21" x14ac:dyDescent="0.3">
      <c r="A338" s="31"/>
      <c r="B338" s="32"/>
      <c r="C338" s="32"/>
      <c r="D338" s="32"/>
      <c r="E338" s="32"/>
      <c r="F338" s="32"/>
      <c r="G338" s="32"/>
      <c r="H338" s="32"/>
      <c r="I338" s="25"/>
    </row>
    <row r="339" spans="1:9" ht="21" x14ac:dyDescent="0.3">
      <c r="A339" s="31"/>
      <c r="B339" s="32"/>
      <c r="C339" s="32"/>
      <c r="D339" s="32"/>
      <c r="E339" s="32"/>
      <c r="F339" s="32"/>
      <c r="G339" s="32"/>
      <c r="H339" s="32"/>
      <c r="I339" s="25"/>
    </row>
    <row r="340" spans="1:9" ht="21" x14ac:dyDescent="0.3">
      <c r="A340" s="31"/>
      <c r="B340" s="32"/>
      <c r="C340" s="32"/>
      <c r="D340" s="32"/>
      <c r="E340" s="32"/>
      <c r="F340" s="32"/>
      <c r="G340" s="32"/>
      <c r="H340" s="32"/>
      <c r="I340" s="25"/>
    </row>
    <row r="341" spans="1:9" ht="21" x14ac:dyDescent="0.3">
      <c r="A341" s="31"/>
      <c r="B341" s="32"/>
      <c r="C341" s="32"/>
      <c r="D341" s="32"/>
      <c r="E341" s="32"/>
      <c r="F341" s="32"/>
      <c r="G341" s="32"/>
      <c r="H341" s="32"/>
      <c r="I341" s="25"/>
    </row>
    <row r="342" spans="1:9" ht="21" x14ac:dyDescent="0.3">
      <c r="A342" s="31"/>
      <c r="B342" s="32"/>
      <c r="C342" s="32"/>
      <c r="D342" s="32"/>
      <c r="E342" s="32"/>
      <c r="F342" s="32"/>
      <c r="G342" s="32"/>
      <c r="H342" s="32"/>
      <c r="I342" s="25"/>
    </row>
    <row r="343" spans="1:9" ht="21" x14ac:dyDescent="0.3">
      <c r="A343" s="31"/>
      <c r="B343" s="32"/>
      <c r="C343" s="32"/>
      <c r="D343" s="32"/>
      <c r="E343" s="32"/>
      <c r="F343" s="32"/>
      <c r="G343" s="32"/>
      <c r="H343" s="32"/>
      <c r="I343" s="25"/>
    </row>
    <row r="344" spans="1:9" ht="21" x14ac:dyDescent="0.3">
      <c r="A344" s="31"/>
      <c r="B344" s="32"/>
      <c r="C344" s="32"/>
      <c r="D344" s="32"/>
      <c r="E344" s="32"/>
      <c r="F344" s="32"/>
      <c r="G344" s="32"/>
      <c r="H344" s="32"/>
      <c r="I344" s="25"/>
    </row>
    <row r="345" spans="1:9" ht="21" x14ac:dyDescent="0.3">
      <c r="A345" s="31"/>
      <c r="B345" s="32"/>
      <c r="C345" s="32"/>
      <c r="D345" s="32"/>
      <c r="E345" s="32"/>
      <c r="F345" s="32"/>
      <c r="G345" s="32"/>
      <c r="H345" s="32"/>
      <c r="I345" s="25"/>
    </row>
    <row r="346" spans="1:9" ht="21" x14ac:dyDescent="0.3">
      <c r="A346" s="31"/>
      <c r="B346" s="32"/>
      <c r="C346" s="32"/>
      <c r="D346" s="32"/>
      <c r="E346" s="32"/>
      <c r="F346" s="32"/>
      <c r="G346" s="32"/>
      <c r="H346" s="32"/>
      <c r="I346" s="25"/>
    </row>
    <row r="347" spans="1:9" ht="21" x14ac:dyDescent="0.3">
      <c r="A347" s="31"/>
      <c r="B347" s="32"/>
      <c r="C347" s="32"/>
      <c r="D347" s="32"/>
      <c r="E347" s="32"/>
      <c r="F347" s="32"/>
      <c r="G347" s="32"/>
      <c r="H347" s="32"/>
      <c r="I347" s="25"/>
    </row>
    <row r="348" spans="1:9" ht="21" x14ac:dyDescent="0.3">
      <c r="A348" s="31"/>
      <c r="B348" s="32"/>
      <c r="C348" s="32"/>
      <c r="D348" s="32"/>
      <c r="E348" s="32"/>
      <c r="F348" s="32"/>
      <c r="G348" s="32"/>
      <c r="H348" s="32"/>
      <c r="I348" s="25"/>
    </row>
    <row r="349" spans="1:9" ht="21" x14ac:dyDescent="0.3">
      <c r="A349" s="31"/>
      <c r="B349" s="32"/>
      <c r="C349" s="32"/>
      <c r="D349" s="32"/>
      <c r="E349" s="32"/>
      <c r="F349" s="32"/>
      <c r="G349" s="32"/>
      <c r="H349" s="32"/>
      <c r="I349" s="25"/>
    </row>
    <row r="350" spans="1:9" ht="21" x14ac:dyDescent="0.3">
      <c r="A350" s="31"/>
      <c r="B350" s="32"/>
      <c r="C350" s="32"/>
      <c r="D350" s="32"/>
      <c r="E350" s="32"/>
      <c r="F350" s="32"/>
      <c r="G350" s="32"/>
      <c r="H350" s="32"/>
      <c r="I350" s="25"/>
    </row>
    <row r="351" spans="1:9" ht="21" x14ac:dyDescent="0.3">
      <c r="A351" s="31"/>
      <c r="B351" s="32"/>
      <c r="C351" s="32"/>
      <c r="D351" s="32"/>
      <c r="E351" s="32"/>
      <c r="F351" s="32"/>
      <c r="G351" s="32"/>
      <c r="H351" s="32"/>
      <c r="I351" s="25"/>
    </row>
    <row r="352" spans="1:9" ht="21" x14ac:dyDescent="0.3">
      <c r="A352" s="31"/>
      <c r="B352" s="32"/>
      <c r="C352" s="32"/>
      <c r="D352" s="32"/>
      <c r="E352" s="32"/>
      <c r="F352" s="32"/>
      <c r="G352" s="32"/>
      <c r="H352" s="32"/>
      <c r="I352" s="25"/>
    </row>
    <row r="353" spans="1:9" ht="21" x14ac:dyDescent="0.3">
      <c r="A353" s="31"/>
      <c r="B353" s="32"/>
      <c r="C353" s="32"/>
      <c r="D353" s="32"/>
      <c r="E353" s="32"/>
      <c r="F353" s="32"/>
      <c r="G353" s="32"/>
      <c r="H353" s="32"/>
      <c r="I353" s="25"/>
    </row>
    <row r="354" spans="1:9" ht="21" x14ac:dyDescent="0.3">
      <c r="A354" s="31"/>
      <c r="B354" s="32"/>
      <c r="C354" s="32"/>
      <c r="D354" s="32"/>
      <c r="E354" s="32"/>
      <c r="F354" s="32"/>
      <c r="G354" s="32"/>
      <c r="H354" s="32"/>
      <c r="I354" s="25"/>
    </row>
    <row r="355" spans="1:9" ht="21" hidden="1" x14ac:dyDescent="0.3">
      <c r="A355" s="31"/>
      <c r="B355" s="32"/>
      <c r="C355" s="32"/>
      <c r="D355" s="32"/>
      <c r="E355" s="32"/>
      <c r="F355" s="32"/>
      <c r="G355" s="32"/>
      <c r="H355" s="32"/>
      <c r="I355" s="25"/>
    </row>
    <row r="356" spans="1:9" ht="21" hidden="1" x14ac:dyDescent="0.3">
      <c r="A356" s="31"/>
      <c r="B356" s="32"/>
      <c r="C356" s="32"/>
      <c r="D356" s="32"/>
      <c r="E356" s="32"/>
      <c r="F356" s="32"/>
      <c r="G356" s="32"/>
      <c r="H356" s="32"/>
      <c r="I356" s="25"/>
    </row>
    <row r="357" spans="1:9" ht="21" hidden="1" x14ac:dyDescent="0.3">
      <c r="A357" s="31"/>
      <c r="B357" s="32"/>
      <c r="C357" s="32"/>
      <c r="D357" s="32"/>
      <c r="E357" s="32"/>
      <c r="F357" s="32"/>
      <c r="G357" s="32"/>
      <c r="H357" s="32"/>
      <c r="I357" s="25"/>
    </row>
    <row r="358" spans="1:9" ht="21" hidden="1" x14ac:dyDescent="0.3">
      <c r="A358" s="31"/>
      <c r="B358" s="32"/>
      <c r="C358" s="32"/>
      <c r="D358" s="32"/>
      <c r="E358" s="32"/>
      <c r="F358" s="32"/>
      <c r="G358" s="32"/>
      <c r="H358" s="32"/>
      <c r="I358" s="25"/>
    </row>
    <row r="359" spans="1:9" ht="21" x14ac:dyDescent="0.3">
      <c r="A359" s="77" t="s">
        <v>29</v>
      </c>
      <c r="B359" s="77"/>
      <c r="C359" s="77"/>
      <c r="D359" s="77"/>
      <c r="E359" s="77"/>
      <c r="F359" s="77"/>
      <c r="G359" s="77"/>
      <c r="H359" s="77"/>
      <c r="I359" s="77"/>
    </row>
    <row r="360" spans="1:9" ht="21" x14ac:dyDescent="0.3">
      <c r="A360" s="114" t="s">
        <v>88</v>
      </c>
      <c r="B360" s="115"/>
      <c r="C360" s="115"/>
      <c r="D360" s="115"/>
      <c r="E360" s="115"/>
      <c r="F360" s="115"/>
      <c r="G360" s="115"/>
      <c r="H360" s="115"/>
      <c r="I360" s="116"/>
    </row>
    <row r="361" spans="1:9" ht="21" x14ac:dyDescent="0.3">
      <c r="A361" s="117" t="s">
        <v>89</v>
      </c>
      <c r="B361" s="118"/>
      <c r="C361" s="118"/>
      <c r="D361" s="118"/>
      <c r="E361" s="118"/>
      <c r="F361" s="118"/>
      <c r="G361" s="118"/>
      <c r="H361" s="118"/>
      <c r="I361" s="119"/>
    </row>
    <row r="362" spans="1:9" ht="45" customHeight="1" x14ac:dyDescent="0.3">
      <c r="A362" s="117" t="s">
        <v>90</v>
      </c>
      <c r="B362" s="118"/>
      <c r="C362" s="118"/>
      <c r="D362" s="118"/>
      <c r="E362" s="118"/>
      <c r="F362" s="118"/>
      <c r="G362" s="118"/>
      <c r="H362" s="118"/>
      <c r="I362" s="119"/>
    </row>
    <row r="363" spans="1:9" ht="42.75" customHeight="1" x14ac:dyDescent="0.3">
      <c r="A363" s="117" t="s">
        <v>91</v>
      </c>
      <c r="B363" s="118"/>
      <c r="C363" s="118"/>
      <c r="D363" s="118"/>
      <c r="E363" s="118"/>
      <c r="F363" s="118"/>
      <c r="G363" s="118"/>
      <c r="H363" s="118"/>
      <c r="I363" s="119"/>
    </row>
    <row r="364" spans="1:9" ht="21" x14ac:dyDescent="0.3">
      <c r="A364" s="117" t="s">
        <v>92</v>
      </c>
      <c r="B364" s="118"/>
      <c r="C364" s="118"/>
      <c r="D364" s="118"/>
      <c r="E364" s="118"/>
      <c r="F364" s="118"/>
      <c r="G364" s="118"/>
      <c r="H364" s="118"/>
      <c r="I364" s="119"/>
    </row>
    <row r="365" spans="1:9" ht="21" hidden="1" x14ac:dyDescent="0.3">
      <c r="A365" s="117" t="s">
        <v>93</v>
      </c>
      <c r="B365" s="118"/>
      <c r="C365" s="118"/>
      <c r="D365" s="118"/>
      <c r="E365" s="118"/>
      <c r="F365" s="118"/>
      <c r="G365" s="118"/>
      <c r="H365" s="118"/>
      <c r="I365" s="119"/>
    </row>
    <row r="366" spans="1:9" ht="45" customHeight="1" x14ac:dyDescent="0.3">
      <c r="A366" s="117" t="s">
        <v>94</v>
      </c>
      <c r="B366" s="118"/>
      <c r="C366" s="118"/>
      <c r="D366" s="118"/>
      <c r="E366" s="118"/>
      <c r="F366" s="118"/>
      <c r="G366" s="118"/>
      <c r="H366" s="118"/>
      <c r="I366" s="119"/>
    </row>
    <row r="367" spans="1:9" ht="45" customHeight="1" x14ac:dyDescent="0.3">
      <c r="A367" s="117" t="s">
        <v>95</v>
      </c>
      <c r="B367" s="118"/>
      <c r="C367" s="118"/>
      <c r="D367" s="118"/>
      <c r="E367" s="118"/>
      <c r="F367" s="118"/>
      <c r="G367" s="118"/>
      <c r="H367" s="118"/>
      <c r="I367" s="119"/>
    </row>
    <row r="368" spans="1:9" ht="21" hidden="1" x14ac:dyDescent="0.3">
      <c r="A368" s="120" t="s">
        <v>96</v>
      </c>
      <c r="B368" s="121"/>
      <c r="C368" s="121"/>
      <c r="D368" s="121"/>
      <c r="E368" s="121"/>
      <c r="F368" s="121"/>
      <c r="G368" s="121"/>
      <c r="H368" s="121"/>
      <c r="I368" s="122"/>
    </row>
    <row r="369" spans="1:9" ht="70.5" customHeight="1" x14ac:dyDescent="0.3">
      <c r="A369" s="111" t="s">
        <v>35</v>
      </c>
      <c r="B369" s="111"/>
      <c r="C369" s="111"/>
      <c r="D369" s="2" t="s">
        <v>4</v>
      </c>
      <c r="E369" s="21" t="s">
        <v>253</v>
      </c>
      <c r="F369" s="12" t="s">
        <v>10</v>
      </c>
      <c r="G369" s="2" t="s">
        <v>4</v>
      </c>
      <c r="H369" s="112"/>
      <c r="I369" s="112"/>
    </row>
  </sheetData>
  <mergeCells count="445">
    <mergeCell ref="A120:B120"/>
    <mergeCell ref="C120:D120"/>
    <mergeCell ref="A116:B116"/>
    <mergeCell ref="C191:D191"/>
    <mergeCell ref="F191:G191"/>
    <mergeCell ref="C192:D192"/>
    <mergeCell ref="A186:I186"/>
    <mergeCell ref="C187:D187"/>
    <mergeCell ref="F187:G187"/>
    <mergeCell ref="C188:D188"/>
    <mergeCell ref="F188:G188"/>
    <mergeCell ref="C189:D189"/>
    <mergeCell ref="F189:G189"/>
    <mergeCell ref="A187:B196"/>
    <mergeCell ref="C196:D196"/>
    <mergeCell ref="F196:G196"/>
    <mergeCell ref="E192:I192"/>
    <mergeCell ref="C193:D193"/>
    <mergeCell ref="F193:G193"/>
    <mergeCell ref="C194:D194"/>
    <mergeCell ref="F194:G194"/>
    <mergeCell ref="C195:D195"/>
    <mergeCell ref="F195:G195"/>
    <mergeCell ref="A117:B117"/>
    <mergeCell ref="C16:E16"/>
    <mergeCell ref="C17:E17"/>
    <mergeCell ref="C18:E18"/>
    <mergeCell ref="C19:E19"/>
    <mergeCell ref="C20:E20"/>
    <mergeCell ref="C21:E21"/>
    <mergeCell ref="C22:E22"/>
    <mergeCell ref="C190:D190"/>
    <mergeCell ref="F190:G190"/>
    <mergeCell ref="C88:D88"/>
    <mergeCell ref="A84:I84"/>
    <mergeCell ref="A85:C86"/>
    <mergeCell ref="D85:D86"/>
    <mergeCell ref="F85:G85"/>
    <mergeCell ref="F86:G86"/>
    <mergeCell ref="A87:B87"/>
    <mergeCell ref="C87:D87"/>
    <mergeCell ref="F87:G87"/>
    <mergeCell ref="A88:B88"/>
    <mergeCell ref="F88:G99"/>
    <mergeCell ref="H88:I99"/>
    <mergeCell ref="A89:B89"/>
    <mergeCell ref="C89:D89"/>
    <mergeCell ref="A90:B90"/>
    <mergeCell ref="C29:E29"/>
    <mergeCell ref="C30:E30"/>
    <mergeCell ref="C31:E31"/>
    <mergeCell ref="C32:I32"/>
    <mergeCell ref="F116:G116"/>
    <mergeCell ref="F117:G117"/>
    <mergeCell ref="F118:G118"/>
    <mergeCell ref="F120:G120"/>
    <mergeCell ref="C116:D116"/>
    <mergeCell ref="H100:I100"/>
    <mergeCell ref="C117:D117"/>
    <mergeCell ref="C66:D66"/>
    <mergeCell ref="A118:B118"/>
    <mergeCell ref="E43:G43"/>
    <mergeCell ref="E45:G45"/>
    <mergeCell ref="C43:D43"/>
    <mergeCell ref="C44:D44"/>
    <mergeCell ref="C45:D45"/>
    <mergeCell ref="C48:E48"/>
    <mergeCell ref="C49:E49"/>
    <mergeCell ref="A100:G100"/>
    <mergeCell ref="C51:E51"/>
    <mergeCell ref="A43:B43"/>
    <mergeCell ref="A44:B44"/>
    <mergeCell ref="A45:B45"/>
    <mergeCell ref="E44:G44"/>
    <mergeCell ref="A68:I68"/>
    <mergeCell ref="A69:C70"/>
    <mergeCell ref="D69:D70"/>
    <mergeCell ref="F69:G69"/>
    <mergeCell ref="F70:G70"/>
    <mergeCell ref="A71:B71"/>
    <mergeCell ref="C71:D71"/>
    <mergeCell ref="F71:G71"/>
    <mergeCell ref="A67:B67"/>
    <mergeCell ref="C67:D67"/>
    <mergeCell ref="C213:I213"/>
    <mergeCell ref="A212:I212"/>
    <mergeCell ref="A101:I101"/>
    <mergeCell ref="A102:C102"/>
    <mergeCell ref="H102:I102"/>
    <mergeCell ref="A107:C107"/>
    <mergeCell ref="H107:I107"/>
    <mergeCell ref="A108:C108"/>
    <mergeCell ref="H108:I108"/>
    <mergeCell ref="A109:C109"/>
    <mergeCell ref="H109:I109"/>
    <mergeCell ref="A110:C110"/>
    <mergeCell ref="H110:I110"/>
    <mergeCell ref="A103:C103"/>
    <mergeCell ref="H103:I103"/>
    <mergeCell ref="A105:C105"/>
    <mergeCell ref="H105:I105"/>
    <mergeCell ref="A106:C106"/>
    <mergeCell ref="C118:D118"/>
    <mergeCell ref="A159:I159"/>
    <mergeCell ref="A160:B165"/>
    <mergeCell ref="C135:D135"/>
    <mergeCell ref="A130:B135"/>
    <mergeCell ref="C140:D140"/>
    <mergeCell ref="F140:G140"/>
    <mergeCell ref="C141:D141"/>
    <mergeCell ref="F143:G143"/>
    <mergeCell ref="C144:D144"/>
    <mergeCell ref="C132:D132"/>
    <mergeCell ref="F135:G135"/>
    <mergeCell ref="A136:I136"/>
    <mergeCell ref="C139:D139"/>
    <mergeCell ref="F139:G139"/>
    <mergeCell ref="F144:G144"/>
    <mergeCell ref="F132:G132"/>
    <mergeCell ref="C133:D133"/>
    <mergeCell ref="F133:G133"/>
    <mergeCell ref="C134:D134"/>
    <mergeCell ref="F134:G134"/>
    <mergeCell ref="C138:D138"/>
    <mergeCell ref="F138:G138"/>
    <mergeCell ref="C137:D137"/>
    <mergeCell ref="F137:G137"/>
    <mergeCell ref="A137:B144"/>
    <mergeCell ref="F153:G153"/>
    <mergeCell ref="C154:D154"/>
    <mergeCell ref="A173:I173"/>
    <mergeCell ref="C149:D149"/>
    <mergeCell ref="F149:G149"/>
    <mergeCell ref="C150:D150"/>
    <mergeCell ref="F150:G150"/>
    <mergeCell ref="A145:I145"/>
    <mergeCell ref="C160:D160"/>
    <mergeCell ref="F160:G160"/>
    <mergeCell ref="F163:G163"/>
    <mergeCell ref="C155:D155"/>
    <mergeCell ref="A146:B151"/>
    <mergeCell ref="A153:B158"/>
    <mergeCell ref="F158:G158"/>
    <mergeCell ref="E155:I155"/>
    <mergeCell ref="F148:G148"/>
    <mergeCell ref="C146:D146"/>
    <mergeCell ref="F146:G146"/>
    <mergeCell ref="C147:D147"/>
    <mergeCell ref="F147:G147"/>
    <mergeCell ref="C148:D148"/>
    <mergeCell ref="C172:D172"/>
    <mergeCell ref="F172:G172"/>
    <mergeCell ref="C24:I24"/>
    <mergeCell ref="A152:I152"/>
    <mergeCell ref="C153:D153"/>
    <mergeCell ref="A46:B46"/>
    <mergeCell ref="C130:D130"/>
    <mergeCell ref="F130:G130"/>
    <mergeCell ref="H125:H126"/>
    <mergeCell ref="F125:G126"/>
    <mergeCell ref="E125:E126"/>
    <mergeCell ref="C125:D126"/>
    <mergeCell ref="A125:B126"/>
    <mergeCell ref="C46:D46"/>
    <mergeCell ref="E46:G46"/>
    <mergeCell ref="F122:G122"/>
    <mergeCell ref="A123:B123"/>
    <mergeCell ref="C123:D123"/>
    <mergeCell ref="F123:G123"/>
    <mergeCell ref="H104:I104"/>
    <mergeCell ref="A114:F114"/>
    <mergeCell ref="H114:I114"/>
    <mergeCell ref="A113:F113"/>
    <mergeCell ref="A111:I111"/>
    <mergeCell ref="A104:C104"/>
    <mergeCell ref="A128:I128"/>
    <mergeCell ref="A1:I1"/>
    <mergeCell ref="A4:C4"/>
    <mergeCell ref="A2:C2"/>
    <mergeCell ref="E2:F2"/>
    <mergeCell ref="E4:F4"/>
    <mergeCell ref="E12:I12"/>
    <mergeCell ref="A6:C6"/>
    <mergeCell ref="A7:C7"/>
    <mergeCell ref="A8:C8"/>
    <mergeCell ref="E8:I8"/>
    <mergeCell ref="H7:I7"/>
    <mergeCell ref="E9:I9"/>
    <mergeCell ref="G2:H2"/>
    <mergeCell ref="G3:H3"/>
    <mergeCell ref="G4:H4"/>
    <mergeCell ref="A3:C3"/>
    <mergeCell ref="E3:F3"/>
    <mergeCell ref="A9:A11"/>
    <mergeCell ref="E10:I10"/>
    <mergeCell ref="E11:I11"/>
    <mergeCell ref="H6:I6"/>
    <mergeCell ref="A5:I5"/>
    <mergeCell ref="A12:C12"/>
    <mergeCell ref="F185:G185"/>
    <mergeCell ref="C182:D182"/>
    <mergeCell ref="F182:G182"/>
    <mergeCell ref="C14:E14"/>
    <mergeCell ref="C15:E15"/>
    <mergeCell ref="A33:I33"/>
    <mergeCell ref="H30:I30"/>
    <mergeCell ref="H29:I29"/>
    <mergeCell ref="A13:I13"/>
    <mergeCell ref="C26:E26"/>
    <mergeCell ref="C27:E27"/>
    <mergeCell ref="H14:I14"/>
    <mergeCell ref="H16:I16"/>
    <mergeCell ref="H17:I17"/>
    <mergeCell ref="H15:I15"/>
    <mergeCell ref="A124:I124"/>
    <mergeCell ref="C50:E50"/>
    <mergeCell ref="H45:I45"/>
    <mergeCell ref="H43:I43"/>
    <mergeCell ref="A25:I25"/>
    <mergeCell ref="H26:I26"/>
    <mergeCell ref="G40:H40"/>
    <mergeCell ref="H20:I20"/>
    <mergeCell ref="H21:I21"/>
    <mergeCell ref="H27:I27"/>
    <mergeCell ref="H28:I28"/>
    <mergeCell ref="A37:I37"/>
    <mergeCell ref="H48:I48"/>
    <mergeCell ref="H50:I50"/>
    <mergeCell ref="A42:I42"/>
    <mergeCell ref="A47:I47"/>
    <mergeCell ref="A115:I115"/>
    <mergeCell ref="H113:I113"/>
    <mergeCell ref="A41:C41"/>
    <mergeCell ref="H41:I41"/>
    <mergeCell ref="A34:C34"/>
    <mergeCell ref="H34:I34"/>
    <mergeCell ref="H112:I112"/>
    <mergeCell ref="G38:H38"/>
    <mergeCell ref="A39:C39"/>
    <mergeCell ref="A35:C35"/>
    <mergeCell ref="A40:C40"/>
    <mergeCell ref="A38:C38"/>
    <mergeCell ref="H35:I35"/>
    <mergeCell ref="H36:I36"/>
    <mergeCell ref="A36:C36"/>
    <mergeCell ref="H106:I106"/>
    <mergeCell ref="C28:E28"/>
    <mergeCell ref="A369:C369"/>
    <mergeCell ref="H369:I369"/>
    <mergeCell ref="A214:I214"/>
    <mergeCell ref="E216:I216"/>
    <mergeCell ref="A360:I360"/>
    <mergeCell ref="A366:I366"/>
    <mergeCell ref="A367:I367"/>
    <mergeCell ref="A368:I368"/>
    <mergeCell ref="A361:I361"/>
    <mergeCell ref="A362:I362"/>
    <mergeCell ref="A363:I363"/>
    <mergeCell ref="A364:I364"/>
    <mergeCell ref="A216:C216"/>
    <mergeCell ref="A359:I359"/>
    <mergeCell ref="A365:I365"/>
    <mergeCell ref="A322:I322"/>
    <mergeCell ref="E215:I215"/>
    <mergeCell ref="A217:C217"/>
    <mergeCell ref="E217:I217"/>
    <mergeCell ref="A272:I272"/>
    <mergeCell ref="A215:C215"/>
    <mergeCell ref="C185:D185"/>
    <mergeCell ref="F180:G180"/>
    <mergeCell ref="F179:G179"/>
    <mergeCell ref="H18:I18"/>
    <mergeCell ref="H19:I19"/>
    <mergeCell ref="H44:I44"/>
    <mergeCell ref="H31:I31"/>
    <mergeCell ref="H22:I22"/>
    <mergeCell ref="G39:H39"/>
    <mergeCell ref="A112:F112"/>
    <mergeCell ref="H51:I51"/>
    <mergeCell ref="H49:I49"/>
    <mergeCell ref="C23:I23"/>
    <mergeCell ref="H46:I46"/>
    <mergeCell ref="C61:D61"/>
    <mergeCell ref="A62:B62"/>
    <mergeCell ref="C62:D62"/>
    <mergeCell ref="A63:B63"/>
    <mergeCell ref="C63:D63"/>
    <mergeCell ref="A64:B64"/>
    <mergeCell ref="C64:D64"/>
    <mergeCell ref="A65:B65"/>
    <mergeCell ref="C65:D65"/>
    <mergeCell ref="A66:B66"/>
    <mergeCell ref="A201:B205"/>
    <mergeCell ref="C157:D157"/>
    <mergeCell ref="F157:G157"/>
    <mergeCell ref="C161:D161"/>
    <mergeCell ref="F161:G161"/>
    <mergeCell ref="F204:G204"/>
    <mergeCell ref="C205:D205"/>
    <mergeCell ref="F205:G205"/>
    <mergeCell ref="C202:D202"/>
    <mergeCell ref="F202:G202"/>
    <mergeCell ref="C203:D203"/>
    <mergeCell ref="F203:G203"/>
    <mergeCell ref="C204:D204"/>
    <mergeCell ref="A197:I197"/>
    <mergeCell ref="A198:I198"/>
    <mergeCell ref="A199:I199"/>
    <mergeCell ref="A200:I200"/>
    <mergeCell ref="C201:D201"/>
    <mergeCell ref="F201:G201"/>
    <mergeCell ref="C176:D176"/>
    <mergeCell ref="F176:G176"/>
    <mergeCell ref="C177:D177"/>
    <mergeCell ref="F177:G177"/>
    <mergeCell ref="C178:D178"/>
    <mergeCell ref="C151:D151"/>
    <mergeCell ref="F151:G151"/>
    <mergeCell ref="C158:D158"/>
    <mergeCell ref="C156:D156"/>
    <mergeCell ref="C170:D170"/>
    <mergeCell ref="F170:G170"/>
    <mergeCell ref="A167:B172"/>
    <mergeCell ref="A175:I175"/>
    <mergeCell ref="A176:B185"/>
    <mergeCell ref="A174:I174"/>
    <mergeCell ref="C162:D162"/>
    <mergeCell ref="F162:G162"/>
    <mergeCell ref="C163:D163"/>
    <mergeCell ref="E169:I169"/>
    <mergeCell ref="F154:G154"/>
    <mergeCell ref="C183:D183"/>
    <mergeCell ref="F183:G183"/>
    <mergeCell ref="C184:D184"/>
    <mergeCell ref="F184:G184"/>
    <mergeCell ref="F178:G178"/>
    <mergeCell ref="C179:D179"/>
    <mergeCell ref="C180:D180"/>
    <mergeCell ref="C181:D181"/>
    <mergeCell ref="F181:G181"/>
    <mergeCell ref="A121:I121"/>
    <mergeCell ref="A122:B122"/>
    <mergeCell ref="C122:D122"/>
    <mergeCell ref="C171:D171"/>
    <mergeCell ref="F171:G171"/>
    <mergeCell ref="C164:D164"/>
    <mergeCell ref="F164:G164"/>
    <mergeCell ref="C165:D165"/>
    <mergeCell ref="F165:G165"/>
    <mergeCell ref="A166:I166"/>
    <mergeCell ref="C167:D167"/>
    <mergeCell ref="F167:G167"/>
    <mergeCell ref="C168:D168"/>
    <mergeCell ref="F168:G168"/>
    <mergeCell ref="F156:G156"/>
    <mergeCell ref="C169:D169"/>
    <mergeCell ref="A129:I129"/>
    <mergeCell ref="F141:G141"/>
    <mergeCell ref="C142:D142"/>
    <mergeCell ref="F142:G142"/>
    <mergeCell ref="C143:D143"/>
    <mergeCell ref="C131:D131"/>
    <mergeCell ref="F131:G131"/>
    <mergeCell ref="A127:I127"/>
    <mergeCell ref="C211:D211"/>
    <mergeCell ref="F211:G211"/>
    <mergeCell ref="A206:I206"/>
    <mergeCell ref="C207:D207"/>
    <mergeCell ref="C208:D208"/>
    <mergeCell ref="F208:G208"/>
    <mergeCell ref="C209:D209"/>
    <mergeCell ref="F209:G209"/>
    <mergeCell ref="E207:I207"/>
    <mergeCell ref="C210:D210"/>
    <mergeCell ref="F210:G210"/>
    <mergeCell ref="A207:B211"/>
    <mergeCell ref="A119:B119"/>
    <mergeCell ref="C119:D119"/>
    <mergeCell ref="F119:G119"/>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A61:B6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C90:D90"/>
    <mergeCell ref="A91:B91"/>
    <mergeCell ref="C91:D91"/>
    <mergeCell ref="A92:B92"/>
    <mergeCell ref="C92:D92"/>
    <mergeCell ref="A93:B93"/>
    <mergeCell ref="C93:D93"/>
    <mergeCell ref="A99:B99"/>
    <mergeCell ref="C99:D99"/>
    <mergeCell ref="A94:B94"/>
    <mergeCell ref="C94:D94"/>
    <mergeCell ref="A95:B95"/>
    <mergeCell ref="C95:D95"/>
    <mergeCell ref="A96:B96"/>
    <mergeCell ref="C96:D96"/>
    <mergeCell ref="A97:B97"/>
    <mergeCell ref="C97:D97"/>
    <mergeCell ref="A98:B98"/>
    <mergeCell ref="C98:D98"/>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51" max="16383" man="1"/>
    <brk id="213" max="8" man="1"/>
    <brk id="271" max="8" man="1"/>
    <brk id="32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7"/>
  <sheetViews>
    <sheetView topLeftCell="A13" workbookViewId="0">
      <selection activeCell="D2" sqref="D2:I13"/>
    </sheetView>
  </sheetViews>
  <sheetFormatPr defaultRowHeight="14.4" x14ac:dyDescent="0.3"/>
  <cols>
    <col min="4" max="4" width="12.6640625" style="48" customWidth="1"/>
    <col min="10" max="10" width="26.6640625" customWidth="1"/>
    <col min="11" max="11" width="13.88671875" customWidth="1"/>
    <col min="15" max="15" width="15.44140625" customWidth="1"/>
    <col min="16" max="16" width="17" customWidth="1"/>
  </cols>
  <sheetData>
    <row r="1" spans="1:9" x14ac:dyDescent="0.3">
      <c r="A1" t="s">
        <v>226</v>
      </c>
      <c r="D1" s="49"/>
      <c r="E1" s="48"/>
    </row>
    <row r="2" spans="1:9" ht="21" x14ac:dyDescent="0.3">
      <c r="D2" s="167" t="s">
        <v>178</v>
      </c>
      <c r="E2" s="169"/>
      <c r="F2" s="169"/>
      <c r="G2" s="169"/>
      <c r="H2" s="169"/>
      <c r="I2" s="168"/>
    </row>
    <row r="3" spans="1:9" ht="21" x14ac:dyDescent="0.3">
      <c r="D3" s="50" t="s">
        <v>227</v>
      </c>
      <c r="E3" s="167" t="s">
        <v>228</v>
      </c>
      <c r="F3" s="168"/>
      <c r="I3" s="51"/>
    </row>
    <row r="4" spans="1:9" ht="21" x14ac:dyDescent="0.3">
      <c r="D4" s="50">
        <v>105</v>
      </c>
      <c r="E4" s="167">
        <f>69.31*10.764</f>
        <v>746.05283999999995</v>
      </c>
      <c r="F4" s="168"/>
      <c r="I4" s="51"/>
    </row>
    <row r="5" spans="1:9" ht="21" x14ac:dyDescent="0.3">
      <c r="D5" s="50">
        <v>106</v>
      </c>
      <c r="E5" s="167">
        <f>69.31*10.764</f>
        <v>746.05283999999995</v>
      </c>
      <c r="F5" s="168"/>
      <c r="I5" s="51"/>
    </row>
    <row r="6" spans="1:9" ht="45.75" customHeight="1" x14ac:dyDescent="0.3">
      <c r="D6" s="167" t="s">
        <v>214</v>
      </c>
      <c r="E6" s="169"/>
      <c r="F6" s="169"/>
      <c r="G6" s="169"/>
      <c r="H6" s="169"/>
      <c r="I6" s="168"/>
    </row>
    <row r="7" spans="1:9" ht="21" x14ac:dyDescent="0.3">
      <c r="D7" s="50">
        <v>1</v>
      </c>
      <c r="E7" s="167">
        <f>80.18*10.764</f>
        <v>863.05752000000007</v>
      </c>
      <c r="F7" s="168"/>
      <c r="I7" s="51"/>
    </row>
    <row r="8" spans="1:9" ht="21" x14ac:dyDescent="0.3">
      <c r="D8" s="50">
        <v>2</v>
      </c>
      <c r="E8" s="167">
        <f>69.31*10.764</f>
        <v>746.05283999999995</v>
      </c>
      <c r="F8" s="168"/>
      <c r="I8" s="51"/>
    </row>
    <row r="9" spans="1:9" ht="21" x14ac:dyDescent="0.3">
      <c r="D9" s="50">
        <v>3</v>
      </c>
      <c r="E9" s="167">
        <f>69.31*10.764</f>
        <v>746.05283999999995</v>
      </c>
      <c r="F9" s="168"/>
      <c r="I9" s="51"/>
    </row>
    <row r="10" spans="1:9" ht="21" x14ac:dyDescent="0.3">
      <c r="D10" s="50">
        <v>4</v>
      </c>
      <c r="E10" s="167">
        <f>80.18*10.764</f>
        <v>863.05752000000007</v>
      </c>
      <c r="F10" s="168"/>
      <c r="I10" s="51"/>
    </row>
    <row r="11" spans="1:9" ht="21" x14ac:dyDescent="0.3">
      <c r="D11" s="50">
        <v>5</v>
      </c>
      <c r="E11" s="167">
        <f>69.31*10.764</f>
        <v>746.05283999999995</v>
      </c>
      <c r="F11" s="168"/>
      <c r="I11" s="51"/>
    </row>
    <row r="12" spans="1:9" ht="21" x14ac:dyDescent="0.3">
      <c r="D12" s="50">
        <v>6</v>
      </c>
      <c r="E12" s="167">
        <f>69.31*10.764</f>
        <v>746.05283999999995</v>
      </c>
      <c r="F12" s="168"/>
      <c r="I12" s="51"/>
    </row>
    <row r="13" spans="1:9" ht="21" x14ac:dyDescent="0.3">
      <c r="D13" s="167" t="s">
        <v>223</v>
      </c>
      <c r="E13" s="169"/>
      <c r="F13" s="169"/>
      <c r="G13" s="169"/>
      <c r="H13" s="169"/>
      <c r="I13" s="168"/>
    </row>
    <row r="14" spans="1:9" ht="21" x14ac:dyDescent="0.3">
      <c r="D14" s="50">
        <v>1</v>
      </c>
      <c r="E14" s="167">
        <f>80.18*10.764</f>
        <v>863.05752000000007</v>
      </c>
      <c r="F14" s="168"/>
      <c r="I14" s="51"/>
    </row>
    <row r="15" spans="1:9" ht="21" x14ac:dyDescent="0.3">
      <c r="D15" s="50">
        <v>2</v>
      </c>
      <c r="E15" s="167">
        <f>69.31*10.764</f>
        <v>746.05283999999995</v>
      </c>
      <c r="F15" s="168"/>
      <c r="I15" s="51"/>
    </row>
    <row r="16" spans="1:9" ht="21" x14ac:dyDescent="0.3">
      <c r="D16" s="50">
        <v>3</v>
      </c>
      <c r="E16" s="167" t="s">
        <v>216</v>
      </c>
      <c r="F16" s="168"/>
      <c r="I16" s="51"/>
    </row>
    <row r="17" spans="4:9" ht="21" x14ac:dyDescent="0.3">
      <c r="D17" s="50">
        <v>4</v>
      </c>
      <c r="E17" s="167">
        <f>80.18*10.764</f>
        <v>863.05752000000007</v>
      </c>
      <c r="F17" s="168"/>
      <c r="I17" s="51"/>
    </row>
    <row r="18" spans="4:9" ht="21" x14ac:dyDescent="0.3">
      <c r="D18" s="50">
        <v>5</v>
      </c>
      <c r="E18" s="167">
        <f>69.31*10.764</f>
        <v>746.05283999999995</v>
      </c>
      <c r="F18" s="168"/>
      <c r="I18" s="51"/>
    </row>
    <row r="19" spans="4:9" ht="21" x14ac:dyDescent="0.3">
      <c r="D19" s="50">
        <v>6</v>
      </c>
      <c r="E19" s="167">
        <f>69.31*10.764</f>
        <v>746.05283999999995</v>
      </c>
      <c r="F19" s="168"/>
      <c r="I19" s="51"/>
    </row>
    <row r="20" spans="4:9" ht="21" x14ac:dyDescent="0.3">
      <c r="D20" s="167" t="s">
        <v>215</v>
      </c>
      <c r="E20" s="169"/>
      <c r="F20" s="169"/>
      <c r="G20" s="169"/>
      <c r="H20" s="169"/>
      <c r="I20" s="168"/>
    </row>
    <row r="21" spans="4:9" ht="21" x14ac:dyDescent="0.3">
      <c r="D21" s="50">
        <v>1</v>
      </c>
      <c r="E21" s="167">
        <f>80.18*10.764</f>
        <v>863.05752000000007</v>
      </c>
      <c r="F21" s="168"/>
      <c r="I21" s="51"/>
    </row>
    <row r="22" spans="4:9" ht="21" x14ac:dyDescent="0.3">
      <c r="D22" s="50">
        <v>2</v>
      </c>
      <c r="E22" s="167">
        <v>755</v>
      </c>
      <c r="F22" s="168"/>
      <c r="I22" s="51"/>
    </row>
    <row r="23" spans="4:9" ht="21" x14ac:dyDescent="0.3">
      <c r="D23" s="50">
        <v>3</v>
      </c>
      <c r="E23" s="167">
        <v>755</v>
      </c>
      <c r="F23" s="168"/>
      <c r="I23" s="51"/>
    </row>
    <row r="24" spans="4:9" ht="21" x14ac:dyDescent="0.3">
      <c r="D24" s="50">
        <v>4</v>
      </c>
      <c r="E24" s="167">
        <f>80.18*10.764</f>
        <v>863.05752000000007</v>
      </c>
      <c r="F24" s="168"/>
      <c r="I24" s="51"/>
    </row>
    <row r="25" spans="4:9" ht="21" x14ac:dyDescent="0.3">
      <c r="D25" s="50">
        <v>5</v>
      </c>
      <c r="E25" s="167">
        <v>755</v>
      </c>
      <c r="F25" s="168"/>
      <c r="I25" s="51"/>
    </row>
    <row r="26" spans="4:9" ht="21" x14ac:dyDescent="0.3">
      <c r="D26" s="50">
        <v>6</v>
      </c>
      <c r="E26" s="167">
        <v>755</v>
      </c>
      <c r="F26" s="168"/>
      <c r="I26" s="51"/>
    </row>
    <row r="27" spans="4:9" ht="21" x14ac:dyDescent="0.3">
      <c r="D27" s="167" t="s">
        <v>217</v>
      </c>
      <c r="E27" s="169"/>
      <c r="F27" s="169"/>
      <c r="G27" s="169"/>
      <c r="H27" s="169"/>
      <c r="I27" s="168"/>
    </row>
    <row r="28" spans="4:9" ht="21" x14ac:dyDescent="0.3">
      <c r="D28" s="50">
        <v>1</v>
      </c>
      <c r="E28" s="167">
        <f>80.18*10.764</f>
        <v>863.05752000000007</v>
      </c>
      <c r="F28" s="168"/>
      <c r="I28" s="51"/>
    </row>
    <row r="29" spans="4:9" ht="21" x14ac:dyDescent="0.3">
      <c r="D29" s="50">
        <v>2</v>
      </c>
      <c r="E29" s="167">
        <v>755</v>
      </c>
      <c r="F29" s="168"/>
      <c r="I29" s="51"/>
    </row>
    <row r="30" spans="4:9" ht="21" x14ac:dyDescent="0.3">
      <c r="D30" s="50">
        <v>3</v>
      </c>
      <c r="E30" s="167" t="s">
        <v>216</v>
      </c>
      <c r="F30" s="168"/>
      <c r="I30" s="51"/>
    </row>
    <row r="31" spans="4:9" ht="21" x14ac:dyDescent="0.3">
      <c r="D31" s="50">
        <v>4</v>
      </c>
      <c r="E31" s="167">
        <f>80.18*10.764</f>
        <v>863.05752000000007</v>
      </c>
      <c r="F31" s="168"/>
      <c r="I31" s="51"/>
    </row>
    <row r="32" spans="4:9" ht="21" x14ac:dyDescent="0.3">
      <c r="D32" s="50">
        <v>5</v>
      </c>
      <c r="E32" s="167">
        <v>755</v>
      </c>
      <c r="F32" s="168"/>
      <c r="I32" s="51"/>
    </row>
    <row r="33" spans="4:10" ht="21" x14ac:dyDescent="0.3">
      <c r="D33" s="50">
        <v>6</v>
      </c>
      <c r="E33" s="167">
        <v>755</v>
      </c>
      <c r="F33" s="168"/>
      <c r="G33" s="52"/>
      <c r="H33" s="52"/>
      <c r="I33" s="53"/>
    </row>
    <row r="35" spans="4:10" ht="21" x14ac:dyDescent="0.3">
      <c r="D35" s="167" t="s">
        <v>204</v>
      </c>
      <c r="E35" s="169"/>
      <c r="F35" s="169"/>
      <c r="G35" s="169"/>
      <c r="H35" s="169"/>
      <c r="I35" s="169"/>
      <c r="J35" s="168"/>
    </row>
    <row r="36" spans="4:10" ht="42" customHeight="1" x14ac:dyDescent="0.3">
      <c r="D36" s="170" t="s">
        <v>219</v>
      </c>
      <c r="E36" s="171"/>
      <c r="F36" s="171"/>
      <c r="G36" s="171"/>
      <c r="H36" s="171"/>
      <c r="I36" s="171"/>
      <c r="J36" s="172"/>
    </row>
    <row r="37" spans="4:10" ht="21" x14ac:dyDescent="0.3">
      <c r="D37" s="50">
        <v>1</v>
      </c>
      <c r="E37" s="167">
        <f>53.94*10.764</f>
        <v>580.61015999999995</v>
      </c>
      <c r="F37" s="168"/>
      <c r="J37" s="51"/>
    </row>
    <row r="38" spans="4:10" ht="21" x14ac:dyDescent="0.3">
      <c r="D38" s="50">
        <v>2</v>
      </c>
      <c r="E38" s="167">
        <f>35.41*10.764</f>
        <v>381.15323999999993</v>
      </c>
      <c r="F38" s="168"/>
      <c r="J38" s="51"/>
    </row>
    <row r="39" spans="4:10" ht="21" x14ac:dyDescent="0.3">
      <c r="D39" s="50">
        <v>3</v>
      </c>
      <c r="E39" s="167">
        <f>35.41*10.764</f>
        <v>381.15323999999993</v>
      </c>
      <c r="F39" s="168"/>
      <c r="J39" s="51"/>
    </row>
    <row r="40" spans="4:10" ht="21" x14ac:dyDescent="0.3">
      <c r="D40" s="50">
        <v>4</v>
      </c>
      <c r="E40" s="167">
        <f>35.41*10.764</f>
        <v>381.15323999999993</v>
      </c>
      <c r="F40" s="168"/>
      <c r="J40" s="51"/>
    </row>
    <row r="41" spans="4:10" ht="21" x14ac:dyDescent="0.3">
      <c r="D41" s="50">
        <v>5</v>
      </c>
      <c r="E41" s="167">
        <f>35.41*10.764</f>
        <v>381.15323999999993</v>
      </c>
      <c r="F41" s="168"/>
      <c r="J41" s="51"/>
    </row>
    <row r="42" spans="4:10" ht="20.25" customHeight="1" x14ac:dyDescent="0.3">
      <c r="D42" s="50">
        <v>6</v>
      </c>
      <c r="E42" s="167">
        <f>48.5*10.764</f>
        <v>522.05399999999997</v>
      </c>
      <c r="F42" s="168"/>
      <c r="J42" s="51"/>
    </row>
    <row r="43" spans="4:10" ht="21" x14ac:dyDescent="0.3">
      <c r="D43" s="50">
        <v>7</v>
      </c>
      <c r="E43" s="167">
        <f>48.5*10.764</f>
        <v>522.05399999999997</v>
      </c>
      <c r="F43" s="168"/>
      <c r="J43" s="51"/>
    </row>
    <row r="44" spans="4:10" ht="21" x14ac:dyDescent="0.3">
      <c r="D44" s="50">
        <v>8</v>
      </c>
      <c r="E44" s="167">
        <f>53.01*10.764</f>
        <v>570.59963999999991</v>
      </c>
      <c r="F44" s="168"/>
      <c r="J44" s="51"/>
    </row>
    <row r="45" spans="4:10" ht="21" x14ac:dyDescent="0.3">
      <c r="D45" s="50">
        <v>9</v>
      </c>
      <c r="E45" s="167">
        <f>53.01*10.764</f>
        <v>570.59963999999991</v>
      </c>
      <c r="F45" s="168"/>
      <c r="J45" s="51"/>
    </row>
    <row r="46" spans="4:10" ht="21" x14ac:dyDescent="0.3">
      <c r="D46" s="50">
        <v>10</v>
      </c>
      <c r="E46" s="167">
        <f>57.57*10.764</f>
        <v>619.68347999999992</v>
      </c>
      <c r="F46" s="168"/>
      <c r="J46" s="51"/>
    </row>
    <row r="47" spans="4:10" ht="20.25" customHeight="1" x14ac:dyDescent="0.3">
      <c r="D47" s="170" t="s">
        <v>222</v>
      </c>
      <c r="E47" s="171"/>
      <c r="F47" s="171"/>
      <c r="G47" s="171"/>
      <c r="H47" s="171"/>
      <c r="I47" s="171"/>
      <c r="J47" s="172"/>
    </row>
    <row r="48" spans="4:10" ht="21" x14ac:dyDescent="0.3">
      <c r="D48" s="50">
        <v>1</v>
      </c>
      <c r="E48" s="167">
        <f>53.94*10.764</f>
        <v>580.61015999999995</v>
      </c>
      <c r="F48" s="168"/>
      <c r="J48" s="51"/>
    </row>
    <row r="49" spans="4:10" ht="21" x14ac:dyDescent="0.3">
      <c r="D49" s="50">
        <v>2</v>
      </c>
      <c r="E49" s="167">
        <f>35.41*10.764</f>
        <v>381.15323999999993</v>
      </c>
      <c r="F49" s="168"/>
      <c r="J49" s="51"/>
    </row>
    <row r="50" spans="4:10" ht="20.25" customHeight="1" x14ac:dyDescent="0.3">
      <c r="D50" s="50">
        <v>3</v>
      </c>
      <c r="E50" s="167">
        <f>35.41*10.764</f>
        <v>381.15323999999993</v>
      </c>
      <c r="F50" s="168"/>
      <c r="J50" s="51"/>
    </row>
    <row r="51" spans="4:10" ht="21" x14ac:dyDescent="0.3">
      <c r="D51" s="50">
        <v>4</v>
      </c>
      <c r="E51" s="167">
        <f>35.41*10.764</f>
        <v>381.15323999999993</v>
      </c>
      <c r="F51" s="168"/>
      <c r="J51" s="51"/>
    </row>
    <row r="52" spans="4:10" ht="21" x14ac:dyDescent="0.3">
      <c r="D52" s="50">
        <v>5</v>
      </c>
      <c r="E52" s="167">
        <f>35.41*10.764</f>
        <v>381.15323999999993</v>
      </c>
      <c r="F52" s="168"/>
      <c r="J52" s="51"/>
    </row>
    <row r="53" spans="4:10" ht="21" x14ac:dyDescent="0.3">
      <c r="D53" s="50">
        <v>6</v>
      </c>
      <c r="E53" s="167" t="s">
        <v>216</v>
      </c>
      <c r="F53" s="168"/>
      <c r="J53" s="51"/>
    </row>
    <row r="54" spans="4:10" ht="21" x14ac:dyDescent="0.3">
      <c r="D54" s="50">
        <v>7</v>
      </c>
      <c r="E54" s="167">
        <f>48.5*10.764</f>
        <v>522.05399999999997</v>
      </c>
      <c r="F54" s="168"/>
      <c r="J54" s="51"/>
    </row>
    <row r="55" spans="4:10" ht="21" x14ac:dyDescent="0.3">
      <c r="D55" s="50">
        <v>8</v>
      </c>
      <c r="E55" s="167">
        <f>53.01*10.764</f>
        <v>570.59963999999991</v>
      </c>
      <c r="F55" s="168"/>
      <c r="J55" s="51"/>
    </row>
    <row r="56" spans="4:10" ht="21" x14ac:dyDescent="0.3">
      <c r="D56" s="50">
        <v>9</v>
      </c>
      <c r="E56" s="167">
        <f>53.01*10.764</f>
        <v>570.59963999999991</v>
      </c>
      <c r="F56" s="168"/>
      <c r="J56" s="51"/>
    </row>
    <row r="57" spans="4:10" ht="21" x14ac:dyDescent="0.3">
      <c r="D57" s="50">
        <v>10</v>
      </c>
      <c r="E57" s="167">
        <f>57.57*10.764</f>
        <v>619.68347999999992</v>
      </c>
      <c r="F57" s="168"/>
      <c r="G57" s="52"/>
      <c r="H57" s="52"/>
      <c r="I57" s="52"/>
      <c r="J57" s="53"/>
    </row>
  </sheetData>
  <mergeCells count="55">
    <mergeCell ref="D35:J35"/>
    <mergeCell ref="D36:J36"/>
    <mergeCell ref="E43:F43"/>
    <mergeCell ref="E44:F44"/>
    <mergeCell ref="E45:F45"/>
    <mergeCell ref="E38:F38"/>
    <mergeCell ref="E39:F39"/>
    <mergeCell ref="E40:F40"/>
    <mergeCell ref="E41:F41"/>
    <mergeCell ref="E42:F42"/>
    <mergeCell ref="E37:F37"/>
    <mergeCell ref="E46:F46"/>
    <mergeCell ref="D47:J47"/>
    <mergeCell ref="E54:F54"/>
    <mergeCell ref="E55:F55"/>
    <mergeCell ref="E56:F56"/>
    <mergeCell ref="E57:F57"/>
    <mergeCell ref="E48:F48"/>
    <mergeCell ref="E49:F49"/>
    <mergeCell ref="E50:F50"/>
    <mergeCell ref="E51:F51"/>
    <mergeCell ref="E52:F52"/>
    <mergeCell ref="E53:F53"/>
    <mergeCell ref="E32:F32"/>
    <mergeCell ref="E33:F33"/>
    <mergeCell ref="D2:I2"/>
    <mergeCell ref="E26:F26"/>
    <mergeCell ref="D27:I27"/>
    <mergeCell ref="E28:F28"/>
    <mergeCell ref="E29:F29"/>
    <mergeCell ref="E30:F30"/>
    <mergeCell ref="E31:F31"/>
    <mergeCell ref="D20:I20"/>
    <mergeCell ref="E21:F21"/>
    <mergeCell ref="E22:F22"/>
    <mergeCell ref="E23:F23"/>
    <mergeCell ref="E24:F24"/>
    <mergeCell ref="E25:F25"/>
    <mergeCell ref="E15:F15"/>
    <mergeCell ref="E16:F16"/>
    <mergeCell ref="E17:F17"/>
    <mergeCell ref="E18:F18"/>
    <mergeCell ref="E19:F19"/>
    <mergeCell ref="E9:F9"/>
    <mergeCell ref="E10:F10"/>
    <mergeCell ref="E11:F11"/>
    <mergeCell ref="E12:F12"/>
    <mergeCell ref="D13:I13"/>
    <mergeCell ref="E14:F14"/>
    <mergeCell ref="E8:F8"/>
    <mergeCell ref="E4:F4"/>
    <mergeCell ref="E5:F5"/>
    <mergeCell ref="E3:F3"/>
    <mergeCell ref="D6:I6"/>
    <mergeCell ref="E7:F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2025-07-08T09:30:34Z</cp:lastPrinted>
  <dcterms:created xsi:type="dcterms:W3CDTF">2010-11-23T11:42:48Z</dcterms:created>
  <dcterms:modified xsi:type="dcterms:W3CDTF">2025-07-08T09:31:07Z</dcterms:modified>
</cp:coreProperties>
</file>