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July 25\Godrej\Old\"/>
    </mc:Choice>
  </mc:AlternateContent>
  <xr:revisionPtr revIDLastSave="0" documentId="13_ncr:1_{17229519-1239-4361-91E1-6F5B5E8BAF66}" xr6:coauthVersionLast="47" xr6:coauthVersionMax="47" xr10:uidLastSave="{00000000-0000-0000-0000-000000000000}"/>
  <bookViews>
    <workbookView xWindow="-108" yWindow="-108" windowWidth="23256" windowHeight="12456" xr2:uid="{00000000-000D-0000-FFFF-FFFF00000000}"/>
  </bookViews>
  <sheets>
    <sheet name="Report" sheetId="3" r:id="rId1"/>
  </sheets>
  <definedNames>
    <definedName name="_xlnm.Print_Area" localSheetId="0">Report!$A$1:$I$310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 i="3" l="1"/>
  <c r="C58" i="3"/>
  <c r="C59" i="3" s="1"/>
  <c r="C60" i="3" s="1"/>
  <c r="A68" i="3" l="1"/>
  <c r="A52" i="3"/>
  <c r="M80" i="3"/>
  <c r="K78" i="3"/>
  <c r="K77" i="3"/>
  <c r="K76" i="3"/>
  <c r="K75" i="3"/>
  <c r="M64" i="3"/>
  <c r="K62" i="3"/>
  <c r="K61" i="3"/>
  <c r="K60" i="3"/>
  <c r="K59" i="3"/>
  <c r="I69" i="3"/>
  <c r="I53" i="3"/>
  <c r="K72" i="3" l="1"/>
  <c r="C71" i="3" s="1"/>
  <c r="E79" i="3"/>
  <c r="E75" i="3"/>
  <c r="E82" i="3"/>
  <c r="E78" i="3"/>
  <c r="E74" i="3"/>
  <c r="E81" i="3"/>
  <c r="K73" i="3"/>
  <c r="K74" i="3" s="1"/>
  <c r="K79" i="3" s="1"/>
  <c r="E77" i="3"/>
  <c r="E73" i="3"/>
  <c r="K70" i="3"/>
  <c r="E80" i="3"/>
  <c r="E76" i="3"/>
  <c r="K71" i="3"/>
  <c r="K56" i="3"/>
  <c r="C55" i="3" s="1"/>
  <c r="E64" i="3"/>
  <c r="E60" i="3"/>
  <c r="K55" i="3"/>
  <c r="E62" i="3"/>
  <c r="E61" i="3"/>
  <c r="E57" i="3"/>
  <c r="K54" i="3"/>
  <c r="E63" i="3"/>
  <c r="E59" i="3"/>
  <c r="E66" i="3"/>
  <c r="E58" i="3"/>
  <c r="E65" i="3"/>
  <c r="K57" i="3"/>
  <c r="K58" i="3" s="1"/>
  <c r="K63" i="3" s="1"/>
  <c r="K64" i="3" s="1"/>
  <c r="C56" i="3" s="1"/>
  <c r="E56" i="3" s="1"/>
  <c r="K80" i="3" l="1"/>
  <c r="C72" i="3" s="1"/>
  <c r="E72" i="3" s="1"/>
  <c r="F55" i="3"/>
  <c r="E71" i="3"/>
  <c r="E55" i="3"/>
  <c r="J52" i="3" l="1"/>
  <c r="H55" i="3" s="1"/>
  <c r="F71" i="3"/>
  <c r="J68" i="3" s="1"/>
  <c r="H71" i="3" s="1"/>
  <c r="H83" i="3" l="1"/>
  <c r="N7" i="3" l="1"/>
  <c r="J20" i="3" l="1"/>
  <c r="J21" i="3"/>
  <c r="F127" i="3"/>
  <c r="F124" i="3"/>
  <c r="F121" i="3"/>
  <c r="F120" i="3"/>
  <c r="F119" i="3"/>
  <c r="F118" i="3"/>
  <c r="F117" i="3"/>
  <c r="F114" i="3"/>
  <c r="F111" i="3"/>
  <c r="F108" i="3"/>
  <c r="F105" i="3"/>
  <c r="E128" i="3"/>
  <c r="I128" i="3" s="1"/>
  <c r="E127" i="3"/>
  <c r="E125" i="3"/>
  <c r="I125" i="3" s="1"/>
  <c r="E124" i="3"/>
  <c r="E123" i="3"/>
  <c r="I123" i="3" s="1"/>
  <c r="E122" i="3"/>
  <c r="I122" i="3" s="1"/>
  <c r="E121" i="3"/>
  <c r="E120" i="3"/>
  <c r="E119" i="3"/>
  <c r="E118" i="3"/>
  <c r="E117" i="3"/>
  <c r="E115" i="3"/>
  <c r="I115" i="3" s="1"/>
  <c r="E114" i="3"/>
  <c r="E113" i="3"/>
  <c r="E112" i="3"/>
  <c r="I112" i="3" s="1"/>
  <c r="E111" i="3"/>
  <c r="E110" i="3"/>
  <c r="I110" i="3" s="1"/>
  <c r="E109" i="3"/>
  <c r="I109" i="3" s="1"/>
  <c r="E108" i="3"/>
  <c r="I108" i="3" s="1"/>
  <c r="F107" i="3"/>
  <c r="E107" i="3"/>
  <c r="F106" i="3"/>
  <c r="E106" i="3"/>
  <c r="E105" i="3"/>
  <c r="I105" i="3" s="1"/>
  <c r="F104" i="3"/>
  <c r="E104" i="3"/>
  <c r="E132" i="3"/>
  <c r="J111" i="3"/>
  <c r="J108" i="3"/>
  <c r="I127" i="3" l="1"/>
  <c r="I124" i="3"/>
  <c r="I120" i="3"/>
  <c r="I121" i="3"/>
  <c r="I118" i="3"/>
  <c r="I119" i="3"/>
  <c r="I111" i="3"/>
  <c r="I106" i="3"/>
  <c r="I104" i="3"/>
  <c r="I117" i="3"/>
  <c r="I113" i="3"/>
  <c r="I114" i="3"/>
  <c r="I107" i="3"/>
  <c r="E171" i="3"/>
  <c r="H94" i="3" l="1"/>
  <c r="F94" i="3"/>
  <c r="E153" i="3"/>
  <c r="J145" i="3"/>
  <c r="J134" i="3"/>
  <c r="E146" i="3"/>
  <c r="E145" i="3"/>
  <c r="E144" i="3"/>
  <c r="E143" i="3"/>
  <c r="E142" i="3"/>
  <c r="E141" i="3"/>
  <c r="E140" i="3"/>
  <c r="E138" i="3"/>
  <c r="E137" i="3"/>
  <c r="E136" i="3"/>
  <c r="E135" i="3"/>
  <c r="E134" i="3"/>
  <c r="E133" i="3"/>
  <c r="C20" i="3"/>
  <c r="E148" i="3" l="1"/>
  <c r="H90" i="3" l="1"/>
  <c r="H89" i="3"/>
  <c r="F163" i="3" l="1"/>
  <c r="F162" i="3"/>
  <c r="F161" i="3"/>
  <c r="F159" i="3"/>
  <c r="F158" i="3"/>
  <c r="F156" i="3"/>
  <c r="F155" i="3"/>
  <c r="F154" i="3"/>
  <c r="F153" i="3"/>
  <c r="F152" i="3"/>
  <c r="F151" i="3"/>
  <c r="F149" i="3"/>
  <c r="F148" i="3"/>
  <c r="K133" i="3"/>
  <c r="E163" i="3"/>
  <c r="E162" i="3"/>
  <c r="E161" i="3"/>
  <c r="E159" i="3"/>
  <c r="E158" i="3"/>
  <c r="E156" i="3"/>
  <c r="E155" i="3"/>
  <c r="E154" i="3"/>
  <c r="E152" i="3"/>
  <c r="E151" i="3"/>
  <c r="E149" i="3"/>
  <c r="A160" i="3"/>
  <c r="A161" i="3" s="1"/>
  <c r="A162" i="3" s="1"/>
  <c r="A163" i="3" s="1"/>
  <c r="A153" i="3"/>
  <c r="A154" i="3" s="1"/>
  <c r="A155" i="3" s="1"/>
  <c r="A156" i="3" s="1"/>
  <c r="I163" i="3" l="1"/>
  <c r="I162" i="3"/>
  <c r="I159" i="3"/>
  <c r="I161" i="3"/>
  <c r="I155" i="3"/>
  <c r="I158" i="3"/>
  <c r="I153" i="3"/>
  <c r="I156" i="3"/>
  <c r="I154" i="3"/>
  <c r="I152" i="3"/>
  <c r="I151" i="3"/>
  <c r="I148" i="3"/>
  <c r="I149" i="3"/>
  <c r="I146" i="3"/>
  <c r="I145" i="3"/>
  <c r="I144" i="3"/>
  <c r="I143" i="3"/>
  <c r="I142" i="3"/>
  <c r="I141" i="3"/>
  <c r="A142" i="3"/>
  <c r="A143" i="3" s="1"/>
  <c r="A144" i="3" s="1"/>
  <c r="A145" i="3" s="1"/>
  <c r="A146" i="3" s="1"/>
  <c r="I140" i="3"/>
  <c r="I138" i="3"/>
  <c r="I137" i="3"/>
  <c r="I136" i="3"/>
  <c r="I135" i="3"/>
  <c r="I134" i="3"/>
  <c r="I132" i="3"/>
  <c r="A134" i="3"/>
  <c r="A135" i="3" s="1"/>
  <c r="A136" i="3" s="1"/>
  <c r="A137" i="3" s="1"/>
  <c r="A138" i="3" s="1"/>
  <c r="I133" i="3"/>
  <c r="H48" i="3"/>
  <c r="F96" i="3" l="1"/>
  <c r="H96" i="3"/>
  <c r="F95" i="3"/>
  <c r="H95" i="3"/>
  <c r="H97" i="3" l="1"/>
  <c r="F97" i="3"/>
  <c r="I4" i="3" l="1"/>
  <c r="E170" i="3" l="1"/>
  <c r="E169" i="3"/>
  <c r="H91" i="3"/>
</calcChain>
</file>

<file path=xl/sharedStrings.xml><?xml version="1.0" encoding="utf-8"?>
<sst xmlns="http://schemas.openxmlformats.org/spreadsheetml/2006/main" count="433" uniqueCount="249">
  <si>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</si>
  <si>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</si>
  <si>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</si>
  <si>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</si>
  <si>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</si>
  <si>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</si>
  <si>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</si>
  <si>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</si>
  <si>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</si>
  <si>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</si>
  <si>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</si>
  <si>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</si>
  <si>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</si>
  <si>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</si>
  <si>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</si>
  <si>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</si>
  <si>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</si>
  <si>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</si>
  <si>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</si>
  <si>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</si>
  <si>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</si>
  <si>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</si>
  <si>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</si>
  <si>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</si>
  <si>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</si>
  <si>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</si>
  <si>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</si>
  <si>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</si>
  <si>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</si>
  <si>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</si>
  <si>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</si>
  <si>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</si>
  <si>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</si>
  <si>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</si>
  <si>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</si>
  <si>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</si>
  <si>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</si>
  <si>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</si>
  <si>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</si>
  <si>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</si>
  <si>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</si>
  <si>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</si>
  <si>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</si>
  <si>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</si>
  <si>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</si>
  <si>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</si>
  <si>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</si>
  <si>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</si>
  <si>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</si>
  <si>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</si>
  <si>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</si>
  <si>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</si>
  <si>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</si>
  <si>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</si>
  <si>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</si>
  <si>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</si>
  <si>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</si>
  <si>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</si>
  <si>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</si>
  <si>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</si>
  <si>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</si>
  <si>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</si>
  <si>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</si>
  <si>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</si>
  <si>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</si>
  <si>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</si>
  <si>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</si>
  <si>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Airport Authority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</si>
  <si>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</si>
  <si>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</si>
  <si>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</si>
  <si>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</si>
  <si>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</si>
  <si>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</si>
  <si>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</si>
  <si>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</si>
  <si>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</si>
  <si>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</si>
  <si>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</si>
  <si>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</si>
  <si>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</si>
  <si>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</si>
  <si>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</si>
  <si>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</si>
  <si>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</si>
  <si>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</si>
  <si>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</si>
  <si>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</si>
  <si>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</si>
  <si>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</si>
  <si>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</si>
  <si>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Flat/Shop No.</t>
  </si>
  <si>
    <t>Attached Terrace area</t>
  </si>
  <si>
    <t>Godrej One, Vikhroli East, Mumbai</t>
  </si>
  <si>
    <t>Residential + Comm.</t>
  </si>
  <si>
    <t>Permissible Built up Area (In Sq.Mt)</t>
  </si>
  <si>
    <t>Proposed Built up Area (In Sq.Mt)</t>
  </si>
  <si>
    <t>Plot Area (In Sq.Mt)</t>
  </si>
  <si>
    <t>-</t>
  </si>
  <si>
    <t>Yes</t>
  </si>
  <si>
    <t xml:space="preserve">Bitumen </t>
  </si>
  <si>
    <t>III</t>
  </si>
  <si>
    <t>No</t>
  </si>
  <si>
    <t>Low</t>
  </si>
  <si>
    <t>None</t>
  </si>
  <si>
    <t>Other Charges</t>
  </si>
  <si>
    <t>Ground</t>
  </si>
  <si>
    <t>Plinth</t>
  </si>
  <si>
    <t>:
:</t>
  </si>
  <si>
    <t>Project Site Address</t>
  </si>
  <si>
    <t>Date  &amp; Time of Site Visit</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</si>
  <si>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</si>
  <si>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</si>
  <si>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</si>
  <si>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</si>
  <si>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</si>
  <si>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</si>
  <si>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</si>
  <si>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</si>
  <si>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</si>
  <si>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</si>
  <si>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</si>
  <si>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</si>
  <si>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</si>
  <si>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</si>
  <si>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</si>
  <si>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</si>
  <si>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</si>
  <si>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</si>
  <si>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</si>
  <si>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</si>
  <si>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</si>
  <si>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</si>
  <si>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</si>
  <si>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</si>
  <si>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</si>
  <si>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</si>
  <si>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</si>
  <si>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</si>
  <si>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</si>
  <si>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</si>
  <si>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</si>
  <si>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</si>
  <si>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</si>
  <si>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</si>
  <si>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</si>
  <si>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</si>
  <si>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</si>
  <si>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</si>
  <si>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</si>
  <si>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No. of Floors Planned/Proposed</t>
  </si>
  <si>
    <t>Project Address</t>
  </si>
  <si>
    <t>Width of the Road</t>
  </si>
  <si>
    <t>Details of Flats in Building</t>
  </si>
  <si>
    <t>Total Saleable Area</t>
  </si>
  <si>
    <t>Total Carpet Area</t>
  </si>
  <si>
    <t>No. of Unit</t>
  </si>
  <si>
    <t>Building &amp; Wing</t>
  </si>
  <si>
    <t>Sale / Rehab</t>
  </si>
  <si>
    <t>Flats/ Shops/ Offices</t>
  </si>
  <si>
    <t>Total</t>
  </si>
  <si>
    <t>Rate of Flat Per Sq. Ft. 
(on Carpet area)</t>
  </si>
  <si>
    <t>On Carpet area</t>
  </si>
  <si>
    <t>Location Link</t>
  </si>
  <si>
    <t>Net carpet</t>
  </si>
  <si>
    <t>Upper Class</t>
  </si>
  <si>
    <t xml:space="preserve">12M </t>
  </si>
  <si>
    <t>Developed</t>
  </si>
  <si>
    <t>Electrification/Electric poles observed</t>
  </si>
  <si>
    <t>Fire NOC Details</t>
  </si>
  <si>
    <t xml:space="preserve">
Date: </t>
  </si>
  <si>
    <t>Description</t>
  </si>
  <si>
    <t>Godrej Properties Limited</t>
  </si>
  <si>
    <t>Thane Municipal Corporation</t>
  </si>
  <si>
    <t>Latitude, Longitude</t>
  </si>
  <si>
    <t>19.228526780,72.983679568</t>
  </si>
  <si>
    <t>https://maps.app.goo.gl/wRrtjqDJc6NEPBNU6</t>
  </si>
  <si>
    <t>Basketball Pole, Jogging/Walking Trail, Swimming Pool, Spa, Fruit Orchard &amp; Herbal Organic Garden, Retail Plaza, Kids Play Area, 22 Yard Cricket Pitch, Skating Rink, Chess Court, 2 Badminton Courts, Gym, Squash Court, Multi-Play Court, Yoga Deck</t>
  </si>
  <si>
    <t>About 2.3KM form Universal Multispeciality Hospital</t>
  </si>
  <si>
    <t>400 M from Dhokali Naka Bus Stop</t>
  </si>
  <si>
    <t>About 1.1 KM from Amber International School</t>
  </si>
  <si>
    <t>1. Approx. 800M from DMart Kolshet
2. Approx. 1.6KM from Nutro Fresh.</t>
  </si>
  <si>
    <t>Phase 4</t>
  </si>
  <si>
    <t>Floor Rise Per Sq. Ft. (on Carpet area)</t>
  </si>
  <si>
    <t>NA</t>
  </si>
  <si>
    <t>Ground Floor For Commercial, Entrance Lobby, Society Office, Meter Room &amp; Parking</t>
  </si>
  <si>
    <t>Shop</t>
  </si>
  <si>
    <t>1st Floor For Part Commercial</t>
  </si>
  <si>
    <t>1st floor For Part Residential</t>
  </si>
  <si>
    <t>3BHK</t>
  </si>
  <si>
    <t>2BHK</t>
  </si>
  <si>
    <t>Refuge Area</t>
  </si>
  <si>
    <t>Flats</t>
  </si>
  <si>
    <t>Sale</t>
  </si>
  <si>
    <t>Shops</t>
  </si>
  <si>
    <t>Fungible Area (Balcony + Utility Area)</t>
  </si>
  <si>
    <t>Gross Carpet area</t>
  </si>
  <si>
    <t>Shop = 14</t>
  </si>
  <si>
    <t>Layout Plan</t>
  </si>
  <si>
    <t>5.4 KM from Thane Railway Station</t>
  </si>
  <si>
    <t>Kolshet Road</t>
  </si>
  <si>
    <t>Garden</t>
  </si>
  <si>
    <t>Internal Road</t>
  </si>
  <si>
    <t>Tower 2</t>
  </si>
  <si>
    <t>Miss. Komal (CRM)</t>
  </si>
  <si>
    <t>CC Details
Valid Upto :</t>
  </si>
  <si>
    <t>Environmental Clearance Details
Valid Upto :</t>
  </si>
  <si>
    <t>SIA/MH/MIS/74759/2021
Date: 25/08/2022
Survey No.234/1, 234/2 &amp; 235 of village Balkum &amp; S.No. 39, 40, 41/1 of village Dhokali</t>
  </si>
  <si>
    <t>19500 to 20500</t>
  </si>
  <si>
    <t>Tower 1 (Arise)</t>
  </si>
  <si>
    <t>S05/0194/19/TMC/TDD/0109/(P/C)/2024/AutoDCR
Date: 26/03/2024</t>
  </si>
  <si>
    <t>Gr + 1st to 46th Floor</t>
  </si>
  <si>
    <t>2nd to 7th, 9th to 12th, 14th to 17th, 19th to 22nd, 
24th to 27th &amp; 29th to 32nd, 34th to 37th, 39th to 42nd &amp; 44th Floor For Residential</t>
  </si>
  <si>
    <t>8th, 13th, 18th, 23rd, 28th, 33rd, 38th &amp; 43rd Floor (Part Refuge Area)</t>
  </si>
  <si>
    <t>External Plaster</t>
  </si>
  <si>
    <t>External Plumbing, Elevation and Waterproofing</t>
  </si>
  <si>
    <t>Wooden Work</t>
  </si>
  <si>
    <t>Electrical &amp; Sanitary fittings</t>
  </si>
  <si>
    <t>Mr. Ajay Songare</t>
  </si>
  <si>
    <t>Approved Layout &amp; Floor Plans, CC</t>
  </si>
  <si>
    <t>45th Floor For Recreational Area</t>
  </si>
  <si>
    <t>46th Floor For Amenity &amp; Part Terrace Area</t>
  </si>
  <si>
    <t>Phase 3 = P51700049514
Phase 4 = P51700053668</t>
  </si>
  <si>
    <t>Phase 3 = 31/10/2029
Phase 4 = 31/12/2029</t>
  </si>
  <si>
    <t>Phase 3 = 15/02/2023
Phase 4 = 21/11/2023</t>
  </si>
  <si>
    <t>Phase 3 = Feb - 2023
Phase 4 = Nov - 2023</t>
  </si>
  <si>
    <t>Gr + 1st to 42nd Floor</t>
  </si>
  <si>
    <t>S05/0194/19/TMC/TDD/0109/(P/C)/2024/AutoDCR
Date: 26/03/2024
Tower 1 - Gr. + 1st to 42nd Floor
Tower 5 - Gr. + 1st to 42nd Floor</t>
  </si>
  <si>
    <t>Phase 3 (Tower 5 Adora)</t>
  </si>
  <si>
    <t>Phase 4 (Tower 1 Arise)</t>
  </si>
  <si>
    <t>Phase 3</t>
  </si>
  <si>
    <t>Tower 5 (Adora)</t>
  </si>
  <si>
    <t>Ground Floor For  Entrance Lobby, Society Office, Meter Room &amp; Parking</t>
  </si>
  <si>
    <t>1st to 7th, 9th to 12th, 14th to 17th, 19th to 22nd, 
24th to 27th &amp; 29th to 32nd, 34th to 37th &amp; 39th to 42nd Floor For Residential</t>
  </si>
  <si>
    <t>1BHK</t>
  </si>
  <si>
    <t>8th, 13th, 18th, 23rd, 28th, 33rd &amp; 38th Floor (Part Refuge Area)</t>
  </si>
  <si>
    <t>Phase 4 (Tower 1)</t>
  </si>
  <si>
    <t>Phase 3 (Tower 5)</t>
  </si>
  <si>
    <r>
      <t xml:space="preserve">1. Construction work is in process at the time of Visit. Internal visit was not allowed.
2. We considered  Saleable area as per our calculation.
3. We considered Carpet area as per Approved Plan.
4. We considered Gross carpet area = Net carpet + Balcony + Utility Area.
5. We have considered rate by verifying it from market inquire.
6. Car parking is subjected to authentic documentation.
7. We have updated revised approved floor plan &amp; C.C on 24/07/2024.
8. We have updated revised approved floor plan &amp; C.C of Phase 3 Tower 5 on 25/07/2024.
</t>
    </r>
    <r>
      <rPr>
        <sz val="16"/>
        <color rgb="FFFF0000"/>
        <rFont val="Times New Roman"/>
        <family val="1"/>
      </rPr>
      <t xml:space="preserve">
</t>
    </r>
    <r>
      <rPr>
        <sz val="16"/>
        <rFont val="Times New Roman"/>
        <family val="1"/>
      </rPr>
      <t xml:space="preserve">
</t>
    </r>
  </si>
  <si>
    <t>Flats = 749</t>
  </si>
  <si>
    <t>As per RERA, Phase 3 = 497
Phase 4 = 252 &amp;  Shops = 14</t>
  </si>
  <si>
    <t>Unit No. 5C, 5th Floor, Godrej One, Pirojshanagar, Vikhroli East, Mumbai - 400079</t>
  </si>
  <si>
    <t>Godrej Ascend Phase 3 &amp; 4, on Survey No.234/A, 234/B, 235/A &amp; 235/B of village Balkum &amp; S.No. 39, 40/A, 40/B, 41/A, 41/B &amp; 41/C of village Dhokali, Kolshet Road, Taluka &amp; District Thane - 400607.</t>
  </si>
  <si>
    <t>Godrej Ascend Phase 3 &amp; 4, village Balkum &amp; Dhokali, Kolshet Road, Taluka &amp; District Thane - 400607.</t>
  </si>
  <si>
    <t>Godrej Ascend Phase 3 &amp; 4, Kolshet Road, Dhokali, Thane West, Thane, Maharashtra 400607</t>
  </si>
  <si>
    <t>Godrej Ascend 
Phase 3 (Tower 5 Adora) &amp; 
Phase 4 (Tower 1 Arise)</t>
  </si>
  <si>
    <t>Godrej Ascend Phase 3 &amp; 4</t>
  </si>
  <si>
    <t>04/07/2025 @ 11:20AM</t>
  </si>
  <si>
    <t>Mr. Suraj Khare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</si>
</sst>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3"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u/>
      <sz val="11"/>
      <color theme="10"/>
      <name val="Calibri"/>
      <family val="2"/>
    </font>
    <font>
      <u/>
      <sz val="16"/>
      <color theme="10"/>
      <name val="Calibri"/>
      <family val="2"/>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1" fillId="0" borderId="0" applyNumberFormat="0" applyFill="0" applyBorder="0" applyAlignment="0" applyProtection="0"/>
  </cellStyleXfs>
  <cellXfs count="173">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0" fontId="3" fillId="0" borderId="17" xfId="1" applyFont="1" applyBorder="1" applyProtection="1">
      <protection hidden="1"/>
    </xf>
    <xf numFmtId="0" fontId="3" fillId="0" borderId="17" xfId="1" applyFont="1" applyBorder="1"/>
    <xf numFmtId="0" fontId="9" fillId="0" borderId="0" xfId="0" applyFont="1" applyProtection="1">
      <protection hidden="1"/>
    </xf>
    <xf numFmtId="9" fontId="9" fillId="0" borderId="0" xfId="0" applyNumberFormat="1" applyFont="1" applyProtection="1">
      <protection hidden="1"/>
    </xf>
    <xf numFmtId="1" fontId="10" fillId="0" borderId="17" xfId="0" applyNumberFormat="1" applyFont="1" applyBorder="1"/>
    <xf numFmtId="1" fontId="10" fillId="0" borderId="17" xfId="0" applyNumberFormat="1" applyFont="1" applyBorder="1" applyAlignment="1">
      <alignment horizontal="right"/>
    </xf>
    <xf numFmtId="1" fontId="10"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 fontId="5" fillId="0" borderId="1" xfId="1" applyNumberFormat="1" applyFont="1" applyBorder="1" applyAlignment="1">
      <alignment horizontal="center" vertical="top" wrapText="1"/>
    </xf>
    <xf numFmtId="1" fontId="6" fillId="4" borderId="1" xfId="1" applyNumberFormat="1" applyFont="1" applyFill="1" applyBorder="1" applyAlignment="1">
      <alignment horizontal="center" vertical="center" wrapText="1"/>
    </xf>
    <xf numFmtId="0" fontId="7" fillId="0" borderId="0" xfId="0" applyFont="1" applyAlignment="1">
      <alignment vertical="top"/>
    </xf>
    <xf numFmtId="0" fontId="4" fillId="4" borderId="13" xfId="0" applyFont="1" applyFill="1" applyBorder="1" applyAlignment="1">
      <alignment vertical="top" wrapText="1"/>
    </xf>
    <xf numFmtId="1" fontId="6" fillId="4" borderId="0" xfId="1" applyNumberFormat="1" applyFont="1" applyFill="1" applyAlignment="1">
      <alignment horizontal="center" vertical="center" wrapText="1"/>
    </xf>
    <xf numFmtId="1" fontId="3" fillId="0" borderId="0" xfId="0" applyNumberFormat="1" applyFont="1" applyAlignment="1">
      <alignment horizontal="center" vertical="top"/>
    </xf>
    <xf numFmtId="1" fontId="3" fillId="0" borderId="0" xfId="0" applyNumberFormat="1" applyFont="1" applyAlignment="1">
      <alignment vertical="top"/>
    </xf>
    <xf numFmtId="164" fontId="3" fillId="0" borderId="0" xfId="0" applyNumberFormat="1" applyFont="1" applyAlignment="1">
      <alignment vertical="top"/>
    </xf>
    <xf numFmtId="1" fontId="6" fillId="4" borderId="0" xfId="1" applyNumberFormat="1" applyFont="1" applyFill="1" applyAlignment="1">
      <alignment vertical="center" wrapText="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0" fontId="3" fillId="0" borderId="16" xfId="1" applyFont="1" applyBorder="1" applyProtection="1">
      <protection hidden="1"/>
    </xf>
    <xf numFmtId="0" fontId="3" fillId="0" borderId="0" xfId="1" applyFont="1" applyProtection="1">
      <protection hidden="1"/>
    </xf>
    <xf numFmtId="0" fontId="9" fillId="0" borderId="17" xfId="0" applyFont="1" applyBorder="1" applyProtection="1">
      <protection hidden="1"/>
    </xf>
    <xf numFmtId="0" fontId="9" fillId="0" borderId="18" xfId="0" applyFont="1" applyBorder="1" applyProtection="1">
      <protection hidden="1"/>
    </xf>
    <xf numFmtId="14" fontId="4" fillId="4" borderId="1" xfId="0" applyNumberFormat="1"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6" fillId="4" borderId="0" xfId="1" applyNumberFormat="1" applyFont="1" applyFill="1" applyAlignment="1">
      <alignment horizontal="center" vertical="center" wrapText="1"/>
    </xf>
    <xf numFmtId="1" fontId="2" fillId="4" borderId="2" xfId="1" applyNumberFormat="1" applyFont="1" applyFill="1" applyBorder="1" applyAlignment="1">
      <alignment horizontal="center" vertical="center" wrapText="1"/>
    </xf>
    <xf numFmtId="1" fontId="2" fillId="4" borderId="3" xfId="1" applyNumberFormat="1" applyFont="1" applyFill="1" applyBorder="1" applyAlignment="1">
      <alignment horizontal="center" vertical="center" wrapText="1"/>
    </xf>
    <xf numFmtId="1" fontId="2" fillId="4" borderId="15"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7" fillId="0" borderId="14" xfId="0" applyFont="1" applyBorder="1" applyAlignment="1">
      <alignment horizontal="center" vertical="center" wrapText="1"/>
    </xf>
    <xf numFmtId="0" fontId="7"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2" fontId="4" fillId="4" borderId="1" xfId="0" applyNumberFormat="1" applyFont="1" applyFill="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0" borderId="1" xfId="0" applyFont="1" applyBorder="1" applyAlignment="1">
      <alignment horizontal="left" vertical="top" wrapText="1"/>
    </xf>
    <xf numFmtId="0" fontId="4" fillId="0" borderId="1" xfId="0" applyFont="1" applyBorder="1" applyAlignment="1">
      <alignment horizontal="left" vertical="top"/>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4" fillId="4" borderId="1" xfId="0" applyFont="1" applyFill="1" applyBorder="1" applyAlignment="1">
      <alignment horizontal="left" vertical="top" wrapText="1"/>
    </xf>
    <xf numFmtId="14" fontId="4" fillId="4" borderId="2" xfId="0" applyNumberFormat="1"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12" fillId="4" borderId="2" xfId="2"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2" xfId="0" applyFont="1" applyFill="1" applyBorder="1" applyAlignment="1">
      <alignment horizontal="left" vertical="top" wrapText="1"/>
    </xf>
    <xf numFmtId="0" fontId="2" fillId="2" borderId="1" xfId="0" applyFont="1" applyFill="1" applyBorder="1" applyAlignment="1">
      <alignment horizontal="center"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1" fontId="5" fillId="0" borderId="1" xfId="1" applyNumberFormat="1" applyFont="1" applyBorder="1" applyAlignment="1">
      <alignment horizontal="center" vertical="top" wrapText="1"/>
    </xf>
    <xf numFmtId="0" fontId="2" fillId="0" borderId="1" xfId="0" applyFont="1" applyBorder="1" applyAlignment="1">
      <alignment horizontal="center" vertical="top" wrapText="1"/>
    </xf>
    <xf numFmtId="0" fontId="2" fillId="4" borderId="2"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2" borderId="8"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17" fontId="4" fillId="4" borderId="2"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top" wrapText="1"/>
    </xf>
    <xf numFmtId="0" fontId="4" fillId="4" borderId="12" xfId="0" applyFont="1" applyFill="1" applyBorder="1" applyAlignment="1">
      <alignment horizontal="center" vertical="top" wrapText="1"/>
    </xf>
    <xf numFmtId="0" fontId="4" fillId="4" borderId="0" xfId="0" applyFont="1" applyFill="1" applyAlignment="1">
      <alignment horizontal="center" vertical="top" wrapText="1"/>
    </xf>
    <xf numFmtId="0" fontId="4" fillId="4" borderId="13" xfId="0" applyFont="1" applyFill="1" applyBorder="1" applyAlignment="1">
      <alignment horizontal="center" vertical="top" wrapText="1"/>
    </xf>
    <xf numFmtId="0" fontId="4" fillId="4" borderId="14" xfId="0" applyFont="1" applyFill="1" applyBorder="1" applyAlignment="1">
      <alignment horizontal="center" vertical="top" wrapText="1"/>
    </xf>
    <xf numFmtId="0" fontId="4" fillId="4" borderId="9" xfId="0" applyFont="1" applyFill="1" applyBorder="1" applyAlignment="1">
      <alignment horizontal="center" vertical="top" wrapText="1"/>
    </xf>
    <xf numFmtId="0" fontId="4" fillId="4" borderId="15" xfId="0" applyFont="1" applyFill="1" applyBorder="1" applyAlignment="1">
      <alignment horizontal="center" vertical="top" wrapText="1"/>
    </xf>
    <xf numFmtId="0" fontId="3" fillId="4"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4" fillId="4"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2" fillId="4" borderId="7" xfId="1" applyFont="1" applyFill="1" applyBorder="1" applyAlignment="1" applyProtection="1">
      <alignment horizontal="left" vertical="top" wrapText="1"/>
      <protection hidden="1"/>
    </xf>
    <xf numFmtId="0" fontId="2" fillId="4" borderId="4" xfId="1" applyFont="1" applyFill="1" applyBorder="1" applyAlignment="1" applyProtection="1">
      <alignment horizontal="left" vertical="top" wrapText="1"/>
      <protection hidden="1"/>
    </xf>
    <xf numFmtId="0" fontId="2" fillId="4" borderId="11" xfId="1" applyFont="1" applyFill="1" applyBorder="1" applyAlignment="1" applyProtection="1">
      <alignment horizontal="left" vertical="top" wrapText="1"/>
      <protection hidden="1"/>
    </xf>
    <xf numFmtId="0" fontId="2" fillId="4" borderId="14" xfId="1" applyFont="1" applyFill="1" applyBorder="1" applyAlignment="1" applyProtection="1">
      <alignment horizontal="left" vertical="top" wrapText="1"/>
      <protection hidden="1"/>
    </xf>
    <xf numFmtId="0" fontId="2" fillId="4" borderId="9" xfId="1" applyFont="1" applyFill="1" applyBorder="1" applyAlignment="1" applyProtection="1">
      <alignment horizontal="left" vertical="top" wrapText="1"/>
      <protection hidden="1"/>
    </xf>
    <xf numFmtId="0" fontId="2" fillId="4" borderId="15" xfId="1" applyFont="1" applyFill="1" applyBorder="1" applyAlignment="1" applyProtection="1">
      <alignment horizontal="left" vertical="top" wrapText="1"/>
      <protection hidden="1"/>
    </xf>
    <xf numFmtId="9" fontId="2" fillId="4" borderId="6" xfId="1" applyNumberFormat="1" applyFont="1" applyFill="1" applyBorder="1" applyAlignment="1" applyProtection="1">
      <alignment horizontal="center" vertical="center" wrapText="1"/>
      <protection hidden="1"/>
    </xf>
    <xf numFmtId="9" fontId="2" fillId="4" borderId="8" xfId="1" applyNumberFormat="1" applyFont="1" applyFill="1" applyBorder="1" applyAlignment="1" applyProtection="1">
      <alignment horizontal="center" vertical="center" wrapText="1"/>
      <protection hidden="1"/>
    </xf>
    <xf numFmtId="0" fontId="4" fillId="4" borderId="2" xfId="1" applyFont="1" applyFill="1" applyBorder="1" applyAlignment="1" applyProtection="1">
      <alignment horizontal="center" vertical="center" wrapText="1"/>
      <protection hidden="1"/>
    </xf>
    <xf numFmtId="0" fontId="4" fillId="4" borderId="5"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1" fontId="2" fillId="4" borderId="2" xfId="1" applyNumberFormat="1" applyFont="1" applyFill="1" applyBorder="1" applyAlignment="1">
      <alignment horizontal="center" vertical="top" wrapText="1"/>
    </xf>
    <xf numFmtId="1" fontId="2" fillId="4" borderId="5" xfId="1" applyNumberFormat="1" applyFont="1" applyFill="1" applyBorder="1" applyAlignment="1">
      <alignment horizontal="center"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4" fontId="3" fillId="0" borderId="0" xfId="0" applyNumberFormat="1" applyFont="1" applyAlignment="1">
      <alignment vertical="top"/>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EF2E8"/>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9</xdr:col>
      <xdr:colOff>571498</xdr:colOff>
      <xdr:row>82</xdr:row>
      <xdr:rowOff>0</xdr:rowOff>
    </xdr:from>
    <xdr:to>
      <xdr:col>31</xdr:col>
      <xdr:colOff>25886</xdr:colOff>
      <xdr:row>96</xdr:row>
      <xdr:rowOff>45814</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a:stretch>
          <a:fillRect/>
        </a:stretch>
      </xdr:blipFill>
      <xdr:spPr>
        <a:xfrm>
          <a:off x="10967355" y="27681010"/>
          <a:ext cx="13083725" cy="4803991"/>
        </a:xfrm>
        <a:prstGeom prst="rect">
          <a:avLst/>
        </a:prstGeom>
      </xdr:spPr>
    </xdr:pic>
    <xdr:clientData/>
  </xdr:twoCellAnchor>
  <xdr:twoCellAnchor editAs="oneCell">
    <xdr:from>
      <xdr:col>11</xdr:col>
      <xdr:colOff>1374631</xdr:colOff>
      <xdr:row>153</xdr:row>
      <xdr:rowOff>166687</xdr:rowOff>
    </xdr:from>
    <xdr:to>
      <xdr:col>18</xdr:col>
      <xdr:colOff>530396</xdr:colOff>
      <xdr:row>166</xdr:row>
      <xdr:rowOff>884504</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stretch>
          <a:fillRect/>
        </a:stretch>
      </xdr:blipFill>
      <xdr:spPr>
        <a:xfrm>
          <a:off x="14114319" y="51315937"/>
          <a:ext cx="4702229" cy="4337317"/>
        </a:xfrm>
        <a:prstGeom prst="rect">
          <a:avLst/>
        </a:prstGeom>
      </xdr:spPr>
    </xdr:pic>
    <xdr:clientData/>
  </xdr:twoCellAnchor>
  <xdr:twoCellAnchor editAs="oneCell">
    <xdr:from>
      <xdr:col>11</xdr:col>
      <xdr:colOff>1142999</xdr:colOff>
      <xdr:row>133</xdr:row>
      <xdr:rowOff>38965</xdr:rowOff>
    </xdr:from>
    <xdr:to>
      <xdr:col>17</xdr:col>
      <xdr:colOff>276813</xdr:colOff>
      <xdr:row>148</xdr:row>
      <xdr:rowOff>176388</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stretch>
          <a:fillRect/>
        </a:stretch>
      </xdr:blipFill>
      <xdr:spPr>
        <a:xfrm>
          <a:off x="13882687" y="45687528"/>
          <a:ext cx="3840957" cy="4066483"/>
        </a:xfrm>
        <a:prstGeom prst="rect">
          <a:avLst/>
        </a:prstGeom>
      </xdr:spPr>
    </xdr:pic>
    <xdr:clientData/>
  </xdr:twoCellAnchor>
  <xdr:twoCellAnchor>
    <xdr:from>
      <xdr:col>0</xdr:col>
      <xdr:colOff>1643903</xdr:colOff>
      <xdr:row>266</xdr:row>
      <xdr:rowOff>251011</xdr:rowOff>
    </xdr:from>
    <xdr:to>
      <xdr:col>7</xdr:col>
      <xdr:colOff>1613647</xdr:colOff>
      <xdr:row>296</xdr:row>
      <xdr:rowOff>190499</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1643903" y="87065223"/>
          <a:ext cx="7293909" cy="8007723"/>
          <a:chOff x="666750" y="90418104"/>
          <a:chExt cx="9000000" cy="10295940"/>
        </a:xfrm>
      </xdr:grpSpPr>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666750" y="90418104"/>
            <a:ext cx="9000000" cy="4396075"/>
          </a:xfrm>
          <a:prstGeom prst="rect">
            <a:avLst/>
          </a:prstGeom>
          <a:ln>
            <a:solidFill>
              <a:schemeClr val="tx1"/>
            </a:solidFill>
          </a:ln>
        </xdr:spPr>
      </xdr:pic>
      <xdr:grpSp>
        <xdr:nvGrpSpPr>
          <xdr:cNvPr id="22" name="Group 21">
            <a:extLst>
              <a:ext uri="{FF2B5EF4-FFF2-40B4-BE49-F238E27FC236}">
                <a16:creationId xmlns:a16="http://schemas.microsoft.com/office/drawing/2014/main" id="{00000000-0008-0000-0000-000016000000}"/>
              </a:ext>
            </a:extLst>
          </xdr:cNvPr>
          <xdr:cNvGrpSpPr/>
        </xdr:nvGrpSpPr>
        <xdr:grpSpPr>
          <a:xfrm>
            <a:off x="1571625" y="95028883"/>
            <a:ext cx="6856755" cy="5685161"/>
            <a:chOff x="1571625" y="82741633"/>
            <a:chExt cx="6856755" cy="5685161"/>
          </a:xfrm>
        </xdr:grpSpPr>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a:stretch>
              <a:fillRect/>
            </a:stretch>
          </xdr:blipFill>
          <xdr:spPr>
            <a:xfrm>
              <a:off x="1571625" y="82741633"/>
              <a:ext cx="6856755" cy="5685161"/>
            </a:xfrm>
            <a:prstGeom prst="rect">
              <a:avLst/>
            </a:prstGeom>
            <a:ln>
              <a:solidFill>
                <a:schemeClr val="tx1"/>
              </a:solidFill>
            </a:ln>
          </xdr:spPr>
        </xdr:pic>
        <xdr:sp macro="" textlink="">
          <xdr:nvSpPr>
            <xdr:cNvPr id="21" name="Freeform 20">
              <a:extLst>
                <a:ext uri="{FF2B5EF4-FFF2-40B4-BE49-F238E27FC236}">
                  <a16:creationId xmlns:a16="http://schemas.microsoft.com/office/drawing/2014/main" id="{00000000-0008-0000-0000-000015000000}"/>
                </a:ext>
              </a:extLst>
            </xdr:cNvPr>
            <xdr:cNvSpPr/>
          </xdr:nvSpPr>
          <xdr:spPr>
            <a:xfrm>
              <a:off x="3786868" y="84058125"/>
              <a:ext cx="3152775" cy="2737757"/>
            </a:xfrm>
            <a:custGeom>
              <a:avLst/>
              <a:gdLst>
                <a:gd name="connsiteX0" fmla="*/ 133350 w 3152775"/>
                <a:gd name="connsiteY0" fmla="*/ 2724150 h 2724150"/>
                <a:gd name="connsiteX1" fmla="*/ 0 w 3152775"/>
                <a:gd name="connsiteY1" fmla="*/ 1695450 h 2724150"/>
                <a:gd name="connsiteX2" fmla="*/ 76200 w 3152775"/>
                <a:gd name="connsiteY2" fmla="*/ 552450 h 2724150"/>
                <a:gd name="connsiteX3" fmla="*/ 1028700 w 3152775"/>
                <a:gd name="connsiteY3" fmla="*/ 0 h 2724150"/>
                <a:gd name="connsiteX4" fmla="*/ 1343025 w 3152775"/>
                <a:gd name="connsiteY4" fmla="*/ 381000 h 2724150"/>
                <a:gd name="connsiteX5" fmla="*/ 1257300 w 3152775"/>
                <a:gd name="connsiteY5" fmla="*/ 952500 h 2724150"/>
                <a:gd name="connsiteX6" fmla="*/ 3152775 w 3152775"/>
                <a:gd name="connsiteY6" fmla="*/ 1333500 h 2724150"/>
                <a:gd name="connsiteX7" fmla="*/ 3086100 w 3152775"/>
                <a:gd name="connsiteY7" fmla="*/ 2305050 h 2724150"/>
                <a:gd name="connsiteX8" fmla="*/ 1895475 w 3152775"/>
                <a:gd name="connsiteY8" fmla="*/ 2000250 h 2724150"/>
                <a:gd name="connsiteX9" fmla="*/ 1828800 w 3152775"/>
                <a:gd name="connsiteY9" fmla="*/ 1905000 h 2724150"/>
                <a:gd name="connsiteX10" fmla="*/ 1552575 w 3152775"/>
                <a:gd name="connsiteY10" fmla="*/ 2057400 h 2724150"/>
                <a:gd name="connsiteX11" fmla="*/ 1419225 w 3152775"/>
                <a:gd name="connsiteY11" fmla="*/ 2057400 h 2724150"/>
                <a:gd name="connsiteX12" fmla="*/ 1419225 w 3152775"/>
                <a:gd name="connsiteY12" fmla="*/ 2286000 h 2724150"/>
                <a:gd name="connsiteX13" fmla="*/ 1362075 w 3152775"/>
                <a:gd name="connsiteY13" fmla="*/ 2505075 h 2724150"/>
                <a:gd name="connsiteX14" fmla="*/ 133350 w 3152775"/>
                <a:gd name="connsiteY14" fmla="*/ 2724150 h 2724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3152775" h="2724150">
                  <a:moveTo>
                    <a:pt x="133350" y="2724150"/>
                  </a:moveTo>
                  <a:lnTo>
                    <a:pt x="0" y="1695450"/>
                  </a:lnTo>
                  <a:lnTo>
                    <a:pt x="76200" y="552450"/>
                  </a:lnTo>
                  <a:lnTo>
                    <a:pt x="1028700" y="0"/>
                  </a:lnTo>
                  <a:lnTo>
                    <a:pt x="1343025" y="381000"/>
                  </a:lnTo>
                  <a:lnTo>
                    <a:pt x="1257300" y="952500"/>
                  </a:lnTo>
                  <a:lnTo>
                    <a:pt x="3152775" y="1333500"/>
                  </a:lnTo>
                  <a:lnTo>
                    <a:pt x="3086100" y="2305050"/>
                  </a:lnTo>
                  <a:lnTo>
                    <a:pt x="1895475" y="2000250"/>
                  </a:lnTo>
                  <a:lnTo>
                    <a:pt x="1828800" y="1905000"/>
                  </a:lnTo>
                  <a:lnTo>
                    <a:pt x="1552575" y="2057400"/>
                  </a:lnTo>
                  <a:lnTo>
                    <a:pt x="1419225" y="2057400"/>
                  </a:lnTo>
                  <a:lnTo>
                    <a:pt x="1419225" y="2286000"/>
                  </a:lnTo>
                  <a:lnTo>
                    <a:pt x="1362075" y="2505075"/>
                  </a:lnTo>
                  <a:lnTo>
                    <a:pt x="133350" y="2724150"/>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grpSp>
    <xdr:clientData/>
  </xdr:twoCellAnchor>
  <xdr:twoCellAnchor>
    <xdr:from>
      <xdr:col>0</xdr:col>
      <xdr:colOff>735105</xdr:colOff>
      <xdr:row>216</xdr:row>
      <xdr:rowOff>251012</xdr:rowOff>
    </xdr:from>
    <xdr:to>
      <xdr:col>8</xdr:col>
      <xdr:colOff>982915</xdr:colOff>
      <xdr:row>263</xdr:row>
      <xdr:rowOff>140394</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735105" y="73618165"/>
          <a:ext cx="9248375" cy="12529617"/>
          <a:chOff x="406602" y="75940102"/>
          <a:chExt cx="9667820" cy="13411472"/>
        </a:xfrm>
      </xdr:grpSpPr>
      <xdr:grpSp>
        <xdr:nvGrpSpPr>
          <xdr:cNvPr id="54" name="Group 53">
            <a:extLst>
              <a:ext uri="{FF2B5EF4-FFF2-40B4-BE49-F238E27FC236}">
                <a16:creationId xmlns:a16="http://schemas.microsoft.com/office/drawing/2014/main" id="{00000000-0008-0000-0000-000036000000}"/>
              </a:ext>
            </a:extLst>
          </xdr:cNvPr>
          <xdr:cNvGrpSpPr/>
        </xdr:nvGrpSpPr>
        <xdr:grpSpPr>
          <a:xfrm>
            <a:off x="406602" y="81119440"/>
            <a:ext cx="9667820" cy="8232134"/>
            <a:chOff x="242455" y="62888813"/>
            <a:chExt cx="9671585" cy="8349273"/>
          </a:xfrm>
        </xdr:grpSpPr>
        <xdr:grpSp>
          <xdr:nvGrpSpPr>
            <xdr:cNvPr id="12" name="Group 11">
              <a:extLst>
                <a:ext uri="{FF2B5EF4-FFF2-40B4-BE49-F238E27FC236}">
                  <a16:creationId xmlns:a16="http://schemas.microsoft.com/office/drawing/2014/main" id="{00000000-0008-0000-0000-00000C000000}"/>
                </a:ext>
              </a:extLst>
            </xdr:cNvPr>
            <xdr:cNvGrpSpPr/>
          </xdr:nvGrpSpPr>
          <xdr:grpSpPr>
            <a:xfrm>
              <a:off x="242455" y="62888813"/>
              <a:ext cx="9671585" cy="8349273"/>
              <a:chOff x="242455" y="62553273"/>
              <a:chExt cx="9706221" cy="8280000"/>
            </a:xfrm>
          </xdr:grpSpPr>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6"/>
              <a:stretch>
                <a:fillRect/>
              </a:stretch>
            </xdr:blipFill>
            <xdr:spPr>
              <a:xfrm>
                <a:off x="242455" y="62553273"/>
                <a:ext cx="9706221" cy="8280000"/>
              </a:xfrm>
              <a:prstGeom prst="rect">
                <a:avLst/>
              </a:prstGeom>
              <a:ln>
                <a:solidFill>
                  <a:schemeClr val="tx1"/>
                </a:solidFill>
              </a:ln>
            </xdr:spPr>
          </xdr:pic>
          <xdr:sp macro="" textlink="">
            <xdr:nvSpPr>
              <xdr:cNvPr id="19" name="Rectangle 18">
                <a:extLst>
                  <a:ext uri="{FF2B5EF4-FFF2-40B4-BE49-F238E27FC236}">
                    <a16:creationId xmlns:a16="http://schemas.microsoft.com/office/drawing/2014/main" id="{00000000-0008-0000-0000-000013000000}"/>
                  </a:ext>
                </a:extLst>
              </xdr:cNvPr>
              <xdr:cNvSpPr/>
            </xdr:nvSpPr>
            <xdr:spPr>
              <a:xfrm rot="19763414">
                <a:off x="2024211" y="63787191"/>
                <a:ext cx="1463892" cy="1241566"/>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33" name="Rectangle 32">
                <a:extLst>
                  <a:ext uri="{FF2B5EF4-FFF2-40B4-BE49-F238E27FC236}">
                    <a16:creationId xmlns:a16="http://schemas.microsoft.com/office/drawing/2014/main" id="{00000000-0008-0000-0000-000021000000}"/>
                  </a:ext>
                </a:extLst>
              </xdr:cNvPr>
              <xdr:cNvSpPr/>
            </xdr:nvSpPr>
            <xdr:spPr>
              <a:xfrm>
                <a:off x="1610591" y="68295981"/>
                <a:ext cx="2043544" cy="1097974"/>
              </a:xfrm>
              <a:prstGeom prst="rect">
                <a:avLst/>
              </a:prstGeom>
              <a:noFill/>
              <a:ln w="762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34" name="Rectangle 33">
                <a:extLst>
                  <a:ext uri="{FF2B5EF4-FFF2-40B4-BE49-F238E27FC236}">
                    <a16:creationId xmlns:a16="http://schemas.microsoft.com/office/drawing/2014/main" id="{00000000-0008-0000-0000-000022000000}"/>
                  </a:ext>
                </a:extLst>
              </xdr:cNvPr>
              <xdr:cNvSpPr/>
            </xdr:nvSpPr>
            <xdr:spPr>
              <a:xfrm rot="16200000">
                <a:off x="297947" y="66448945"/>
                <a:ext cx="1625291" cy="835727"/>
              </a:xfrm>
              <a:prstGeom prst="rect">
                <a:avLst/>
              </a:prstGeom>
              <a:noFill/>
              <a:ln w="762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35" name="Rectangle 34">
                <a:extLst>
                  <a:ext uri="{FF2B5EF4-FFF2-40B4-BE49-F238E27FC236}">
                    <a16:creationId xmlns:a16="http://schemas.microsoft.com/office/drawing/2014/main" id="{00000000-0008-0000-0000-000023000000}"/>
                  </a:ext>
                </a:extLst>
              </xdr:cNvPr>
              <xdr:cNvSpPr/>
            </xdr:nvSpPr>
            <xdr:spPr>
              <a:xfrm rot="19763414">
                <a:off x="762297" y="64499190"/>
                <a:ext cx="1386247" cy="1252019"/>
              </a:xfrm>
              <a:prstGeom prst="rect">
                <a:avLst/>
              </a:prstGeom>
              <a:noFill/>
              <a:ln w="762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36" name="Rectangle 35">
                <a:extLst>
                  <a:ext uri="{FF2B5EF4-FFF2-40B4-BE49-F238E27FC236}">
                    <a16:creationId xmlns:a16="http://schemas.microsoft.com/office/drawing/2014/main" id="{00000000-0008-0000-0000-000024000000}"/>
                  </a:ext>
                </a:extLst>
              </xdr:cNvPr>
              <xdr:cNvSpPr/>
            </xdr:nvSpPr>
            <xdr:spPr>
              <a:xfrm rot="16200000">
                <a:off x="62842" y="68395930"/>
                <a:ext cx="2130136" cy="835727"/>
              </a:xfrm>
              <a:prstGeom prst="rect">
                <a:avLst/>
              </a:prstGeom>
              <a:noFill/>
              <a:ln w="762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3359729" y="63436499"/>
                <a:ext cx="1385454" cy="67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Phase</a:t>
                </a:r>
                <a:r>
                  <a:rPr lang="en-IN" sz="2400" b="1" baseline="0">
                    <a:solidFill>
                      <a:srgbClr val="FF0000"/>
                    </a:solidFill>
                  </a:rPr>
                  <a:t> 4 </a:t>
                </a:r>
                <a:endParaRPr lang="en-IN" sz="2400" b="1">
                  <a:solidFill>
                    <a:srgbClr val="FF0000"/>
                  </a:solidFill>
                </a:endParaRPr>
              </a:p>
            </xdr:txBody>
          </xdr:sp>
          <xdr:sp macro="" textlink="">
            <xdr:nvSpPr>
              <xdr:cNvPr id="41" name="TextBox 40">
                <a:extLst>
                  <a:ext uri="{FF2B5EF4-FFF2-40B4-BE49-F238E27FC236}">
                    <a16:creationId xmlns:a16="http://schemas.microsoft.com/office/drawing/2014/main" id="{00000000-0008-0000-0000-000029000000}"/>
                  </a:ext>
                </a:extLst>
              </xdr:cNvPr>
              <xdr:cNvSpPr txBox="1"/>
            </xdr:nvSpPr>
            <xdr:spPr>
              <a:xfrm>
                <a:off x="2168236" y="67769509"/>
                <a:ext cx="1385454" cy="67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002060"/>
                    </a:solidFill>
                  </a:rPr>
                  <a:t>Phase</a:t>
                </a:r>
                <a:r>
                  <a:rPr lang="en-IN" sz="2400" b="1" baseline="0">
                    <a:solidFill>
                      <a:srgbClr val="002060"/>
                    </a:solidFill>
                  </a:rPr>
                  <a:t> 3 </a:t>
                </a:r>
                <a:endParaRPr lang="en-IN" sz="2400" b="1">
                  <a:solidFill>
                    <a:srgbClr val="002060"/>
                  </a:solidFill>
                </a:endParaRPr>
              </a:p>
            </xdr:txBody>
          </xdr:sp>
          <xdr:sp macro="" textlink="">
            <xdr:nvSpPr>
              <xdr:cNvPr id="42" name="TextBox 41">
                <a:extLst>
                  <a:ext uri="{FF2B5EF4-FFF2-40B4-BE49-F238E27FC236}">
                    <a16:creationId xmlns:a16="http://schemas.microsoft.com/office/drawing/2014/main" id="{00000000-0008-0000-0000-00002A000000}"/>
                  </a:ext>
                </a:extLst>
              </xdr:cNvPr>
              <xdr:cNvSpPr txBox="1"/>
            </xdr:nvSpPr>
            <xdr:spPr>
              <a:xfrm>
                <a:off x="1558636" y="66120819"/>
                <a:ext cx="1385454" cy="67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ysClr val="windowText" lastClr="000000"/>
                    </a:solidFill>
                  </a:rPr>
                  <a:t>Phase</a:t>
                </a:r>
                <a:r>
                  <a:rPr lang="en-IN" sz="2400" b="1" baseline="0">
                    <a:solidFill>
                      <a:sysClr val="windowText" lastClr="000000"/>
                    </a:solidFill>
                  </a:rPr>
                  <a:t> 2</a:t>
                </a:r>
                <a:endParaRPr lang="en-IN" sz="2400" b="1">
                  <a:solidFill>
                    <a:sysClr val="windowText" lastClr="000000"/>
                  </a:solidFill>
                </a:endParaRPr>
              </a:p>
            </xdr:txBody>
          </xdr:sp>
          <xdr:sp macro="" textlink="">
            <xdr:nvSpPr>
              <xdr:cNvPr id="43" name="TextBox 42">
                <a:extLst>
                  <a:ext uri="{FF2B5EF4-FFF2-40B4-BE49-F238E27FC236}">
                    <a16:creationId xmlns:a16="http://schemas.microsoft.com/office/drawing/2014/main" id="{00000000-0008-0000-0000-00002B000000}"/>
                  </a:ext>
                </a:extLst>
              </xdr:cNvPr>
              <xdr:cNvSpPr txBox="1"/>
            </xdr:nvSpPr>
            <xdr:spPr>
              <a:xfrm>
                <a:off x="481444" y="63883310"/>
                <a:ext cx="1385454" cy="67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FF00"/>
                    </a:solidFill>
                  </a:rPr>
                  <a:t>Phase</a:t>
                </a:r>
                <a:r>
                  <a:rPr lang="en-IN" sz="2400" b="1" baseline="0">
                    <a:solidFill>
                      <a:srgbClr val="FFFF00"/>
                    </a:solidFill>
                  </a:rPr>
                  <a:t> 1 </a:t>
                </a:r>
                <a:endParaRPr lang="en-IN" sz="2400" b="1">
                  <a:solidFill>
                    <a:srgbClr val="FFFF00"/>
                  </a:solidFill>
                </a:endParaRPr>
              </a:p>
            </xdr:txBody>
          </xdr:sp>
          <xdr:sp macro="" textlink="">
            <xdr:nvSpPr>
              <xdr:cNvPr id="44" name="TextBox 43">
                <a:extLst>
                  <a:ext uri="{FF2B5EF4-FFF2-40B4-BE49-F238E27FC236}">
                    <a16:creationId xmlns:a16="http://schemas.microsoft.com/office/drawing/2014/main" id="{00000000-0008-0000-0000-00002C000000}"/>
                  </a:ext>
                </a:extLst>
              </xdr:cNvPr>
              <xdr:cNvSpPr txBox="1"/>
            </xdr:nvSpPr>
            <xdr:spPr>
              <a:xfrm>
                <a:off x="2192481" y="64104982"/>
                <a:ext cx="1385454" cy="67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Tower</a:t>
                </a:r>
                <a:r>
                  <a:rPr lang="en-IN" sz="2400" b="1" baseline="0">
                    <a:solidFill>
                      <a:srgbClr val="FF0000"/>
                    </a:solidFill>
                  </a:rPr>
                  <a:t> 1 </a:t>
                </a:r>
                <a:endParaRPr lang="en-IN" sz="2400" b="1">
                  <a:solidFill>
                    <a:srgbClr val="FF0000"/>
                  </a:solidFill>
                </a:endParaRPr>
              </a:p>
            </xdr:txBody>
          </xdr:sp>
          <xdr:sp macro="" textlink="">
            <xdr:nvSpPr>
              <xdr:cNvPr id="45" name="TextBox 44">
                <a:extLst>
                  <a:ext uri="{FF2B5EF4-FFF2-40B4-BE49-F238E27FC236}">
                    <a16:creationId xmlns:a16="http://schemas.microsoft.com/office/drawing/2014/main" id="{00000000-0008-0000-0000-00002D000000}"/>
                  </a:ext>
                </a:extLst>
              </xdr:cNvPr>
              <xdr:cNvSpPr txBox="1"/>
            </xdr:nvSpPr>
            <xdr:spPr>
              <a:xfrm>
                <a:off x="536865" y="69948137"/>
                <a:ext cx="1385454" cy="67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FF00"/>
                    </a:solidFill>
                  </a:rPr>
                  <a:t>Phase</a:t>
                </a:r>
                <a:r>
                  <a:rPr lang="en-IN" sz="2400" b="1" baseline="0">
                    <a:solidFill>
                      <a:srgbClr val="FFFF00"/>
                    </a:solidFill>
                  </a:rPr>
                  <a:t> 1 </a:t>
                </a:r>
                <a:endParaRPr lang="en-IN" sz="2400" b="1">
                  <a:solidFill>
                    <a:srgbClr val="FFFF00"/>
                  </a:solidFill>
                </a:endParaRPr>
              </a:p>
            </xdr:txBody>
          </xdr:sp>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917864" y="64839273"/>
                <a:ext cx="1385454" cy="67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FF00"/>
                    </a:solidFill>
                  </a:rPr>
                  <a:t>Tower</a:t>
                </a:r>
                <a:r>
                  <a:rPr lang="en-IN" sz="2400" b="1" baseline="0">
                    <a:solidFill>
                      <a:srgbClr val="FFFF00"/>
                    </a:solidFill>
                  </a:rPr>
                  <a:t> 2 </a:t>
                </a:r>
                <a:endParaRPr lang="en-IN" sz="2400" b="1">
                  <a:solidFill>
                    <a:srgbClr val="FFFF00"/>
                  </a:solidFill>
                </a:endParaRPr>
              </a:p>
            </xdr:txBody>
          </xdr:sp>
          <xdr:sp macro="" textlink="">
            <xdr:nvSpPr>
              <xdr:cNvPr id="47" name="TextBox 46">
                <a:extLst>
                  <a:ext uri="{FF2B5EF4-FFF2-40B4-BE49-F238E27FC236}">
                    <a16:creationId xmlns:a16="http://schemas.microsoft.com/office/drawing/2014/main" id="{00000000-0008-0000-0000-00002F000000}"/>
                  </a:ext>
                </a:extLst>
              </xdr:cNvPr>
              <xdr:cNvSpPr txBox="1"/>
            </xdr:nvSpPr>
            <xdr:spPr>
              <a:xfrm rot="16200000">
                <a:off x="481445" y="68143582"/>
                <a:ext cx="1385454" cy="67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FF00"/>
                    </a:solidFill>
                  </a:rPr>
                  <a:t>Tower</a:t>
                </a:r>
                <a:r>
                  <a:rPr lang="en-IN" sz="2400" b="1" baseline="0">
                    <a:solidFill>
                      <a:srgbClr val="FFFF00"/>
                    </a:solidFill>
                  </a:rPr>
                  <a:t> 4 </a:t>
                </a:r>
                <a:endParaRPr lang="en-IN" sz="2400" b="1">
                  <a:solidFill>
                    <a:srgbClr val="FFFF00"/>
                  </a:solidFill>
                </a:endParaRPr>
              </a:p>
            </xdr:txBody>
          </xdr:sp>
          <xdr:sp macro="" textlink="">
            <xdr:nvSpPr>
              <xdr:cNvPr id="48" name="TextBox 47">
                <a:extLst>
                  <a:ext uri="{FF2B5EF4-FFF2-40B4-BE49-F238E27FC236}">
                    <a16:creationId xmlns:a16="http://schemas.microsoft.com/office/drawing/2014/main" id="{00000000-0008-0000-0000-000030000000}"/>
                  </a:ext>
                </a:extLst>
              </xdr:cNvPr>
              <xdr:cNvSpPr txBox="1"/>
            </xdr:nvSpPr>
            <xdr:spPr>
              <a:xfrm rot="16200000">
                <a:off x="519546" y="66432545"/>
                <a:ext cx="1385454" cy="67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ysClr val="windowText" lastClr="000000"/>
                    </a:solidFill>
                  </a:rPr>
                  <a:t>Tower</a:t>
                </a:r>
                <a:r>
                  <a:rPr lang="en-IN" sz="2400" b="1" baseline="0">
                    <a:solidFill>
                      <a:sysClr val="windowText" lastClr="000000"/>
                    </a:solidFill>
                  </a:rPr>
                  <a:t> 3</a:t>
                </a:r>
                <a:endParaRPr lang="en-IN" sz="2400" b="1">
                  <a:solidFill>
                    <a:sysClr val="windowText" lastClr="000000"/>
                  </a:solidFill>
                </a:endParaRPr>
              </a:p>
            </xdr:txBody>
          </xdr:sp>
          <xdr:sp macro="" textlink="">
            <xdr:nvSpPr>
              <xdr:cNvPr id="49" name="TextBox 48">
                <a:extLst>
                  <a:ext uri="{FF2B5EF4-FFF2-40B4-BE49-F238E27FC236}">
                    <a16:creationId xmlns:a16="http://schemas.microsoft.com/office/drawing/2014/main" id="{00000000-0008-0000-0000-000031000000}"/>
                  </a:ext>
                </a:extLst>
              </xdr:cNvPr>
              <xdr:cNvSpPr txBox="1"/>
            </xdr:nvSpPr>
            <xdr:spPr>
              <a:xfrm>
                <a:off x="2017569" y="68519386"/>
                <a:ext cx="1385454" cy="67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002060"/>
                    </a:solidFill>
                  </a:rPr>
                  <a:t>Tower</a:t>
                </a:r>
                <a:r>
                  <a:rPr lang="en-IN" sz="2400" b="1" baseline="0">
                    <a:solidFill>
                      <a:srgbClr val="002060"/>
                    </a:solidFill>
                  </a:rPr>
                  <a:t> 5</a:t>
                </a:r>
                <a:endParaRPr lang="en-IN" sz="2400" b="1">
                  <a:solidFill>
                    <a:srgbClr val="002060"/>
                  </a:solidFill>
                </a:endParaRPr>
              </a:p>
            </xdr:txBody>
          </xdr:sp>
        </xdr:grpSp>
        <xdr:cxnSp macro="">
          <xdr:nvCxnSpPr>
            <xdr:cNvPr id="15" name="Straight Arrow Connector 14">
              <a:extLst>
                <a:ext uri="{FF2B5EF4-FFF2-40B4-BE49-F238E27FC236}">
                  <a16:creationId xmlns:a16="http://schemas.microsoft.com/office/drawing/2014/main" id="{00000000-0008-0000-0000-00000F000000}"/>
                </a:ext>
              </a:extLst>
            </xdr:cNvPr>
            <xdr:cNvCxnSpPr/>
          </xdr:nvCxnSpPr>
          <xdr:spPr>
            <a:xfrm flipV="1">
              <a:off x="9317182" y="63536079"/>
              <a:ext cx="0" cy="768495"/>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0" name="TextBox 49">
              <a:extLst>
                <a:ext uri="{FF2B5EF4-FFF2-40B4-BE49-F238E27FC236}">
                  <a16:creationId xmlns:a16="http://schemas.microsoft.com/office/drawing/2014/main" id="{00000000-0008-0000-0000-000032000000}"/>
                </a:ext>
              </a:extLst>
            </xdr:cNvPr>
            <xdr:cNvSpPr txBox="1"/>
          </xdr:nvSpPr>
          <xdr:spPr>
            <a:xfrm>
              <a:off x="9120189" y="63046842"/>
              <a:ext cx="554182" cy="679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800" b="1">
                  <a:solidFill>
                    <a:srgbClr val="FF0000"/>
                  </a:solidFill>
                </a:rPr>
                <a:t>N</a:t>
              </a:r>
            </a:p>
          </xdr:txBody>
        </xdr:sp>
      </xdr:grpSp>
      <xdr:grpSp>
        <xdr:nvGrpSpPr>
          <xdr:cNvPr id="16" name="Group 15">
            <a:extLst>
              <a:ext uri="{FF2B5EF4-FFF2-40B4-BE49-F238E27FC236}">
                <a16:creationId xmlns:a16="http://schemas.microsoft.com/office/drawing/2014/main" id="{00000000-0008-0000-0000-000010000000}"/>
              </a:ext>
            </a:extLst>
          </xdr:cNvPr>
          <xdr:cNvGrpSpPr/>
        </xdr:nvGrpSpPr>
        <xdr:grpSpPr>
          <a:xfrm>
            <a:off x="2261384" y="75940102"/>
            <a:ext cx="6015197" cy="4912860"/>
            <a:chOff x="2195513" y="71670863"/>
            <a:chExt cx="6025402" cy="4977494"/>
          </a:xfrm>
        </xdr:grpSpPr>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2195513" y="71670863"/>
              <a:ext cx="6025402" cy="4977494"/>
            </a:xfrm>
            <a:prstGeom prst="rect">
              <a:avLst/>
            </a:prstGeom>
            <a:ln>
              <a:solidFill>
                <a:schemeClr val="tx1"/>
              </a:solidFill>
            </a:ln>
          </xdr:spPr>
        </xdr:pic>
        <xdr:cxnSp macro="">
          <xdr:nvCxnSpPr>
            <xdr:cNvPr id="52" name="Straight Arrow Connector 51">
              <a:extLst>
                <a:ext uri="{FF2B5EF4-FFF2-40B4-BE49-F238E27FC236}">
                  <a16:creationId xmlns:a16="http://schemas.microsoft.com/office/drawing/2014/main" id="{00000000-0008-0000-0000-000034000000}"/>
                </a:ext>
              </a:extLst>
            </xdr:cNvPr>
            <xdr:cNvCxnSpPr/>
          </xdr:nvCxnSpPr>
          <xdr:spPr>
            <a:xfrm flipV="1">
              <a:off x="2530619" y="72279162"/>
              <a:ext cx="0" cy="768495"/>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TextBox 52">
              <a:extLst>
                <a:ext uri="{FF2B5EF4-FFF2-40B4-BE49-F238E27FC236}">
                  <a16:creationId xmlns:a16="http://schemas.microsoft.com/office/drawing/2014/main" id="{00000000-0008-0000-0000-000035000000}"/>
                </a:ext>
              </a:extLst>
            </xdr:cNvPr>
            <xdr:cNvSpPr txBox="1"/>
          </xdr:nvSpPr>
          <xdr:spPr>
            <a:xfrm>
              <a:off x="2333625" y="71789925"/>
              <a:ext cx="554182" cy="679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800" b="1">
                  <a:solidFill>
                    <a:srgbClr val="FF0000"/>
                  </a:solidFill>
                </a:rPr>
                <a:t>N</a:t>
              </a:r>
            </a:p>
          </xdr:txBody>
        </xdr:sp>
      </xdr:grpSp>
    </xdr:grpSp>
    <xdr:clientData/>
  </xdr:twoCellAnchor>
  <xdr:twoCellAnchor editAs="oneCell">
    <xdr:from>
      <xdr:col>11</xdr:col>
      <xdr:colOff>182768</xdr:colOff>
      <xdr:row>100</xdr:row>
      <xdr:rowOff>68032</xdr:rowOff>
    </xdr:from>
    <xdr:to>
      <xdr:col>17</xdr:col>
      <xdr:colOff>418028</xdr:colOff>
      <xdr:row>113</xdr:row>
      <xdr:rowOff>191388</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8"/>
        <a:stretch>
          <a:fillRect/>
        </a:stretch>
      </xdr:blipFill>
      <xdr:spPr>
        <a:xfrm>
          <a:off x="12963586" y="40021077"/>
          <a:ext cx="4786886" cy="3777493"/>
        </a:xfrm>
        <a:prstGeom prst="rect">
          <a:avLst/>
        </a:prstGeom>
      </xdr:spPr>
    </xdr:pic>
    <xdr:clientData/>
  </xdr:twoCellAnchor>
  <xdr:twoCellAnchor editAs="oneCell">
    <xdr:from>
      <xdr:col>11</xdr:col>
      <xdr:colOff>554183</xdr:colOff>
      <xdr:row>117</xdr:row>
      <xdr:rowOff>69272</xdr:rowOff>
    </xdr:from>
    <xdr:to>
      <xdr:col>18</xdr:col>
      <xdr:colOff>205945</xdr:colOff>
      <xdr:row>128</xdr:row>
      <xdr:rowOff>224756</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9"/>
        <a:stretch>
          <a:fillRect/>
        </a:stretch>
      </xdr:blipFill>
      <xdr:spPr>
        <a:xfrm>
          <a:off x="13335001" y="44715545"/>
          <a:ext cx="4809524" cy="3047619"/>
        </a:xfrm>
        <a:prstGeom prst="rect">
          <a:avLst/>
        </a:prstGeom>
      </xdr:spPr>
    </xdr:pic>
    <xdr:clientData/>
  </xdr:twoCellAnchor>
  <xdr:twoCellAnchor>
    <xdr:from>
      <xdr:col>9</xdr:col>
      <xdr:colOff>1344705</xdr:colOff>
      <xdr:row>170</xdr:row>
      <xdr:rowOff>188260</xdr:rowOff>
    </xdr:from>
    <xdr:to>
      <xdr:col>25</xdr:col>
      <xdr:colOff>385482</xdr:colOff>
      <xdr:row>197</xdr:row>
      <xdr:rowOff>125507</xdr:rowOff>
    </xdr:to>
    <xdr:grpSp>
      <xdr:nvGrpSpPr>
        <xdr:cNvPr id="4" name="Group 3">
          <a:extLst>
            <a:ext uri="{FF2B5EF4-FFF2-40B4-BE49-F238E27FC236}">
              <a16:creationId xmlns:a16="http://schemas.microsoft.com/office/drawing/2014/main" id="{B20CC841-551C-2808-2EA1-DCF102B92AEC}"/>
            </a:ext>
          </a:extLst>
        </xdr:cNvPr>
        <xdr:cNvGrpSpPr/>
      </xdr:nvGrpSpPr>
      <xdr:grpSpPr>
        <a:xfrm>
          <a:off x="12021670" y="61211013"/>
          <a:ext cx="9296400" cy="7180729"/>
          <a:chOff x="-172081" y="404967"/>
          <a:chExt cx="6923247" cy="5228861"/>
        </a:xfrm>
      </xdr:grpSpPr>
      <xdr:grpSp>
        <xdr:nvGrpSpPr>
          <xdr:cNvPr id="5" name="Group 4">
            <a:extLst>
              <a:ext uri="{FF2B5EF4-FFF2-40B4-BE49-F238E27FC236}">
                <a16:creationId xmlns:a16="http://schemas.microsoft.com/office/drawing/2014/main" id="{B07D10A7-B859-7833-260A-CA52A106F1A2}"/>
              </a:ext>
            </a:extLst>
          </xdr:cNvPr>
          <xdr:cNvGrpSpPr/>
        </xdr:nvGrpSpPr>
        <xdr:grpSpPr>
          <a:xfrm>
            <a:off x="-172081" y="404967"/>
            <a:ext cx="6923247" cy="2520000"/>
            <a:chOff x="-172081" y="404967"/>
            <a:chExt cx="6923247" cy="2520000"/>
          </a:xfrm>
        </xdr:grpSpPr>
        <xdr:pic>
          <xdr:nvPicPr>
            <xdr:cNvPr id="24" name="Picture 23">
              <a:extLst>
                <a:ext uri="{FF2B5EF4-FFF2-40B4-BE49-F238E27FC236}">
                  <a16:creationId xmlns:a16="http://schemas.microsoft.com/office/drawing/2014/main" id="{78194409-EA82-C869-D5B1-3BAAE29F985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72081" y="404967"/>
              <a:ext cx="335689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a:extLst>
                <a:ext uri="{FF2B5EF4-FFF2-40B4-BE49-F238E27FC236}">
                  <a16:creationId xmlns:a16="http://schemas.microsoft.com/office/drawing/2014/main" id="{C16DD8C2-206C-BA69-C2A7-F28DE70F0E2F}"/>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394275" y="404967"/>
              <a:ext cx="335689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grpSp>
        <xdr:nvGrpSpPr>
          <xdr:cNvPr id="6" name="Group 5">
            <a:extLst>
              <a:ext uri="{FF2B5EF4-FFF2-40B4-BE49-F238E27FC236}">
                <a16:creationId xmlns:a16="http://schemas.microsoft.com/office/drawing/2014/main" id="{FF328505-DED1-C980-97E0-16CBE88337C8}"/>
              </a:ext>
            </a:extLst>
          </xdr:cNvPr>
          <xdr:cNvGrpSpPr/>
        </xdr:nvGrpSpPr>
        <xdr:grpSpPr>
          <a:xfrm>
            <a:off x="562239" y="3113828"/>
            <a:ext cx="5454606" cy="2520000"/>
            <a:chOff x="-172081" y="3113828"/>
            <a:chExt cx="5454606" cy="2520000"/>
          </a:xfrm>
        </xdr:grpSpPr>
        <xdr:pic>
          <xdr:nvPicPr>
            <xdr:cNvPr id="18" name="Picture 17">
              <a:extLst>
                <a:ext uri="{FF2B5EF4-FFF2-40B4-BE49-F238E27FC236}">
                  <a16:creationId xmlns:a16="http://schemas.microsoft.com/office/drawing/2014/main" id="{869F62ED-E048-CCA2-B8F9-1A9FD1E01E6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394275" y="3113828"/>
              <a:ext cx="1888250"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3" name="Picture 22">
              <a:extLst>
                <a:ext uri="{FF2B5EF4-FFF2-40B4-BE49-F238E27FC236}">
                  <a16:creationId xmlns:a16="http://schemas.microsoft.com/office/drawing/2014/main" id="{7BEF1E4E-66E2-9047-9819-743D2419E7C8}"/>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081" y="3113828"/>
              <a:ext cx="335689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0</xdr:col>
      <xdr:colOff>1550894</xdr:colOff>
      <xdr:row>172</xdr:row>
      <xdr:rowOff>35858</xdr:rowOff>
    </xdr:from>
    <xdr:to>
      <xdr:col>7</xdr:col>
      <xdr:colOff>932329</xdr:colOff>
      <xdr:row>196</xdr:row>
      <xdr:rowOff>35859</xdr:rowOff>
    </xdr:to>
    <xdr:grpSp>
      <xdr:nvGrpSpPr>
        <xdr:cNvPr id="27" name="Group 26">
          <a:extLst>
            <a:ext uri="{FF2B5EF4-FFF2-40B4-BE49-F238E27FC236}">
              <a16:creationId xmlns:a16="http://schemas.microsoft.com/office/drawing/2014/main" id="{28EEBDF7-7137-9365-259D-3F66D3A80E87}"/>
            </a:ext>
          </a:extLst>
        </xdr:cNvPr>
        <xdr:cNvGrpSpPr/>
      </xdr:nvGrpSpPr>
      <xdr:grpSpPr>
        <a:xfrm>
          <a:off x="1550894" y="61578564"/>
          <a:ext cx="6705600" cy="6454589"/>
          <a:chOff x="579121" y="406240"/>
          <a:chExt cx="5352591" cy="4693200"/>
        </a:xfrm>
      </xdr:grpSpPr>
      <xdr:pic>
        <xdr:nvPicPr>
          <xdr:cNvPr id="28" name="Picture 27">
            <a:extLst>
              <a:ext uri="{FF2B5EF4-FFF2-40B4-BE49-F238E27FC236}">
                <a16:creationId xmlns:a16="http://schemas.microsoft.com/office/drawing/2014/main" id="{E365B839-3CDA-5D67-9AFE-0742E782E8A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4043681" y="3119440"/>
            <a:ext cx="1483453" cy="1980000"/>
          </a:xfrm>
          <a:prstGeom prst="rect">
            <a:avLst/>
          </a:prstGeom>
          <a:ln>
            <a:solidFill>
              <a:schemeClr val="tx1"/>
            </a:solidFill>
          </a:ln>
        </xdr:spPr>
      </xdr:pic>
      <xdr:pic>
        <xdr:nvPicPr>
          <xdr:cNvPr id="29" name="Picture 28">
            <a:extLst>
              <a:ext uri="{FF2B5EF4-FFF2-40B4-BE49-F238E27FC236}">
                <a16:creationId xmlns:a16="http://schemas.microsoft.com/office/drawing/2014/main" id="{B3E71CD3-0506-1856-31D6-B65943A71D24}"/>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579121" y="446880"/>
            <a:ext cx="3356889" cy="2520000"/>
          </a:xfrm>
          <a:prstGeom prst="rect">
            <a:avLst/>
          </a:prstGeom>
          <a:ln>
            <a:solidFill>
              <a:schemeClr val="tx1"/>
            </a:solidFill>
          </a:ln>
        </xdr:spPr>
      </xdr:pic>
      <xdr:pic>
        <xdr:nvPicPr>
          <xdr:cNvPr id="30" name="Picture 29">
            <a:extLst>
              <a:ext uri="{FF2B5EF4-FFF2-40B4-BE49-F238E27FC236}">
                <a16:creationId xmlns:a16="http://schemas.microsoft.com/office/drawing/2014/main" id="{BC3662C5-5D46-2451-2CE6-7E910C3F6CF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tretch>
            <a:fillRect/>
          </a:stretch>
        </xdr:blipFill>
        <xdr:spPr>
          <a:xfrm>
            <a:off x="4043681" y="446880"/>
            <a:ext cx="1888031" cy="2520000"/>
          </a:xfrm>
          <a:prstGeom prst="rect">
            <a:avLst/>
          </a:prstGeom>
          <a:ln>
            <a:solidFill>
              <a:schemeClr val="tx1"/>
            </a:solidFill>
          </a:ln>
        </xdr:spPr>
      </xdr:pic>
      <xdr:pic>
        <xdr:nvPicPr>
          <xdr:cNvPr id="31" name="Picture 30">
            <a:extLst>
              <a:ext uri="{FF2B5EF4-FFF2-40B4-BE49-F238E27FC236}">
                <a16:creationId xmlns:a16="http://schemas.microsoft.com/office/drawing/2014/main" id="{2DD3CF6C-DFA2-D37C-4BD2-BA8672C4244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1298454" y="3119440"/>
            <a:ext cx="2637556" cy="1980000"/>
          </a:xfrm>
          <a:prstGeom prst="rect">
            <a:avLst/>
          </a:prstGeom>
          <a:ln>
            <a:solidFill>
              <a:schemeClr val="tx1"/>
            </a:solidFill>
          </a:ln>
        </xdr:spPr>
      </xdr:pic>
      <xdr:sp macro="" textlink="">
        <xdr:nvSpPr>
          <xdr:cNvPr id="32" name="TextBox 11">
            <a:extLst>
              <a:ext uri="{FF2B5EF4-FFF2-40B4-BE49-F238E27FC236}">
                <a16:creationId xmlns:a16="http://schemas.microsoft.com/office/drawing/2014/main" id="{E1F24AD1-031B-0185-3BF1-402519BD5955}"/>
              </a:ext>
            </a:extLst>
          </xdr:cNvPr>
          <xdr:cNvSpPr txBox="1"/>
        </xdr:nvSpPr>
        <xdr:spPr>
          <a:xfrm>
            <a:off x="2959833" y="446880"/>
            <a:ext cx="93833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Tower 2</a:t>
            </a:r>
            <a:endParaRPr lang="en-IN" b="1"/>
          </a:p>
        </xdr:txBody>
      </xdr:sp>
      <xdr:sp macro="" textlink="">
        <xdr:nvSpPr>
          <xdr:cNvPr id="37" name="TextBox 12">
            <a:extLst>
              <a:ext uri="{FF2B5EF4-FFF2-40B4-BE49-F238E27FC236}">
                <a16:creationId xmlns:a16="http://schemas.microsoft.com/office/drawing/2014/main" id="{6E477EA0-F7B3-0F16-1872-09E87329FEC3}"/>
              </a:ext>
            </a:extLst>
          </xdr:cNvPr>
          <xdr:cNvSpPr txBox="1"/>
        </xdr:nvSpPr>
        <xdr:spPr>
          <a:xfrm>
            <a:off x="4409512" y="406240"/>
            <a:ext cx="690830"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t>Tower 4</a:t>
            </a:r>
            <a:endParaRPr lang="en-IN" sz="1200" b="1"/>
          </a:p>
        </xdr:txBody>
      </xdr:sp>
      <xdr:sp macro="" textlink="">
        <xdr:nvSpPr>
          <xdr:cNvPr id="38" name="TextBox 14">
            <a:extLst>
              <a:ext uri="{FF2B5EF4-FFF2-40B4-BE49-F238E27FC236}">
                <a16:creationId xmlns:a16="http://schemas.microsoft.com/office/drawing/2014/main" id="{09F674FB-C628-ED2E-A07B-687B7B272B9E}"/>
              </a:ext>
            </a:extLst>
          </xdr:cNvPr>
          <xdr:cNvSpPr txBox="1"/>
        </xdr:nvSpPr>
        <xdr:spPr>
          <a:xfrm>
            <a:off x="1298454" y="1706880"/>
            <a:ext cx="770147"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Tower 1</a:t>
            </a:r>
            <a:endParaRPr lang="en-IN" sz="1400" b="1"/>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wRrtjqDJc6NEPBNU6"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310"/>
  <sheetViews>
    <sheetView tabSelected="1" view="pageBreakPreview" zoomScale="85" zoomScaleNormal="85" zoomScaleSheetLayoutView="85" zoomScalePageLayoutView="55" workbookViewId="0">
      <selection activeCell="J5" sqref="J5"/>
    </sheetView>
  </sheetViews>
  <sheetFormatPr defaultColWidth="9.109375" defaultRowHeight="17.100000000000001" customHeight="1" x14ac:dyDescent="0.3"/>
  <cols>
    <col min="1" max="1" width="31.109375" style="1" customWidth="1"/>
    <col min="2" max="2" width="1.33203125" style="1" customWidth="1"/>
    <col min="3" max="3" width="17.44140625" style="1" customWidth="1"/>
    <col min="4" max="4" width="1.44140625" style="13" customWidth="1"/>
    <col min="5" max="6" width="27.109375" style="1" customWidth="1"/>
    <col min="7" max="7" width="1.44140625" style="1" customWidth="1"/>
    <col min="8" max="8" width="24.44140625" style="1" customWidth="1"/>
    <col min="9" max="9" width="24.44140625" style="13" customWidth="1"/>
    <col min="10" max="10" width="26.109375" style="1" customWidth="1"/>
    <col min="11" max="11" width="9.109375" style="1"/>
    <col min="12" max="12" width="14.77734375" style="1" customWidth="1"/>
    <col min="13" max="13" width="16.33203125" style="1" customWidth="1"/>
    <col min="14" max="14" width="9.88671875" style="1" bestFit="1" customWidth="1"/>
    <col min="15" max="20" width="9.109375" style="1"/>
    <col min="21" max="23" width="0" style="1" hidden="1" customWidth="1"/>
    <col min="24" max="26" width="9.109375" style="1"/>
    <col min="27" max="27" width="7.88671875" style="1" customWidth="1"/>
    <col min="28" max="16384" width="9.109375" style="1"/>
  </cols>
  <sheetData>
    <row r="1" spans="1:14" ht="21" x14ac:dyDescent="0.3">
      <c r="A1" s="104" t="s">
        <v>40</v>
      </c>
      <c r="B1" s="105"/>
      <c r="C1" s="105"/>
      <c r="D1" s="105"/>
      <c r="E1" s="105"/>
      <c r="F1" s="105"/>
      <c r="G1" s="105"/>
      <c r="H1" s="105"/>
      <c r="I1" s="106"/>
    </row>
    <row r="2" spans="1:14" ht="42" customHeight="1" x14ac:dyDescent="0.3">
      <c r="A2" s="120" t="s">
        <v>11</v>
      </c>
      <c r="B2" s="120"/>
      <c r="C2" s="120"/>
      <c r="D2" s="4" t="s">
        <v>4</v>
      </c>
      <c r="E2" s="121" t="s">
        <v>89</v>
      </c>
      <c r="F2" s="121"/>
      <c r="G2" s="86" t="s">
        <v>15</v>
      </c>
      <c r="H2" s="86"/>
      <c r="I2" s="59">
        <v>45840</v>
      </c>
    </row>
    <row r="3" spans="1:14" ht="67.5" customHeight="1" x14ac:dyDescent="0.3">
      <c r="A3" s="80" t="s">
        <v>41</v>
      </c>
      <c r="B3" s="81"/>
      <c r="C3" s="82"/>
      <c r="D3" s="18" t="s">
        <v>4</v>
      </c>
      <c r="E3" s="109" t="s">
        <v>245</v>
      </c>
      <c r="F3" s="98"/>
      <c r="G3" s="86" t="s">
        <v>110</v>
      </c>
      <c r="H3" s="86"/>
      <c r="I3" s="59" t="s">
        <v>247</v>
      </c>
      <c r="J3" s="1" t="s">
        <v>246</v>
      </c>
      <c r="L3" s="172">
        <v>45775</v>
      </c>
      <c r="M3" s="172">
        <v>45842</v>
      </c>
    </row>
    <row r="4" spans="1:14" ht="43.5" customHeight="1" x14ac:dyDescent="0.3">
      <c r="A4" s="80" t="s">
        <v>38</v>
      </c>
      <c r="B4" s="81"/>
      <c r="C4" s="82"/>
      <c r="D4" s="25" t="s">
        <v>4</v>
      </c>
      <c r="E4" s="102" t="s">
        <v>204</v>
      </c>
      <c r="F4" s="99"/>
      <c r="G4" s="86" t="s">
        <v>35</v>
      </c>
      <c r="H4" s="86"/>
      <c r="I4" s="17" t="str">
        <f ca="1">TEXT(TODAY(),"DD/MM/YYYY")</f>
        <v>08/07/2025</v>
      </c>
      <c r="M4" s="1">
        <f>M3-L3</f>
        <v>67</v>
      </c>
    </row>
    <row r="5" spans="1:14" ht="21" x14ac:dyDescent="0.3">
      <c r="A5" s="103" t="s">
        <v>42</v>
      </c>
      <c r="B5" s="103"/>
      <c r="C5" s="103"/>
      <c r="D5" s="103"/>
      <c r="E5" s="103"/>
      <c r="F5" s="103"/>
      <c r="G5" s="103"/>
      <c r="H5" s="103"/>
      <c r="I5" s="112"/>
    </row>
    <row r="6" spans="1:14" ht="45" customHeight="1" x14ac:dyDescent="0.3">
      <c r="A6" s="122" t="s">
        <v>31</v>
      </c>
      <c r="B6" s="122"/>
      <c r="C6" s="122"/>
      <c r="D6" s="2" t="s">
        <v>4</v>
      </c>
      <c r="E6" s="19" t="s">
        <v>93</v>
      </c>
      <c r="F6" s="18" t="s">
        <v>37</v>
      </c>
      <c r="G6" s="2" t="s">
        <v>4</v>
      </c>
      <c r="H6" s="96" t="s">
        <v>248</v>
      </c>
      <c r="I6" s="96"/>
    </row>
    <row r="7" spans="1:14" ht="43.5" customHeight="1" x14ac:dyDescent="0.3">
      <c r="A7" s="122" t="s">
        <v>44</v>
      </c>
      <c r="B7" s="122"/>
      <c r="C7" s="122"/>
      <c r="D7" s="2" t="s">
        <v>4</v>
      </c>
      <c r="E7" s="5" t="s">
        <v>172</v>
      </c>
      <c r="F7" s="18" t="s">
        <v>45</v>
      </c>
      <c r="G7" s="2" t="s">
        <v>4</v>
      </c>
      <c r="H7" s="102" t="s">
        <v>172</v>
      </c>
      <c r="I7" s="99"/>
      <c r="N7" s="49">
        <f>10.764</f>
        <v>10.763999999999999</v>
      </c>
    </row>
    <row r="8" spans="1:14" ht="22.5" customHeight="1" x14ac:dyDescent="0.3">
      <c r="A8" s="122" t="s">
        <v>46</v>
      </c>
      <c r="B8" s="122"/>
      <c r="C8" s="122"/>
      <c r="D8" s="2" t="s">
        <v>4</v>
      </c>
      <c r="E8" s="123" t="s">
        <v>241</v>
      </c>
      <c r="F8" s="123"/>
      <c r="G8" s="123"/>
      <c r="H8" s="123"/>
      <c r="I8" s="123"/>
    </row>
    <row r="9" spans="1:14" ht="46.5" customHeight="1" x14ac:dyDescent="0.3">
      <c r="A9" s="86" t="s">
        <v>151</v>
      </c>
      <c r="B9" s="18" t="s">
        <v>4</v>
      </c>
      <c r="C9" s="18" t="s">
        <v>43</v>
      </c>
      <c r="D9" s="2" t="s">
        <v>4</v>
      </c>
      <c r="E9" s="102" t="s">
        <v>243</v>
      </c>
      <c r="F9" s="98"/>
      <c r="G9" s="98"/>
      <c r="H9" s="98"/>
      <c r="I9" s="99"/>
      <c r="L9" s="49"/>
      <c r="N9" s="50"/>
    </row>
    <row r="10" spans="1:14" ht="70.5" customHeight="1" x14ac:dyDescent="0.3">
      <c r="A10" s="86"/>
      <c r="B10" s="18" t="s">
        <v>4</v>
      </c>
      <c r="C10" s="18" t="s">
        <v>14</v>
      </c>
      <c r="D10" s="2" t="s">
        <v>4</v>
      </c>
      <c r="E10" s="102" t="s">
        <v>242</v>
      </c>
      <c r="F10" s="98"/>
      <c r="G10" s="98"/>
      <c r="H10" s="98"/>
      <c r="I10" s="99"/>
    </row>
    <row r="11" spans="1:14" ht="43.2" customHeight="1" x14ac:dyDescent="0.3">
      <c r="A11" s="86"/>
      <c r="B11" s="18" t="s">
        <v>4</v>
      </c>
      <c r="C11" s="18" t="s">
        <v>5</v>
      </c>
      <c r="D11" s="2" t="s">
        <v>4</v>
      </c>
      <c r="E11" s="102" t="s">
        <v>244</v>
      </c>
      <c r="F11" s="98"/>
      <c r="G11" s="98"/>
      <c r="H11" s="98"/>
      <c r="I11" s="99"/>
    </row>
    <row r="12" spans="1:14" ht="21" x14ac:dyDescent="0.3">
      <c r="A12" s="86" t="s">
        <v>36</v>
      </c>
      <c r="B12" s="86"/>
      <c r="C12" s="86"/>
      <c r="D12" s="2" t="s">
        <v>4</v>
      </c>
      <c r="E12" s="96" t="s">
        <v>219</v>
      </c>
      <c r="F12" s="96"/>
      <c r="G12" s="96"/>
      <c r="H12" s="96"/>
      <c r="I12" s="96"/>
    </row>
    <row r="13" spans="1:14" ht="20.100000000000001" customHeight="1" x14ac:dyDescent="0.3">
      <c r="A13" s="103" t="s">
        <v>47</v>
      </c>
      <c r="B13" s="103"/>
      <c r="C13" s="103"/>
      <c r="D13" s="103"/>
      <c r="E13" s="103"/>
      <c r="F13" s="103"/>
      <c r="G13" s="103"/>
      <c r="H13" s="103"/>
      <c r="I13" s="103"/>
    </row>
    <row r="14" spans="1:14" ht="45" customHeight="1" x14ac:dyDescent="0.3">
      <c r="A14" s="18" t="s">
        <v>29</v>
      </c>
      <c r="B14" s="2" t="s">
        <v>4</v>
      </c>
      <c r="C14" s="92" t="s">
        <v>90</v>
      </c>
      <c r="D14" s="93"/>
      <c r="E14" s="94"/>
      <c r="F14" s="16" t="s">
        <v>48</v>
      </c>
      <c r="G14" s="2" t="s">
        <v>4</v>
      </c>
      <c r="H14" s="96" t="s">
        <v>173</v>
      </c>
      <c r="I14" s="96"/>
    </row>
    <row r="15" spans="1:14" ht="42" x14ac:dyDescent="0.3">
      <c r="A15" s="18" t="s">
        <v>49</v>
      </c>
      <c r="B15" s="2" t="s">
        <v>4</v>
      </c>
      <c r="C15" s="92" t="s">
        <v>222</v>
      </c>
      <c r="D15" s="93"/>
      <c r="E15" s="94"/>
      <c r="F15" s="18" t="s">
        <v>50</v>
      </c>
      <c r="G15" s="2" t="s">
        <v>4</v>
      </c>
      <c r="H15" s="101" t="s">
        <v>223</v>
      </c>
      <c r="I15" s="96"/>
    </row>
    <row r="16" spans="1:14" ht="42" x14ac:dyDescent="0.3">
      <c r="A16" s="40" t="s">
        <v>51</v>
      </c>
      <c r="B16" s="2" t="s">
        <v>4</v>
      </c>
      <c r="C16" s="95" t="s">
        <v>224</v>
      </c>
      <c r="D16" s="93"/>
      <c r="E16" s="94"/>
      <c r="F16" s="18" t="s">
        <v>52</v>
      </c>
      <c r="G16" s="2" t="s">
        <v>4</v>
      </c>
      <c r="H16" s="116" t="s">
        <v>225</v>
      </c>
      <c r="I16" s="99"/>
    </row>
    <row r="17" spans="1:10" ht="63" x14ac:dyDescent="0.3">
      <c r="A17" s="40" t="s">
        <v>53</v>
      </c>
      <c r="B17" s="2" t="s">
        <v>4</v>
      </c>
      <c r="C17" s="97" t="s">
        <v>223</v>
      </c>
      <c r="D17" s="98"/>
      <c r="E17" s="98"/>
      <c r="F17" s="98"/>
      <c r="G17" s="98"/>
      <c r="H17" s="98"/>
      <c r="I17" s="99"/>
    </row>
    <row r="18" spans="1:10" ht="42" x14ac:dyDescent="0.3">
      <c r="A18" s="40" t="s">
        <v>54</v>
      </c>
      <c r="B18" s="2" t="s">
        <v>4</v>
      </c>
      <c r="C18" s="92" t="s">
        <v>94</v>
      </c>
      <c r="D18" s="93"/>
      <c r="E18" s="94"/>
      <c r="F18" s="18" t="s">
        <v>97</v>
      </c>
      <c r="G18" s="2" t="s">
        <v>4</v>
      </c>
      <c r="H18" s="96">
        <v>33580</v>
      </c>
      <c r="I18" s="96"/>
    </row>
    <row r="19" spans="1:10" ht="42" x14ac:dyDescent="0.3">
      <c r="A19" s="18" t="s">
        <v>55</v>
      </c>
      <c r="B19" s="2" t="s">
        <v>4</v>
      </c>
      <c r="C19" s="92">
        <v>1.1000000000000001</v>
      </c>
      <c r="D19" s="93"/>
      <c r="E19" s="94"/>
      <c r="F19" s="18" t="s">
        <v>96</v>
      </c>
      <c r="G19" s="2" t="s">
        <v>4</v>
      </c>
      <c r="H19" s="96">
        <v>142964.49</v>
      </c>
      <c r="I19" s="96"/>
    </row>
    <row r="20" spans="1:10" ht="42" x14ac:dyDescent="0.3">
      <c r="A20" s="18" t="s">
        <v>95</v>
      </c>
      <c r="B20" s="2" t="s">
        <v>4</v>
      </c>
      <c r="C20" s="92">
        <f>142964.71</f>
        <v>142964.71</v>
      </c>
      <c r="D20" s="93"/>
      <c r="E20" s="94"/>
      <c r="F20" s="6" t="s">
        <v>56</v>
      </c>
      <c r="G20" s="2" t="s">
        <v>4</v>
      </c>
      <c r="H20" s="102" t="s">
        <v>240</v>
      </c>
      <c r="I20" s="99"/>
      <c r="J20" s="1">
        <f>42+42+77+84+84+42+126</f>
        <v>497</v>
      </c>
    </row>
    <row r="21" spans="1:10" ht="42" x14ac:dyDescent="0.3">
      <c r="A21" s="18" t="s">
        <v>57</v>
      </c>
      <c r="B21" s="2" t="s">
        <v>4</v>
      </c>
      <c r="C21" s="92" t="s">
        <v>239</v>
      </c>
      <c r="D21" s="93"/>
      <c r="E21" s="94"/>
      <c r="F21" s="18" t="s">
        <v>58</v>
      </c>
      <c r="G21" s="2" t="s">
        <v>4</v>
      </c>
      <c r="H21" s="96" t="s">
        <v>197</v>
      </c>
      <c r="I21" s="96"/>
      <c r="J21" s="1">
        <f>252+497</f>
        <v>749</v>
      </c>
    </row>
    <row r="22" spans="1:10" ht="21" x14ac:dyDescent="0.3">
      <c r="A22" s="40" t="s">
        <v>174</v>
      </c>
      <c r="B22" s="2" t="s">
        <v>4</v>
      </c>
      <c r="C22" s="102" t="s">
        <v>175</v>
      </c>
      <c r="D22" s="98"/>
      <c r="E22" s="98"/>
      <c r="F22" s="98"/>
      <c r="G22" s="98"/>
      <c r="H22" s="98"/>
      <c r="I22" s="99"/>
    </row>
    <row r="23" spans="1:10" ht="22.5" customHeight="1" x14ac:dyDescent="0.3">
      <c r="A23" s="40" t="s">
        <v>163</v>
      </c>
      <c r="B23" s="2" t="s">
        <v>4</v>
      </c>
      <c r="C23" s="100" t="s">
        <v>176</v>
      </c>
      <c r="D23" s="98"/>
      <c r="E23" s="98"/>
      <c r="F23" s="98"/>
      <c r="G23" s="98"/>
      <c r="H23" s="98"/>
      <c r="I23" s="99"/>
    </row>
    <row r="24" spans="1:10" ht="66.75" customHeight="1" x14ac:dyDescent="0.3">
      <c r="A24" s="40" t="s">
        <v>27</v>
      </c>
      <c r="B24" s="2" t="s">
        <v>4</v>
      </c>
      <c r="C24" s="96" t="s">
        <v>177</v>
      </c>
      <c r="D24" s="96"/>
      <c r="E24" s="96"/>
      <c r="F24" s="96"/>
      <c r="G24" s="96"/>
      <c r="H24" s="96"/>
      <c r="I24" s="96"/>
    </row>
    <row r="25" spans="1:10" ht="24" customHeight="1" x14ac:dyDescent="0.3">
      <c r="A25" s="104" t="s">
        <v>23</v>
      </c>
      <c r="B25" s="105"/>
      <c r="C25" s="105"/>
      <c r="D25" s="105"/>
      <c r="E25" s="105"/>
      <c r="F25" s="105"/>
      <c r="G25" s="105"/>
      <c r="H25" s="105"/>
      <c r="I25" s="106"/>
    </row>
    <row r="26" spans="1:10" ht="20.25" customHeight="1" x14ac:dyDescent="0.3">
      <c r="A26" s="18" t="s">
        <v>28</v>
      </c>
      <c r="B26" s="2" t="s">
        <v>4</v>
      </c>
      <c r="C26" s="96" t="s">
        <v>167</v>
      </c>
      <c r="D26" s="96"/>
      <c r="E26" s="96"/>
      <c r="F26" s="18" t="s">
        <v>16</v>
      </c>
      <c r="G26" s="2" t="s">
        <v>4</v>
      </c>
      <c r="H26" s="96" t="s">
        <v>165</v>
      </c>
      <c r="I26" s="96"/>
    </row>
    <row r="27" spans="1:10" ht="21" x14ac:dyDescent="0.3">
      <c r="A27" s="18" t="s">
        <v>17</v>
      </c>
      <c r="B27" s="2" t="s">
        <v>4</v>
      </c>
      <c r="C27" s="96" t="s">
        <v>100</v>
      </c>
      <c r="D27" s="96"/>
      <c r="E27" s="96"/>
      <c r="F27" s="18" t="s">
        <v>152</v>
      </c>
      <c r="G27" s="2" t="s">
        <v>4</v>
      </c>
      <c r="H27" s="96" t="s">
        <v>166</v>
      </c>
      <c r="I27" s="96"/>
    </row>
    <row r="28" spans="1:10" ht="42" x14ac:dyDescent="0.3">
      <c r="A28" s="18" t="s">
        <v>168</v>
      </c>
      <c r="B28" s="2" t="s">
        <v>4</v>
      </c>
      <c r="C28" s="96" t="s">
        <v>99</v>
      </c>
      <c r="D28" s="96"/>
      <c r="E28" s="96"/>
      <c r="F28" s="18" t="s">
        <v>19</v>
      </c>
      <c r="G28" s="2" t="s">
        <v>4</v>
      </c>
      <c r="H28" s="96" t="s">
        <v>179</v>
      </c>
      <c r="I28" s="96"/>
    </row>
    <row r="29" spans="1:10" ht="42" x14ac:dyDescent="0.3">
      <c r="A29" s="40" t="s">
        <v>111</v>
      </c>
      <c r="B29" s="2" t="s">
        <v>4</v>
      </c>
      <c r="C29" s="96" t="s">
        <v>180</v>
      </c>
      <c r="D29" s="96"/>
      <c r="E29" s="96"/>
      <c r="F29" s="18" t="s">
        <v>112</v>
      </c>
      <c r="G29" s="2" t="s">
        <v>4</v>
      </c>
      <c r="H29" s="102" t="s">
        <v>178</v>
      </c>
      <c r="I29" s="99"/>
    </row>
    <row r="30" spans="1:10" ht="42.6" customHeight="1" x14ac:dyDescent="0.3">
      <c r="A30" s="18" t="s">
        <v>20</v>
      </c>
      <c r="B30" s="2" t="s">
        <v>4</v>
      </c>
      <c r="C30" s="96" t="s">
        <v>181</v>
      </c>
      <c r="D30" s="96"/>
      <c r="E30" s="96"/>
      <c r="F30" s="18" t="s">
        <v>18</v>
      </c>
      <c r="G30" s="2" t="s">
        <v>4</v>
      </c>
      <c r="H30" s="96" t="s">
        <v>199</v>
      </c>
      <c r="I30" s="96"/>
    </row>
    <row r="31" spans="1:10" ht="21.75" customHeight="1" x14ac:dyDescent="0.3">
      <c r="A31" s="40" t="s">
        <v>117</v>
      </c>
      <c r="B31" s="2" t="s">
        <v>4</v>
      </c>
      <c r="C31" s="96" t="s">
        <v>118</v>
      </c>
      <c r="D31" s="96"/>
      <c r="E31" s="96"/>
      <c r="F31" s="18" t="s">
        <v>119</v>
      </c>
      <c r="G31" s="2" t="s">
        <v>4</v>
      </c>
      <c r="H31" s="102" t="s">
        <v>118</v>
      </c>
      <c r="I31" s="99"/>
    </row>
    <row r="32" spans="1:10" ht="21.75" customHeight="1" x14ac:dyDescent="0.3">
      <c r="A32" s="40" t="s">
        <v>120</v>
      </c>
      <c r="B32" s="2" t="s">
        <v>4</v>
      </c>
      <c r="C32" s="102" t="s">
        <v>118</v>
      </c>
      <c r="D32" s="98"/>
      <c r="E32" s="98"/>
      <c r="F32" s="98"/>
      <c r="G32" s="98"/>
      <c r="H32" s="98"/>
      <c r="I32" s="99"/>
    </row>
    <row r="33" spans="1:9" ht="21" x14ac:dyDescent="0.3">
      <c r="A33" s="113" t="s">
        <v>39</v>
      </c>
      <c r="B33" s="114"/>
      <c r="C33" s="114"/>
      <c r="D33" s="114"/>
      <c r="E33" s="114"/>
      <c r="F33" s="114"/>
      <c r="G33" s="114"/>
      <c r="H33" s="114"/>
      <c r="I33" s="115"/>
    </row>
    <row r="34" spans="1:9" ht="42" x14ac:dyDescent="0.3">
      <c r="A34" s="80" t="s">
        <v>21</v>
      </c>
      <c r="B34" s="81"/>
      <c r="C34" s="82"/>
      <c r="D34" s="2" t="s">
        <v>4</v>
      </c>
      <c r="E34" s="19" t="s">
        <v>101</v>
      </c>
      <c r="F34" s="18" t="s">
        <v>22</v>
      </c>
      <c r="G34" s="7" t="s">
        <v>4</v>
      </c>
      <c r="H34" s="102" t="s">
        <v>102</v>
      </c>
      <c r="I34" s="99"/>
    </row>
    <row r="35" spans="1:9" ht="42" x14ac:dyDescent="0.3">
      <c r="A35" s="80" t="s">
        <v>25</v>
      </c>
      <c r="B35" s="81"/>
      <c r="C35" s="82"/>
      <c r="D35" s="2" t="s">
        <v>4</v>
      </c>
      <c r="E35" s="19" t="s">
        <v>102</v>
      </c>
      <c r="F35" s="8" t="s">
        <v>34</v>
      </c>
      <c r="G35" s="2" t="s">
        <v>4</v>
      </c>
      <c r="H35" s="102" t="s">
        <v>102</v>
      </c>
      <c r="I35" s="99"/>
    </row>
    <row r="36" spans="1:9" ht="42" x14ac:dyDescent="0.3">
      <c r="A36" s="80" t="s">
        <v>33</v>
      </c>
      <c r="B36" s="81"/>
      <c r="C36" s="82"/>
      <c r="D36" s="2" t="s">
        <v>4</v>
      </c>
      <c r="E36" s="5" t="s">
        <v>103</v>
      </c>
      <c r="F36" s="18" t="s">
        <v>24</v>
      </c>
      <c r="G36" s="21" t="s">
        <v>4</v>
      </c>
      <c r="H36" s="102" t="s">
        <v>104</v>
      </c>
      <c r="I36" s="99"/>
    </row>
    <row r="37" spans="1:9" ht="21" x14ac:dyDescent="0.3">
      <c r="A37" s="104" t="s">
        <v>0</v>
      </c>
      <c r="B37" s="105"/>
      <c r="C37" s="105"/>
      <c r="D37" s="105"/>
      <c r="E37" s="105"/>
      <c r="F37" s="105"/>
      <c r="G37" s="105"/>
      <c r="H37" s="105"/>
      <c r="I37" s="106"/>
    </row>
    <row r="38" spans="1:9" ht="21" x14ac:dyDescent="0.3">
      <c r="A38" s="147" t="s">
        <v>0</v>
      </c>
      <c r="B38" s="149"/>
      <c r="C38" s="148"/>
      <c r="D38" s="2" t="s">
        <v>4</v>
      </c>
      <c r="E38" s="9" t="s">
        <v>1</v>
      </c>
      <c r="F38" s="9" t="s">
        <v>6</v>
      </c>
      <c r="G38" s="147" t="s">
        <v>2</v>
      </c>
      <c r="H38" s="148"/>
      <c r="I38" s="9" t="s">
        <v>3</v>
      </c>
    </row>
    <row r="39" spans="1:9" ht="21" x14ac:dyDescent="0.3">
      <c r="A39" s="80" t="s">
        <v>7</v>
      </c>
      <c r="B39" s="81"/>
      <c r="C39" s="82"/>
      <c r="D39" s="2" t="s">
        <v>4</v>
      </c>
      <c r="E39" s="20" t="s">
        <v>200</v>
      </c>
      <c r="F39" s="20" t="s">
        <v>201</v>
      </c>
      <c r="G39" s="110" t="s">
        <v>202</v>
      </c>
      <c r="H39" s="111"/>
      <c r="I39" s="20" t="s">
        <v>203</v>
      </c>
    </row>
    <row r="40" spans="1:9" ht="20.25" customHeight="1" x14ac:dyDescent="0.3">
      <c r="A40" s="80" t="s">
        <v>8</v>
      </c>
      <c r="B40" s="81"/>
      <c r="C40" s="82"/>
      <c r="D40" s="2" t="s">
        <v>4</v>
      </c>
      <c r="E40" s="20" t="s">
        <v>200</v>
      </c>
      <c r="F40" s="20" t="s">
        <v>201</v>
      </c>
      <c r="G40" s="110" t="s">
        <v>202</v>
      </c>
      <c r="H40" s="111"/>
      <c r="I40" s="20" t="s">
        <v>203</v>
      </c>
    </row>
    <row r="41" spans="1:9" ht="20.25" customHeight="1" x14ac:dyDescent="0.3">
      <c r="A41" s="80" t="s">
        <v>12</v>
      </c>
      <c r="B41" s="81"/>
      <c r="C41" s="82"/>
      <c r="D41" s="2" t="s">
        <v>4</v>
      </c>
      <c r="E41" s="17" t="s">
        <v>99</v>
      </c>
      <c r="F41" s="18" t="s">
        <v>13</v>
      </c>
      <c r="G41" s="2" t="s">
        <v>4</v>
      </c>
      <c r="H41" s="102" t="s">
        <v>98</v>
      </c>
      <c r="I41" s="99"/>
    </row>
    <row r="42" spans="1:9" ht="21" x14ac:dyDescent="0.3">
      <c r="A42" s="104" t="s">
        <v>59</v>
      </c>
      <c r="B42" s="105"/>
      <c r="C42" s="105"/>
      <c r="D42" s="105"/>
      <c r="E42" s="105"/>
      <c r="F42" s="105"/>
      <c r="G42" s="105"/>
      <c r="H42" s="105"/>
      <c r="I42" s="106"/>
    </row>
    <row r="43" spans="1:9" ht="21" customHeight="1" x14ac:dyDescent="0.3">
      <c r="A43" s="108" t="s">
        <v>60</v>
      </c>
      <c r="B43" s="108"/>
      <c r="C43" s="108" t="s">
        <v>61</v>
      </c>
      <c r="D43" s="108"/>
      <c r="E43" s="108" t="s">
        <v>150</v>
      </c>
      <c r="F43" s="108"/>
      <c r="G43" s="108"/>
      <c r="H43" s="108" t="s">
        <v>62</v>
      </c>
      <c r="I43" s="108"/>
    </row>
    <row r="44" spans="1:9" ht="21" x14ac:dyDescent="0.3">
      <c r="A44" s="144" t="s">
        <v>228</v>
      </c>
      <c r="B44" s="144"/>
      <c r="C44" s="143" t="s">
        <v>193</v>
      </c>
      <c r="D44" s="143"/>
      <c r="E44" s="145" t="s">
        <v>226</v>
      </c>
      <c r="F44" s="146"/>
      <c r="G44" s="146"/>
      <c r="H44" s="143" t="s">
        <v>226</v>
      </c>
      <c r="I44" s="143"/>
    </row>
    <row r="45" spans="1:9" ht="21" x14ac:dyDescent="0.3">
      <c r="A45" s="144" t="s">
        <v>229</v>
      </c>
      <c r="B45" s="144"/>
      <c r="C45" s="143" t="s">
        <v>193</v>
      </c>
      <c r="D45" s="143"/>
      <c r="E45" s="145" t="s">
        <v>211</v>
      </c>
      <c r="F45" s="146"/>
      <c r="G45" s="146"/>
      <c r="H45" s="143" t="s">
        <v>211</v>
      </c>
      <c r="I45" s="143"/>
    </row>
    <row r="46" spans="1:9" ht="21" x14ac:dyDescent="0.3">
      <c r="A46" s="103" t="s">
        <v>63</v>
      </c>
      <c r="B46" s="103"/>
      <c r="C46" s="103"/>
      <c r="D46" s="103"/>
      <c r="E46" s="103"/>
      <c r="F46" s="103"/>
      <c r="G46" s="103"/>
      <c r="H46" s="103"/>
      <c r="I46" s="103"/>
    </row>
    <row r="47" spans="1:9" ht="63" x14ac:dyDescent="0.3">
      <c r="A47" s="16" t="s">
        <v>64</v>
      </c>
      <c r="B47" s="16" t="s">
        <v>4</v>
      </c>
      <c r="C47" s="96" t="s">
        <v>99</v>
      </c>
      <c r="D47" s="96"/>
      <c r="E47" s="96"/>
      <c r="F47" s="16" t="s">
        <v>65</v>
      </c>
      <c r="G47" s="16" t="s">
        <v>4</v>
      </c>
      <c r="H47" s="96" t="s">
        <v>210</v>
      </c>
      <c r="I47" s="96"/>
    </row>
    <row r="48" spans="1:9" ht="105" customHeight="1" x14ac:dyDescent="0.3">
      <c r="A48" s="16" t="s">
        <v>205</v>
      </c>
      <c r="B48" s="16" t="s">
        <v>4</v>
      </c>
      <c r="C48" s="96" t="s">
        <v>227</v>
      </c>
      <c r="D48" s="96"/>
      <c r="E48" s="96"/>
      <c r="F48" s="16" t="s">
        <v>66</v>
      </c>
      <c r="G48" s="16" t="s">
        <v>4</v>
      </c>
      <c r="H48" s="96" t="str">
        <f>H47</f>
        <v>S05/0194/19/TMC/TDD/0109/(P/C)/2024/AutoDCR
Date: 26/03/2024</v>
      </c>
      <c r="I48" s="96"/>
    </row>
    <row r="49" spans="1:13" ht="103.5" customHeight="1" x14ac:dyDescent="0.3">
      <c r="A49" s="16" t="s">
        <v>206</v>
      </c>
      <c r="B49" s="16" t="s">
        <v>4</v>
      </c>
      <c r="C49" s="102" t="s">
        <v>207</v>
      </c>
      <c r="D49" s="98"/>
      <c r="E49" s="99"/>
      <c r="F49" s="16" t="s">
        <v>67</v>
      </c>
      <c r="G49" s="16" t="s">
        <v>4</v>
      </c>
      <c r="H49" s="96" t="s">
        <v>184</v>
      </c>
      <c r="I49" s="96"/>
    </row>
    <row r="50" spans="1:13" ht="80.25" hidden="1" customHeight="1" x14ac:dyDescent="0.3">
      <c r="A50" s="16" t="s">
        <v>68</v>
      </c>
      <c r="B50" s="16" t="s">
        <v>4</v>
      </c>
      <c r="C50" s="96" t="s">
        <v>98</v>
      </c>
      <c r="D50" s="96"/>
      <c r="E50" s="96"/>
      <c r="F50" s="16" t="s">
        <v>169</v>
      </c>
      <c r="G50" s="16" t="s">
        <v>4</v>
      </c>
      <c r="H50" s="96" t="s">
        <v>170</v>
      </c>
      <c r="I50" s="96"/>
    </row>
    <row r="51" spans="1:13" ht="21.6" thickBot="1" x14ac:dyDescent="0.35">
      <c r="A51" s="103" t="s">
        <v>69</v>
      </c>
      <c r="B51" s="103"/>
      <c r="C51" s="103"/>
      <c r="D51" s="103"/>
      <c r="E51" s="103"/>
      <c r="F51" s="103"/>
      <c r="G51" s="103"/>
      <c r="H51" s="103"/>
      <c r="I51" s="103"/>
    </row>
    <row r="52" spans="1:13" ht="20.25" customHeight="1" x14ac:dyDescent="0.4">
      <c r="A52" s="152" t="str">
        <f>CONCATENATE((IF(OR(A44="",A44="NA"),"",A44))," - ",(IF(OR(E44="",E44="NA"),"",E44))," ")</f>
        <v xml:space="preserve">Phase 3 (Tower 5 Adora) - Gr + 1st to 42nd Floor </v>
      </c>
      <c r="B52" s="153"/>
      <c r="C52" s="154"/>
      <c r="D52" s="158" t="s">
        <v>4</v>
      </c>
      <c r="E52" s="54" t="s">
        <v>121</v>
      </c>
      <c r="F52" s="160" t="s">
        <v>106</v>
      </c>
      <c r="G52" s="161"/>
      <c r="H52" s="54" t="s">
        <v>122</v>
      </c>
      <c r="I52" s="54" t="s">
        <v>123</v>
      </c>
      <c r="J52" s="55" t="str">
        <f ca="1">(IF(F55&gt;99%,"All work completed. Please provide OC.",IF(F55&gt;89.8%,"Plinth, RCC, Brick, Plaster, Flooring, Wooden, Plumbing, Electrification, etc., work Completed. Finishing work is in process.",IF(F55&lt;94%,(IF(C55=0,"Work not yet Started.",IF(E55=25%,"Piling work in process",IF(E55=50%,"Excavation work in process",IF(E55=100%,"Excavation work Completed. ","0")))&amp;(IF(C56=0%,"",IF(C56=K57,"Footing work is process",IF(C56=K58,"Footing work Completed",IF(C56=K59,"1st Basement Completed",IF(C56=K60,"1st &amp; 2nd Basement Completed",IF(C56=K61,"1st to 3rd Basement Completed",IF(C56=K62,"1st to 4th Basement Completed",IF(C56=K63,"Plinth work is process",IF(C56=K64,"Plinth work completed","0")))))))))))&amp;(IF(C57=(F53+H53+I53),", RCC Slab",IF(C57&gt;0,", RCC upto "&amp;C57&amp;" Slab",""))&amp;(IF(C58=I53,", Brickwork",IF(C58&gt;0,", Brickwork upto "&amp;C58&amp;" Floor",""))&amp;(IF(C59=I53,", Internal Plaster",IF(C59&gt;0,", Internal Plaster upto "&amp;C59&amp;" Floor",""))&amp;(IF(C60=I53,", External Plaster",IF(C60&gt;0,", External Plaster upto "&amp;C60&amp;" Floor",""))&amp;(IF(C61=I53,", External Plumbing, Elevation and Waterproofing",IF(C61&gt;0,", External Plumbing, Elevation and Waterproofing upto "&amp;C61&amp;" Floor",""))&amp;(IF(C62=I53,", Flooring &amp; Fitting",IF(C62&gt;0,", Flooring &amp; Fitting upto "&amp;C62&amp;" Floor",""))&amp;(IF(C63=I53,", Wooden Work",IF(C63&gt;0,", Wooden Work upto "&amp;C63&amp;" Floor",""))&amp;(IF(C64=I53,", Electrical &amp; Sanitary fittings",IF(C64&gt;0,", Electrical &amp; Sanitary fittings upto "&amp;C64&amp;" Floor",""))&amp;(IF(C65&gt;0,", Finishing upto "&amp;C65&amp;" Floor","")&amp;(IF(C57&gt;0.5," Completed",""))))))))))))))))</f>
        <v>Excavation work Completed. Plinth work completed, RCC upto 9 Slab, Brickwork upto 8 Floor, Internal Plaster upto 6.4 Floor, External Plaster upto 6.4 Floor Completed</v>
      </c>
      <c r="K52" s="32"/>
    </row>
    <row r="53" spans="1:13" ht="21" x14ac:dyDescent="0.4">
      <c r="A53" s="155"/>
      <c r="B53" s="156"/>
      <c r="C53" s="157"/>
      <c r="D53" s="159"/>
      <c r="E53" s="54">
        <v>0</v>
      </c>
      <c r="F53" s="160">
        <v>1</v>
      </c>
      <c r="G53" s="161"/>
      <c r="H53" s="54">
        <v>0</v>
      </c>
      <c r="I53" s="54">
        <f ca="1">--TRIM(RIGHT(SUBSTITUTE(LEFT(A52,_xlfn.AGGREGATE(16,6,FIND({0,1,2,3,4,5,6,7,8,9},A52,ROW(INDIRECT("1:"&amp;LEN(A52)))),1))," ",REPT(" ",LEN(A52))),LEN(A52)))</f>
        <v>42</v>
      </c>
      <c r="J53" s="56" t="s">
        <v>127</v>
      </c>
      <c r="K53" s="32"/>
    </row>
    <row r="54" spans="1:13" ht="20.25" customHeight="1" x14ac:dyDescent="0.4">
      <c r="A54" s="162" t="s">
        <v>125</v>
      </c>
      <c r="B54" s="162"/>
      <c r="C54" s="162" t="s">
        <v>135</v>
      </c>
      <c r="D54" s="162"/>
      <c r="E54" s="53" t="s">
        <v>136</v>
      </c>
      <c r="F54" s="162" t="s">
        <v>126</v>
      </c>
      <c r="G54" s="162"/>
      <c r="H54" s="39" t="s">
        <v>124</v>
      </c>
      <c r="I54" s="39"/>
      <c r="J54" s="34" t="s">
        <v>137</v>
      </c>
      <c r="K54" s="33">
        <f ca="1">I53*25%</f>
        <v>10.5</v>
      </c>
    </row>
    <row r="55" spans="1:13" ht="20.25" customHeight="1" x14ac:dyDescent="0.4">
      <c r="A55" s="163" t="s">
        <v>138</v>
      </c>
      <c r="B55" s="163"/>
      <c r="C55" s="164">
        <f ca="1">K56</f>
        <v>42</v>
      </c>
      <c r="D55" s="164"/>
      <c r="E55" s="52">
        <f ca="1">((100/I53)*C55)/100</f>
        <v>1</v>
      </c>
      <c r="F55" s="163">
        <f ca="1">(((C55/I53*5)+(C56/I53*20)+(25/(F53+H53+I53)*C57)+(5/(I53)*C58)+(2.5/(I53)*C59)+(2.5/(I53)*C60)+(5/I53*C61)+(10/I53*C62)+(2.5/I53*C63)+(2.5/I53*C64)+(10/I53*C65)+(10/I53*C66))/100)</f>
        <v>0.31946843853820595</v>
      </c>
      <c r="G55" s="163"/>
      <c r="H55" s="163" t="str">
        <f ca="1">J52</f>
        <v>Excavation work Completed. Plinth work completed, RCC upto 9 Slab, Brickwork upto 8 Floor, Internal Plaster upto 6.4 Floor, External Plaster upto 6.4 Floor Completed</v>
      </c>
      <c r="I55" s="163"/>
      <c r="J55" s="34" t="s">
        <v>128</v>
      </c>
      <c r="K55" s="57">
        <f ca="1">I53*50%</f>
        <v>21</v>
      </c>
    </row>
    <row r="56" spans="1:13" ht="21" x14ac:dyDescent="0.4">
      <c r="A56" s="163" t="s">
        <v>107</v>
      </c>
      <c r="B56" s="163"/>
      <c r="C56" s="169">
        <f ca="1">K64</f>
        <v>42</v>
      </c>
      <c r="D56" s="164"/>
      <c r="E56" s="52">
        <f ca="1">((100/I53)*C56)/100</f>
        <v>1</v>
      </c>
      <c r="F56" s="163"/>
      <c r="G56" s="163"/>
      <c r="H56" s="163"/>
      <c r="I56" s="163"/>
      <c r="J56" s="34" t="s">
        <v>129</v>
      </c>
      <c r="K56" s="57">
        <f ca="1">I53</f>
        <v>42</v>
      </c>
    </row>
    <row r="57" spans="1:13" ht="21" customHeight="1" x14ac:dyDescent="0.4">
      <c r="A57" s="163" t="s">
        <v>139</v>
      </c>
      <c r="B57" s="163"/>
      <c r="C57" s="164">
        <v>9</v>
      </c>
      <c r="D57" s="164"/>
      <c r="E57" s="52">
        <f ca="1">((100/(F53+H53+I53))*C57)/100</f>
        <v>0.20930232558139536</v>
      </c>
      <c r="F57" s="163"/>
      <c r="G57" s="163"/>
      <c r="H57" s="163"/>
      <c r="I57" s="163"/>
      <c r="J57" s="34" t="s">
        <v>130</v>
      </c>
      <c r="K57" s="36">
        <f ca="1">(IF(E53&gt;1,(I53/(E53+2)),I53/4))</f>
        <v>10.5</v>
      </c>
    </row>
    <row r="58" spans="1:13" ht="21" customHeight="1" x14ac:dyDescent="0.4">
      <c r="A58" s="163" t="s">
        <v>140</v>
      </c>
      <c r="B58" s="163"/>
      <c r="C58" s="164">
        <f>C57-F53</f>
        <v>8</v>
      </c>
      <c r="D58" s="164"/>
      <c r="E58" s="52">
        <f ca="1">((100/I53)*C58)/100</f>
        <v>0.19047619047619047</v>
      </c>
      <c r="F58" s="163"/>
      <c r="G58" s="163"/>
      <c r="H58" s="163"/>
      <c r="I58" s="163"/>
      <c r="J58" s="34" t="s">
        <v>131</v>
      </c>
      <c r="K58" s="36">
        <f ca="1">(IF(E53&gt;1,(I53/(E53+2)+K57),I53/4+K57))</f>
        <v>21</v>
      </c>
    </row>
    <row r="59" spans="1:13" ht="21" customHeight="1" x14ac:dyDescent="0.4">
      <c r="A59" s="167" t="s">
        <v>141</v>
      </c>
      <c r="B59" s="168"/>
      <c r="C59" s="169">
        <f>C58*0.8</f>
        <v>6.4</v>
      </c>
      <c r="D59" s="169"/>
      <c r="E59" s="52">
        <f ca="1">((100/I53)*C59)/100</f>
        <v>0.15238095238095239</v>
      </c>
      <c r="F59" s="163"/>
      <c r="G59" s="163"/>
      <c r="H59" s="163"/>
      <c r="I59" s="163"/>
      <c r="J59" s="34" t="s">
        <v>142</v>
      </c>
      <c r="K59" s="36">
        <f>(IF(E53&gt;1,(I53/(E53+2)+K58),0))</f>
        <v>0</v>
      </c>
    </row>
    <row r="60" spans="1:13" ht="21" customHeight="1" x14ac:dyDescent="0.4">
      <c r="A60" s="167" t="s">
        <v>214</v>
      </c>
      <c r="B60" s="168"/>
      <c r="C60" s="169">
        <f>C59</f>
        <v>6.4</v>
      </c>
      <c r="D60" s="169"/>
      <c r="E60" s="52">
        <f ca="1">((100/I53)*C60)/100</f>
        <v>0.15238095238095239</v>
      </c>
      <c r="F60" s="163"/>
      <c r="G60" s="163"/>
      <c r="H60" s="163"/>
      <c r="I60" s="163"/>
      <c r="J60" s="34" t="s">
        <v>143</v>
      </c>
      <c r="K60" s="36">
        <f>(IF(E53&gt;2,(I53/(E53+2)+K59),0))</f>
        <v>0</v>
      </c>
    </row>
    <row r="61" spans="1:13" ht="57.75" customHeight="1" x14ac:dyDescent="0.4">
      <c r="A61" s="167" t="s">
        <v>215</v>
      </c>
      <c r="B61" s="168"/>
      <c r="C61" s="164">
        <v>0</v>
      </c>
      <c r="D61" s="164"/>
      <c r="E61" s="52">
        <f ca="1">((100/(I53))*C61)/100</f>
        <v>0</v>
      </c>
      <c r="F61" s="163"/>
      <c r="G61" s="163"/>
      <c r="H61" s="163"/>
      <c r="I61" s="163"/>
      <c r="J61" s="34" t="s">
        <v>145</v>
      </c>
      <c r="K61" s="37">
        <f>(IF(E53&gt;3,(I53/(E53+2)+K60),0))</f>
        <v>0</v>
      </c>
    </row>
    <row r="62" spans="1:13" ht="21" x14ac:dyDescent="0.4">
      <c r="A62" s="163" t="s">
        <v>144</v>
      </c>
      <c r="B62" s="163"/>
      <c r="C62" s="164">
        <v>0</v>
      </c>
      <c r="D62" s="164"/>
      <c r="E62" s="52">
        <f ca="1">((100/(I53))*C62)/100</f>
        <v>0</v>
      </c>
      <c r="F62" s="163"/>
      <c r="G62" s="163"/>
      <c r="H62" s="163"/>
      <c r="I62" s="163"/>
      <c r="J62" s="34" t="s">
        <v>146</v>
      </c>
      <c r="K62" s="36">
        <f>(IF(E53&gt;4,(I53/(E53+2)+K61),0))</f>
        <v>0</v>
      </c>
    </row>
    <row r="63" spans="1:13" ht="21" customHeight="1" x14ac:dyDescent="0.4">
      <c r="A63" s="163" t="s">
        <v>216</v>
      </c>
      <c r="B63" s="163"/>
      <c r="C63" s="164">
        <v>0</v>
      </c>
      <c r="D63" s="164"/>
      <c r="E63" s="52">
        <f ca="1">((100/I53)*C63)/100</f>
        <v>0</v>
      </c>
      <c r="F63" s="163"/>
      <c r="G63" s="163"/>
      <c r="H63" s="163"/>
      <c r="I63" s="163"/>
      <c r="J63" s="34" t="s">
        <v>132</v>
      </c>
      <c r="K63" s="36">
        <f ca="1">(IF(E53=1,(I53/(E53+3)+K58),IF(E53=0,(I53/4+K58),IF(E53&gt;1,0))))</f>
        <v>31.5</v>
      </c>
    </row>
    <row r="64" spans="1:13" ht="42" customHeight="1" thickBot="1" x14ac:dyDescent="0.45">
      <c r="A64" s="163" t="s">
        <v>217</v>
      </c>
      <c r="B64" s="163"/>
      <c r="C64" s="164">
        <v>0</v>
      </c>
      <c r="D64" s="164"/>
      <c r="E64" s="52">
        <f ca="1">((100/I53)*C64)/100</f>
        <v>0</v>
      </c>
      <c r="F64" s="163"/>
      <c r="G64" s="163"/>
      <c r="H64" s="163"/>
      <c r="I64" s="163"/>
      <c r="J64" s="58" t="s">
        <v>133</v>
      </c>
      <c r="K64" s="38">
        <f ca="1">(IF(E53&gt;1.5,(I53/(E53+2)+K57+MAX(0,K58-K57)+MAX(0,K59-K58)+MAX(0,K60-K59)+MAX(0,K61-K60)+MAX(0,K62-K61)),IF(E53=1,(I53/(E53+3)+K63),IF(E53=0,I53/4+K63))))</f>
        <v>42</v>
      </c>
      <c r="M64" s="1" t="e">
        <f>(IF(D52&gt;1.5,(H52/(D52+2)+J57+MAX(0,J58-J57)+MAX(0,J59-J58)+MAX(0,J60-J59)+MAX(0,J61-J60)+MAX(0,J62-J61)),IF(D52=1,(H52/(D52+3)+J62),IF(D52=0,H52*0.3+J62))))</f>
        <v>#VALUE!</v>
      </c>
    </row>
    <row r="65" spans="1:13" ht="21" x14ac:dyDescent="0.3">
      <c r="A65" s="163" t="s">
        <v>147</v>
      </c>
      <c r="B65" s="163"/>
      <c r="C65" s="164">
        <v>0</v>
      </c>
      <c r="D65" s="164"/>
      <c r="E65" s="52">
        <f ca="1">((100/(I53))*C65)/100</f>
        <v>0</v>
      </c>
      <c r="F65" s="163"/>
      <c r="G65" s="163"/>
      <c r="H65" s="163"/>
      <c r="I65" s="163"/>
    </row>
    <row r="66" spans="1:13" ht="21" x14ac:dyDescent="0.3">
      <c r="A66" s="163" t="s">
        <v>148</v>
      </c>
      <c r="B66" s="163"/>
      <c r="C66" s="164">
        <v>0</v>
      </c>
      <c r="D66" s="164"/>
      <c r="E66" s="52">
        <f ca="1">((100/(I53))*C66)/100</f>
        <v>0</v>
      </c>
      <c r="F66" s="163"/>
      <c r="G66" s="163"/>
      <c r="H66" s="163"/>
      <c r="I66" s="163"/>
    </row>
    <row r="67" spans="1:13" ht="21.6" thickBot="1" x14ac:dyDescent="0.35">
      <c r="A67" s="103" t="s">
        <v>69</v>
      </c>
      <c r="B67" s="103"/>
      <c r="C67" s="103"/>
      <c r="D67" s="103"/>
      <c r="E67" s="103"/>
      <c r="F67" s="103"/>
      <c r="G67" s="103"/>
      <c r="H67" s="103"/>
      <c r="I67" s="103"/>
    </row>
    <row r="68" spans="1:13" ht="20.25" customHeight="1" x14ac:dyDescent="0.4">
      <c r="A68" s="170" t="str">
        <f>CONCATENATE((IF(OR(A45="",A45="NA"),"",A45))," - ",(IF(OR(E45="",E45="NA"),"",E45))," ")</f>
        <v xml:space="preserve">Phase 4 (Tower 1 Arise) - Gr + 1st to 46th Floor </v>
      </c>
      <c r="B68" s="170"/>
      <c r="C68" s="170"/>
      <c r="D68" s="171" t="s">
        <v>4</v>
      </c>
      <c r="E68" s="54" t="s">
        <v>121</v>
      </c>
      <c r="F68" s="164" t="s">
        <v>106</v>
      </c>
      <c r="G68" s="164"/>
      <c r="H68" s="54" t="s">
        <v>122</v>
      </c>
      <c r="I68" s="54" t="s">
        <v>123</v>
      </c>
      <c r="J68" s="55" t="str">
        <f ca="1">(IF(F71&gt;99%,"All work completed. Please provide OC.",IF(F71&gt;89.8%,"Plinth, RCC, Brick, Plaster, Flooring, Wooden, Plumbing, Electrification, etc., work Completed. Finishing work is in process.",IF(F71&lt;94%,(IF(C71=0,"Work not yet Started.",IF(E71=25%,"Piling work in process",IF(E71=50%,"Excavation work in process",IF(E71=100%,"Excavation work Completed. ","0")))&amp;(IF(C72=0%,"",IF(C72=K73,"Footing work is process",IF(C72=K74,"Footing work Completed",IF(C72=K75,"1st Basement Completed",IF(C72=K76,"1st &amp; 2nd Basement Completed",IF(C72=K77,"1st to 3rd Basement Completed",IF(C72=K78,"1st to 4th Basement Completed",IF(C72=K79,"Plinth work is process",IF(C72=K80,"Plinth work completed","0")))))))))))&amp;(IF(C73=(F69+H69+I69),", RCC Slab",IF(C73&gt;0,", RCC upto "&amp;C73&amp;" Slab",""))&amp;(IF(C74=I69,", Brickwork",IF(C74&gt;0,", Brickwork upto "&amp;C74&amp;" Floor",""))&amp;(IF(C75=I69,", Internal Plaster",IF(C75&gt;0,", Internal Plaster upto "&amp;C75&amp;" Floor",""))&amp;(IF(C76=I69,", External Plaster",IF(C76&gt;0,", External Plaster upto "&amp;C76&amp;" Floor",""))&amp;(IF(C77=I69,", External Plumbing, Elevation and Waterproofing",IF(C77&gt;0,", External Plumbing, Elevation and Waterproofing upto "&amp;C77&amp;" Floor",""))&amp;(IF(C78=I69,", Flooring &amp; Fitting",IF(C78&gt;0,", Flooring &amp; Fitting upto "&amp;C78&amp;" Floor",""))&amp;(IF(C79=I69,", Wooden Work",IF(C79&gt;0,", Wooden Work upto "&amp;C79&amp;" Floor",""))&amp;(IF(C80=I69,", Electrical &amp; Sanitary fittings",IF(C80&gt;0,", Electrical &amp; Sanitary fittings upto "&amp;C80&amp;" Floor",""))&amp;(IF(C81&gt;0,", Finishing upto "&amp;C81&amp;" Floor","")&amp;(IF(C73&gt;0.5," Completed",""))))))))))))))))</f>
        <v>Excavation work Completed. Plinth work completed, RCC upto 2 Slab Completed</v>
      </c>
      <c r="K68" s="32"/>
    </row>
    <row r="69" spans="1:13" ht="21" x14ac:dyDescent="0.4">
      <c r="A69" s="170"/>
      <c r="B69" s="170"/>
      <c r="C69" s="170"/>
      <c r="D69" s="171"/>
      <c r="E69" s="54">
        <v>0</v>
      </c>
      <c r="F69" s="164">
        <v>1</v>
      </c>
      <c r="G69" s="164"/>
      <c r="H69" s="54">
        <v>0</v>
      </c>
      <c r="I69" s="54">
        <f ca="1">--TRIM(RIGHT(SUBSTITUTE(LEFT(A68,_xlfn.AGGREGATE(16,6,FIND({0,1,2,3,4,5,6,7,8,9},A68,ROW(INDIRECT("1:"&amp;LEN(A68)))),1))," ",REPT(" ",LEN(A68))),LEN(A68)))</f>
        <v>46</v>
      </c>
      <c r="J69" s="56" t="s">
        <v>127</v>
      </c>
      <c r="K69" s="32"/>
    </row>
    <row r="70" spans="1:13" ht="20.25" customHeight="1" x14ac:dyDescent="0.4">
      <c r="A70" s="162" t="s">
        <v>125</v>
      </c>
      <c r="B70" s="162"/>
      <c r="C70" s="162" t="s">
        <v>135</v>
      </c>
      <c r="D70" s="162"/>
      <c r="E70" s="53" t="s">
        <v>136</v>
      </c>
      <c r="F70" s="162" t="s">
        <v>126</v>
      </c>
      <c r="G70" s="162"/>
      <c r="H70" s="39" t="s">
        <v>124</v>
      </c>
      <c r="I70" s="39"/>
      <c r="J70" s="34" t="s">
        <v>137</v>
      </c>
      <c r="K70" s="33">
        <f ca="1">I69*25%</f>
        <v>11.5</v>
      </c>
    </row>
    <row r="71" spans="1:13" ht="20.25" customHeight="1" x14ac:dyDescent="0.4">
      <c r="A71" s="163" t="s">
        <v>138</v>
      </c>
      <c r="B71" s="163"/>
      <c r="C71" s="164">
        <f ca="1">K72</f>
        <v>46</v>
      </c>
      <c r="D71" s="164"/>
      <c r="E71" s="52">
        <f ca="1">((100/I69)*C71)/100</f>
        <v>1</v>
      </c>
      <c r="F71" s="163">
        <f ca="1">(((C71/I69*5)+(C72/I69*20)+(25/(F69+H69+I69)*C73)+(5/(I69)*C74)+(2.5/(I69)*C75)+(2.5/(I69)*C76)+(5/I69*C77)+(10/I69*C78)+(2.5/I69*C79)+(2.5/I69*C80)+(10/I69*C81)+(10/I69*C82))/100)</f>
        <v>0.26063829787234044</v>
      </c>
      <c r="G71" s="163"/>
      <c r="H71" s="163" t="str">
        <f ca="1">J68</f>
        <v>Excavation work Completed. Plinth work completed, RCC upto 2 Slab Completed</v>
      </c>
      <c r="I71" s="163"/>
      <c r="J71" s="34" t="s">
        <v>128</v>
      </c>
      <c r="K71" s="57">
        <f ca="1">I69*50%</f>
        <v>23</v>
      </c>
    </row>
    <row r="72" spans="1:13" ht="21" x14ac:dyDescent="0.4">
      <c r="A72" s="163" t="s">
        <v>107</v>
      </c>
      <c r="B72" s="163"/>
      <c r="C72" s="169">
        <f ca="1">K80</f>
        <v>46</v>
      </c>
      <c r="D72" s="164"/>
      <c r="E72" s="52">
        <f ca="1">((100/I69)*C72)/100</f>
        <v>1</v>
      </c>
      <c r="F72" s="163"/>
      <c r="G72" s="163"/>
      <c r="H72" s="163"/>
      <c r="I72" s="163"/>
      <c r="J72" s="34" t="s">
        <v>129</v>
      </c>
      <c r="K72" s="57">
        <f ca="1">I69</f>
        <v>46</v>
      </c>
    </row>
    <row r="73" spans="1:13" ht="21" customHeight="1" x14ac:dyDescent="0.4">
      <c r="A73" s="163" t="s">
        <v>139</v>
      </c>
      <c r="B73" s="163"/>
      <c r="C73" s="164">
        <v>2</v>
      </c>
      <c r="D73" s="164"/>
      <c r="E73" s="52">
        <f ca="1">((100/(F69+H69+I69))*C73)/100</f>
        <v>4.2553191489361701E-2</v>
      </c>
      <c r="F73" s="163"/>
      <c r="G73" s="163"/>
      <c r="H73" s="163"/>
      <c r="I73" s="163"/>
      <c r="J73" s="34" t="s">
        <v>130</v>
      </c>
      <c r="K73" s="36">
        <f ca="1">(IF(E69&gt;1,(I69/(E69+2)),I69/4))</f>
        <v>11.5</v>
      </c>
    </row>
    <row r="74" spans="1:13" ht="21" customHeight="1" x14ac:dyDescent="0.4">
      <c r="A74" s="163" t="s">
        <v>140</v>
      </c>
      <c r="B74" s="163"/>
      <c r="C74" s="164">
        <v>0</v>
      </c>
      <c r="D74" s="164"/>
      <c r="E74" s="52">
        <f ca="1">((100/I69)*C74)/100</f>
        <v>0</v>
      </c>
      <c r="F74" s="163"/>
      <c r="G74" s="163"/>
      <c r="H74" s="163"/>
      <c r="I74" s="163"/>
      <c r="J74" s="34" t="s">
        <v>131</v>
      </c>
      <c r="K74" s="36">
        <f ca="1">(IF(E69&gt;1,(I69/(E69+2)+K73),I69/4+K73))</f>
        <v>23</v>
      </c>
    </row>
    <row r="75" spans="1:13" ht="21" customHeight="1" x14ac:dyDescent="0.4">
      <c r="A75" s="167" t="s">
        <v>141</v>
      </c>
      <c r="B75" s="168"/>
      <c r="C75" s="164">
        <v>0</v>
      </c>
      <c r="D75" s="164"/>
      <c r="E75" s="52">
        <f ca="1">((100/I69)*C75)/100</f>
        <v>0</v>
      </c>
      <c r="F75" s="163"/>
      <c r="G75" s="163"/>
      <c r="H75" s="163"/>
      <c r="I75" s="163"/>
      <c r="J75" s="34" t="s">
        <v>142</v>
      </c>
      <c r="K75" s="36">
        <f>(IF(E69&gt;1,(I69/(E69+2)+K74),0))</f>
        <v>0</v>
      </c>
    </row>
    <row r="76" spans="1:13" ht="21" customHeight="1" x14ac:dyDescent="0.4">
      <c r="A76" s="167" t="s">
        <v>214</v>
      </c>
      <c r="B76" s="168"/>
      <c r="C76" s="164">
        <v>0</v>
      </c>
      <c r="D76" s="164"/>
      <c r="E76" s="52">
        <f ca="1">((100/I69)*C76)/100</f>
        <v>0</v>
      </c>
      <c r="F76" s="163"/>
      <c r="G76" s="163"/>
      <c r="H76" s="163"/>
      <c r="I76" s="163"/>
      <c r="J76" s="34" t="s">
        <v>143</v>
      </c>
      <c r="K76" s="36">
        <f>(IF(E69&gt;2,(I69/(E69+2)+K75),0))</f>
        <v>0</v>
      </c>
    </row>
    <row r="77" spans="1:13" ht="57.75" customHeight="1" x14ac:dyDescent="0.4">
      <c r="A77" s="167" t="s">
        <v>215</v>
      </c>
      <c r="B77" s="168"/>
      <c r="C77" s="164">
        <v>0</v>
      </c>
      <c r="D77" s="164"/>
      <c r="E77" s="52">
        <f ca="1">((100/(I69))*C77)/100</f>
        <v>0</v>
      </c>
      <c r="F77" s="163"/>
      <c r="G77" s="163"/>
      <c r="H77" s="163"/>
      <c r="I77" s="163"/>
      <c r="J77" s="34" t="s">
        <v>145</v>
      </c>
      <c r="K77" s="37">
        <f>(IF(E69&gt;3,(I69/(E69+2)+K76),0))</f>
        <v>0</v>
      </c>
    </row>
    <row r="78" spans="1:13" ht="21" x14ac:dyDescent="0.4">
      <c r="A78" s="163" t="s">
        <v>144</v>
      </c>
      <c r="B78" s="163"/>
      <c r="C78" s="164">
        <v>0</v>
      </c>
      <c r="D78" s="164"/>
      <c r="E78" s="52">
        <f ca="1">((100/(I69))*C78)/100</f>
        <v>0</v>
      </c>
      <c r="F78" s="163"/>
      <c r="G78" s="163"/>
      <c r="H78" s="163"/>
      <c r="I78" s="163"/>
      <c r="J78" s="34" t="s">
        <v>146</v>
      </c>
      <c r="K78" s="36">
        <f>(IF(E69&gt;4,(I69/(E69+2)+K77),0))</f>
        <v>0</v>
      </c>
    </row>
    <row r="79" spans="1:13" ht="21" customHeight="1" x14ac:dyDescent="0.4">
      <c r="A79" s="163" t="s">
        <v>216</v>
      </c>
      <c r="B79" s="163"/>
      <c r="C79" s="164">
        <v>0</v>
      </c>
      <c r="D79" s="164"/>
      <c r="E79" s="52">
        <f ca="1">((100/I69)*C79)/100</f>
        <v>0</v>
      </c>
      <c r="F79" s="163"/>
      <c r="G79" s="163"/>
      <c r="H79" s="163"/>
      <c r="I79" s="163"/>
      <c r="J79" s="34" t="s">
        <v>132</v>
      </c>
      <c r="K79" s="36">
        <f ca="1">(IF(E69=1,(I69/(E69+3)+K74),IF(E69=0,(I69/4+K74),IF(E69&gt;1,0))))</f>
        <v>34.5</v>
      </c>
    </row>
    <row r="80" spans="1:13" ht="42" customHeight="1" thickBot="1" x14ac:dyDescent="0.45">
      <c r="A80" s="163" t="s">
        <v>217</v>
      </c>
      <c r="B80" s="163"/>
      <c r="C80" s="164">
        <v>0</v>
      </c>
      <c r="D80" s="164"/>
      <c r="E80" s="52">
        <f ca="1">((100/I69)*C80)/100</f>
        <v>0</v>
      </c>
      <c r="F80" s="163"/>
      <c r="G80" s="163"/>
      <c r="H80" s="163"/>
      <c r="I80" s="163"/>
      <c r="J80" s="58" t="s">
        <v>133</v>
      </c>
      <c r="K80" s="38">
        <f ca="1">(IF(E69&gt;1.5,(I69/(E69+2)+K73+MAX(0,K74-K73)+MAX(0,K75-K74)+MAX(0,K76-K75)+MAX(0,K77-K76)+MAX(0,K78-K77)),IF(E69=1,(I69/(E69+3)+K79),IF(E69=0,I69/4+K79))))</f>
        <v>46</v>
      </c>
      <c r="M80" s="1" t="e">
        <f>(IF(D68&gt;1.5,(H68/(D68+2)+J73+MAX(0,J74-J73)+MAX(0,J75-J74)+MAX(0,J76-J75)+MAX(0,J77-J76)+MAX(0,J78-J77)),IF(D68=1,(H68/(D68+3)+J78),IF(D68=0,H68*0.3+J78))))</f>
        <v>#VALUE!</v>
      </c>
    </row>
    <row r="81" spans="1:151 16227:16384" ht="21" x14ac:dyDescent="0.3">
      <c r="A81" s="163" t="s">
        <v>147</v>
      </c>
      <c r="B81" s="163"/>
      <c r="C81" s="164">
        <v>0</v>
      </c>
      <c r="D81" s="164"/>
      <c r="E81" s="52">
        <f ca="1">((100/(I69))*C81)/100</f>
        <v>0</v>
      </c>
      <c r="F81" s="163"/>
      <c r="G81" s="163"/>
      <c r="H81" s="163"/>
      <c r="I81" s="163"/>
    </row>
    <row r="82" spans="1:151 16227:16384" ht="21" x14ac:dyDescent="0.3">
      <c r="A82" s="163" t="s">
        <v>148</v>
      </c>
      <c r="B82" s="163"/>
      <c r="C82" s="164">
        <v>0</v>
      </c>
      <c r="D82" s="164"/>
      <c r="E82" s="52">
        <f ca="1">((100/(I69))*C82)/100</f>
        <v>0</v>
      </c>
      <c r="F82" s="163"/>
      <c r="G82" s="163"/>
      <c r="H82" s="163"/>
      <c r="I82" s="163"/>
    </row>
    <row r="83" spans="1:151 16227:16384" ht="36.75" customHeight="1" x14ac:dyDescent="0.4">
      <c r="A83" s="75" t="s">
        <v>134</v>
      </c>
      <c r="B83" s="76"/>
      <c r="C83" s="76"/>
      <c r="D83" s="76"/>
      <c r="E83" s="76"/>
      <c r="F83" s="76"/>
      <c r="G83" s="76"/>
      <c r="H83" s="77">
        <f ca="1">AVERAGE(F55,F71)</f>
        <v>0.29005336820527317</v>
      </c>
      <c r="I83" s="78"/>
      <c r="J83" s="34"/>
      <c r="K83" s="35"/>
      <c r="L83" s="35"/>
    </row>
    <row r="84" spans="1:151 16227:16384" ht="21" x14ac:dyDescent="0.3">
      <c r="A84" s="104" t="s">
        <v>73</v>
      </c>
      <c r="B84" s="105"/>
      <c r="C84" s="105"/>
      <c r="D84" s="105"/>
      <c r="E84" s="105"/>
      <c r="F84" s="105"/>
      <c r="G84" s="105"/>
      <c r="H84" s="105"/>
      <c r="I84" s="106"/>
    </row>
    <row r="85" spans="1:151 16227:16384" ht="45" customHeight="1" x14ac:dyDescent="0.3">
      <c r="A85" s="86" t="s">
        <v>74</v>
      </c>
      <c r="B85" s="86"/>
      <c r="C85" s="86"/>
      <c r="D85" s="3" t="s">
        <v>4</v>
      </c>
      <c r="E85" s="14" t="s">
        <v>113</v>
      </c>
      <c r="F85" s="18" t="s">
        <v>149</v>
      </c>
      <c r="G85" s="3" t="s">
        <v>4</v>
      </c>
      <c r="H85" s="79" t="s">
        <v>162</v>
      </c>
      <c r="I85" s="79"/>
    </row>
    <row r="86" spans="1:151 16227:16384" ht="40.5" customHeight="1" x14ac:dyDescent="0.3">
      <c r="A86" s="86" t="s">
        <v>161</v>
      </c>
      <c r="B86" s="86"/>
      <c r="C86" s="86"/>
      <c r="D86" s="2" t="s">
        <v>108</v>
      </c>
      <c r="E86" s="14" t="s">
        <v>208</v>
      </c>
      <c r="F86" s="18" t="s">
        <v>183</v>
      </c>
      <c r="G86" s="3"/>
      <c r="H86" s="79" t="s">
        <v>184</v>
      </c>
      <c r="I86" s="79"/>
    </row>
    <row r="87" spans="1:151 16227:16384" ht="26.25" customHeight="1" x14ac:dyDescent="0.3">
      <c r="A87" s="87" t="s">
        <v>75</v>
      </c>
      <c r="B87" s="87"/>
      <c r="C87" s="87"/>
      <c r="D87" s="3" t="s">
        <v>4</v>
      </c>
      <c r="E87" s="17">
        <v>800000</v>
      </c>
      <c r="F87" s="3" t="s">
        <v>105</v>
      </c>
      <c r="G87" s="3" t="s">
        <v>4</v>
      </c>
      <c r="H87" s="150" t="s">
        <v>114</v>
      </c>
      <c r="I87" s="151"/>
    </row>
    <row r="88" spans="1:151 16227:16384" ht="21" x14ac:dyDescent="0.3">
      <c r="A88" s="104" t="s">
        <v>72</v>
      </c>
      <c r="B88" s="105"/>
      <c r="C88" s="105"/>
      <c r="D88" s="105"/>
      <c r="E88" s="105"/>
      <c r="F88" s="105"/>
      <c r="G88" s="105"/>
      <c r="H88" s="105"/>
      <c r="I88" s="106"/>
    </row>
    <row r="89" spans="1:151 16227:16384" ht="21" x14ac:dyDescent="0.3">
      <c r="A89" s="80" t="s">
        <v>9</v>
      </c>
      <c r="B89" s="81"/>
      <c r="C89" s="81"/>
      <c r="D89" s="81"/>
      <c r="E89" s="81"/>
      <c r="F89" s="82"/>
      <c r="G89" s="2" t="s">
        <v>4</v>
      </c>
      <c r="H89" s="84">
        <f>30000/10.764</f>
        <v>2787.0680044593091</v>
      </c>
      <c r="I89" s="85"/>
    </row>
    <row r="90" spans="1:151 16227:16384" ht="21" x14ac:dyDescent="0.3">
      <c r="A90" s="80" t="s">
        <v>30</v>
      </c>
      <c r="B90" s="81"/>
      <c r="C90" s="81"/>
      <c r="D90" s="81"/>
      <c r="E90" s="81"/>
      <c r="F90" s="82"/>
      <c r="G90" s="2" t="s">
        <v>4</v>
      </c>
      <c r="H90" s="83">
        <f>118300/10.764</f>
        <v>10990.338164251209</v>
      </c>
      <c r="I90" s="83"/>
    </row>
    <row r="91" spans="1:151 16227:16384" ht="21" x14ac:dyDescent="0.3">
      <c r="A91" s="80" t="s">
        <v>115</v>
      </c>
      <c r="B91" s="81"/>
      <c r="C91" s="81"/>
      <c r="D91" s="81"/>
      <c r="E91" s="81"/>
      <c r="F91" s="82"/>
      <c r="G91" s="2" t="s">
        <v>4</v>
      </c>
      <c r="H91" s="83">
        <f>H89*0.8</f>
        <v>2229.6544035674474</v>
      </c>
      <c r="I91" s="83"/>
    </row>
    <row r="92" spans="1:151 16227:16384" ht="21" x14ac:dyDescent="0.3">
      <c r="A92" s="117" t="s">
        <v>79</v>
      </c>
      <c r="B92" s="118"/>
      <c r="C92" s="118"/>
      <c r="D92" s="118"/>
      <c r="E92" s="118"/>
      <c r="F92" s="118"/>
      <c r="G92" s="118"/>
      <c r="H92" s="118"/>
      <c r="I92" s="119"/>
    </row>
    <row r="93" spans="1:151 16227:16384" s="10" customFormat="1" ht="40.799999999999997" x14ac:dyDescent="0.3">
      <c r="A93" s="165" t="s">
        <v>157</v>
      </c>
      <c r="B93" s="166"/>
      <c r="C93" s="88" t="s">
        <v>158</v>
      </c>
      <c r="D93" s="89"/>
      <c r="E93" s="41" t="s">
        <v>159</v>
      </c>
      <c r="F93" s="88" t="s">
        <v>156</v>
      </c>
      <c r="G93" s="89"/>
      <c r="H93" s="88" t="s">
        <v>155</v>
      </c>
      <c r="I93" s="89" t="s">
        <v>154</v>
      </c>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WZC93" s="1"/>
      <c r="WZD93" s="1"/>
      <c r="WZE93" s="1"/>
      <c r="WZF93" s="1"/>
      <c r="WZG93" s="1"/>
      <c r="WZH93" s="1"/>
      <c r="WZI93" s="1"/>
      <c r="WZJ93" s="1"/>
      <c r="WZK93" s="1"/>
      <c r="WZL93" s="1"/>
      <c r="WZM93" s="1"/>
      <c r="WZN93" s="1"/>
      <c r="WZO93" s="1"/>
      <c r="WZP93" s="1"/>
      <c r="WZQ93" s="1"/>
      <c r="WZR93" s="1"/>
      <c r="WZS93" s="1"/>
      <c r="WZT93" s="1"/>
      <c r="WZU93" s="1"/>
      <c r="WZV93" s="1"/>
      <c r="WZW93" s="1"/>
      <c r="WZX93" s="1"/>
      <c r="WZY93" s="1"/>
      <c r="WZZ93" s="1"/>
      <c r="XAA93" s="1"/>
      <c r="XAB93" s="1"/>
      <c r="XAC93" s="1"/>
      <c r="XAD93" s="1"/>
      <c r="XAE93" s="1"/>
      <c r="XAF93" s="1"/>
      <c r="XAG93" s="1"/>
      <c r="XAH93" s="1"/>
      <c r="XAI93" s="1"/>
      <c r="XAJ93" s="1"/>
      <c r="XAK93" s="1"/>
      <c r="XAL93" s="1"/>
      <c r="XAM93" s="1"/>
      <c r="XAN93" s="1"/>
      <c r="XAO93" s="1"/>
      <c r="XAP93" s="1"/>
      <c r="XAQ93" s="1"/>
      <c r="XAR93" s="1"/>
      <c r="XAS93" s="1"/>
      <c r="XAT93" s="1"/>
      <c r="XAU93" s="1"/>
      <c r="XAV93" s="1"/>
      <c r="XAW93" s="1"/>
      <c r="XAX93" s="1"/>
      <c r="XAY93" s="1"/>
      <c r="XAZ93" s="1"/>
      <c r="XBA93" s="1"/>
      <c r="XBB93" s="1"/>
      <c r="XBC93" s="1"/>
      <c r="XBD93" s="1"/>
      <c r="XBE93" s="1"/>
      <c r="XBF93" s="1"/>
      <c r="XBG93" s="1"/>
      <c r="XBH93" s="1"/>
      <c r="XBI93" s="1"/>
      <c r="XBJ93" s="1"/>
      <c r="XBK93" s="1"/>
      <c r="XBL93" s="1"/>
      <c r="XBM93" s="1"/>
      <c r="XBN93" s="1"/>
      <c r="XBO93" s="1"/>
      <c r="XBP93" s="1"/>
      <c r="XBQ93" s="1"/>
      <c r="XBR93" s="1"/>
      <c r="XBS93" s="1"/>
      <c r="XBT93" s="1"/>
      <c r="XBU93" s="1"/>
      <c r="XBV93" s="1"/>
      <c r="XBW93" s="1"/>
      <c r="XBX93" s="1"/>
      <c r="XBY93" s="1"/>
      <c r="XBZ93" s="1"/>
      <c r="XCA93" s="1"/>
      <c r="XCB93" s="1"/>
      <c r="XCC93" s="1"/>
      <c r="XCD93" s="1"/>
      <c r="XCE93" s="1"/>
      <c r="XCF93" s="1"/>
      <c r="XCG93" s="1"/>
      <c r="XCH93" s="1"/>
      <c r="XCI93" s="1"/>
      <c r="XCJ93" s="1"/>
      <c r="XCK93" s="1"/>
      <c r="XCL93" s="1"/>
      <c r="XCM93" s="1"/>
      <c r="XCN93" s="1"/>
      <c r="XCO93" s="1"/>
      <c r="XCP93" s="1"/>
      <c r="XCQ93" s="1"/>
      <c r="XCR93" s="1"/>
      <c r="XCS93" s="1"/>
      <c r="XCT93" s="1"/>
      <c r="XCU93" s="1"/>
      <c r="XCV93" s="1"/>
      <c r="XCW93" s="1"/>
      <c r="XCX93" s="1"/>
      <c r="XCY93" s="1"/>
      <c r="XCZ93" s="1"/>
      <c r="XDA93" s="1"/>
      <c r="XDB93" s="1"/>
      <c r="XDC93" s="1"/>
      <c r="XDD93" s="1"/>
      <c r="XDE93" s="1"/>
      <c r="XDF93" s="1"/>
      <c r="XDG93" s="1"/>
      <c r="XDH93" s="1"/>
      <c r="XDI93" s="1"/>
      <c r="XDJ93" s="1"/>
      <c r="XDK93" s="1"/>
      <c r="XDL93" s="1"/>
      <c r="XDM93" s="1"/>
      <c r="XDN93" s="1"/>
      <c r="XDO93" s="1"/>
      <c r="XDP93" s="1"/>
      <c r="XDQ93" s="1"/>
      <c r="XDR93" s="1"/>
      <c r="XDS93" s="1"/>
      <c r="XDT93" s="1"/>
      <c r="XDU93" s="1"/>
      <c r="XDV93" s="1"/>
      <c r="XDW93" s="1"/>
      <c r="XDX93" s="1"/>
      <c r="XDY93" s="1"/>
      <c r="XDZ93" s="1"/>
      <c r="XEA93" s="1"/>
      <c r="XEB93" s="1"/>
      <c r="XEC93" s="1"/>
      <c r="XED93" s="1"/>
      <c r="XEE93" s="1"/>
      <c r="XEF93" s="1"/>
      <c r="XEG93" s="1"/>
      <c r="XEH93" s="1"/>
      <c r="XEI93" s="1"/>
      <c r="XEJ93" s="1"/>
      <c r="XEK93" s="1"/>
      <c r="XEL93" s="1"/>
      <c r="XEM93" s="1"/>
      <c r="XEN93" s="1"/>
      <c r="XEO93" s="1"/>
      <c r="XEP93" s="1"/>
      <c r="XEQ93" s="1"/>
      <c r="XER93" s="1"/>
      <c r="XES93" s="1"/>
      <c r="XET93" s="1"/>
      <c r="XEU93" s="1"/>
      <c r="XEV93" s="1"/>
      <c r="XEW93" s="1"/>
      <c r="XEX93" s="1"/>
      <c r="XEY93" s="1"/>
      <c r="XEZ93" s="1"/>
      <c r="XFA93" s="1"/>
      <c r="XFB93" s="1"/>
      <c r="XFC93" s="1"/>
      <c r="XFD93" s="1"/>
    </row>
    <row r="94" spans="1:151 16227:16384" s="10" customFormat="1" ht="21" x14ac:dyDescent="0.3">
      <c r="A94" s="71" t="s">
        <v>237</v>
      </c>
      <c r="B94" s="72"/>
      <c r="C94" s="73" t="s">
        <v>193</v>
      </c>
      <c r="D94" s="74"/>
      <c r="E94" s="42" t="s">
        <v>192</v>
      </c>
      <c r="F94" s="73">
        <f>COUNT(I104:I115)*35+COUNT(I117:I125,I127:I128)*7</f>
        <v>497</v>
      </c>
      <c r="G94" s="74"/>
      <c r="H94" s="73">
        <f>SUM(I104:I115)*35+SUM(I117:I125,I127:I128)*7</f>
        <v>232532.17860599997</v>
      </c>
      <c r="I94" s="74"/>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WZC94" s="1"/>
      <c r="WZD94" s="1"/>
      <c r="WZE94" s="1"/>
      <c r="WZF94" s="1"/>
      <c r="WZG94" s="1"/>
      <c r="WZH94" s="1"/>
      <c r="WZI94" s="1"/>
      <c r="WZJ94" s="1"/>
      <c r="WZK94" s="1"/>
      <c r="WZL94" s="1"/>
      <c r="WZM94" s="1"/>
      <c r="WZN94" s="1"/>
      <c r="WZO94" s="1"/>
      <c r="WZP94" s="1"/>
      <c r="WZQ94" s="1"/>
      <c r="WZR94" s="1"/>
      <c r="WZS94" s="1"/>
      <c r="WZT94" s="1"/>
      <c r="WZU94" s="1"/>
      <c r="WZV94" s="1"/>
      <c r="WZW94" s="1"/>
      <c r="WZX94" s="1"/>
      <c r="WZY94" s="1"/>
      <c r="WZZ94" s="1"/>
      <c r="XAA94" s="1"/>
      <c r="XAB94" s="1"/>
      <c r="XAC94" s="1"/>
      <c r="XAD94" s="1"/>
      <c r="XAE94" s="1"/>
      <c r="XAF94" s="1"/>
      <c r="XAG94" s="1"/>
      <c r="XAH94" s="1"/>
      <c r="XAI94" s="1"/>
      <c r="XAJ94" s="1"/>
      <c r="XAK94" s="1"/>
      <c r="XAL94" s="1"/>
      <c r="XAM94" s="1"/>
      <c r="XAN94" s="1"/>
      <c r="XAO94" s="1"/>
      <c r="XAP94" s="1"/>
      <c r="XAQ94" s="1"/>
      <c r="XAR94" s="1"/>
      <c r="XAS94" s="1"/>
      <c r="XAT94" s="1"/>
      <c r="XAU94" s="1"/>
      <c r="XAV94" s="1"/>
      <c r="XAW94" s="1"/>
      <c r="XAX94" s="1"/>
      <c r="XAY94" s="1"/>
      <c r="XAZ94" s="1"/>
      <c r="XBA94" s="1"/>
      <c r="XBB94" s="1"/>
      <c r="XBC94" s="1"/>
      <c r="XBD94" s="1"/>
      <c r="XBE94" s="1"/>
      <c r="XBF94" s="1"/>
      <c r="XBG94" s="1"/>
      <c r="XBH94" s="1"/>
      <c r="XBI94" s="1"/>
      <c r="XBJ94" s="1"/>
      <c r="XBK94" s="1"/>
      <c r="XBL94" s="1"/>
      <c r="XBM94" s="1"/>
      <c r="XBN94" s="1"/>
      <c r="XBO94" s="1"/>
      <c r="XBP94" s="1"/>
      <c r="XBQ94" s="1"/>
      <c r="XBR94" s="1"/>
      <c r="XBS94" s="1"/>
      <c r="XBT94" s="1"/>
      <c r="XBU94" s="1"/>
      <c r="XBV94" s="1"/>
      <c r="XBW94" s="1"/>
      <c r="XBX94" s="1"/>
      <c r="XBY94" s="1"/>
      <c r="XBZ94" s="1"/>
      <c r="XCA94" s="1"/>
      <c r="XCB94" s="1"/>
      <c r="XCC94" s="1"/>
      <c r="XCD94" s="1"/>
      <c r="XCE94" s="1"/>
      <c r="XCF94" s="1"/>
      <c r="XCG94" s="1"/>
      <c r="XCH94" s="1"/>
      <c r="XCI94" s="1"/>
      <c r="XCJ94" s="1"/>
      <c r="XCK94" s="1"/>
      <c r="XCL94" s="1"/>
      <c r="XCM94" s="1"/>
      <c r="XCN94" s="1"/>
      <c r="XCO94" s="1"/>
      <c r="XCP94" s="1"/>
      <c r="XCQ94" s="1"/>
      <c r="XCR94" s="1"/>
      <c r="XCS94" s="1"/>
      <c r="XCT94" s="1"/>
      <c r="XCU94" s="1"/>
      <c r="XCV94" s="1"/>
      <c r="XCW94" s="1"/>
      <c r="XCX94" s="1"/>
      <c r="XCY94" s="1"/>
      <c r="XCZ94" s="1"/>
      <c r="XDA94" s="1"/>
      <c r="XDB94" s="1"/>
      <c r="XDC94" s="1"/>
      <c r="XDD94" s="1"/>
      <c r="XDE94" s="1"/>
      <c r="XDF94" s="1"/>
      <c r="XDG94" s="1"/>
      <c r="XDH94" s="1"/>
      <c r="XDI94" s="1"/>
      <c r="XDJ94" s="1"/>
      <c r="XDK94" s="1"/>
      <c r="XDL94" s="1"/>
      <c r="XDM94" s="1"/>
      <c r="XDN94" s="1"/>
      <c r="XDO94" s="1"/>
      <c r="XDP94" s="1"/>
      <c r="XDQ94" s="1"/>
      <c r="XDR94" s="1"/>
      <c r="XDS94" s="1"/>
      <c r="XDT94" s="1"/>
      <c r="XDU94" s="1"/>
      <c r="XDV94" s="1"/>
      <c r="XDW94" s="1"/>
      <c r="XDX94" s="1"/>
      <c r="XDY94" s="1"/>
      <c r="XDZ94" s="1"/>
      <c r="XEA94" s="1"/>
      <c r="XEB94" s="1"/>
      <c r="XEC94" s="1"/>
      <c r="XED94" s="1"/>
      <c r="XEE94" s="1"/>
      <c r="XEF94" s="1"/>
      <c r="XEG94" s="1"/>
      <c r="XEH94" s="1"/>
      <c r="XEI94" s="1"/>
      <c r="XEJ94" s="1"/>
      <c r="XEK94" s="1"/>
      <c r="XEL94" s="1"/>
      <c r="XEM94" s="1"/>
      <c r="XEN94" s="1"/>
      <c r="XEO94" s="1"/>
      <c r="XEP94" s="1"/>
      <c r="XEQ94" s="1"/>
      <c r="XER94" s="1"/>
      <c r="XES94" s="1"/>
      <c r="XET94" s="1"/>
      <c r="XEU94" s="1"/>
      <c r="XEV94" s="1"/>
      <c r="XEW94" s="1"/>
      <c r="XEX94" s="1"/>
      <c r="XEY94" s="1"/>
      <c r="XEZ94" s="1"/>
      <c r="XFA94" s="1"/>
      <c r="XFB94" s="1"/>
      <c r="XFC94" s="1"/>
      <c r="XFD94" s="1"/>
    </row>
    <row r="95" spans="1:151 16227:16384" s="10" customFormat="1" ht="21" x14ac:dyDescent="0.3">
      <c r="A95" s="90" t="s">
        <v>236</v>
      </c>
      <c r="B95" s="91"/>
      <c r="C95" s="73" t="s">
        <v>193</v>
      </c>
      <c r="D95" s="74"/>
      <c r="E95" s="42" t="s">
        <v>194</v>
      </c>
      <c r="F95" s="73">
        <f>COUNT(I132:I138)+COUNT(I140:I146)</f>
        <v>14</v>
      </c>
      <c r="G95" s="74"/>
      <c r="H95" s="73">
        <f t="shared" ref="H95" si="0">SUM(I132:I138)+SUM(I140:I146)</f>
        <v>9981.7801199999994</v>
      </c>
      <c r="I95" s="74"/>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c r="XEC95" s="1"/>
      <c r="XED95" s="1"/>
      <c r="XEE95" s="1"/>
      <c r="XEF95" s="1"/>
      <c r="XEG95" s="1"/>
      <c r="XEH95" s="1"/>
      <c r="XEI95" s="1"/>
      <c r="XEJ95" s="1"/>
      <c r="XEK95" s="1"/>
      <c r="XEL95" s="1"/>
      <c r="XEM95" s="1"/>
      <c r="XEN95" s="1"/>
      <c r="XEO95" s="1"/>
      <c r="XEP95" s="1"/>
      <c r="XEQ95" s="1"/>
      <c r="XER95" s="1"/>
      <c r="XES95" s="1"/>
      <c r="XET95" s="1"/>
      <c r="XEU95" s="1"/>
      <c r="XEV95" s="1"/>
      <c r="XEW95" s="1"/>
      <c r="XEX95" s="1"/>
      <c r="XEY95" s="1"/>
      <c r="XEZ95" s="1"/>
      <c r="XFA95" s="1"/>
      <c r="XFB95" s="1"/>
      <c r="XFC95" s="1"/>
      <c r="XFD95" s="1"/>
    </row>
    <row r="96" spans="1:151 16227:16384" s="10" customFormat="1" ht="21" x14ac:dyDescent="0.3">
      <c r="A96" s="71"/>
      <c r="B96" s="72"/>
      <c r="C96" s="73" t="s">
        <v>193</v>
      </c>
      <c r="D96" s="74"/>
      <c r="E96" s="42" t="s">
        <v>192</v>
      </c>
      <c r="F96" s="73">
        <f>COUNT(I148:I149)+COUNT(I151:I156)*35+COUNT(I158:I159,I161:I163)*8</f>
        <v>252</v>
      </c>
      <c r="G96" s="74"/>
      <c r="H96" s="73">
        <f>SUM(I148:I149)+SUM(I151:I156)*25+SUM(I158:I159,I161:I163)*5</f>
        <v>142094.37995999999</v>
      </c>
      <c r="I96" s="74"/>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c r="XEZ96" s="1"/>
      <c r="XFA96" s="1"/>
      <c r="XFB96" s="1"/>
      <c r="XFC96" s="1"/>
      <c r="XFD96" s="1"/>
    </row>
    <row r="97" spans="1:151 16227:16384" s="10" customFormat="1" ht="21" x14ac:dyDescent="0.3">
      <c r="A97" s="88" t="s">
        <v>160</v>
      </c>
      <c r="B97" s="89"/>
      <c r="C97" s="88" t="s">
        <v>98</v>
      </c>
      <c r="D97" s="89"/>
      <c r="E97" s="41" t="s">
        <v>98</v>
      </c>
      <c r="F97" s="88">
        <f>SUM(F94:G96)</f>
        <v>763</v>
      </c>
      <c r="G97" s="89"/>
      <c r="H97" s="88">
        <f>SUM(H94:I96)</f>
        <v>384608.33868599997</v>
      </c>
      <c r="I97" s="89"/>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c r="XEC97" s="1"/>
      <c r="XED97" s="1"/>
      <c r="XEE97" s="1"/>
      <c r="XEF97" s="1"/>
      <c r="XEG97" s="1"/>
      <c r="XEH97" s="1"/>
      <c r="XEI97" s="1"/>
      <c r="XEJ97" s="1"/>
      <c r="XEK97" s="1"/>
      <c r="XEL97" s="1"/>
      <c r="XEM97" s="1"/>
      <c r="XEN97" s="1"/>
      <c r="XEO97" s="1"/>
      <c r="XEP97" s="1"/>
      <c r="XEQ97" s="1"/>
      <c r="XER97" s="1"/>
      <c r="XES97" s="1"/>
      <c r="XET97" s="1"/>
      <c r="XEU97" s="1"/>
      <c r="XEV97" s="1"/>
      <c r="XEW97" s="1"/>
      <c r="XEX97" s="1"/>
      <c r="XEY97" s="1"/>
      <c r="XEZ97" s="1"/>
      <c r="XFA97" s="1"/>
      <c r="XFB97" s="1"/>
      <c r="XFC97" s="1"/>
      <c r="XFD97" s="1"/>
    </row>
    <row r="98" spans="1:151 16227:16384" ht="21" x14ac:dyDescent="0.3">
      <c r="A98" s="113" t="s">
        <v>153</v>
      </c>
      <c r="B98" s="114"/>
      <c r="C98" s="114"/>
      <c r="D98" s="114"/>
      <c r="E98" s="114"/>
      <c r="F98" s="114"/>
      <c r="G98" s="114"/>
      <c r="H98" s="114"/>
      <c r="I98" s="119"/>
    </row>
    <row r="99" spans="1:151 16227:16384" ht="66" customHeight="1" x14ac:dyDescent="0.3">
      <c r="A99" s="107" t="s">
        <v>91</v>
      </c>
      <c r="B99" s="107"/>
      <c r="C99" s="107" t="s">
        <v>171</v>
      </c>
      <c r="D99" s="107"/>
      <c r="E99" s="43" t="s">
        <v>164</v>
      </c>
      <c r="F99" s="107" t="s">
        <v>195</v>
      </c>
      <c r="G99" s="107"/>
      <c r="H99" s="43" t="s">
        <v>92</v>
      </c>
      <c r="I99" s="43" t="s">
        <v>196</v>
      </c>
    </row>
    <row r="100" spans="1:151 16227:16384" s="10" customFormat="1" ht="21" x14ac:dyDescent="0.3">
      <c r="A100" s="68" t="s">
        <v>230</v>
      </c>
      <c r="B100" s="69"/>
      <c r="C100" s="69"/>
      <c r="D100" s="69"/>
      <c r="E100" s="69"/>
      <c r="F100" s="69"/>
      <c r="G100" s="69"/>
      <c r="H100" s="69"/>
      <c r="I100" s="70"/>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c r="XFD100" s="1"/>
    </row>
    <row r="101" spans="1:151 16227:16384" s="10" customFormat="1" ht="21" x14ac:dyDescent="0.3">
      <c r="A101" s="68" t="s">
        <v>231</v>
      </c>
      <c r="B101" s="69"/>
      <c r="C101" s="69"/>
      <c r="D101" s="69"/>
      <c r="E101" s="69"/>
      <c r="F101" s="69"/>
      <c r="G101" s="69"/>
      <c r="H101" s="69"/>
      <c r="I101" s="70"/>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c r="XFD101" s="1"/>
    </row>
    <row r="102" spans="1:151 16227:16384" s="10" customFormat="1" ht="21" x14ac:dyDescent="0.3">
      <c r="A102" s="64" t="s">
        <v>232</v>
      </c>
      <c r="B102" s="65"/>
      <c r="C102" s="65"/>
      <c r="D102" s="65"/>
      <c r="E102" s="65"/>
      <c r="F102" s="65"/>
      <c r="G102" s="65"/>
      <c r="H102" s="65"/>
      <c r="I102" s="66"/>
      <c r="J102" s="1"/>
      <c r="K102" s="47"/>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c r="XFD102" s="1"/>
    </row>
    <row r="103" spans="1:151 16227:16384" s="10" customFormat="1" ht="42" customHeight="1" x14ac:dyDescent="0.3">
      <c r="A103" s="64" t="s">
        <v>233</v>
      </c>
      <c r="B103" s="65"/>
      <c r="C103" s="65"/>
      <c r="D103" s="65"/>
      <c r="E103" s="65"/>
      <c r="F103" s="65"/>
      <c r="G103" s="65"/>
      <c r="H103" s="65"/>
      <c r="I103" s="66"/>
      <c r="J103" s="1"/>
      <c r="K103" s="47"/>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c r="XFD103" s="1"/>
    </row>
    <row r="104" spans="1:151 16227:16384" s="10" customFormat="1" ht="21" x14ac:dyDescent="0.3">
      <c r="A104" s="60">
        <v>1</v>
      </c>
      <c r="B104" s="60"/>
      <c r="C104" s="61" t="s">
        <v>190</v>
      </c>
      <c r="D104" s="62"/>
      <c r="E104" s="44">
        <f>(43.38)*(10.764)</f>
        <v>466.94232</v>
      </c>
      <c r="F104" s="61">
        <f>0*(10.764)</f>
        <v>0</v>
      </c>
      <c r="G104" s="62"/>
      <c r="H104" s="44">
        <v>0</v>
      </c>
      <c r="I104" s="44">
        <f>E104+F104+H104</f>
        <v>466.94232</v>
      </c>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c r="XFD104" s="1"/>
    </row>
    <row r="105" spans="1:151 16227:16384" s="10" customFormat="1" ht="21" x14ac:dyDescent="0.3">
      <c r="A105" s="60">
        <v>2</v>
      </c>
      <c r="B105" s="60"/>
      <c r="C105" s="61" t="s">
        <v>234</v>
      </c>
      <c r="D105" s="62"/>
      <c r="E105" s="44">
        <f>(36.39-(1.525*0.925))*(10.764)</f>
        <v>376.51799249999993</v>
      </c>
      <c r="F105" s="61">
        <f>(1.525*0.925)*(10.764)</f>
        <v>15.1839675</v>
      </c>
      <c r="G105" s="62"/>
      <c r="H105" s="44">
        <v>0</v>
      </c>
      <c r="I105" s="44">
        <f t="shared" ref="I105:I110" si="1">E105+F105+H105</f>
        <v>391.70195999999993</v>
      </c>
      <c r="J105" s="1"/>
      <c r="K105" s="67"/>
      <c r="L105" s="67"/>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c r="XFD105" s="1"/>
    </row>
    <row r="106" spans="1:151 16227:16384" s="10" customFormat="1" ht="21" x14ac:dyDescent="0.3">
      <c r="A106" s="60">
        <v>3</v>
      </c>
      <c r="B106" s="60"/>
      <c r="C106" s="61" t="s">
        <v>234</v>
      </c>
      <c r="D106" s="62"/>
      <c r="E106" s="44">
        <f>(37.17-(1.525*0.925))*(10.764)</f>
        <v>384.91391249999998</v>
      </c>
      <c r="F106" s="61">
        <f>(1.525*0.925+2.5*0.925)*(10.764)</f>
        <v>40.075717499999996</v>
      </c>
      <c r="G106" s="62"/>
      <c r="H106" s="44">
        <v>0</v>
      </c>
      <c r="I106" s="44">
        <f t="shared" si="1"/>
        <v>424.98962999999998</v>
      </c>
      <c r="J106" s="48"/>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c r="XFD106" s="1"/>
    </row>
    <row r="107" spans="1:151 16227:16384" s="10" customFormat="1" ht="20.25" customHeight="1" x14ac:dyDescent="0.3">
      <c r="A107" s="60">
        <v>4</v>
      </c>
      <c r="B107" s="60"/>
      <c r="C107" s="61" t="s">
        <v>234</v>
      </c>
      <c r="D107" s="62"/>
      <c r="E107" s="44">
        <f>(36.39-(1.525*0.925))*(10.764)</f>
        <v>376.51799249999993</v>
      </c>
      <c r="F107" s="61">
        <f>(1.525*0.925)*(10.764)</f>
        <v>15.1839675</v>
      </c>
      <c r="G107" s="62"/>
      <c r="H107" s="44">
        <v>0</v>
      </c>
      <c r="I107" s="44">
        <f t="shared" si="1"/>
        <v>391.70195999999993</v>
      </c>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c r="XFD107" s="1"/>
    </row>
    <row r="108" spans="1:151 16227:16384" s="10" customFormat="1" ht="20.25" customHeight="1" x14ac:dyDescent="0.3">
      <c r="A108" s="60">
        <v>5</v>
      </c>
      <c r="B108" s="60"/>
      <c r="C108" s="61" t="s">
        <v>234</v>
      </c>
      <c r="D108" s="62"/>
      <c r="E108" s="44">
        <f>(36.39-(1.525*0.925))*(10.764)</f>
        <v>376.51799249999993</v>
      </c>
      <c r="F108" s="61">
        <f>(1.525*0.925)*(10.764)</f>
        <v>15.1839675</v>
      </c>
      <c r="G108" s="62"/>
      <c r="H108" s="44">
        <v>0</v>
      </c>
      <c r="I108" s="44">
        <f t="shared" si="1"/>
        <v>391.70195999999993</v>
      </c>
      <c r="J108" s="48">
        <f>(3.05*4.575+2.125*2.6+3.05*3.05+1.375*2.125+1.375*1.225+1.475*0.9+1.525*0.925)</f>
        <v>36.125624999999999</v>
      </c>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c r="XFD108" s="1"/>
    </row>
    <row r="109" spans="1:151 16227:16384" s="10" customFormat="1" ht="20.25" customHeight="1" x14ac:dyDescent="0.3">
      <c r="A109" s="60">
        <v>6</v>
      </c>
      <c r="B109" s="60"/>
      <c r="C109" s="61" t="s">
        <v>190</v>
      </c>
      <c r="D109" s="62"/>
      <c r="E109" s="44">
        <f>(43.78)*(10.764)</f>
        <v>471.24791999999997</v>
      </c>
      <c r="F109" s="61">
        <v>0</v>
      </c>
      <c r="G109" s="62"/>
      <c r="H109" s="44">
        <v>0</v>
      </c>
      <c r="I109" s="44">
        <f t="shared" si="1"/>
        <v>471.24791999999997</v>
      </c>
      <c r="J109" s="1"/>
      <c r="K109" s="1"/>
      <c r="L109" s="1"/>
      <c r="M109" s="1"/>
      <c r="N109" s="1"/>
      <c r="O109" s="1"/>
      <c r="P109" s="1"/>
      <c r="Q109" s="1"/>
      <c r="R109" s="47"/>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c r="XFD109" s="1"/>
    </row>
    <row r="110" spans="1:151 16227:16384" s="10" customFormat="1" ht="20.25" customHeight="1" x14ac:dyDescent="0.3">
      <c r="A110" s="60">
        <v>7</v>
      </c>
      <c r="B110" s="60"/>
      <c r="C110" s="61" t="s">
        <v>190</v>
      </c>
      <c r="D110" s="62"/>
      <c r="E110" s="44">
        <f>(43.78)*(10.764)</f>
        <v>471.24791999999997</v>
      </c>
      <c r="F110" s="61">
        <v>0</v>
      </c>
      <c r="G110" s="62"/>
      <c r="H110" s="44">
        <v>0</v>
      </c>
      <c r="I110" s="44">
        <f t="shared" si="1"/>
        <v>471.24791999999997</v>
      </c>
      <c r="J110" s="1"/>
      <c r="K110" s="1"/>
      <c r="L110" s="1"/>
      <c r="M110" s="1"/>
      <c r="N110" s="1"/>
      <c r="O110" s="1"/>
      <c r="P110" s="1"/>
      <c r="Q110" s="1"/>
      <c r="R110" s="47"/>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c r="XFD110" s="1"/>
    </row>
    <row r="111" spans="1:151 16227:16384" s="10" customFormat="1" ht="21" x14ac:dyDescent="0.3">
      <c r="A111" s="60">
        <v>8</v>
      </c>
      <c r="B111" s="60"/>
      <c r="C111" s="61" t="s">
        <v>190</v>
      </c>
      <c r="D111" s="62"/>
      <c r="E111" s="44">
        <f>(55.66-(1.625*0.925))*(10.764)</f>
        <v>582.94460249999997</v>
      </c>
      <c r="F111" s="61">
        <f>(1.625*0.925+2.85*0.995)*(10.764)</f>
        <v>46.703650499999995</v>
      </c>
      <c r="G111" s="62"/>
      <c r="H111" s="44">
        <v>0</v>
      </c>
      <c r="I111" s="44">
        <f t="shared" ref="I111:I115" si="2">E111+F111+H111</f>
        <v>629.64825299999995</v>
      </c>
      <c r="J111" s="48">
        <f>(3.05*5.13+1.075*0.925+2.125*2.75+3.05*3.05+3.05*3.65+1.625*0.9+2.125*1.375+1.375*2.125+1.475*0.9+1.625*0.925)</f>
        <v>53.056499999999993</v>
      </c>
      <c r="K111" s="1"/>
      <c r="L111" s="1"/>
      <c r="M111" s="1"/>
      <c r="N111" s="1"/>
      <c r="O111" s="1"/>
      <c r="P111" s="1"/>
      <c r="Q111" s="1"/>
      <c r="R111" s="47"/>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c r="XFD111" s="1"/>
    </row>
    <row r="112" spans="1:151 16227:16384" s="10" customFormat="1" ht="20.25" customHeight="1" x14ac:dyDescent="0.3">
      <c r="A112" s="60">
        <v>9</v>
      </c>
      <c r="B112" s="60"/>
      <c r="C112" s="61" t="s">
        <v>190</v>
      </c>
      <c r="D112" s="62"/>
      <c r="E112" s="44">
        <f>(42.64)*(10.764)</f>
        <v>458.97695999999996</v>
      </c>
      <c r="F112" s="61">
        <v>0</v>
      </c>
      <c r="G112" s="62"/>
      <c r="H112" s="44">
        <v>0</v>
      </c>
      <c r="I112" s="44">
        <f t="shared" si="2"/>
        <v>458.97695999999996</v>
      </c>
      <c r="J112" s="1"/>
      <c r="K112" s="1"/>
      <c r="L112" s="1"/>
      <c r="M112" s="1"/>
      <c r="N112" s="1"/>
      <c r="O112" s="1"/>
      <c r="P112" s="1"/>
      <c r="Q112" s="1"/>
      <c r="R112" s="47"/>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c r="XFD112" s="1"/>
    </row>
    <row r="113" spans="1:151 16227:16384" s="10" customFormat="1" ht="20.25" customHeight="1" x14ac:dyDescent="0.3">
      <c r="A113" s="60">
        <v>10</v>
      </c>
      <c r="B113" s="60"/>
      <c r="C113" s="61" t="s">
        <v>190</v>
      </c>
      <c r="D113" s="62"/>
      <c r="E113" s="44">
        <f>(42.64)*(10.764)</f>
        <v>458.97695999999996</v>
      </c>
      <c r="F113" s="61">
        <v>0</v>
      </c>
      <c r="G113" s="62"/>
      <c r="H113" s="44">
        <v>0</v>
      </c>
      <c r="I113" s="44">
        <f t="shared" si="2"/>
        <v>458.97695999999996</v>
      </c>
      <c r="J113" s="1"/>
      <c r="K113" s="1"/>
      <c r="L113" s="1"/>
      <c r="M113" s="1"/>
      <c r="N113" s="1"/>
      <c r="O113" s="1"/>
      <c r="P113" s="1"/>
      <c r="Q113" s="1"/>
      <c r="R113" s="47"/>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c r="XFD113" s="1"/>
    </row>
    <row r="114" spans="1:151 16227:16384" s="10" customFormat="1" ht="20.25" customHeight="1" x14ac:dyDescent="0.3">
      <c r="A114" s="60">
        <v>11</v>
      </c>
      <c r="B114" s="60"/>
      <c r="C114" s="61" t="s">
        <v>190</v>
      </c>
      <c r="D114" s="62"/>
      <c r="E114" s="44">
        <f>(54.71-(1.625*0.925))*(10.764)</f>
        <v>572.71880250000004</v>
      </c>
      <c r="F114" s="61">
        <f>(1.625*0.925)*(10.764)</f>
        <v>16.179637499999998</v>
      </c>
      <c r="G114" s="62"/>
      <c r="H114" s="44">
        <v>0</v>
      </c>
      <c r="I114" s="44">
        <f t="shared" si="2"/>
        <v>588.89844000000005</v>
      </c>
      <c r="J114" s="1"/>
      <c r="K114" s="1"/>
      <c r="L114" s="1"/>
      <c r="M114" s="1"/>
      <c r="N114" s="1"/>
      <c r="O114" s="1"/>
      <c r="P114" s="1"/>
      <c r="Q114" s="1"/>
      <c r="R114" s="47"/>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c r="XFD114" s="1"/>
    </row>
    <row r="115" spans="1:151 16227:16384" s="10" customFormat="1" ht="20.25" customHeight="1" x14ac:dyDescent="0.3">
      <c r="A115" s="60">
        <v>12</v>
      </c>
      <c r="B115" s="60"/>
      <c r="C115" s="61" t="s">
        <v>190</v>
      </c>
      <c r="D115" s="62"/>
      <c r="E115" s="44">
        <f>(43.38)*(10.764)</f>
        <v>466.94232</v>
      </c>
      <c r="F115" s="61">
        <v>0</v>
      </c>
      <c r="G115" s="62"/>
      <c r="H115" s="44">
        <v>0</v>
      </c>
      <c r="I115" s="44">
        <f t="shared" si="2"/>
        <v>466.94232</v>
      </c>
      <c r="J115" s="1"/>
      <c r="K115" s="1"/>
      <c r="L115" s="1"/>
      <c r="M115" s="1"/>
      <c r="N115" s="1"/>
      <c r="O115" s="1"/>
      <c r="P115" s="1"/>
      <c r="Q115" s="1"/>
      <c r="R115" s="47"/>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c r="XFD115" s="1"/>
    </row>
    <row r="116" spans="1:151 16227:16384" s="10" customFormat="1" ht="21" x14ac:dyDescent="0.3">
      <c r="A116" s="64" t="s">
        <v>235</v>
      </c>
      <c r="B116" s="65"/>
      <c r="C116" s="65"/>
      <c r="D116" s="65"/>
      <c r="E116" s="65"/>
      <c r="F116" s="65"/>
      <c r="G116" s="65"/>
      <c r="H116" s="65"/>
      <c r="I116" s="66"/>
      <c r="J116" s="1"/>
      <c r="K116" s="47"/>
      <c r="L116" s="1"/>
      <c r="M116" s="1"/>
      <c r="N116" s="1"/>
      <c r="O116" s="1"/>
      <c r="P116" s="1"/>
      <c r="Q116" s="1"/>
      <c r="R116" s="47"/>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c r="XFD116" s="1"/>
    </row>
    <row r="117" spans="1:151 16227:16384" s="10" customFormat="1" ht="21" x14ac:dyDescent="0.3">
      <c r="A117" s="60">
        <v>1</v>
      </c>
      <c r="B117" s="60"/>
      <c r="C117" s="61" t="s">
        <v>190</v>
      </c>
      <c r="D117" s="62"/>
      <c r="E117" s="44">
        <f>(43.38)*(10.764)</f>
        <v>466.94232</v>
      </c>
      <c r="F117" s="61">
        <f>0*(10.764)</f>
        <v>0</v>
      </c>
      <c r="G117" s="62"/>
      <c r="H117" s="44">
        <v>0</v>
      </c>
      <c r="I117" s="44">
        <f>E117+F117+H117</f>
        <v>466.94232</v>
      </c>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0" customFormat="1" ht="21" x14ac:dyDescent="0.3">
      <c r="A118" s="60">
        <v>2</v>
      </c>
      <c r="B118" s="60"/>
      <c r="C118" s="61" t="s">
        <v>234</v>
      </c>
      <c r="D118" s="62"/>
      <c r="E118" s="44">
        <f>(36.39-(1.525*0.925))*(10.764)</f>
        <v>376.51799249999993</v>
      </c>
      <c r="F118" s="61">
        <f>(1.525*0.925)*(10.764)</f>
        <v>15.1839675</v>
      </c>
      <c r="G118" s="62"/>
      <c r="H118" s="44">
        <v>0</v>
      </c>
      <c r="I118" s="44">
        <f t="shared" ref="I118:I128" si="3">E118+F118+H118</f>
        <v>391.70195999999993</v>
      </c>
      <c r="J118" s="1"/>
      <c r="K118" s="67"/>
      <c r="L118" s="67"/>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0" customFormat="1" ht="21" x14ac:dyDescent="0.3">
      <c r="A119" s="60">
        <v>3</v>
      </c>
      <c r="B119" s="60"/>
      <c r="C119" s="61" t="s">
        <v>234</v>
      </c>
      <c r="D119" s="62"/>
      <c r="E119" s="44">
        <f>(37.17-(1.525*0.925))*(10.764)</f>
        <v>384.91391249999998</v>
      </c>
      <c r="F119" s="61">
        <f>(1.525*0.925+2.5*0.925)*(10.764)</f>
        <v>40.075717499999996</v>
      </c>
      <c r="G119" s="62"/>
      <c r="H119" s="44">
        <v>0</v>
      </c>
      <c r="I119" s="44">
        <f t="shared" si="3"/>
        <v>424.98962999999998</v>
      </c>
      <c r="J119" s="48"/>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0" customFormat="1" ht="20.25" customHeight="1" x14ac:dyDescent="0.3">
      <c r="A120" s="60">
        <v>4</v>
      </c>
      <c r="B120" s="60"/>
      <c r="C120" s="61" t="s">
        <v>234</v>
      </c>
      <c r="D120" s="62"/>
      <c r="E120" s="44">
        <f>(36.39-(1.525*0.925))*(10.764)</f>
        <v>376.51799249999993</v>
      </c>
      <c r="F120" s="61">
        <f>(1.525*0.925)*(10.764)</f>
        <v>15.1839675</v>
      </c>
      <c r="G120" s="62"/>
      <c r="H120" s="44">
        <v>0</v>
      </c>
      <c r="I120" s="44">
        <f t="shared" si="3"/>
        <v>391.70195999999993</v>
      </c>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s="10" customFormat="1" ht="20.25" customHeight="1" x14ac:dyDescent="0.3">
      <c r="A121" s="60">
        <v>5</v>
      </c>
      <c r="B121" s="60"/>
      <c r="C121" s="61" t="s">
        <v>234</v>
      </c>
      <c r="D121" s="62"/>
      <c r="E121" s="44">
        <f>(36.39-(1.525*0.925))*(10.764)</f>
        <v>376.51799249999993</v>
      </c>
      <c r="F121" s="61">
        <f>(1.525*0.925)*(10.764)</f>
        <v>15.1839675</v>
      </c>
      <c r="G121" s="62"/>
      <c r="H121" s="44">
        <v>0</v>
      </c>
      <c r="I121" s="44">
        <f t="shared" si="3"/>
        <v>391.70195999999993</v>
      </c>
      <c r="J121" s="48"/>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c r="XFD121" s="1"/>
    </row>
    <row r="122" spans="1:151 16227:16384" s="10" customFormat="1" ht="20.25" customHeight="1" x14ac:dyDescent="0.3">
      <c r="A122" s="60">
        <v>6</v>
      </c>
      <c r="B122" s="60"/>
      <c r="C122" s="61" t="s">
        <v>190</v>
      </c>
      <c r="D122" s="62"/>
      <c r="E122" s="44">
        <f>(43.78)*(10.764)</f>
        <v>471.24791999999997</v>
      </c>
      <c r="F122" s="61">
        <v>0</v>
      </c>
      <c r="G122" s="62"/>
      <c r="H122" s="44">
        <v>0</v>
      </c>
      <c r="I122" s="44">
        <f t="shared" si="3"/>
        <v>471.24791999999997</v>
      </c>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0" customFormat="1" ht="20.25" customHeight="1" x14ac:dyDescent="0.3">
      <c r="A123" s="60">
        <v>7</v>
      </c>
      <c r="B123" s="60"/>
      <c r="C123" s="61" t="s">
        <v>190</v>
      </c>
      <c r="D123" s="62"/>
      <c r="E123" s="44">
        <f>(43.78)*(10.764)</f>
        <v>471.24791999999997</v>
      </c>
      <c r="F123" s="61">
        <v>0</v>
      </c>
      <c r="G123" s="62"/>
      <c r="H123" s="44">
        <v>0</v>
      </c>
      <c r="I123" s="44">
        <f t="shared" si="3"/>
        <v>471.24791999999997</v>
      </c>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0" customFormat="1" ht="21" x14ac:dyDescent="0.3">
      <c r="A124" s="60">
        <v>8</v>
      </c>
      <c r="B124" s="60"/>
      <c r="C124" s="61" t="s">
        <v>190</v>
      </c>
      <c r="D124" s="62"/>
      <c r="E124" s="44">
        <f>(55.66-(1.625*0.925))*(10.764)</f>
        <v>582.94460249999997</v>
      </c>
      <c r="F124" s="61">
        <f>(1.625*0.925+2.85*0.995)*(10.764)</f>
        <v>46.703650499999995</v>
      </c>
      <c r="G124" s="62"/>
      <c r="H124" s="44">
        <v>0</v>
      </c>
      <c r="I124" s="44">
        <f t="shared" si="3"/>
        <v>629.64825299999995</v>
      </c>
      <c r="J124" s="48"/>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0" customFormat="1" ht="20.25" customHeight="1" x14ac:dyDescent="0.3">
      <c r="A125" s="60">
        <v>9</v>
      </c>
      <c r="B125" s="60"/>
      <c r="C125" s="61" t="s">
        <v>190</v>
      </c>
      <c r="D125" s="62"/>
      <c r="E125" s="44">
        <f>(42.64)*(10.764)</f>
        <v>458.97695999999996</v>
      </c>
      <c r="F125" s="61">
        <v>0</v>
      </c>
      <c r="G125" s="62"/>
      <c r="H125" s="44">
        <v>0</v>
      </c>
      <c r="I125" s="44">
        <f t="shared" si="3"/>
        <v>458.97695999999996</v>
      </c>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0" customFormat="1" ht="22.5" customHeight="1" x14ac:dyDescent="0.3">
      <c r="A126" s="60">
        <v>10</v>
      </c>
      <c r="B126" s="60"/>
      <c r="C126" s="61" t="s">
        <v>191</v>
      </c>
      <c r="D126" s="63"/>
      <c r="E126" s="63"/>
      <c r="F126" s="63"/>
      <c r="G126" s="63"/>
      <c r="H126" s="63"/>
      <c r="I126" s="62"/>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0" customFormat="1" ht="20.25" customHeight="1" x14ac:dyDescent="0.3">
      <c r="A127" s="60">
        <v>11</v>
      </c>
      <c r="B127" s="60"/>
      <c r="C127" s="61" t="s">
        <v>190</v>
      </c>
      <c r="D127" s="62"/>
      <c r="E127" s="44">
        <f>(54.71-(1.625*0.925))*(10.764)</f>
        <v>572.71880250000004</v>
      </c>
      <c r="F127" s="61">
        <f>(1.625*0.925)*(10.764)</f>
        <v>16.179637499999998</v>
      </c>
      <c r="G127" s="62"/>
      <c r="H127" s="44">
        <v>0</v>
      </c>
      <c r="I127" s="44">
        <f t="shared" si="3"/>
        <v>588.89844000000005</v>
      </c>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s="10" customFormat="1" ht="20.25" customHeight="1" x14ac:dyDescent="0.3">
      <c r="A128" s="60">
        <v>12</v>
      </c>
      <c r="B128" s="60"/>
      <c r="C128" s="61" t="s">
        <v>190</v>
      </c>
      <c r="D128" s="62"/>
      <c r="E128" s="44">
        <f>(43.38)*(10.764)</f>
        <v>466.94232</v>
      </c>
      <c r="F128" s="61">
        <v>0</v>
      </c>
      <c r="G128" s="62"/>
      <c r="H128" s="44">
        <v>0</v>
      </c>
      <c r="I128" s="44">
        <f t="shared" si="3"/>
        <v>466.94232</v>
      </c>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c r="XFD128" s="1"/>
    </row>
    <row r="129" spans="1:151 16227:16384" s="10" customFormat="1" ht="21" x14ac:dyDescent="0.3">
      <c r="A129" s="68" t="s">
        <v>182</v>
      </c>
      <c r="B129" s="69"/>
      <c r="C129" s="69"/>
      <c r="D129" s="69"/>
      <c r="E129" s="69"/>
      <c r="F129" s="69"/>
      <c r="G129" s="69"/>
      <c r="H129" s="69"/>
      <c r="I129" s="70"/>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7:16384" s="10" customFormat="1" ht="21" x14ac:dyDescent="0.3">
      <c r="A130" s="68" t="s">
        <v>209</v>
      </c>
      <c r="B130" s="69"/>
      <c r="C130" s="69"/>
      <c r="D130" s="69"/>
      <c r="E130" s="69"/>
      <c r="F130" s="69"/>
      <c r="G130" s="69"/>
      <c r="H130" s="69"/>
      <c r="I130" s="70"/>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s="10" customFormat="1" ht="21" x14ac:dyDescent="0.3">
      <c r="A131" s="64" t="s">
        <v>185</v>
      </c>
      <c r="B131" s="65"/>
      <c r="C131" s="65"/>
      <c r="D131" s="65"/>
      <c r="E131" s="65"/>
      <c r="F131" s="65"/>
      <c r="G131" s="65"/>
      <c r="H131" s="65"/>
      <c r="I131" s="66"/>
      <c r="J131" s="1"/>
      <c r="K131" s="47"/>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7:16384" s="10" customFormat="1" ht="21" x14ac:dyDescent="0.3">
      <c r="A132" s="60">
        <v>107</v>
      </c>
      <c r="B132" s="60"/>
      <c r="C132" s="61" t="s">
        <v>186</v>
      </c>
      <c r="D132" s="62"/>
      <c r="E132" s="44">
        <f>(74.22)*(10.764)</f>
        <v>798.90407999999991</v>
      </c>
      <c r="F132" s="61">
        <v>0</v>
      </c>
      <c r="G132" s="62"/>
      <c r="H132" s="44">
        <v>0</v>
      </c>
      <c r="I132" s="44">
        <f>E132+F132+H132</f>
        <v>798.90407999999991</v>
      </c>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0" customFormat="1" ht="21" x14ac:dyDescent="0.3">
      <c r="A133" s="60">
        <v>108</v>
      </c>
      <c r="B133" s="60"/>
      <c r="C133" s="61" t="s">
        <v>186</v>
      </c>
      <c r="D133" s="62"/>
      <c r="E133" s="44">
        <f>(110.28)*(10.764)</f>
        <v>1187.0539199999998</v>
      </c>
      <c r="F133" s="61">
        <v>0</v>
      </c>
      <c r="G133" s="62"/>
      <c r="H133" s="44">
        <v>0</v>
      </c>
      <c r="I133" s="44">
        <f t="shared" ref="I133:I138" si="4">E133+F133+H133</f>
        <v>1187.0539199999998</v>
      </c>
      <c r="J133" s="1"/>
      <c r="K133" s="44">
        <f>10.764</f>
        <v>10.763999999999999</v>
      </c>
      <c r="L133" s="5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0" customFormat="1" ht="21" x14ac:dyDescent="0.3">
      <c r="A134" s="60">
        <f>A133+1</f>
        <v>109</v>
      </c>
      <c r="B134" s="60"/>
      <c r="C134" s="61" t="s">
        <v>186</v>
      </c>
      <c r="D134" s="62"/>
      <c r="E134" s="44">
        <f>(34.67)*(10.764)</f>
        <v>373.18788000000001</v>
      </c>
      <c r="F134" s="61">
        <v>0</v>
      </c>
      <c r="G134" s="62"/>
      <c r="H134" s="44">
        <v>0</v>
      </c>
      <c r="I134" s="44">
        <f t="shared" si="4"/>
        <v>373.18788000000001</v>
      </c>
      <c r="J134" s="48">
        <f>(3.35*3.65+3*2.9+2.55*0.9+3.65*1.65+2.025*1.475+1.375*1.375)</f>
        <v>34.122499999999995</v>
      </c>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0" customFormat="1" ht="20.25" customHeight="1" x14ac:dyDescent="0.3">
      <c r="A135" s="60">
        <f t="shared" ref="A135:A138" si="5">A134+1</f>
        <v>110</v>
      </c>
      <c r="B135" s="60"/>
      <c r="C135" s="61" t="s">
        <v>186</v>
      </c>
      <c r="D135" s="62"/>
      <c r="E135" s="44">
        <f>(64.5)*(10.764)</f>
        <v>694.27799999999991</v>
      </c>
      <c r="F135" s="61">
        <v>0</v>
      </c>
      <c r="G135" s="62"/>
      <c r="H135" s="44">
        <v>0</v>
      </c>
      <c r="I135" s="44">
        <f t="shared" si="4"/>
        <v>694.27799999999991</v>
      </c>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0" customFormat="1" ht="20.25" customHeight="1" x14ac:dyDescent="0.3">
      <c r="A136" s="60">
        <f t="shared" si="5"/>
        <v>111</v>
      </c>
      <c r="B136" s="60"/>
      <c r="C136" s="61" t="s">
        <v>186</v>
      </c>
      <c r="D136" s="62"/>
      <c r="E136" s="44">
        <f>(66.77)*(10.764)</f>
        <v>718.71227999999996</v>
      </c>
      <c r="F136" s="61">
        <v>0</v>
      </c>
      <c r="G136" s="62"/>
      <c r="H136" s="44">
        <v>0</v>
      </c>
      <c r="I136" s="44">
        <f t="shared" si="4"/>
        <v>718.71227999999996</v>
      </c>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0" customFormat="1" ht="20.25" customHeight="1" x14ac:dyDescent="0.3">
      <c r="A137" s="60">
        <f t="shared" si="5"/>
        <v>112</v>
      </c>
      <c r="B137" s="60"/>
      <c r="C137" s="61" t="s">
        <v>186</v>
      </c>
      <c r="D137" s="62"/>
      <c r="E137" s="44">
        <f>(34.04)*(10.764)</f>
        <v>366.40655999999996</v>
      </c>
      <c r="F137" s="61">
        <v>0</v>
      </c>
      <c r="G137" s="62"/>
      <c r="H137" s="44">
        <v>0</v>
      </c>
      <c r="I137" s="44">
        <f t="shared" si="4"/>
        <v>366.40655999999996</v>
      </c>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0" customFormat="1" ht="20.25" customHeight="1" x14ac:dyDescent="0.3">
      <c r="A138" s="60">
        <f t="shared" si="5"/>
        <v>113</v>
      </c>
      <c r="B138" s="60"/>
      <c r="C138" s="61" t="s">
        <v>186</v>
      </c>
      <c r="D138" s="62"/>
      <c r="E138" s="44">
        <f>(129.83)*(10.764)</f>
        <v>1397.4901200000002</v>
      </c>
      <c r="F138" s="61">
        <v>0</v>
      </c>
      <c r="G138" s="62"/>
      <c r="H138" s="44">
        <v>0</v>
      </c>
      <c r="I138" s="44">
        <f t="shared" si="4"/>
        <v>1397.4901200000002</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0" customFormat="1" ht="21" x14ac:dyDescent="0.3">
      <c r="A139" s="64" t="s">
        <v>187</v>
      </c>
      <c r="B139" s="65"/>
      <c r="C139" s="65"/>
      <c r="D139" s="65"/>
      <c r="E139" s="65"/>
      <c r="F139" s="65"/>
      <c r="G139" s="65"/>
      <c r="H139" s="65"/>
      <c r="I139" s="66"/>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0" customFormat="1" ht="21" x14ac:dyDescent="0.3">
      <c r="A140" s="60">
        <v>207</v>
      </c>
      <c r="B140" s="60"/>
      <c r="C140" s="61" t="s">
        <v>186</v>
      </c>
      <c r="D140" s="62"/>
      <c r="E140" s="44">
        <f>(61.05)*(10.764)</f>
        <v>657.14219999999989</v>
      </c>
      <c r="F140" s="61">
        <v>0</v>
      </c>
      <c r="G140" s="62"/>
      <c r="H140" s="44">
        <v>0</v>
      </c>
      <c r="I140" s="44">
        <f>E140+F140+H140</f>
        <v>657.14219999999989</v>
      </c>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0" customFormat="1" ht="21" x14ac:dyDescent="0.3">
      <c r="A141" s="60">
        <v>208</v>
      </c>
      <c r="B141" s="60"/>
      <c r="C141" s="61" t="s">
        <v>186</v>
      </c>
      <c r="D141" s="62"/>
      <c r="E141" s="44">
        <f>(95.02)*(10.764)</f>
        <v>1022.7952799999999</v>
      </c>
      <c r="F141" s="61">
        <v>0</v>
      </c>
      <c r="G141" s="62"/>
      <c r="H141" s="44">
        <v>0</v>
      </c>
      <c r="I141" s="44">
        <f t="shared" ref="I141:I146" si="6">E141+F141+H141</f>
        <v>1022.7952799999999</v>
      </c>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0" customFormat="1" ht="21" x14ac:dyDescent="0.3">
      <c r="A142" s="60">
        <f>A141+1</f>
        <v>209</v>
      </c>
      <c r="B142" s="60"/>
      <c r="C142" s="61" t="s">
        <v>186</v>
      </c>
      <c r="D142" s="62"/>
      <c r="E142" s="44">
        <f>(25.24)*(10.764)</f>
        <v>271.68335999999999</v>
      </c>
      <c r="F142" s="61">
        <v>0</v>
      </c>
      <c r="G142" s="62"/>
      <c r="H142" s="44">
        <v>0</v>
      </c>
      <c r="I142" s="44">
        <f t="shared" si="6"/>
        <v>271.68335999999999</v>
      </c>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0" customFormat="1" ht="20.25" customHeight="1" x14ac:dyDescent="0.3">
      <c r="A143" s="60">
        <f t="shared" ref="A143:A146" si="7">A142+1</f>
        <v>210</v>
      </c>
      <c r="B143" s="60"/>
      <c r="C143" s="61" t="s">
        <v>186</v>
      </c>
      <c r="D143" s="62"/>
      <c r="E143" s="44">
        <f>(47.24)*(10.764)</f>
        <v>508.49135999999999</v>
      </c>
      <c r="F143" s="61">
        <v>0</v>
      </c>
      <c r="G143" s="62"/>
      <c r="H143" s="44">
        <v>0</v>
      </c>
      <c r="I143" s="44">
        <f t="shared" si="6"/>
        <v>508.49135999999999</v>
      </c>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0" customFormat="1" ht="20.25" customHeight="1" x14ac:dyDescent="0.3">
      <c r="A144" s="60">
        <f t="shared" si="7"/>
        <v>211</v>
      </c>
      <c r="B144" s="60"/>
      <c r="C144" s="61" t="s">
        <v>186</v>
      </c>
      <c r="D144" s="62"/>
      <c r="E144" s="44">
        <f>(49.54)*(10.764)</f>
        <v>533.24856</v>
      </c>
      <c r="F144" s="61">
        <v>0</v>
      </c>
      <c r="G144" s="62"/>
      <c r="H144" s="44">
        <v>0</v>
      </c>
      <c r="I144" s="44">
        <f t="shared" si="6"/>
        <v>533.24856</v>
      </c>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0" customFormat="1" ht="20.25" customHeight="1" x14ac:dyDescent="0.3">
      <c r="A145" s="60">
        <f t="shared" si="7"/>
        <v>212</v>
      </c>
      <c r="B145" s="60"/>
      <c r="C145" s="61" t="s">
        <v>186</v>
      </c>
      <c r="D145" s="62"/>
      <c r="E145" s="44">
        <f>(24.61)*(10.764)</f>
        <v>264.90204</v>
      </c>
      <c r="F145" s="61">
        <v>0</v>
      </c>
      <c r="G145" s="62"/>
      <c r="H145" s="44">
        <v>0</v>
      </c>
      <c r="I145" s="44">
        <f t="shared" si="6"/>
        <v>264.90204</v>
      </c>
      <c r="J145" s="48">
        <f>(3.3*0.5+3*3.249+1.725*0.9+3.65*1.65+2.025*1.475+1.375*1.375)</f>
        <v>23.849500000000003</v>
      </c>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0" customFormat="1" ht="20.25" customHeight="1" x14ac:dyDescent="0.3">
      <c r="A146" s="60">
        <f t="shared" si="7"/>
        <v>213</v>
      </c>
      <c r="B146" s="60"/>
      <c r="C146" s="61" t="s">
        <v>186</v>
      </c>
      <c r="D146" s="62"/>
      <c r="E146" s="44">
        <f>(110.32)*(10.764)</f>
        <v>1187.4844799999998</v>
      </c>
      <c r="F146" s="61">
        <v>0</v>
      </c>
      <c r="G146" s="62"/>
      <c r="H146" s="44">
        <v>0</v>
      </c>
      <c r="I146" s="44">
        <f t="shared" si="6"/>
        <v>1187.4844799999998</v>
      </c>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0" customFormat="1" ht="21" x14ac:dyDescent="0.3">
      <c r="A147" s="64" t="s">
        <v>188</v>
      </c>
      <c r="B147" s="65"/>
      <c r="C147" s="65"/>
      <c r="D147" s="65"/>
      <c r="E147" s="65"/>
      <c r="F147" s="65"/>
      <c r="G147" s="65"/>
      <c r="H147" s="65"/>
      <c r="I147" s="66"/>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0" customFormat="1" ht="21" x14ac:dyDescent="0.3">
      <c r="A148" s="60">
        <v>5</v>
      </c>
      <c r="B148" s="60"/>
      <c r="C148" s="61" t="s">
        <v>189</v>
      </c>
      <c r="D148" s="62"/>
      <c r="E148" s="44">
        <f>(74.67-(2.75*1.225+0.925*1.525))*(10.764)</f>
        <v>752.30268749999993</v>
      </c>
      <c r="F148" s="61">
        <f>(2.75*1.225+0.925*1.525)*(10.764)</f>
        <v>51.445192499999997</v>
      </c>
      <c r="G148" s="62"/>
      <c r="H148" s="44">
        <v>0</v>
      </c>
      <c r="I148" s="44">
        <f>E148+F148+H148</f>
        <v>803.7478799999999</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0" customFormat="1" ht="21" x14ac:dyDescent="0.3">
      <c r="A149" s="60">
        <v>6</v>
      </c>
      <c r="B149" s="60"/>
      <c r="C149" s="61" t="s">
        <v>189</v>
      </c>
      <c r="D149" s="62"/>
      <c r="E149" s="44">
        <f>(74.67-(2.75*1.225+0.925*1.525))*(10.764)</f>
        <v>752.30268749999993</v>
      </c>
      <c r="F149" s="61">
        <f>(2.75*1.225+0.925*1.525)*(10.764)</f>
        <v>51.445192499999997</v>
      </c>
      <c r="G149" s="62"/>
      <c r="H149" s="44">
        <v>0</v>
      </c>
      <c r="I149" s="44">
        <f t="shared" ref="I149" si="8">E149+F149+H149</f>
        <v>803.7478799999999</v>
      </c>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0" customFormat="1" ht="42" customHeight="1" x14ac:dyDescent="0.3">
      <c r="A150" s="64" t="s">
        <v>212</v>
      </c>
      <c r="B150" s="65"/>
      <c r="C150" s="65"/>
      <c r="D150" s="65"/>
      <c r="E150" s="65"/>
      <c r="F150" s="65"/>
      <c r="G150" s="65"/>
      <c r="H150" s="65"/>
      <c r="I150" s="66"/>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0" customFormat="1" ht="21" x14ac:dyDescent="0.3">
      <c r="A151" s="60">
        <v>1</v>
      </c>
      <c r="B151" s="60"/>
      <c r="C151" s="61" t="s">
        <v>189</v>
      </c>
      <c r="D151" s="62"/>
      <c r="E151" s="44">
        <f>(84.54-(3.05*1.225+0.925*2.125))*(10.764)</f>
        <v>848.61357750000002</v>
      </c>
      <c r="F151" s="61">
        <f>(3.05*1.225+0.925*2.125)*(10.764)</f>
        <v>61.374982500000002</v>
      </c>
      <c r="G151" s="62"/>
      <c r="H151" s="44">
        <v>0</v>
      </c>
      <c r="I151" s="44">
        <f>E151+F151+H151</f>
        <v>909.98856000000001</v>
      </c>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0" customFormat="1" ht="21" x14ac:dyDescent="0.3">
      <c r="A152" s="60">
        <v>2</v>
      </c>
      <c r="B152" s="60"/>
      <c r="C152" s="61" t="s">
        <v>190</v>
      </c>
      <c r="D152" s="62"/>
      <c r="E152" s="44">
        <f>(62.24-(2.8*1.225))*(10.764)</f>
        <v>633.03084000000001</v>
      </c>
      <c r="F152" s="61">
        <f>(2.8*1.225)*(10.764)</f>
        <v>36.920519999999996</v>
      </c>
      <c r="G152" s="62"/>
      <c r="H152" s="44">
        <v>0</v>
      </c>
      <c r="I152" s="44">
        <f t="shared" ref="I152:I156" si="9">E152+F152+H152</f>
        <v>669.95136000000002</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0" customFormat="1" ht="21" x14ac:dyDescent="0.3">
      <c r="A153" s="60">
        <f>A152+1</f>
        <v>3</v>
      </c>
      <c r="B153" s="60"/>
      <c r="C153" s="61" t="s">
        <v>190</v>
      </c>
      <c r="D153" s="62"/>
      <c r="E153" s="44">
        <f>(64.73-(2.8*1.225))*(10.764)</f>
        <v>659.83320000000003</v>
      </c>
      <c r="F153" s="61">
        <f>(2.8*1.225)*(10.764)</f>
        <v>36.920519999999996</v>
      </c>
      <c r="G153" s="62"/>
      <c r="H153" s="44">
        <v>0</v>
      </c>
      <c r="I153" s="44">
        <f t="shared" si="9"/>
        <v>696.75372000000004</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0" customFormat="1" ht="20.25" customHeight="1" x14ac:dyDescent="0.3">
      <c r="A154" s="60">
        <f t="shared" ref="A154:A156" si="10">A153+1</f>
        <v>4</v>
      </c>
      <c r="B154" s="60"/>
      <c r="C154" s="61" t="s">
        <v>189</v>
      </c>
      <c r="D154" s="62"/>
      <c r="E154" s="44">
        <f>(84.99-(3.05*1.225+0.925*2.125+3.3*0.98))*(10.764)</f>
        <v>818.64660149999997</v>
      </c>
      <c r="F154" s="61">
        <f>(3.05*1.225+0.925*2.125+3.3*0.98)*(10.764)</f>
        <v>96.185758499999991</v>
      </c>
      <c r="G154" s="62"/>
      <c r="H154" s="44">
        <v>0</v>
      </c>
      <c r="I154" s="44">
        <f t="shared" si="9"/>
        <v>914.83235999999999</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0" customFormat="1" ht="20.25" customHeight="1" x14ac:dyDescent="0.3">
      <c r="A155" s="60">
        <f t="shared" si="10"/>
        <v>5</v>
      </c>
      <c r="B155" s="60"/>
      <c r="C155" s="61" t="s">
        <v>189</v>
      </c>
      <c r="D155" s="62"/>
      <c r="E155" s="44">
        <f>(74.67-(2.75*1.225+0.925*1.525))*(10.764)</f>
        <v>752.30268749999993</v>
      </c>
      <c r="F155" s="61">
        <f>(2.75*1.225+0.925*1.525)*(10.764)</f>
        <v>51.445192499999997</v>
      </c>
      <c r="G155" s="62"/>
      <c r="H155" s="44">
        <v>0</v>
      </c>
      <c r="I155" s="44">
        <f t="shared" si="9"/>
        <v>803.7478799999999</v>
      </c>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0" customFormat="1" ht="20.25" customHeight="1" x14ac:dyDescent="0.3">
      <c r="A156" s="60">
        <f t="shared" si="10"/>
        <v>6</v>
      </c>
      <c r="B156" s="60"/>
      <c r="C156" s="61" t="s">
        <v>189</v>
      </c>
      <c r="D156" s="62"/>
      <c r="E156" s="44">
        <f>(74.67-(2.75*1.225+0.925*1.525))*(10.764)</f>
        <v>752.30268749999993</v>
      </c>
      <c r="F156" s="61">
        <f>(2.75*1.225+0.925*1.525)*(10.764)</f>
        <v>51.445192499999997</v>
      </c>
      <c r="G156" s="62"/>
      <c r="H156" s="44">
        <v>0</v>
      </c>
      <c r="I156" s="44">
        <f t="shared" si="9"/>
        <v>803.7478799999999</v>
      </c>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0" customFormat="1" ht="21" x14ac:dyDescent="0.3">
      <c r="A157" s="64" t="s">
        <v>213</v>
      </c>
      <c r="B157" s="65"/>
      <c r="C157" s="65"/>
      <c r="D157" s="65"/>
      <c r="E157" s="65"/>
      <c r="F157" s="65"/>
      <c r="G157" s="65"/>
      <c r="H157" s="65"/>
      <c r="I157" s="66"/>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0" customFormat="1" ht="21" x14ac:dyDescent="0.3">
      <c r="A158" s="60">
        <v>1</v>
      </c>
      <c r="B158" s="60"/>
      <c r="C158" s="61" t="s">
        <v>189</v>
      </c>
      <c r="D158" s="62"/>
      <c r="E158" s="44">
        <f>(84.54-(3.05*1.225+0.925*2.125))*(10.764)</f>
        <v>848.61357750000002</v>
      </c>
      <c r="F158" s="61">
        <f>(3.05*1.225+0.925*2.125)*(10.764)</f>
        <v>61.374982500000002</v>
      </c>
      <c r="G158" s="62"/>
      <c r="H158" s="44">
        <v>0</v>
      </c>
      <c r="I158" s="44">
        <f>E158+F158+H158</f>
        <v>909.98856000000001</v>
      </c>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0" customFormat="1" ht="21" x14ac:dyDescent="0.3">
      <c r="A159" s="60">
        <v>2</v>
      </c>
      <c r="B159" s="60"/>
      <c r="C159" s="61" t="s">
        <v>190</v>
      </c>
      <c r="D159" s="62"/>
      <c r="E159" s="44">
        <f>(62.24-(2.8*1.225))*(10.764)</f>
        <v>633.03084000000001</v>
      </c>
      <c r="F159" s="61">
        <f>(2.8*1.225)*(10.764)</f>
        <v>36.920519999999996</v>
      </c>
      <c r="G159" s="62"/>
      <c r="H159" s="44">
        <v>0</v>
      </c>
      <c r="I159" s="44">
        <f t="shared" ref="I159:I163" si="11">E159+F159+H159</f>
        <v>669.95136000000002</v>
      </c>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0" customFormat="1" ht="21" x14ac:dyDescent="0.3">
      <c r="A160" s="60">
        <f>A159+1</f>
        <v>3</v>
      </c>
      <c r="B160" s="60"/>
      <c r="C160" s="61" t="s">
        <v>191</v>
      </c>
      <c r="D160" s="63"/>
      <c r="E160" s="63"/>
      <c r="F160" s="63"/>
      <c r="G160" s="63"/>
      <c r="H160" s="63"/>
      <c r="I160" s="62"/>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0" customFormat="1" ht="20.25" customHeight="1" x14ac:dyDescent="0.3">
      <c r="A161" s="60">
        <f t="shared" ref="A161:A163" si="12">A160+1</f>
        <v>4</v>
      </c>
      <c r="B161" s="60"/>
      <c r="C161" s="61" t="s">
        <v>189</v>
      </c>
      <c r="D161" s="62"/>
      <c r="E161" s="44">
        <f>(84.99-(3.05*1.225+0.925*2.125+3.3*0.98))*(10.764)</f>
        <v>818.64660149999997</v>
      </c>
      <c r="F161" s="61">
        <f>(3.05*1.225+0.925*2.125+3.3*0.98)*(10.764)</f>
        <v>96.185758499999991</v>
      </c>
      <c r="G161" s="62"/>
      <c r="H161" s="44">
        <v>0</v>
      </c>
      <c r="I161" s="44">
        <f t="shared" si="11"/>
        <v>914.83235999999999</v>
      </c>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0" customFormat="1" ht="20.25" customHeight="1" x14ac:dyDescent="0.3">
      <c r="A162" s="60">
        <f t="shared" si="12"/>
        <v>5</v>
      </c>
      <c r="B162" s="60"/>
      <c r="C162" s="61" t="s">
        <v>189</v>
      </c>
      <c r="D162" s="62"/>
      <c r="E162" s="44">
        <f>(74.67-(2.75*1.225+0.925*1.525))*(10.764)</f>
        <v>752.30268749999993</v>
      </c>
      <c r="F162" s="61">
        <f>(2.75*1.225+0.925*1.525)*(10.764)</f>
        <v>51.445192499999997</v>
      </c>
      <c r="G162" s="62"/>
      <c r="H162" s="44">
        <v>0</v>
      </c>
      <c r="I162" s="44">
        <f t="shared" si="11"/>
        <v>803.7478799999999</v>
      </c>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0" customFormat="1" ht="20.25" customHeight="1" x14ac:dyDescent="0.3">
      <c r="A163" s="60">
        <f t="shared" si="12"/>
        <v>6</v>
      </c>
      <c r="B163" s="60"/>
      <c r="C163" s="61" t="s">
        <v>189</v>
      </c>
      <c r="D163" s="62"/>
      <c r="E163" s="44">
        <f>(74.67-(2.75*1.225+0.925*1.525))*(10.764)</f>
        <v>752.30268749999993</v>
      </c>
      <c r="F163" s="61">
        <f>(2.75*1.225+0.925*1.525)*(10.764)</f>
        <v>51.445192499999997</v>
      </c>
      <c r="G163" s="62"/>
      <c r="H163" s="44">
        <v>0</v>
      </c>
      <c r="I163" s="44">
        <f t="shared" si="11"/>
        <v>803.7478799999999</v>
      </c>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0" customFormat="1" ht="29.25" customHeight="1" x14ac:dyDescent="0.3">
      <c r="A164" s="64" t="s">
        <v>220</v>
      </c>
      <c r="B164" s="65"/>
      <c r="C164" s="65"/>
      <c r="D164" s="65"/>
      <c r="E164" s="65"/>
      <c r="F164" s="65"/>
      <c r="G164" s="65"/>
      <c r="H164" s="65"/>
      <c r="I164" s="66"/>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0" customFormat="1" ht="28.5" customHeight="1" x14ac:dyDescent="0.3">
      <c r="A165" s="64" t="s">
        <v>221</v>
      </c>
      <c r="B165" s="65"/>
      <c r="C165" s="65"/>
      <c r="D165" s="65"/>
      <c r="E165" s="65"/>
      <c r="F165" s="65"/>
      <c r="G165" s="65"/>
      <c r="H165" s="65"/>
      <c r="I165" s="66"/>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ht="21" x14ac:dyDescent="0.3">
      <c r="A166" s="103" t="s">
        <v>70</v>
      </c>
      <c r="B166" s="103"/>
      <c r="C166" s="103"/>
      <c r="D166" s="103"/>
      <c r="E166" s="103"/>
      <c r="F166" s="103"/>
      <c r="G166" s="103"/>
      <c r="H166" s="103"/>
      <c r="I166" s="103"/>
    </row>
    <row r="167" spans="1:151 16227:16384" ht="171.75" customHeight="1" x14ac:dyDescent="0.3">
      <c r="A167" s="9" t="s">
        <v>76</v>
      </c>
      <c r="B167" s="11" t="s">
        <v>4</v>
      </c>
      <c r="C167" s="96" t="s">
        <v>238</v>
      </c>
      <c r="D167" s="96"/>
      <c r="E167" s="96"/>
      <c r="F167" s="96"/>
      <c r="G167" s="96"/>
      <c r="H167" s="96"/>
      <c r="I167" s="96"/>
    </row>
    <row r="168" spans="1:151 16227:16384" ht="21" x14ac:dyDescent="0.3">
      <c r="A168" s="126" t="s">
        <v>77</v>
      </c>
      <c r="B168" s="126"/>
      <c r="C168" s="126"/>
      <c r="D168" s="126"/>
      <c r="E168" s="126"/>
      <c r="F168" s="126"/>
      <c r="G168" s="126"/>
      <c r="H168" s="126"/>
      <c r="I168" s="126"/>
    </row>
    <row r="169" spans="1:151 16227:16384" ht="21" x14ac:dyDescent="0.3">
      <c r="A169" s="86" t="s">
        <v>71</v>
      </c>
      <c r="B169" s="86"/>
      <c r="C169" s="86"/>
      <c r="D169" s="2" t="s">
        <v>4</v>
      </c>
      <c r="E169" s="102" t="str">
        <f>E3</f>
        <v>Godrej Ascend 
Phase 3 (Tower 5 Adora) &amp; 
Phase 4 (Tower 1 Arise)</v>
      </c>
      <c r="F169" s="98"/>
      <c r="G169" s="98"/>
      <c r="H169" s="98"/>
      <c r="I169" s="99"/>
    </row>
    <row r="170" spans="1:151 16227:16384" ht="40.5" customHeight="1" x14ac:dyDescent="0.3">
      <c r="A170" s="86" t="s">
        <v>109</v>
      </c>
      <c r="B170" s="86"/>
      <c r="C170" s="86"/>
      <c r="D170" s="2" t="s">
        <v>4</v>
      </c>
      <c r="E170" s="102" t="str">
        <f>E9</f>
        <v>Godrej Ascend Phase 3 &amp; 4, village Balkum &amp; Dhokali, Kolshet Road, Taluka &amp; District Thane - 400607.</v>
      </c>
      <c r="F170" s="98"/>
      <c r="G170" s="98"/>
      <c r="H170" s="98"/>
      <c r="I170" s="99"/>
    </row>
    <row r="171" spans="1:151 16227:16384" ht="20.25" customHeight="1" x14ac:dyDescent="0.3">
      <c r="A171" s="136" t="s">
        <v>116</v>
      </c>
      <c r="B171" s="136"/>
      <c r="C171" s="136"/>
      <c r="D171" s="15" t="s">
        <v>4</v>
      </c>
      <c r="E171" s="97" t="str">
        <f>I3</f>
        <v>04/07/2025 @ 11:20AM</v>
      </c>
      <c r="F171" s="98"/>
      <c r="G171" s="98"/>
      <c r="H171" s="98"/>
      <c r="I171" s="99"/>
    </row>
    <row r="172" spans="1:151 16227:16384" ht="21" x14ac:dyDescent="0.3">
      <c r="A172" s="26"/>
      <c r="B172" s="27"/>
      <c r="C172" s="27"/>
      <c r="D172" s="27"/>
      <c r="E172" s="27"/>
      <c r="F172" s="27"/>
      <c r="G172" s="27"/>
      <c r="H172" s="27"/>
      <c r="I172" s="22"/>
    </row>
    <row r="173" spans="1:151 16227:16384" ht="21" x14ac:dyDescent="0.3">
      <c r="A173" s="28"/>
      <c r="B173" s="29"/>
      <c r="C173" s="29"/>
      <c r="D173" s="29"/>
      <c r="E173" s="29"/>
      <c r="F173" s="29"/>
      <c r="G173" s="29"/>
      <c r="H173" s="29"/>
      <c r="I173" s="23"/>
    </row>
    <row r="174" spans="1:151 16227:16384" ht="21" x14ac:dyDescent="0.3">
      <c r="A174" s="28"/>
      <c r="B174" s="29"/>
      <c r="C174" s="29"/>
      <c r="D174" s="29"/>
      <c r="E174" s="29"/>
      <c r="F174" s="29"/>
      <c r="G174" s="29"/>
      <c r="H174" s="29"/>
      <c r="I174" s="23"/>
    </row>
    <row r="175" spans="1:151 16227:16384" ht="21" x14ac:dyDescent="0.3">
      <c r="A175" s="28"/>
      <c r="B175" s="29"/>
      <c r="C175" s="29"/>
      <c r="D175" s="29"/>
      <c r="E175" s="29"/>
      <c r="F175" s="29"/>
      <c r="G175" s="29"/>
      <c r="H175" s="29"/>
      <c r="I175" s="23"/>
    </row>
    <row r="176" spans="1:151 16227:16384" ht="21" x14ac:dyDescent="0.3">
      <c r="A176" s="28"/>
      <c r="B176" s="29"/>
      <c r="C176" s="29"/>
      <c r="D176" s="29"/>
      <c r="E176" s="29"/>
      <c r="F176" s="29"/>
      <c r="G176" s="29"/>
      <c r="H176" s="29"/>
      <c r="I176" s="23"/>
    </row>
    <row r="177" spans="1:9" ht="21" x14ac:dyDescent="0.3">
      <c r="A177" s="28"/>
      <c r="B177" s="29"/>
      <c r="C177" s="29"/>
      <c r="D177" s="29"/>
      <c r="E177" s="29"/>
      <c r="F177" s="29"/>
      <c r="G177" s="29"/>
      <c r="H177" s="29"/>
      <c r="I177" s="23"/>
    </row>
    <row r="178" spans="1:9" ht="21" x14ac:dyDescent="0.3">
      <c r="A178" s="28"/>
      <c r="B178" s="29"/>
      <c r="C178" s="29"/>
      <c r="D178" s="29"/>
      <c r="E178" s="29"/>
      <c r="F178" s="29"/>
      <c r="G178" s="29"/>
      <c r="H178" s="29"/>
      <c r="I178" s="23"/>
    </row>
    <row r="179" spans="1:9" ht="21" x14ac:dyDescent="0.3">
      <c r="A179" s="28"/>
      <c r="B179" s="29"/>
      <c r="C179" s="29"/>
      <c r="D179" s="29"/>
      <c r="E179" s="29"/>
      <c r="F179" s="29"/>
      <c r="G179" s="29"/>
      <c r="H179" s="29"/>
      <c r="I179" s="23"/>
    </row>
    <row r="180" spans="1:9" ht="21" x14ac:dyDescent="0.3">
      <c r="A180" s="28"/>
      <c r="B180" s="29"/>
      <c r="C180" s="29"/>
      <c r="D180" s="29"/>
      <c r="E180" s="29"/>
      <c r="F180" s="29"/>
      <c r="G180" s="29"/>
      <c r="H180" s="29"/>
      <c r="I180" s="23"/>
    </row>
    <row r="181" spans="1:9" ht="21" x14ac:dyDescent="0.3">
      <c r="A181" s="28"/>
      <c r="B181" s="29"/>
      <c r="C181" s="29"/>
      <c r="D181" s="29"/>
      <c r="E181" s="29"/>
      <c r="F181" s="29"/>
      <c r="G181" s="29"/>
      <c r="H181" s="29"/>
      <c r="I181" s="23"/>
    </row>
    <row r="182" spans="1:9" ht="21" x14ac:dyDescent="0.3">
      <c r="A182" s="28"/>
      <c r="B182" s="29"/>
      <c r="C182" s="29"/>
      <c r="D182" s="29"/>
      <c r="E182" s="29"/>
      <c r="F182" s="29"/>
      <c r="G182" s="29"/>
      <c r="H182" s="29"/>
      <c r="I182" s="23"/>
    </row>
    <row r="183" spans="1:9" ht="21" x14ac:dyDescent="0.3">
      <c r="A183" s="28"/>
      <c r="B183" s="29"/>
      <c r="C183" s="29"/>
      <c r="D183" s="29"/>
      <c r="E183" s="29"/>
      <c r="F183" s="29"/>
      <c r="G183" s="29"/>
      <c r="H183" s="29"/>
      <c r="I183" s="23"/>
    </row>
    <row r="184" spans="1:9" ht="21" x14ac:dyDescent="0.3">
      <c r="A184" s="28"/>
      <c r="B184" s="29"/>
      <c r="C184" s="29"/>
      <c r="D184" s="29"/>
      <c r="E184" s="29"/>
      <c r="F184" s="29"/>
      <c r="G184" s="29"/>
      <c r="H184" s="29"/>
      <c r="I184" s="23"/>
    </row>
    <row r="185" spans="1:9" ht="21" x14ac:dyDescent="0.3">
      <c r="A185" s="28"/>
      <c r="B185" s="29"/>
      <c r="C185" s="29"/>
      <c r="D185" s="29"/>
      <c r="E185" s="29"/>
      <c r="F185" s="29"/>
      <c r="G185" s="29"/>
      <c r="H185" s="29"/>
      <c r="I185" s="23"/>
    </row>
    <row r="186" spans="1:9" ht="21" x14ac:dyDescent="0.3">
      <c r="A186" s="28"/>
      <c r="B186" s="29"/>
      <c r="C186" s="29"/>
      <c r="D186" s="29"/>
      <c r="E186" s="29"/>
      <c r="F186" s="29"/>
      <c r="G186" s="29"/>
      <c r="H186" s="29"/>
      <c r="I186" s="23"/>
    </row>
    <row r="187" spans="1:9" ht="21" x14ac:dyDescent="0.3">
      <c r="A187" s="28"/>
      <c r="B187" s="29"/>
      <c r="C187" s="29"/>
      <c r="D187" s="29"/>
      <c r="E187" s="29"/>
      <c r="F187" s="29"/>
      <c r="G187" s="29"/>
      <c r="H187" s="29"/>
      <c r="I187" s="23"/>
    </row>
    <row r="188" spans="1:9" ht="21" x14ac:dyDescent="0.3">
      <c r="A188" s="28"/>
      <c r="B188" s="29"/>
      <c r="C188" s="29"/>
      <c r="D188" s="29"/>
      <c r="E188" s="29"/>
      <c r="F188" s="29"/>
      <c r="G188" s="29"/>
      <c r="H188" s="29"/>
      <c r="I188" s="23"/>
    </row>
    <row r="189" spans="1:9" ht="21" x14ac:dyDescent="0.3">
      <c r="A189" s="28"/>
      <c r="B189" s="29"/>
      <c r="C189" s="29"/>
      <c r="D189" s="29"/>
      <c r="E189" s="29"/>
      <c r="F189" s="29"/>
      <c r="G189" s="29"/>
      <c r="H189" s="29"/>
      <c r="I189" s="23"/>
    </row>
    <row r="190" spans="1:9" ht="21" x14ac:dyDescent="0.3">
      <c r="A190" s="28"/>
      <c r="B190" s="29"/>
      <c r="C190" s="29"/>
      <c r="D190" s="29"/>
      <c r="E190" s="29"/>
      <c r="F190" s="29"/>
      <c r="G190" s="29"/>
      <c r="H190" s="29"/>
      <c r="I190" s="23"/>
    </row>
    <row r="191" spans="1:9" ht="21" x14ac:dyDescent="0.3">
      <c r="A191" s="28"/>
      <c r="B191" s="29"/>
      <c r="C191" s="29"/>
      <c r="D191" s="29"/>
      <c r="E191" s="29"/>
      <c r="F191" s="29"/>
      <c r="G191" s="29"/>
      <c r="H191" s="29"/>
      <c r="I191" s="23"/>
    </row>
    <row r="192" spans="1:9" ht="21" x14ac:dyDescent="0.3">
      <c r="A192" s="28"/>
      <c r="B192" s="29"/>
      <c r="C192" s="29"/>
      <c r="D192" s="29"/>
      <c r="E192" s="29"/>
      <c r="F192" s="29"/>
      <c r="G192" s="29"/>
      <c r="H192" s="29"/>
      <c r="I192" s="23"/>
    </row>
    <row r="193" spans="1:9" ht="21" x14ac:dyDescent="0.3">
      <c r="A193" s="28"/>
      <c r="B193" s="29"/>
      <c r="C193" s="29"/>
      <c r="D193" s="29"/>
      <c r="E193" s="29"/>
      <c r="F193" s="29"/>
      <c r="G193" s="29"/>
      <c r="H193" s="29"/>
      <c r="I193" s="23"/>
    </row>
    <row r="194" spans="1:9" ht="21" x14ac:dyDescent="0.3">
      <c r="A194" s="28"/>
      <c r="B194" s="29"/>
      <c r="C194" s="29"/>
      <c r="D194" s="29"/>
      <c r="E194" s="29"/>
      <c r="F194" s="29"/>
      <c r="G194" s="29"/>
      <c r="H194" s="29"/>
      <c r="I194" s="23"/>
    </row>
    <row r="195" spans="1:9" ht="21" x14ac:dyDescent="0.3">
      <c r="A195" s="28"/>
      <c r="B195" s="29"/>
      <c r="C195" s="29"/>
      <c r="D195" s="29"/>
      <c r="E195" s="29"/>
      <c r="F195" s="29"/>
      <c r="G195" s="29"/>
      <c r="H195" s="29"/>
      <c r="I195" s="23"/>
    </row>
    <row r="196" spans="1:9" ht="21" x14ac:dyDescent="0.3">
      <c r="A196" s="28"/>
      <c r="B196" s="29"/>
      <c r="C196" s="29"/>
      <c r="D196" s="29"/>
      <c r="E196" s="29"/>
      <c r="F196" s="29"/>
      <c r="G196" s="29"/>
      <c r="H196" s="29"/>
      <c r="I196" s="23"/>
    </row>
    <row r="197" spans="1:9" ht="21" x14ac:dyDescent="0.3">
      <c r="A197" s="28"/>
      <c r="B197" s="29"/>
      <c r="C197" s="29"/>
      <c r="D197" s="29"/>
      <c r="E197" s="29"/>
      <c r="F197" s="29"/>
      <c r="G197" s="29"/>
      <c r="H197" s="29"/>
      <c r="I197" s="23"/>
    </row>
    <row r="198" spans="1:9" ht="21" x14ac:dyDescent="0.3">
      <c r="A198" s="28"/>
      <c r="B198" s="29"/>
      <c r="C198" s="29"/>
      <c r="D198" s="29"/>
      <c r="E198" s="29"/>
      <c r="F198" s="29"/>
      <c r="G198" s="29"/>
      <c r="H198" s="29"/>
      <c r="I198" s="23"/>
    </row>
    <row r="199" spans="1:9" ht="21" x14ac:dyDescent="0.3">
      <c r="A199" s="28"/>
      <c r="B199" s="29"/>
      <c r="C199" s="29"/>
      <c r="D199" s="29"/>
      <c r="E199" s="29"/>
      <c r="F199" s="29"/>
      <c r="G199" s="29"/>
      <c r="H199" s="29"/>
      <c r="I199" s="23"/>
    </row>
    <row r="200" spans="1:9" ht="21" x14ac:dyDescent="0.3">
      <c r="A200" s="28"/>
      <c r="B200" s="29"/>
      <c r="C200" s="29"/>
      <c r="D200" s="29"/>
      <c r="E200" s="29"/>
      <c r="F200" s="29"/>
      <c r="G200" s="29"/>
      <c r="H200" s="29"/>
      <c r="I200" s="23"/>
    </row>
    <row r="201" spans="1:9" ht="21" x14ac:dyDescent="0.3">
      <c r="A201" s="28"/>
      <c r="B201" s="29"/>
      <c r="C201" s="29"/>
      <c r="D201" s="29"/>
      <c r="E201" s="29"/>
      <c r="F201" s="29"/>
      <c r="G201" s="29"/>
      <c r="H201" s="29"/>
      <c r="I201" s="23"/>
    </row>
    <row r="202" spans="1:9" ht="21" x14ac:dyDescent="0.3">
      <c r="A202" s="28"/>
      <c r="B202" s="29"/>
      <c r="C202" s="29"/>
      <c r="D202" s="29"/>
      <c r="E202" s="29"/>
      <c r="F202" s="29"/>
      <c r="G202" s="29"/>
      <c r="H202" s="29"/>
      <c r="I202" s="23"/>
    </row>
    <row r="203" spans="1:9" ht="21" x14ac:dyDescent="0.3">
      <c r="A203" s="28"/>
      <c r="B203" s="29"/>
      <c r="C203" s="29"/>
      <c r="D203" s="29"/>
      <c r="E203" s="29"/>
      <c r="F203" s="29"/>
      <c r="G203" s="29"/>
      <c r="H203" s="29"/>
      <c r="I203" s="23"/>
    </row>
    <row r="204" spans="1:9" ht="21" x14ac:dyDescent="0.3">
      <c r="A204" s="28"/>
      <c r="B204" s="29"/>
      <c r="C204" s="29"/>
      <c r="D204" s="29"/>
      <c r="E204" s="29"/>
      <c r="F204" s="29"/>
      <c r="G204" s="29"/>
      <c r="H204" s="29"/>
      <c r="I204" s="23"/>
    </row>
    <row r="205" spans="1:9" ht="21" x14ac:dyDescent="0.3">
      <c r="A205" s="28"/>
      <c r="B205" s="29"/>
      <c r="C205" s="29"/>
      <c r="D205" s="29"/>
      <c r="E205" s="29"/>
      <c r="F205" s="29"/>
      <c r="G205" s="29"/>
      <c r="H205" s="29"/>
      <c r="I205" s="23"/>
    </row>
    <row r="206" spans="1:9" ht="21" x14ac:dyDescent="0.3">
      <c r="A206" s="28"/>
      <c r="B206" s="29"/>
      <c r="C206" s="29"/>
      <c r="D206" s="29"/>
      <c r="E206" s="29"/>
      <c r="F206" s="29"/>
      <c r="G206" s="29"/>
      <c r="H206" s="29"/>
      <c r="I206" s="23"/>
    </row>
    <row r="207" spans="1:9" ht="21" x14ac:dyDescent="0.3">
      <c r="A207" s="28"/>
      <c r="B207" s="29"/>
      <c r="C207" s="29"/>
      <c r="D207" s="29"/>
      <c r="E207" s="29"/>
      <c r="F207" s="29"/>
      <c r="G207" s="29"/>
      <c r="H207" s="29"/>
      <c r="I207" s="23"/>
    </row>
    <row r="208" spans="1:9" ht="21" x14ac:dyDescent="0.3">
      <c r="A208" s="28"/>
      <c r="B208" s="29"/>
      <c r="C208" s="29"/>
      <c r="D208" s="29"/>
      <c r="E208" s="29"/>
      <c r="F208" s="29"/>
      <c r="G208" s="29"/>
      <c r="H208" s="29"/>
      <c r="I208" s="23"/>
    </row>
    <row r="209" spans="1:9" ht="21" x14ac:dyDescent="0.3">
      <c r="A209" s="28"/>
      <c r="B209" s="29"/>
      <c r="C209" s="29"/>
      <c r="D209" s="29"/>
      <c r="E209" s="29"/>
      <c r="F209" s="29"/>
      <c r="G209" s="29"/>
      <c r="H209" s="29"/>
      <c r="I209" s="23"/>
    </row>
    <row r="210" spans="1:9" ht="21" x14ac:dyDescent="0.3">
      <c r="A210" s="28"/>
      <c r="B210" s="29"/>
      <c r="C210" s="29"/>
      <c r="D210" s="29"/>
      <c r="E210" s="29"/>
      <c r="F210" s="29"/>
      <c r="G210" s="29"/>
      <c r="H210" s="29"/>
      <c r="I210" s="23"/>
    </row>
    <row r="211" spans="1:9" ht="21" x14ac:dyDescent="0.3">
      <c r="A211" s="28"/>
      <c r="B211" s="29"/>
      <c r="C211" s="29"/>
      <c r="D211" s="29"/>
      <c r="E211" s="29"/>
      <c r="F211" s="29"/>
      <c r="G211" s="29"/>
      <c r="H211" s="29"/>
      <c r="I211" s="23"/>
    </row>
    <row r="212" spans="1:9" ht="21" x14ac:dyDescent="0.3">
      <c r="A212" s="28"/>
      <c r="B212" s="29"/>
      <c r="C212" s="29"/>
      <c r="D212" s="29"/>
      <c r="E212" s="29"/>
      <c r="F212" s="29"/>
      <c r="G212" s="29"/>
      <c r="H212" s="29"/>
      <c r="I212" s="23"/>
    </row>
    <row r="213" spans="1:9" ht="21" x14ac:dyDescent="0.3">
      <c r="A213" s="28"/>
      <c r="B213" s="29"/>
      <c r="C213" s="29"/>
      <c r="D213" s="29"/>
      <c r="E213" s="29"/>
      <c r="F213" s="29"/>
      <c r="G213" s="29"/>
      <c r="H213" s="29"/>
      <c r="I213" s="23"/>
    </row>
    <row r="214" spans="1:9" ht="21" x14ac:dyDescent="0.3">
      <c r="A214" s="137"/>
      <c r="B214" s="138"/>
      <c r="C214" s="138"/>
      <c r="D214" s="138"/>
      <c r="E214" s="138"/>
      <c r="F214" s="138"/>
      <c r="G214" s="138"/>
      <c r="H214" s="138"/>
      <c r="I214" s="139"/>
    </row>
    <row r="215" spans="1:9" ht="21" customHeight="1" x14ac:dyDescent="0.3">
      <c r="A215" s="140"/>
      <c r="B215" s="141"/>
      <c r="C215" s="141"/>
      <c r="D215" s="141"/>
      <c r="E215" s="141"/>
      <c r="F215" s="141"/>
      <c r="G215" s="141"/>
      <c r="H215" s="141"/>
      <c r="I215" s="142"/>
    </row>
    <row r="216" spans="1:9" s="45" customFormat="1" ht="20.399999999999999" x14ac:dyDescent="0.3">
      <c r="A216" s="104" t="s">
        <v>198</v>
      </c>
      <c r="B216" s="105"/>
      <c r="C216" s="105"/>
      <c r="D216" s="105"/>
      <c r="E216" s="105"/>
      <c r="F216" s="105"/>
      <c r="G216" s="105"/>
      <c r="H216" s="105"/>
      <c r="I216" s="106"/>
    </row>
    <row r="217" spans="1:9" ht="21" x14ac:dyDescent="0.3">
      <c r="A217" s="28"/>
      <c r="B217" s="29"/>
      <c r="C217" s="29"/>
      <c r="D217" s="29"/>
      <c r="E217" s="29"/>
      <c r="F217" s="29"/>
      <c r="G217" s="29"/>
      <c r="H217" s="29"/>
      <c r="I217" s="46"/>
    </row>
    <row r="218" spans="1:9" ht="21" x14ac:dyDescent="0.3">
      <c r="A218" s="28"/>
      <c r="B218" s="29"/>
      <c r="C218" s="29"/>
      <c r="D218" s="29"/>
      <c r="E218" s="29"/>
      <c r="F218" s="29"/>
      <c r="G218" s="29"/>
      <c r="H218" s="29"/>
      <c r="I218" s="46"/>
    </row>
    <row r="219" spans="1:9" ht="21" x14ac:dyDescent="0.3">
      <c r="A219" s="28"/>
      <c r="B219" s="29"/>
      <c r="C219" s="29"/>
      <c r="D219" s="29"/>
      <c r="E219" s="29"/>
      <c r="F219" s="29"/>
      <c r="G219" s="29"/>
      <c r="H219" s="29"/>
      <c r="I219" s="23"/>
    </row>
    <row r="220" spans="1:9" ht="21" x14ac:dyDescent="0.3">
      <c r="A220" s="28"/>
      <c r="B220" s="29"/>
      <c r="C220" s="29"/>
      <c r="D220" s="29"/>
      <c r="E220" s="29"/>
      <c r="F220" s="29"/>
      <c r="G220" s="29"/>
      <c r="H220" s="29"/>
      <c r="I220" s="23"/>
    </row>
    <row r="221" spans="1:9" ht="21" x14ac:dyDescent="0.3">
      <c r="A221" s="28"/>
      <c r="B221" s="29"/>
      <c r="C221" s="29"/>
      <c r="D221" s="29"/>
      <c r="E221" s="29"/>
      <c r="F221" s="29"/>
      <c r="G221" s="29"/>
      <c r="H221" s="29"/>
      <c r="I221" s="23"/>
    </row>
    <row r="222" spans="1:9" ht="21" x14ac:dyDescent="0.3">
      <c r="A222" s="28"/>
      <c r="B222" s="29"/>
      <c r="C222" s="29"/>
      <c r="D222" s="29"/>
      <c r="E222" s="29"/>
      <c r="F222" s="29"/>
      <c r="G222" s="29"/>
      <c r="H222" s="29"/>
      <c r="I222" s="23"/>
    </row>
    <row r="223" spans="1:9" ht="21" x14ac:dyDescent="0.3">
      <c r="A223" s="28"/>
      <c r="B223" s="29"/>
      <c r="C223" s="29"/>
      <c r="D223" s="29"/>
      <c r="E223" s="29"/>
      <c r="F223" s="29"/>
      <c r="G223" s="29"/>
      <c r="H223" s="29"/>
      <c r="I223" s="23"/>
    </row>
    <row r="224" spans="1:9" ht="21" x14ac:dyDescent="0.3">
      <c r="A224" s="28"/>
      <c r="B224" s="29"/>
      <c r="C224" s="29"/>
      <c r="D224" s="29"/>
      <c r="E224" s="29"/>
      <c r="F224" s="29"/>
      <c r="G224" s="29"/>
      <c r="H224" s="29"/>
      <c r="I224" s="23"/>
    </row>
    <row r="225" spans="1:9" ht="21" x14ac:dyDescent="0.3">
      <c r="A225" s="28"/>
      <c r="B225" s="29"/>
      <c r="C225" s="29"/>
      <c r="D225" s="29"/>
      <c r="E225" s="29"/>
      <c r="F225" s="29"/>
      <c r="G225" s="29"/>
      <c r="H225" s="29"/>
      <c r="I225" s="23"/>
    </row>
    <row r="226" spans="1:9" ht="21" x14ac:dyDescent="0.3">
      <c r="A226" s="28"/>
      <c r="B226" s="29"/>
      <c r="C226" s="29"/>
      <c r="D226" s="29"/>
      <c r="E226" s="29"/>
      <c r="F226" s="29"/>
      <c r="G226" s="29"/>
      <c r="H226" s="29"/>
      <c r="I226" s="23"/>
    </row>
    <row r="227" spans="1:9" ht="21" x14ac:dyDescent="0.3">
      <c r="A227" s="28"/>
      <c r="B227" s="29"/>
      <c r="C227" s="29"/>
      <c r="D227" s="29"/>
      <c r="E227" s="29"/>
      <c r="F227" s="29"/>
      <c r="G227" s="29"/>
      <c r="H227" s="29"/>
      <c r="I227" s="23"/>
    </row>
    <row r="228" spans="1:9" ht="21" x14ac:dyDescent="0.3">
      <c r="A228" s="28"/>
      <c r="B228" s="29"/>
      <c r="C228" s="29"/>
      <c r="D228" s="29"/>
      <c r="E228" s="29"/>
      <c r="F228" s="29"/>
      <c r="G228" s="29"/>
      <c r="H228" s="29"/>
      <c r="I228" s="23"/>
    </row>
    <row r="229" spans="1:9" ht="21" x14ac:dyDescent="0.3">
      <c r="A229" s="28"/>
      <c r="B229" s="29"/>
      <c r="C229" s="29"/>
      <c r="D229" s="29"/>
      <c r="E229" s="29"/>
      <c r="F229" s="29"/>
      <c r="G229" s="29"/>
      <c r="H229" s="29"/>
      <c r="I229" s="23"/>
    </row>
    <row r="230" spans="1:9" ht="21" x14ac:dyDescent="0.3">
      <c r="A230" s="28"/>
      <c r="B230" s="29"/>
      <c r="C230" s="29"/>
      <c r="D230" s="29"/>
      <c r="E230" s="29"/>
      <c r="F230" s="29"/>
      <c r="G230" s="29"/>
      <c r="H230" s="29"/>
      <c r="I230" s="23"/>
    </row>
    <row r="231" spans="1:9" ht="21" x14ac:dyDescent="0.3">
      <c r="A231" s="28"/>
      <c r="B231" s="29"/>
      <c r="C231" s="29"/>
      <c r="D231" s="29"/>
      <c r="E231" s="29"/>
      <c r="F231" s="29"/>
      <c r="G231" s="29"/>
      <c r="H231" s="29"/>
      <c r="I231" s="23"/>
    </row>
    <row r="232" spans="1:9" ht="21" x14ac:dyDescent="0.3">
      <c r="A232" s="28"/>
      <c r="B232" s="29"/>
      <c r="C232" s="29"/>
      <c r="D232" s="29"/>
      <c r="E232" s="29"/>
      <c r="F232" s="29"/>
      <c r="G232" s="29"/>
      <c r="H232" s="29"/>
      <c r="I232" s="23"/>
    </row>
    <row r="233" spans="1:9" ht="21" x14ac:dyDescent="0.3">
      <c r="A233" s="28"/>
      <c r="B233" s="29"/>
      <c r="C233" s="29"/>
      <c r="D233" s="29"/>
      <c r="E233" s="29"/>
      <c r="F233" s="29"/>
      <c r="G233" s="29"/>
      <c r="H233" s="29"/>
      <c r="I233" s="23"/>
    </row>
    <row r="234" spans="1:9" ht="21" x14ac:dyDescent="0.3">
      <c r="A234" s="28"/>
      <c r="B234" s="29"/>
      <c r="C234" s="29"/>
      <c r="D234" s="29"/>
      <c r="E234" s="29"/>
      <c r="F234" s="29"/>
      <c r="G234" s="29"/>
      <c r="H234" s="29"/>
      <c r="I234" s="23"/>
    </row>
    <row r="235" spans="1:9" ht="21" x14ac:dyDescent="0.3">
      <c r="A235" s="28"/>
      <c r="B235" s="29"/>
      <c r="C235" s="29"/>
      <c r="D235" s="29"/>
      <c r="E235" s="29"/>
      <c r="F235" s="29"/>
      <c r="G235" s="29"/>
      <c r="H235" s="29"/>
      <c r="I235" s="23"/>
    </row>
    <row r="236" spans="1:9" ht="21" x14ac:dyDescent="0.3">
      <c r="A236" s="28"/>
      <c r="B236" s="29"/>
      <c r="C236" s="29"/>
      <c r="D236" s="29"/>
      <c r="E236" s="29"/>
      <c r="F236" s="29"/>
      <c r="G236" s="29"/>
      <c r="H236" s="29"/>
      <c r="I236" s="23"/>
    </row>
    <row r="237" spans="1:9" ht="21" x14ac:dyDescent="0.3">
      <c r="A237" s="28"/>
      <c r="B237" s="29"/>
      <c r="C237" s="29"/>
      <c r="D237" s="29"/>
      <c r="E237" s="29"/>
      <c r="F237" s="29"/>
      <c r="G237" s="29"/>
      <c r="H237" s="29"/>
      <c r="I237" s="23"/>
    </row>
    <row r="238" spans="1:9" ht="21" x14ac:dyDescent="0.3">
      <c r="A238" s="28"/>
      <c r="B238" s="29"/>
      <c r="C238" s="29"/>
      <c r="D238" s="29"/>
      <c r="E238" s="29"/>
      <c r="F238" s="29"/>
      <c r="G238" s="29"/>
      <c r="H238" s="29"/>
      <c r="I238" s="23"/>
    </row>
    <row r="239" spans="1:9" ht="21" x14ac:dyDescent="0.3">
      <c r="A239" s="28"/>
      <c r="B239" s="29"/>
      <c r="C239" s="29"/>
      <c r="D239" s="29"/>
      <c r="E239" s="29"/>
      <c r="F239" s="29"/>
      <c r="G239" s="29"/>
      <c r="H239" s="29"/>
      <c r="I239" s="23"/>
    </row>
    <row r="240" spans="1:9" ht="21" x14ac:dyDescent="0.3">
      <c r="A240" s="28"/>
      <c r="B240" s="29"/>
      <c r="C240" s="29"/>
      <c r="D240" s="29"/>
      <c r="E240" s="29"/>
      <c r="F240" s="29"/>
      <c r="G240" s="29"/>
      <c r="H240" s="29"/>
      <c r="I240" s="23"/>
    </row>
    <row r="241" spans="1:9" ht="21" x14ac:dyDescent="0.3">
      <c r="A241" s="28"/>
      <c r="B241" s="29"/>
      <c r="C241" s="29"/>
      <c r="D241" s="29"/>
      <c r="E241" s="29"/>
      <c r="F241" s="29"/>
      <c r="G241" s="29"/>
      <c r="H241" s="29"/>
      <c r="I241" s="23"/>
    </row>
    <row r="242" spans="1:9" ht="21" x14ac:dyDescent="0.3">
      <c r="A242" s="28"/>
      <c r="B242" s="29"/>
      <c r="C242" s="29"/>
      <c r="D242" s="29"/>
      <c r="E242" s="29"/>
      <c r="F242" s="29"/>
      <c r="G242" s="29"/>
      <c r="H242" s="29"/>
      <c r="I242" s="23"/>
    </row>
    <row r="243" spans="1:9" ht="21" x14ac:dyDescent="0.3">
      <c r="A243" s="28"/>
      <c r="B243" s="29"/>
      <c r="C243" s="29"/>
      <c r="D243" s="29"/>
      <c r="E243" s="29"/>
      <c r="F243" s="29"/>
      <c r="G243" s="29"/>
      <c r="H243" s="29"/>
      <c r="I243" s="23"/>
    </row>
    <row r="244" spans="1:9" ht="21" x14ac:dyDescent="0.3">
      <c r="A244" s="28"/>
      <c r="B244" s="29"/>
      <c r="C244" s="29"/>
      <c r="D244" s="29"/>
      <c r="E244" s="29"/>
      <c r="F244" s="29"/>
      <c r="G244" s="29"/>
      <c r="H244" s="29"/>
      <c r="I244" s="23"/>
    </row>
    <row r="245" spans="1:9" ht="21" x14ac:dyDescent="0.3">
      <c r="A245" s="28"/>
      <c r="B245" s="29"/>
      <c r="C245" s="29"/>
      <c r="D245" s="29"/>
      <c r="E245" s="29"/>
      <c r="F245" s="29"/>
      <c r="G245" s="29"/>
      <c r="H245" s="29"/>
      <c r="I245" s="23"/>
    </row>
    <row r="246" spans="1:9" ht="21" x14ac:dyDescent="0.3">
      <c r="A246" s="28"/>
      <c r="B246" s="29"/>
      <c r="C246" s="29"/>
      <c r="D246" s="29"/>
      <c r="E246" s="29"/>
      <c r="F246" s="29"/>
      <c r="G246" s="29"/>
      <c r="H246" s="29"/>
      <c r="I246" s="23"/>
    </row>
    <row r="247" spans="1:9" ht="21" x14ac:dyDescent="0.3">
      <c r="A247" s="28"/>
      <c r="B247" s="29"/>
      <c r="C247" s="29"/>
      <c r="D247" s="29"/>
      <c r="E247" s="29"/>
      <c r="F247" s="29"/>
      <c r="G247" s="29"/>
      <c r="H247" s="29"/>
      <c r="I247" s="23"/>
    </row>
    <row r="248" spans="1:9" ht="21" x14ac:dyDescent="0.3">
      <c r="A248" s="28"/>
      <c r="B248" s="29"/>
      <c r="C248" s="29"/>
      <c r="D248" s="29"/>
      <c r="E248" s="29"/>
      <c r="F248" s="29"/>
      <c r="G248" s="29"/>
      <c r="H248" s="29"/>
      <c r="I248" s="23"/>
    </row>
    <row r="249" spans="1:9" ht="21" x14ac:dyDescent="0.3">
      <c r="A249" s="28"/>
      <c r="B249" s="29"/>
      <c r="C249" s="29"/>
      <c r="D249" s="29"/>
      <c r="E249" s="29"/>
      <c r="F249" s="29"/>
      <c r="G249" s="29"/>
      <c r="H249" s="29"/>
      <c r="I249" s="23"/>
    </row>
    <row r="250" spans="1:9" ht="21" x14ac:dyDescent="0.3">
      <c r="A250" s="28"/>
      <c r="B250" s="29"/>
      <c r="C250" s="29"/>
      <c r="D250" s="29"/>
      <c r="E250" s="29"/>
      <c r="F250" s="29"/>
      <c r="G250" s="29"/>
      <c r="H250" s="29"/>
      <c r="I250" s="23"/>
    </row>
    <row r="251" spans="1:9" ht="21" x14ac:dyDescent="0.3">
      <c r="A251" s="28"/>
      <c r="B251" s="29"/>
      <c r="C251" s="29"/>
      <c r="D251" s="29"/>
      <c r="E251" s="29"/>
      <c r="F251" s="29"/>
      <c r="G251" s="29"/>
      <c r="H251" s="29"/>
      <c r="I251" s="23"/>
    </row>
    <row r="252" spans="1:9" ht="21" x14ac:dyDescent="0.3">
      <c r="A252" s="28"/>
      <c r="B252" s="29"/>
      <c r="C252" s="29"/>
      <c r="D252" s="29"/>
      <c r="E252" s="29"/>
      <c r="F252" s="29"/>
      <c r="G252" s="29"/>
      <c r="H252" s="29"/>
      <c r="I252" s="23"/>
    </row>
    <row r="253" spans="1:9" ht="21" x14ac:dyDescent="0.3">
      <c r="A253" s="28"/>
      <c r="B253" s="29"/>
      <c r="C253" s="29"/>
      <c r="D253" s="29"/>
      <c r="E253" s="29"/>
      <c r="F253" s="29"/>
      <c r="G253" s="29"/>
      <c r="H253" s="29"/>
      <c r="I253" s="23"/>
    </row>
    <row r="254" spans="1:9" ht="21" x14ac:dyDescent="0.3">
      <c r="A254" s="28"/>
      <c r="B254" s="29"/>
      <c r="C254" s="29"/>
      <c r="D254" s="29"/>
      <c r="E254" s="29"/>
      <c r="F254" s="29"/>
      <c r="G254" s="29"/>
      <c r="H254" s="29"/>
      <c r="I254" s="23"/>
    </row>
    <row r="255" spans="1:9" ht="21" x14ac:dyDescent="0.3">
      <c r="A255" s="28"/>
      <c r="B255" s="29"/>
      <c r="C255" s="29"/>
      <c r="D255" s="29"/>
      <c r="E255" s="29"/>
      <c r="F255" s="29"/>
      <c r="G255" s="29"/>
      <c r="H255" s="29"/>
      <c r="I255" s="23"/>
    </row>
    <row r="256" spans="1:9" ht="21" x14ac:dyDescent="0.3">
      <c r="A256" s="28"/>
      <c r="B256" s="29"/>
      <c r="C256" s="29"/>
      <c r="D256" s="29"/>
      <c r="E256" s="29"/>
      <c r="F256" s="29"/>
      <c r="G256" s="29"/>
      <c r="H256" s="29"/>
      <c r="I256" s="23"/>
    </row>
    <row r="257" spans="1:9" ht="21" x14ac:dyDescent="0.3">
      <c r="A257" s="28"/>
      <c r="B257" s="29"/>
      <c r="C257" s="29"/>
      <c r="D257" s="29"/>
      <c r="E257" s="29"/>
      <c r="F257" s="29"/>
      <c r="G257" s="29"/>
      <c r="H257" s="29"/>
      <c r="I257" s="23"/>
    </row>
    <row r="258" spans="1:9" ht="21" x14ac:dyDescent="0.3">
      <c r="A258" s="28"/>
      <c r="B258" s="29"/>
      <c r="C258" s="29"/>
      <c r="D258" s="29"/>
      <c r="E258" s="29"/>
      <c r="F258" s="29"/>
      <c r="G258" s="29"/>
      <c r="H258" s="29"/>
      <c r="I258" s="23"/>
    </row>
    <row r="259" spans="1:9" ht="21" x14ac:dyDescent="0.3">
      <c r="A259" s="28"/>
      <c r="B259" s="29"/>
      <c r="C259" s="29"/>
      <c r="D259" s="29"/>
      <c r="E259" s="29"/>
      <c r="F259" s="29"/>
      <c r="G259" s="29"/>
      <c r="H259" s="29"/>
      <c r="I259" s="23"/>
    </row>
    <row r="260" spans="1:9" ht="21" x14ac:dyDescent="0.3">
      <c r="A260" s="28"/>
      <c r="B260" s="29"/>
      <c r="C260" s="29"/>
      <c r="D260" s="29"/>
      <c r="E260" s="29"/>
      <c r="F260" s="29"/>
      <c r="G260" s="29"/>
      <c r="H260" s="29"/>
      <c r="I260" s="23"/>
    </row>
    <row r="261" spans="1:9" ht="21" x14ac:dyDescent="0.3">
      <c r="A261" s="28"/>
      <c r="B261" s="29"/>
      <c r="C261" s="29"/>
      <c r="D261" s="29"/>
      <c r="E261" s="29"/>
      <c r="F261" s="29"/>
      <c r="G261" s="29"/>
      <c r="H261" s="29"/>
      <c r="I261" s="23"/>
    </row>
    <row r="262" spans="1:9" ht="21" x14ac:dyDescent="0.3">
      <c r="A262" s="28"/>
      <c r="B262" s="29"/>
      <c r="C262" s="29"/>
      <c r="D262" s="29"/>
      <c r="E262" s="29"/>
      <c r="F262" s="29"/>
      <c r="G262" s="29"/>
      <c r="H262" s="29"/>
      <c r="I262" s="23"/>
    </row>
    <row r="263" spans="1:9" ht="21" x14ac:dyDescent="0.3">
      <c r="A263" s="28"/>
      <c r="B263" s="29"/>
      <c r="C263" s="29"/>
      <c r="D263" s="29"/>
      <c r="E263" s="29"/>
      <c r="F263" s="29"/>
      <c r="G263" s="29"/>
      <c r="H263" s="29"/>
      <c r="I263" s="23"/>
    </row>
    <row r="264" spans="1:9" ht="21" x14ac:dyDescent="0.3">
      <c r="A264" s="28"/>
      <c r="B264" s="29"/>
      <c r="C264" s="29"/>
      <c r="D264" s="29"/>
      <c r="E264" s="29"/>
      <c r="F264" s="29"/>
      <c r="G264" s="29"/>
      <c r="H264" s="29"/>
      <c r="I264" s="23"/>
    </row>
    <row r="265" spans="1:9" ht="21" x14ac:dyDescent="0.3">
      <c r="A265" s="28"/>
      <c r="B265" s="29"/>
      <c r="C265" s="29"/>
      <c r="D265" s="29"/>
      <c r="E265" s="29"/>
      <c r="F265" s="29"/>
      <c r="G265" s="29"/>
      <c r="H265" s="29"/>
      <c r="I265" s="23"/>
    </row>
    <row r="266" spans="1:9" ht="21" x14ac:dyDescent="0.3">
      <c r="A266" s="104" t="s">
        <v>78</v>
      </c>
      <c r="B266" s="105"/>
      <c r="C266" s="105"/>
      <c r="D266" s="105"/>
      <c r="E266" s="105"/>
      <c r="F266" s="105"/>
      <c r="G266" s="105"/>
      <c r="H266" s="105"/>
      <c r="I266" s="106"/>
    </row>
    <row r="267" spans="1:9" ht="21" x14ac:dyDescent="0.3">
      <c r="A267" s="26"/>
      <c r="B267" s="27"/>
      <c r="C267" s="27"/>
      <c r="D267" s="27"/>
      <c r="E267" s="27"/>
      <c r="F267" s="27"/>
      <c r="G267" s="27"/>
      <c r="H267" s="27"/>
      <c r="I267" s="22"/>
    </row>
    <row r="268" spans="1:9" ht="21" x14ac:dyDescent="0.3">
      <c r="A268" s="28"/>
      <c r="B268" s="29"/>
      <c r="C268" s="29"/>
      <c r="D268" s="29"/>
      <c r="E268" s="29"/>
      <c r="F268" s="29"/>
      <c r="G268" s="29"/>
      <c r="H268" s="29"/>
      <c r="I268" s="23"/>
    </row>
    <row r="269" spans="1:9" ht="21" x14ac:dyDescent="0.3">
      <c r="A269" s="28"/>
      <c r="B269" s="29"/>
      <c r="C269" s="29"/>
      <c r="D269" s="29"/>
      <c r="E269" s="29"/>
      <c r="F269" s="29"/>
      <c r="G269" s="29"/>
      <c r="H269" s="29"/>
      <c r="I269" s="23"/>
    </row>
    <row r="270" spans="1:9" ht="21" x14ac:dyDescent="0.3">
      <c r="A270" s="28"/>
      <c r="B270" s="29"/>
      <c r="C270" s="29"/>
      <c r="D270" s="29"/>
      <c r="E270" s="29"/>
      <c r="F270" s="29"/>
      <c r="G270" s="29"/>
      <c r="H270" s="29"/>
      <c r="I270" s="23"/>
    </row>
    <row r="271" spans="1:9" ht="21" x14ac:dyDescent="0.3">
      <c r="A271" s="28"/>
      <c r="B271" s="29"/>
      <c r="C271" s="29"/>
      <c r="D271" s="29"/>
      <c r="E271" s="29"/>
      <c r="F271" s="29"/>
      <c r="G271" s="29"/>
      <c r="H271" s="29"/>
      <c r="I271" s="23"/>
    </row>
    <row r="272" spans="1:9" ht="21" x14ac:dyDescent="0.3">
      <c r="A272" s="28"/>
      <c r="B272" s="29"/>
      <c r="C272" s="29"/>
      <c r="D272" s="29"/>
      <c r="E272" s="29"/>
      <c r="F272" s="29"/>
      <c r="G272" s="29"/>
      <c r="H272" s="29"/>
      <c r="I272" s="23"/>
    </row>
    <row r="273" spans="1:9" ht="21" x14ac:dyDescent="0.3">
      <c r="A273" s="28"/>
      <c r="B273" s="29"/>
      <c r="C273" s="29"/>
      <c r="D273" s="29"/>
      <c r="E273" s="29"/>
      <c r="F273" s="29"/>
      <c r="G273" s="29"/>
      <c r="H273" s="29"/>
      <c r="I273" s="23"/>
    </row>
    <row r="274" spans="1:9" ht="21" x14ac:dyDescent="0.3">
      <c r="A274" s="28"/>
      <c r="B274" s="29"/>
      <c r="C274" s="29"/>
      <c r="D274" s="29"/>
      <c r="E274" s="29"/>
      <c r="F274" s="29"/>
      <c r="G274" s="29"/>
      <c r="H274" s="29"/>
      <c r="I274" s="23"/>
    </row>
    <row r="275" spans="1:9" ht="21" x14ac:dyDescent="0.3">
      <c r="A275" s="28"/>
      <c r="B275" s="29"/>
      <c r="C275" s="29"/>
      <c r="D275" s="29"/>
      <c r="E275" s="29"/>
      <c r="F275" s="29"/>
      <c r="G275" s="29"/>
      <c r="H275" s="29"/>
      <c r="I275" s="23"/>
    </row>
    <row r="276" spans="1:9" ht="21" x14ac:dyDescent="0.3">
      <c r="A276" s="28"/>
      <c r="B276" s="29"/>
      <c r="C276" s="29"/>
      <c r="D276" s="29"/>
      <c r="E276" s="29"/>
      <c r="F276" s="29"/>
      <c r="G276" s="29"/>
      <c r="H276" s="29"/>
      <c r="I276" s="23"/>
    </row>
    <row r="277" spans="1:9" ht="21" x14ac:dyDescent="0.3">
      <c r="A277" s="28"/>
      <c r="B277" s="29"/>
      <c r="C277" s="29"/>
      <c r="D277" s="29"/>
      <c r="E277" s="29"/>
      <c r="F277" s="29"/>
      <c r="G277" s="29"/>
      <c r="H277" s="29"/>
      <c r="I277" s="23"/>
    </row>
    <row r="278" spans="1:9" ht="21" x14ac:dyDescent="0.3">
      <c r="A278" s="28"/>
      <c r="B278" s="29"/>
      <c r="C278" s="29"/>
      <c r="D278" s="29"/>
      <c r="E278" s="29"/>
      <c r="F278" s="29"/>
      <c r="G278" s="29"/>
      <c r="H278" s="29"/>
      <c r="I278" s="23"/>
    </row>
    <row r="279" spans="1:9" ht="21" x14ac:dyDescent="0.3">
      <c r="A279" s="28"/>
      <c r="B279" s="29"/>
      <c r="C279" s="29"/>
      <c r="D279" s="29"/>
      <c r="E279" s="29"/>
      <c r="F279" s="29"/>
      <c r="G279" s="29"/>
      <c r="H279" s="29"/>
      <c r="I279" s="23"/>
    </row>
    <row r="280" spans="1:9" ht="21" x14ac:dyDescent="0.3">
      <c r="A280" s="28"/>
      <c r="B280" s="29"/>
      <c r="C280" s="29"/>
      <c r="D280" s="29"/>
      <c r="E280" s="29"/>
      <c r="F280" s="29"/>
      <c r="G280" s="29"/>
      <c r="H280" s="29"/>
      <c r="I280" s="23"/>
    </row>
    <row r="281" spans="1:9" ht="21" x14ac:dyDescent="0.3">
      <c r="A281" s="28"/>
      <c r="B281" s="29"/>
      <c r="C281" s="29"/>
      <c r="D281" s="29"/>
      <c r="E281" s="29"/>
      <c r="F281" s="29"/>
      <c r="G281" s="29"/>
      <c r="H281" s="29"/>
      <c r="I281" s="23"/>
    </row>
    <row r="282" spans="1:9" ht="21" x14ac:dyDescent="0.3">
      <c r="A282" s="28"/>
      <c r="B282" s="29"/>
      <c r="C282" s="29"/>
      <c r="D282" s="29"/>
      <c r="E282" s="29"/>
      <c r="F282" s="29"/>
      <c r="G282" s="29"/>
      <c r="H282" s="29"/>
      <c r="I282" s="23"/>
    </row>
    <row r="283" spans="1:9" ht="21" x14ac:dyDescent="0.3">
      <c r="A283" s="28"/>
      <c r="B283" s="29"/>
      <c r="C283" s="29"/>
      <c r="D283" s="29"/>
      <c r="E283" s="29"/>
      <c r="F283" s="29"/>
      <c r="G283" s="29"/>
      <c r="H283" s="29"/>
      <c r="I283" s="23"/>
    </row>
    <row r="284" spans="1:9" ht="21" x14ac:dyDescent="0.3">
      <c r="A284" s="28"/>
      <c r="B284" s="29"/>
      <c r="C284" s="29"/>
      <c r="D284" s="29"/>
      <c r="E284" s="29"/>
      <c r="F284" s="29"/>
      <c r="G284" s="29"/>
      <c r="H284" s="29"/>
      <c r="I284" s="23"/>
    </row>
    <row r="285" spans="1:9" ht="21" x14ac:dyDescent="0.3">
      <c r="A285" s="28"/>
      <c r="B285" s="29"/>
      <c r="C285" s="29"/>
      <c r="D285" s="29"/>
      <c r="E285" s="29"/>
      <c r="F285" s="29"/>
      <c r="G285" s="29"/>
      <c r="H285" s="29"/>
      <c r="I285" s="23"/>
    </row>
    <row r="286" spans="1:9" ht="21" x14ac:dyDescent="0.3">
      <c r="A286" s="28"/>
      <c r="B286" s="29"/>
      <c r="C286" s="29"/>
      <c r="D286" s="29"/>
      <c r="E286" s="29"/>
      <c r="F286" s="29"/>
      <c r="G286" s="29"/>
      <c r="H286" s="29"/>
      <c r="I286" s="23"/>
    </row>
    <row r="287" spans="1:9" ht="21" x14ac:dyDescent="0.3">
      <c r="A287" s="28"/>
      <c r="B287" s="29"/>
      <c r="C287" s="29"/>
      <c r="D287" s="29"/>
      <c r="E287" s="29"/>
      <c r="F287" s="29"/>
      <c r="G287" s="29"/>
      <c r="H287" s="29"/>
      <c r="I287" s="23"/>
    </row>
    <row r="288" spans="1:9" ht="21" x14ac:dyDescent="0.3">
      <c r="A288" s="28"/>
      <c r="B288" s="29"/>
      <c r="C288" s="29"/>
      <c r="D288" s="29"/>
      <c r="E288" s="29"/>
      <c r="F288" s="29"/>
      <c r="G288" s="29"/>
      <c r="H288" s="29"/>
      <c r="I288" s="23"/>
    </row>
    <row r="289" spans="1:9" ht="21" x14ac:dyDescent="0.3">
      <c r="A289" s="28"/>
      <c r="B289" s="29"/>
      <c r="C289" s="29"/>
      <c r="D289" s="29"/>
      <c r="E289" s="29"/>
      <c r="F289" s="29"/>
      <c r="G289" s="29"/>
      <c r="H289" s="29"/>
      <c r="I289" s="23"/>
    </row>
    <row r="290" spans="1:9" ht="21" x14ac:dyDescent="0.3">
      <c r="A290" s="28"/>
      <c r="B290" s="29"/>
      <c r="C290" s="29"/>
      <c r="D290" s="29"/>
      <c r="E290" s="29"/>
      <c r="F290" s="29"/>
      <c r="G290" s="29"/>
      <c r="H290" s="29"/>
      <c r="I290" s="23"/>
    </row>
    <row r="291" spans="1:9" ht="21" x14ac:dyDescent="0.3">
      <c r="A291" s="28"/>
      <c r="B291" s="29"/>
      <c r="C291" s="29"/>
      <c r="D291" s="29"/>
      <c r="E291" s="29"/>
      <c r="F291" s="29"/>
      <c r="G291" s="29"/>
      <c r="H291" s="29"/>
      <c r="I291" s="23"/>
    </row>
    <row r="292" spans="1:9" ht="21" x14ac:dyDescent="0.3">
      <c r="A292" s="28"/>
      <c r="B292" s="29"/>
      <c r="C292" s="29"/>
      <c r="D292" s="29"/>
      <c r="E292" s="29"/>
      <c r="F292" s="29"/>
      <c r="G292" s="29"/>
      <c r="H292" s="29"/>
      <c r="I292" s="23"/>
    </row>
    <row r="293" spans="1:9" ht="21" x14ac:dyDescent="0.3">
      <c r="A293" s="28"/>
      <c r="B293" s="29"/>
      <c r="C293" s="29"/>
      <c r="D293" s="29"/>
      <c r="E293" s="29"/>
      <c r="F293" s="29"/>
      <c r="G293" s="29"/>
      <c r="H293" s="29"/>
      <c r="I293" s="23"/>
    </row>
    <row r="294" spans="1:9" ht="21" x14ac:dyDescent="0.3">
      <c r="A294" s="28"/>
      <c r="B294" s="29"/>
      <c r="C294" s="29"/>
      <c r="D294" s="29"/>
      <c r="E294" s="29"/>
      <c r="F294" s="29"/>
      <c r="G294" s="29"/>
      <c r="H294" s="29"/>
      <c r="I294" s="23"/>
    </row>
    <row r="295" spans="1:9" ht="21" x14ac:dyDescent="0.3">
      <c r="A295" s="28"/>
      <c r="B295" s="29"/>
      <c r="C295" s="29"/>
      <c r="D295" s="29"/>
      <c r="E295" s="29"/>
      <c r="F295" s="29"/>
      <c r="G295" s="29"/>
      <c r="H295" s="29"/>
      <c r="I295" s="23"/>
    </row>
    <row r="296" spans="1:9" ht="21" x14ac:dyDescent="0.3">
      <c r="A296" s="28"/>
      <c r="B296" s="29"/>
      <c r="C296" s="29"/>
      <c r="D296" s="29"/>
      <c r="E296" s="29"/>
      <c r="F296" s="29"/>
      <c r="G296" s="29"/>
      <c r="H296" s="29"/>
      <c r="I296" s="23"/>
    </row>
    <row r="297" spans="1:9" ht="21" x14ac:dyDescent="0.3">
      <c r="A297" s="28"/>
      <c r="B297" s="29"/>
      <c r="C297" s="29"/>
      <c r="D297" s="29"/>
      <c r="E297" s="29"/>
      <c r="F297" s="29"/>
      <c r="G297" s="29"/>
      <c r="H297" s="29"/>
      <c r="I297" s="23"/>
    </row>
    <row r="298" spans="1:9" ht="21" x14ac:dyDescent="0.3">
      <c r="A298" s="28"/>
      <c r="B298" s="29"/>
      <c r="C298" s="29"/>
      <c r="D298" s="29"/>
      <c r="E298" s="29"/>
      <c r="F298" s="29"/>
      <c r="G298" s="29"/>
      <c r="H298" s="29"/>
      <c r="I298" s="23"/>
    </row>
    <row r="299" spans="1:9" ht="21" x14ac:dyDescent="0.3">
      <c r="A299" s="30"/>
      <c r="B299" s="31"/>
      <c r="C299" s="31"/>
      <c r="D299" s="31"/>
      <c r="E299" s="31"/>
      <c r="F299" s="31"/>
      <c r="G299" s="31"/>
      <c r="H299" s="31"/>
      <c r="I299" s="24"/>
    </row>
    <row r="300" spans="1:9" ht="21" x14ac:dyDescent="0.3">
      <c r="A300" s="103" t="s">
        <v>26</v>
      </c>
      <c r="B300" s="103"/>
      <c r="C300" s="103"/>
      <c r="D300" s="103"/>
      <c r="E300" s="103"/>
      <c r="F300" s="103"/>
      <c r="G300" s="103"/>
      <c r="H300" s="103"/>
      <c r="I300" s="103"/>
    </row>
    <row r="301" spans="1:9" ht="21" x14ac:dyDescent="0.3">
      <c r="A301" s="127" t="s">
        <v>80</v>
      </c>
      <c r="B301" s="128"/>
      <c r="C301" s="128"/>
      <c r="D301" s="128"/>
      <c r="E301" s="128"/>
      <c r="F301" s="128"/>
      <c r="G301" s="128"/>
      <c r="H301" s="128"/>
      <c r="I301" s="129"/>
    </row>
    <row r="302" spans="1:9" ht="21" x14ac:dyDescent="0.3">
      <c r="A302" s="130" t="s">
        <v>81</v>
      </c>
      <c r="B302" s="131"/>
      <c r="C302" s="131"/>
      <c r="D302" s="131"/>
      <c r="E302" s="131"/>
      <c r="F302" s="131"/>
      <c r="G302" s="131"/>
      <c r="H302" s="131"/>
      <c r="I302" s="132"/>
    </row>
    <row r="303" spans="1:9" ht="42.75" customHeight="1" x14ac:dyDescent="0.3">
      <c r="A303" s="130" t="s">
        <v>82</v>
      </c>
      <c r="B303" s="131"/>
      <c r="C303" s="131"/>
      <c r="D303" s="131"/>
      <c r="E303" s="131"/>
      <c r="F303" s="131"/>
      <c r="G303" s="131"/>
      <c r="H303" s="131"/>
      <c r="I303" s="132"/>
    </row>
    <row r="304" spans="1:9" ht="21" x14ac:dyDescent="0.3">
      <c r="A304" s="130" t="s">
        <v>83</v>
      </c>
      <c r="B304" s="131"/>
      <c r="C304" s="131"/>
      <c r="D304" s="131"/>
      <c r="E304" s="131"/>
      <c r="F304" s="131"/>
      <c r="G304" s="131"/>
      <c r="H304" s="131"/>
      <c r="I304" s="132"/>
    </row>
    <row r="305" spans="1:9" ht="21" x14ac:dyDescent="0.3">
      <c r="A305" s="130" t="s">
        <v>84</v>
      </c>
      <c r="B305" s="131"/>
      <c r="C305" s="131"/>
      <c r="D305" s="131"/>
      <c r="E305" s="131"/>
      <c r="F305" s="131"/>
      <c r="G305" s="131"/>
      <c r="H305" s="131"/>
      <c r="I305" s="132"/>
    </row>
    <row r="306" spans="1:9" ht="21" x14ac:dyDescent="0.3">
      <c r="A306" s="130" t="s">
        <v>85</v>
      </c>
      <c r="B306" s="131"/>
      <c r="C306" s="131"/>
      <c r="D306" s="131"/>
      <c r="E306" s="131"/>
      <c r="F306" s="131"/>
      <c r="G306" s="131"/>
      <c r="H306" s="131"/>
      <c r="I306" s="132"/>
    </row>
    <row r="307" spans="1:9" ht="45" customHeight="1" x14ac:dyDescent="0.3">
      <c r="A307" s="130" t="s">
        <v>86</v>
      </c>
      <c r="B307" s="131"/>
      <c r="C307" s="131"/>
      <c r="D307" s="131"/>
      <c r="E307" s="131"/>
      <c r="F307" s="131"/>
      <c r="G307" s="131"/>
      <c r="H307" s="131"/>
      <c r="I307" s="132"/>
    </row>
    <row r="308" spans="1:9" ht="21" x14ac:dyDescent="0.3">
      <c r="A308" s="130" t="s">
        <v>87</v>
      </c>
      <c r="B308" s="131"/>
      <c r="C308" s="131"/>
      <c r="D308" s="131"/>
      <c r="E308" s="131"/>
      <c r="F308" s="131"/>
      <c r="G308" s="131"/>
      <c r="H308" s="131"/>
      <c r="I308" s="132"/>
    </row>
    <row r="309" spans="1:9" ht="23.25" customHeight="1" x14ac:dyDescent="0.3">
      <c r="A309" s="133" t="s">
        <v>88</v>
      </c>
      <c r="B309" s="134"/>
      <c r="C309" s="134"/>
      <c r="D309" s="134"/>
      <c r="E309" s="134"/>
      <c r="F309" s="134"/>
      <c r="G309" s="134"/>
      <c r="H309" s="134"/>
      <c r="I309" s="135"/>
    </row>
    <row r="310" spans="1:9" ht="73.5" customHeight="1" x14ac:dyDescent="0.3">
      <c r="A310" s="124" t="s">
        <v>32</v>
      </c>
      <c r="B310" s="124"/>
      <c r="C310" s="124"/>
      <c r="D310" s="2" t="s">
        <v>4</v>
      </c>
      <c r="E310" s="19" t="s">
        <v>218</v>
      </c>
      <c r="F310" s="12" t="s">
        <v>10</v>
      </c>
      <c r="G310" s="2" t="s">
        <v>4</v>
      </c>
      <c r="H310" s="125"/>
      <c r="I310" s="125"/>
    </row>
  </sheetData>
  <mergeCells count="396">
    <mergeCell ref="A70:B70"/>
    <mergeCell ref="C70:D70"/>
    <mergeCell ref="F70:G70"/>
    <mergeCell ref="A71:B71"/>
    <mergeCell ref="C71:D71"/>
    <mergeCell ref="F71:G82"/>
    <mergeCell ref="H71:I82"/>
    <mergeCell ref="A72:B72"/>
    <mergeCell ref="C72:D72"/>
    <mergeCell ref="A73:B73"/>
    <mergeCell ref="C73:D73"/>
    <mergeCell ref="A74:B74"/>
    <mergeCell ref="C74:D74"/>
    <mergeCell ref="A75:B75"/>
    <mergeCell ref="C75:D75"/>
    <mergeCell ref="A76:B76"/>
    <mergeCell ref="C76:D76"/>
    <mergeCell ref="A77:B77"/>
    <mergeCell ref="C77:D77"/>
    <mergeCell ref="A78:B78"/>
    <mergeCell ref="C78:D78"/>
    <mergeCell ref="A79:B79"/>
    <mergeCell ref="C79:D79"/>
    <mergeCell ref="A80:B80"/>
    <mergeCell ref="C80:D80"/>
    <mergeCell ref="A81:B81"/>
    <mergeCell ref="C81:D81"/>
    <mergeCell ref="A82:B82"/>
    <mergeCell ref="C82:D82"/>
    <mergeCell ref="A65:B65"/>
    <mergeCell ref="C65:D65"/>
    <mergeCell ref="A66:B66"/>
    <mergeCell ref="C66:D66"/>
    <mergeCell ref="A67:I67"/>
    <mergeCell ref="A68:C69"/>
    <mergeCell ref="D68:D69"/>
    <mergeCell ref="F68:G68"/>
    <mergeCell ref="F69:G69"/>
    <mergeCell ref="H55:I66"/>
    <mergeCell ref="A56:B56"/>
    <mergeCell ref="C56:D56"/>
    <mergeCell ref="A57:B57"/>
    <mergeCell ref="C57:D57"/>
    <mergeCell ref="A58:B58"/>
    <mergeCell ref="C58:D58"/>
    <mergeCell ref="A59:B59"/>
    <mergeCell ref="C59:D59"/>
    <mergeCell ref="A60:B60"/>
    <mergeCell ref="C60:D60"/>
    <mergeCell ref="A61:B61"/>
    <mergeCell ref="C61:D61"/>
    <mergeCell ref="A62:B62"/>
    <mergeCell ref="C62:D62"/>
    <mergeCell ref="A63:B63"/>
    <mergeCell ref="C63:D63"/>
    <mergeCell ref="A64:B64"/>
    <mergeCell ref="C64:D64"/>
    <mergeCell ref="A147:I147"/>
    <mergeCell ref="A148:B148"/>
    <mergeCell ref="C148:D148"/>
    <mergeCell ref="F148:G148"/>
    <mergeCell ref="A149:B149"/>
    <mergeCell ref="C149:D149"/>
    <mergeCell ref="F149:G149"/>
    <mergeCell ref="A144:B144"/>
    <mergeCell ref="C144:D144"/>
    <mergeCell ref="F144:G144"/>
    <mergeCell ref="A145:B145"/>
    <mergeCell ref="C145:D145"/>
    <mergeCell ref="F145:G145"/>
    <mergeCell ref="A146:B146"/>
    <mergeCell ref="C146:D146"/>
    <mergeCell ref="F146:G146"/>
    <mergeCell ref="A142:B142"/>
    <mergeCell ref="C142:D142"/>
    <mergeCell ref="F142:G142"/>
    <mergeCell ref="A143:B143"/>
    <mergeCell ref="C143:D143"/>
    <mergeCell ref="F143:G143"/>
    <mergeCell ref="A135:B135"/>
    <mergeCell ref="C135:D135"/>
    <mergeCell ref="F135:G135"/>
    <mergeCell ref="A136:B136"/>
    <mergeCell ref="C136:D136"/>
    <mergeCell ref="F136:G136"/>
    <mergeCell ref="A137:B137"/>
    <mergeCell ref="C137:D137"/>
    <mergeCell ref="F137:G137"/>
    <mergeCell ref="A130:I130"/>
    <mergeCell ref="A141:B141"/>
    <mergeCell ref="C141:D141"/>
    <mergeCell ref="F141:G141"/>
    <mergeCell ref="A129:I129"/>
    <mergeCell ref="F97:G97"/>
    <mergeCell ref="A93:B93"/>
    <mergeCell ref="C93:D93"/>
    <mergeCell ref="C96:D96"/>
    <mergeCell ref="C95:D95"/>
    <mergeCell ref="C97:D97"/>
    <mergeCell ref="A103:I103"/>
    <mergeCell ref="A104:B104"/>
    <mergeCell ref="C104:D104"/>
    <mergeCell ref="F104:G104"/>
    <mergeCell ref="A105:B105"/>
    <mergeCell ref="C105:D105"/>
    <mergeCell ref="F105:G105"/>
    <mergeCell ref="C132:D132"/>
    <mergeCell ref="F132:G132"/>
    <mergeCell ref="A133:B133"/>
    <mergeCell ref="C133:D133"/>
    <mergeCell ref="F133:G133"/>
    <mergeCell ref="A134:B134"/>
    <mergeCell ref="H34:I34"/>
    <mergeCell ref="G38:H38"/>
    <mergeCell ref="A39:C39"/>
    <mergeCell ref="A35:C35"/>
    <mergeCell ref="A40:C40"/>
    <mergeCell ref="A38:C38"/>
    <mergeCell ref="C43:D43"/>
    <mergeCell ref="C45:D45"/>
    <mergeCell ref="H87:I87"/>
    <mergeCell ref="A44:B44"/>
    <mergeCell ref="C44:D44"/>
    <mergeCell ref="E44:G44"/>
    <mergeCell ref="H44:I44"/>
    <mergeCell ref="A51:I51"/>
    <mergeCell ref="A52:C53"/>
    <mergeCell ref="D52:D53"/>
    <mergeCell ref="F52:G52"/>
    <mergeCell ref="F53:G53"/>
    <mergeCell ref="A54:B54"/>
    <mergeCell ref="C54:D54"/>
    <mergeCell ref="F54:G54"/>
    <mergeCell ref="A55:B55"/>
    <mergeCell ref="C55:D55"/>
    <mergeCell ref="F55:G66"/>
    <mergeCell ref="C167:I167"/>
    <mergeCell ref="C28:E28"/>
    <mergeCell ref="C29:E29"/>
    <mergeCell ref="C30:E30"/>
    <mergeCell ref="C31:E31"/>
    <mergeCell ref="C32:I32"/>
    <mergeCell ref="A98:I98"/>
    <mergeCell ref="F93:G93"/>
    <mergeCell ref="F96:G96"/>
    <mergeCell ref="F95:G95"/>
    <mergeCell ref="H45:I45"/>
    <mergeCell ref="H31:I31"/>
    <mergeCell ref="G39:H39"/>
    <mergeCell ref="A89:F89"/>
    <mergeCell ref="H50:I50"/>
    <mergeCell ref="H48:I48"/>
    <mergeCell ref="A88:I88"/>
    <mergeCell ref="A43:B43"/>
    <mergeCell ref="A45:B45"/>
    <mergeCell ref="E45:G45"/>
    <mergeCell ref="E43:G43"/>
    <mergeCell ref="A109:B109"/>
    <mergeCell ref="C109:D109"/>
    <mergeCell ref="A34:C34"/>
    <mergeCell ref="A310:C310"/>
    <mergeCell ref="H310:I310"/>
    <mergeCell ref="A168:I168"/>
    <mergeCell ref="E170:I170"/>
    <mergeCell ref="A301:I301"/>
    <mergeCell ref="A307:I307"/>
    <mergeCell ref="A308:I308"/>
    <mergeCell ref="A309:I309"/>
    <mergeCell ref="A302:I302"/>
    <mergeCell ref="A303:I303"/>
    <mergeCell ref="A304:I304"/>
    <mergeCell ref="A305:I305"/>
    <mergeCell ref="A170:C170"/>
    <mergeCell ref="A300:I300"/>
    <mergeCell ref="A306:I306"/>
    <mergeCell ref="A266:I266"/>
    <mergeCell ref="E169:I169"/>
    <mergeCell ref="A171:C171"/>
    <mergeCell ref="E171:I171"/>
    <mergeCell ref="A214:I215"/>
    <mergeCell ref="A216:I216"/>
    <mergeCell ref="A1:I1"/>
    <mergeCell ref="A4:C4"/>
    <mergeCell ref="A169:C169"/>
    <mergeCell ref="H27:I27"/>
    <mergeCell ref="H28:I28"/>
    <mergeCell ref="A37:I37"/>
    <mergeCell ref="H47:I47"/>
    <mergeCell ref="H49:I49"/>
    <mergeCell ref="A42:I42"/>
    <mergeCell ref="A46:I46"/>
    <mergeCell ref="A92:I92"/>
    <mergeCell ref="H90:I90"/>
    <mergeCell ref="A2:C2"/>
    <mergeCell ref="E2:F2"/>
    <mergeCell ref="A41:C41"/>
    <mergeCell ref="H41:I41"/>
    <mergeCell ref="E4:F4"/>
    <mergeCell ref="E12:I12"/>
    <mergeCell ref="A6:C6"/>
    <mergeCell ref="A7:C7"/>
    <mergeCell ref="A8:C8"/>
    <mergeCell ref="E8:I8"/>
    <mergeCell ref="H7:I7"/>
    <mergeCell ref="E9:I9"/>
    <mergeCell ref="G2:H2"/>
    <mergeCell ref="G3:H3"/>
    <mergeCell ref="G4:H4"/>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A13:I13"/>
    <mergeCell ref="C26:E26"/>
    <mergeCell ref="C27:E27"/>
    <mergeCell ref="H16:I16"/>
    <mergeCell ref="A166:I166"/>
    <mergeCell ref="A84:I84"/>
    <mergeCell ref="A85:C85"/>
    <mergeCell ref="H85:I85"/>
    <mergeCell ref="H36:I36"/>
    <mergeCell ref="A36:C36"/>
    <mergeCell ref="H35:I35"/>
    <mergeCell ref="C47:E47"/>
    <mergeCell ref="C48:E48"/>
    <mergeCell ref="C49:E49"/>
    <mergeCell ref="C50:E50"/>
    <mergeCell ref="A97:B97"/>
    <mergeCell ref="F99:G99"/>
    <mergeCell ref="C99:D99"/>
    <mergeCell ref="A99:B99"/>
    <mergeCell ref="A150:I150"/>
    <mergeCell ref="A151:B151"/>
    <mergeCell ref="C151:D151"/>
    <mergeCell ref="F151:G151"/>
    <mergeCell ref="A152:B152"/>
    <mergeCell ref="C152:D152"/>
    <mergeCell ref="F152:G152"/>
    <mergeCell ref="A131:I131"/>
    <mergeCell ref="A132:B132"/>
    <mergeCell ref="C14:E14"/>
    <mergeCell ref="C15:E15"/>
    <mergeCell ref="C16:E16"/>
    <mergeCell ref="C18:E18"/>
    <mergeCell ref="C19:E19"/>
    <mergeCell ref="C20:E20"/>
    <mergeCell ref="C21:E21"/>
    <mergeCell ref="C24:I24"/>
    <mergeCell ref="C17:I17"/>
    <mergeCell ref="C23:I23"/>
    <mergeCell ref="H14:I14"/>
    <mergeCell ref="H15:I15"/>
    <mergeCell ref="H18:I18"/>
    <mergeCell ref="H19:I19"/>
    <mergeCell ref="C22:I22"/>
    <mergeCell ref="C134:D134"/>
    <mergeCell ref="F134:G134"/>
    <mergeCell ref="A138:B138"/>
    <mergeCell ref="C138:D138"/>
    <mergeCell ref="F138:G138"/>
    <mergeCell ref="A139:I139"/>
    <mergeCell ref="A140:B140"/>
    <mergeCell ref="C140:D140"/>
    <mergeCell ref="F140:G140"/>
    <mergeCell ref="C160:I160"/>
    <mergeCell ref="A156:B156"/>
    <mergeCell ref="C156:D156"/>
    <mergeCell ref="F156:G156"/>
    <mergeCell ref="A153:B153"/>
    <mergeCell ref="C153:D153"/>
    <mergeCell ref="F153:G153"/>
    <mergeCell ref="A154:B154"/>
    <mergeCell ref="C154:D154"/>
    <mergeCell ref="F154:G154"/>
    <mergeCell ref="A155:B155"/>
    <mergeCell ref="C155:D155"/>
    <mergeCell ref="F155:G155"/>
    <mergeCell ref="A164:I164"/>
    <mergeCell ref="A165:I165"/>
    <mergeCell ref="H96:I96"/>
    <mergeCell ref="H93:I93"/>
    <mergeCell ref="H95:I95"/>
    <mergeCell ref="A95:B96"/>
    <mergeCell ref="H97:I97"/>
    <mergeCell ref="A161:B161"/>
    <mergeCell ref="C161:D161"/>
    <mergeCell ref="F161:G161"/>
    <mergeCell ref="A162:B162"/>
    <mergeCell ref="C162:D162"/>
    <mergeCell ref="F162:G162"/>
    <mergeCell ref="A163:B163"/>
    <mergeCell ref="C163:D163"/>
    <mergeCell ref="F163:G163"/>
    <mergeCell ref="A157:I157"/>
    <mergeCell ref="A158:B158"/>
    <mergeCell ref="C158:D158"/>
    <mergeCell ref="F158:G158"/>
    <mergeCell ref="A159:B159"/>
    <mergeCell ref="C159:D159"/>
    <mergeCell ref="F159:G159"/>
    <mergeCell ref="A160:B160"/>
    <mergeCell ref="A100:I100"/>
    <mergeCell ref="A101:I101"/>
    <mergeCell ref="A94:B94"/>
    <mergeCell ref="C94:D94"/>
    <mergeCell ref="F94:G94"/>
    <mergeCell ref="H94:I94"/>
    <mergeCell ref="A83:G83"/>
    <mergeCell ref="H83:I83"/>
    <mergeCell ref="H86:I86"/>
    <mergeCell ref="A91:F91"/>
    <mergeCell ref="H91:I91"/>
    <mergeCell ref="A90:F90"/>
    <mergeCell ref="H89:I89"/>
    <mergeCell ref="A86:C86"/>
    <mergeCell ref="A87:C87"/>
    <mergeCell ref="K105:L105"/>
    <mergeCell ref="A106:B106"/>
    <mergeCell ref="C106:D106"/>
    <mergeCell ref="F106:G106"/>
    <mergeCell ref="A107:B107"/>
    <mergeCell ref="C107:D107"/>
    <mergeCell ref="F107:G107"/>
    <mergeCell ref="A108:B108"/>
    <mergeCell ref="C108:D108"/>
    <mergeCell ref="F108:G108"/>
    <mergeCell ref="A110:B110"/>
    <mergeCell ref="C110:D110"/>
    <mergeCell ref="F110:G110"/>
    <mergeCell ref="A102:I102"/>
    <mergeCell ref="A111:B111"/>
    <mergeCell ref="C111:D111"/>
    <mergeCell ref="F111:G111"/>
    <mergeCell ref="A112:B112"/>
    <mergeCell ref="C112:D112"/>
    <mergeCell ref="F112:G112"/>
    <mergeCell ref="F109:G109"/>
    <mergeCell ref="K118:L118"/>
    <mergeCell ref="A119:B119"/>
    <mergeCell ref="C119:D119"/>
    <mergeCell ref="F119:G119"/>
    <mergeCell ref="A113:B113"/>
    <mergeCell ref="C113:D113"/>
    <mergeCell ref="A114:B114"/>
    <mergeCell ref="C114:D114"/>
    <mergeCell ref="A115:B115"/>
    <mergeCell ref="C115:D115"/>
    <mergeCell ref="F113:G113"/>
    <mergeCell ref="F114:G114"/>
    <mergeCell ref="F115:G115"/>
    <mergeCell ref="A120:B120"/>
    <mergeCell ref="C120:D120"/>
    <mergeCell ref="A121:B121"/>
    <mergeCell ref="C121:D121"/>
    <mergeCell ref="A122:B122"/>
    <mergeCell ref="C122:D122"/>
    <mergeCell ref="A116:I116"/>
    <mergeCell ref="A117:B117"/>
    <mergeCell ref="C117:D117"/>
    <mergeCell ref="F117:G117"/>
    <mergeCell ref="A118:B118"/>
    <mergeCell ref="C118:D118"/>
    <mergeCell ref="F118:G118"/>
    <mergeCell ref="F120:G120"/>
    <mergeCell ref="F121:G121"/>
    <mergeCell ref="F122:G122"/>
    <mergeCell ref="A126:B126"/>
    <mergeCell ref="A127:B127"/>
    <mergeCell ref="C127:D127"/>
    <mergeCell ref="F127:G127"/>
    <mergeCell ref="A128:B128"/>
    <mergeCell ref="C128:D128"/>
    <mergeCell ref="F128:G128"/>
    <mergeCell ref="C126:I126"/>
    <mergeCell ref="A123:B123"/>
    <mergeCell ref="C123:D123"/>
    <mergeCell ref="A124:B124"/>
    <mergeCell ref="C124:D124"/>
    <mergeCell ref="A125:B125"/>
    <mergeCell ref="C125:D125"/>
    <mergeCell ref="F123:G123"/>
    <mergeCell ref="F124:G124"/>
    <mergeCell ref="F125:G125"/>
  </mergeCell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3" manualBreakCount="3">
    <brk id="167" max="8" man="1"/>
    <brk id="215" max="16383" man="1"/>
    <brk id="265" max="16383"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2025-07-08T09:40:56Z</cp:lastPrinted>
  <dcterms:created xsi:type="dcterms:W3CDTF">2010-11-23T11:42:48Z</dcterms:created>
  <dcterms:modified xsi:type="dcterms:W3CDTF">2025-07-08T09:40:58Z</dcterms:modified>
</cp:coreProperties>
</file>