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24226"/>
  <mc:AlternateContent xmlns:mc="http://schemas.openxmlformats.org/markup-compatibility/2006">
    <mc:Choice Requires="x15">
      <x15ac:absPath xmlns:x15ac="http://schemas.microsoft.com/office/spreadsheetml/2010/11/ac" url="K:\VSJ Work\July 25\Godrej Old\"/>
    </mc:Choice>
  </mc:AlternateContent>
  <xr:revisionPtr revIDLastSave="0" documentId="13_ncr:1_{EB5623E3-5B33-4FFB-9E42-6793284EAF60}" xr6:coauthVersionLast="47" xr6:coauthVersionMax="47" xr10:uidLastSave="{00000000-0000-0000-0000-000000000000}"/>
  <bookViews>
    <workbookView xWindow="-108" yWindow="-108" windowWidth="23256" windowHeight="12456" xr2:uid="{00000000-000D-0000-FFFF-FFFF00000000}"/>
  </bookViews>
  <sheets>
    <sheet name="Report" sheetId="3" r:id="rId1"/>
    <sheet name="Sheet1" sheetId="4" r:id="rId2"/>
  </sheets>
  <definedNames>
    <definedName name="_xlnm.Print_Area" localSheetId="0">Report!$A$1:$I$422</definedName>
  </definedNames>
  <calcPr calcId="191029"/>
</workbook>
</file>

<file path=xl/calcChain.xml><?xml version="1.0" encoding="utf-8"?>
<calcChain xmlns="http://schemas.openxmlformats.org/spreadsheetml/2006/main">
  <c r="L4" i="3" l="1"/>
  <c r="J57" i="3"/>
  <c r="J136" i="3" l="1"/>
  <c r="J135" i="3"/>
  <c r="J134" i="3"/>
  <c r="F156" i="3" l="1"/>
  <c r="F155" i="3"/>
  <c r="F153" i="3"/>
  <c r="F152" i="3"/>
  <c r="F150" i="3"/>
  <c r="F149" i="3"/>
  <c r="F148" i="3"/>
  <c r="F147" i="3"/>
  <c r="F146" i="3"/>
  <c r="F144" i="3"/>
  <c r="F142" i="3"/>
  <c r="F141" i="3"/>
  <c r="I141" i="3" s="1"/>
  <c r="F140" i="3"/>
  <c r="I140" i="3" s="1"/>
  <c r="F138" i="3"/>
  <c r="F136" i="3"/>
  <c r="F135" i="3"/>
  <c r="F134" i="3"/>
  <c r="J145" i="3"/>
  <c r="I144" i="3"/>
  <c r="I142" i="3"/>
  <c r="K138" i="3"/>
  <c r="M138" i="3"/>
  <c r="L138" i="3"/>
  <c r="F123" i="3" l="1"/>
  <c r="H123" i="3"/>
  <c r="M134" i="3"/>
  <c r="L134" i="3"/>
  <c r="K134" i="3"/>
  <c r="I134" i="3"/>
  <c r="H53" i="3" l="1"/>
  <c r="H54" i="3"/>
  <c r="C52" i="3"/>
  <c r="I152" i="3"/>
  <c r="I146" i="3"/>
  <c r="I135" i="3"/>
  <c r="I156" i="3"/>
  <c r="I155" i="3"/>
  <c r="I153" i="3"/>
  <c r="A152" i="3"/>
  <c r="C134" i="3"/>
  <c r="C135" i="3" s="1"/>
  <c r="C136" i="3" s="1"/>
  <c r="C137" i="3" s="1"/>
  <c r="C138" i="3" s="1"/>
  <c r="C140" i="3"/>
  <c r="C141" i="3" s="1"/>
  <c r="C142" i="3" s="1"/>
  <c r="C143" i="3" s="1"/>
  <c r="C144" i="3" s="1"/>
  <c r="I150" i="3"/>
  <c r="I149" i="3"/>
  <c r="I148" i="3"/>
  <c r="I147" i="3"/>
  <c r="A146" i="3"/>
  <c r="A140" i="3"/>
  <c r="I138" i="3"/>
  <c r="I136" i="3"/>
  <c r="A134" i="3"/>
  <c r="M71" i="3"/>
  <c r="K70" i="3"/>
  <c r="K69" i="3"/>
  <c r="K20" i="3"/>
  <c r="C17" i="3"/>
  <c r="I60" i="3"/>
  <c r="I123" i="3" l="1"/>
  <c r="E73" i="3"/>
  <c r="E69" i="3"/>
  <c r="E65" i="3"/>
  <c r="E72" i="3"/>
  <c r="E68" i="3"/>
  <c r="E71" i="3"/>
  <c r="E67" i="3"/>
  <c r="K62" i="3"/>
  <c r="E66" i="3"/>
  <c r="K64" i="3"/>
  <c r="K65" i="3" s="1"/>
  <c r="K66" i="3" s="1"/>
  <c r="K67" i="3" s="1"/>
  <c r="C63" i="3" s="1"/>
  <c r="K61" i="3"/>
  <c r="K63" i="3"/>
  <c r="C62" i="3" s="1"/>
  <c r="E70" i="3"/>
  <c r="M103" i="3"/>
  <c r="K101" i="3"/>
  <c r="M87" i="3"/>
  <c r="K85" i="3"/>
  <c r="I92" i="3"/>
  <c r="I76" i="3"/>
  <c r="K68" i="3" l="1"/>
  <c r="K71" i="3" s="1"/>
  <c r="E63" i="3" s="1"/>
  <c r="E64" i="3"/>
  <c r="E62" i="3"/>
  <c r="E105" i="3"/>
  <c r="E97" i="3"/>
  <c r="E104" i="3"/>
  <c r="K96" i="3"/>
  <c r="C95" i="3" s="1"/>
  <c r="E96" i="3"/>
  <c r="K95" i="3"/>
  <c r="C94" i="3" s="1"/>
  <c r="E103" i="3"/>
  <c r="K94" i="3"/>
  <c r="E102" i="3"/>
  <c r="E101" i="3"/>
  <c r="E100" i="3"/>
  <c r="K93" i="3"/>
  <c r="E99" i="3"/>
  <c r="E98" i="3"/>
  <c r="E88" i="3"/>
  <c r="K80" i="3"/>
  <c r="E80" i="3"/>
  <c r="K79" i="3"/>
  <c r="C78" i="3" s="1"/>
  <c r="E87" i="3"/>
  <c r="K78" i="3"/>
  <c r="E86" i="3"/>
  <c r="E85" i="3"/>
  <c r="E84" i="3"/>
  <c r="K77" i="3"/>
  <c r="E82" i="3"/>
  <c r="E81" i="3"/>
  <c r="E83" i="3"/>
  <c r="E89" i="3"/>
  <c r="F62" i="3" l="1"/>
  <c r="J59" i="3" s="1"/>
  <c r="H62" i="3" s="1"/>
  <c r="K81" i="3"/>
  <c r="K86" i="3" s="1"/>
  <c r="K97" i="3"/>
  <c r="K102" i="3" s="1"/>
  <c r="E94" i="3"/>
  <c r="E78" i="3"/>
  <c r="K82" i="3" l="1"/>
  <c r="K98" i="3"/>
  <c r="K99" i="3" s="1"/>
  <c r="K100" i="3" s="1"/>
  <c r="K83" i="3" l="1"/>
  <c r="K84" i="3" s="1"/>
  <c r="C79" i="3"/>
  <c r="K103" i="3"/>
  <c r="I4" i="3"/>
  <c r="K3" i="4"/>
  <c r="I237" i="4"/>
  <c r="I238" i="4"/>
  <c r="I239" i="4"/>
  <c r="I240" i="4"/>
  <c r="I241" i="4"/>
  <c r="I242" i="4"/>
  <c r="I118"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43" i="4"/>
  <c r="I244" i="4"/>
  <c r="I245" i="4"/>
  <c r="I246" i="4"/>
  <c r="I247" i="4"/>
  <c r="I248" i="4"/>
  <c r="I3" i="4"/>
  <c r="K87" i="3" l="1"/>
  <c r="E79" i="3"/>
  <c r="F78" i="3"/>
  <c r="J75" i="3" s="1"/>
  <c r="H78" i="3" s="1"/>
  <c r="E95" i="3"/>
  <c r="F94" i="3"/>
  <c r="F196" i="3"/>
  <c r="XFD138" i="4"/>
  <c r="F162" i="3"/>
  <c r="H106" i="3" l="1"/>
  <c r="J91" i="3"/>
  <c r="H94" i="3" s="1"/>
  <c r="J162" i="3"/>
  <c r="E292" i="3" l="1"/>
  <c r="H119" i="3" l="1"/>
  <c r="H118" i="3"/>
  <c r="F285" i="3"/>
  <c r="F258" i="3"/>
  <c r="F257" i="3"/>
  <c r="F286" i="3"/>
  <c r="F284" i="3"/>
  <c r="F279" i="3"/>
  <c r="F278" i="3"/>
  <c r="F277" i="3"/>
  <c r="F272" i="3"/>
  <c r="F271" i="3"/>
  <c r="F267" i="3"/>
  <c r="F265" i="3"/>
  <c r="F264" i="3"/>
  <c r="F263" i="3"/>
  <c r="F262" i="3"/>
  <c r="F260" i="3"/>
  <c r="F253" i="3"/>
  <c r="F251" i="3"/>
  <c r="F250" i="3"/>
  <c r="F249" i="3"/>
  <c r="F248" i="3"/>
  <c r="F247" i="3"/>
  <c r="F246" i="3"/>
  <c r="F244" i="3"/>
  <c r="F243" i="3"/>
  <c r="F241" i="3"/>
  <c r="F240" i="3"/>
  <c r="F239" i="3"/>
  <c r="F236" i="3"/>
  <c r="H286" i="3" l="1"/>
  <c r="H285" i="3"/>
  <c r="H284" i="3"/>
  <c r="H283" i="3"/>
  <c r="H282" i="3"/>
  <c r="H281" i="3"/>
  <c r="H279" i="3"/>
  <c r="I279" i="3" s="1"/>
  <c r="H278" i="3"/>
  <c r="H277" i="3"/>
  <c r="H276" i="3"/>
  <c r="H275" i="3"/>
  <c r="H274" i="3"/>
  <c r="H267" i="3"/>
  <c r="H272" i="3"/>
  <c r="I272" i="3" s="1"/>
  <c r="H271" i="3"/>
  <c r="H270" i="3"/>
  <c r="H269" i="3"/>
  <c r="F270" i="3"/>
  <c r="F269" i="3"/>
  <c r="H258" i="3"/>
  <c r="I258" i="3" s="1"/>
  <c r="H257" i="3"/>
  <c r="H256" i="3"/>
  <c r="H255" i="3"/>
  <c r="F256" i="3"/>
  <c r="F255" i="3"/>
  <c r="H253" i="3"/>
  <c r="H260" i="3"/>
  <c r="H265" i="3"/>
  <c r="I265" i="3" s="1"/>
  <c r="H264" i="3"/>
  <c r="H263" i="3"/>
  <c r="H262" i="3"/>
  <c r="H251" i="3"/>
  <c r="I251" i="3" s="1"/>
  <c r="H250" i="3"/>
  <c r="H249" i="3"/>
  <c r="H248" i="3"/>
  <c r="H247" i="3"/>
  <c r="H246" i="3"/>
  <c r="F283" i="3"/>
  <c r="F282" i="3"/>
  <c r="F281" i="3"/>
  <c r="F276" i="3"/>
  <c r="F275" i="3"/>
  <c r="F274" i="3"/>
  <c r="J286" i="3"/>
  <c r="I286" i="3"/>
  <c r="J279" i="3"/>
  <c r="J252" i="3"/>
  <c r="H244" i="3"/>
  <c r="I244" i="3" s="1"/>
  <c r="H243" i="3"/>
  <c r="F242" i="3"/>
  <c r="F232" i="3"/>
  <c r="F237" i="3"/>
  <c r="H242" i="3"/>
  <c r="H241" i="3"/>
  <c r="H237" i="3"/>
  <c r="H236" i="3"/>
  <c r="I236" i="3" s="1"/>
  <c r="H232" i="3"/>
  <c r="J282" i="3"/>
  <c r="C281" i="3"/>
  <c r="C282" i="3" s="1"/>
  <c r="C283" i="3" s="1"/>
  <c r="C284" i="3" s="1"/>
  <c r="C285" i="3" s="1"/>
  <c r="C286" i="3" s="1"/>
  <c r="A281" i="3"/>
  <c r="J275" i="3"/>
  <c r="C274" i="3"/>
  <c r="C275" i="3" s="1"/>
  <c r="C276" i="3" s="1"/>
  <c r="C277" i="3" s="1"/>
  <c r="C278" i="3" s="1"/>
  <c r="C279" i="3" s="1"/>
  <c r="A274" i="3"/>
  <c r="J268" i="3"/>
  <c r="C267" i="3"/>
  <c r="C268" i="3" s="1"/>
  <c r="C269" i="3" s="1"/>
  <c r="C270" i="3" s="1"/>
  <c r="C271" i="3" s="1"/>
  <c r="C272" i="3" s="1"/>
  <c r="A267" i="3"/>
  <c r="V261" i="3"/>
  <c r="U261" i="3"/>
  <c r="A260" i="3"/>
  <c r="J254" i="3"/>
  <c r="C253" i="3"/>
  <c r="C254" i="3" s="1"/>
  <c r="C255" i="3" s="1"/>
  <c r="C256" i="3" s="1"/>
  <c r="C257" i="3" s="1"/>
  <c r="C258" i="3" s="1"/>
  <c r="A253" i="3"/>
  <c r="A246" i="3"/>
  <c r="H240" i="3"/>
  <c r="I240" i="3" s="1"/>
  <c r="H239" i="3"/>
  <c r="A239" i="3"/>
  <c r="J235" i="3"/>
  <c r="C234" i="3"/>
  <c r="C235" i="3" s="1"/>
  <c r="C236" i="3" s="1"/>
  <c r="C237" i="3" s="1"/>
  <c r="A234" i="3"/>
  <c r="J230" i="3"/>
  <c r="C229" i="3"/>
  <c r="C230" i="3" s="1"/>
  <c r="C231" i="3" s="1"/>
  <c r="C232" i="3" s="1"/>
  <c r="A229" i="3"/>
  <c r="F211" i="3"/>
  <c r="H212" i="3"/>
  <c r="H211" i="3"/>
  <c r="H210" i="3"/>
  <c r="F212" i="3"/>
  <c r="F210" i="3"/>
  <c r="F208" i="3"/>
  <c r="F198" i="3"/>
  <c r="F200" i="3"/>
  <c r="F199" i="3"/>
  <c r="H200" i="3"/>
  <c r="H199" i="3"/>
  <c r="H198" i="3"/>
  <c r="H206" i="3"/>
  <c r="H205" i="3"/>
  <c r="F204" i="3"/>
  <c r="H204" i="3"/>
  <c r="F202" i="3"/>
  <c r="H202" i="3"/>
  <c r="F206" i="3"/>
  <c r="F205" i="3"/>
  <c r="W203" i="3"/>
  <c r="V203" i="3"/>
  <c r="F224" i="3"/>
  <c r="H224" i="3"/>
  <c r="H223" i="3"/>
  <c r="F223" i="3"/>
  <c r="H222" i="3"/>
  <c r="F222" i="3"/>
  <c r="F221" i="3"/>
  <c r="H221" i="3"/>
  <c r="H220" i="3"/>
  <c r="F220" i="3"/>
  <c r="F218" i="3"/>
  <c r="F217" i="3"/>
  <c r="H218" i="3"/>
  <c r="H217" i="3"/>
  <c r="H216" i="3"/>
  <c r="F216" i="3"/>
  <c r="F215" i="3"/>
  <c r="F214" i="3"/>
  <c r="H215" i="3"/>
  <c r="H214" i="3"/>
  <c r="F183" i="3"/>
  <c r="F182" i="3"/>
  <c r="H183" i="3"/>
  <c r="H182" i="3"/>
  <c r="H181" i="3"/>
  <c r="F181" i="3"/>
  <c r="F180" i="3"/>
  <c r="H180" i="3"/>
  <c r="F179" i="3"/>
  <c r="H179" i="3"/>
  <c r="F177" i="3"/>
  <c r="F176" i="3"/>
  <c r="H177" i="3"/>
  <c r="H176" i="3"/>
  <c r="H175" i="3"/>
  <c r="F175" i="3"/>
  <c r="F174" i="3"/>
  <c r="H174" i="3"/>
  <c r="H173" i="3"/>
  <c r="F173" i="3"/>
  <c r="J221" i="3"/>
  <c r="C220" i="3"/>
  <c r="C221" i="3" s="1"/>
  <c r="C222" i="3" s="1"/>
  <c r="C223" i="3" s="1"/>
  <c r="C224" i="3" s="1"/>
  <c r="A220" i="3"/>
  <c r="J215" i="3"/>
  <c r="C214" i="3"/>
  <c r="C215" i="3" s="1"/>
  <c r="C216" i="3" s="1"/>
  <c r="C217" i="3" s="1"/>
  <c r="C218" i="3" s="1"/>
  <c r="A214" i="3"/>
  <c r="A179" i="3"/>
  <c r="J209" i="3"/>
  <c r="H208" i="3"/>
  <c r="C208" i="3"/>
  <c r="C209" i="3" s="1"/>
  <c r="C210" i="3" s="1"/>
  <c r="C211" i="3" s="1"/>
  <c r="C212" i="3" s="1"/>
  <c r="A208" i="3"/>
  <c r="J197" i="3"/>
  <c r="H196" i="3"/>
  <c r="C196" i="3"/>
  <c r="C197" i="3" s="1"/>
  <c r="C198" i="3" s="1"/>
  <c r="C199" i="3" s="1"/>
  <c r="C200" i="3" s="1"/>
  <c r="A196" i="3"/>
  <c r="H167" i="3"/>
  <c r="F167" i="3"/>
  <c r="H170" i="3"/>
  <c r="H169" i="3"/>
  <c r="F169" i="3"/>
  <c r="F163" i="3"/>
  <c r="F170" i="3"/>
  <c r="K171" i="3" s="1"/>
  <c r="H164" i="3"/>
  <c r="F164" i="3"/>
  <c r="H163" i="3"/>
  <c r="H168" i="3"/>
  <c r="F168" i="3"/>
  <c r="C167" i="3"/>
  <c r="C168" i="3" s="1"/>
  <c r="C169" i="3" s="1"/>
  <c r="C170" i="3" s="1"/>
  <c r="C171" i="3" s="1"/>
  <c r="A167" i="3"/>
  <c r="H162" i="3"/>
  <c r="V260" i="3"/>
  <c r="V179" i="3"/>
  <c r="V246" i="3"/>
  <c r="U260" i="3"/>
  <c r="W239" i="3"/>
  <c r="V239" i="3"/>
  <c r="U246" i="3"/>
  <c r="W179" i="3"/>
  <c r="K166" i="3" l="1"/>
  <c r="K165" i="3"/>
  <c r="I183" i="3"/>
  <c r="I170" i="3"/>
  <c r="I214" i="3"/>
  <c r="I237" i="3"/>
  <c r="I218" i="3"/>
  <c r="I180" i="3"/>
  <c r="K164" i="3"/>
  <c r="F124" i="3"/>
  <c r="I232" i="3"/>
  <c r="I242" i="3"/>
  <c r="I211" i="3"/>
  <c r="J182" i="3"/>
  <c r="I212" i="3"/>
  <c r="H124" i="3"/>
  <c r="H126" i="3" s="1"/>
  <c r="I200" i="3"/>
  <c r="F125" i="3"/>
  <c r="H125" i="3"/>
  <c r="I196" i="3"/>
  <c r="I181" i="3"/>
  <c r="I215" i="3"/>
  <c r="I216" i="3"/>
  <c r="I222" i="3"/>
  <c r="U203" i="3"/>
  <c r="I256" i="3"/>
  <c r="I257" i="3"/>
  <c r="T261" i="3"/>
  <c r="I263" i="3"/>
  <c r="I264" i="3"/>
  <c r="I267" i="3"/>
  <c r="I275" i="3"/>
  <c r="I179" i="3"/>
  <c r="I182" i="3"/>
  <c r="I223" i="3"/>
  <c r="I224" i="3"/>
  <c r="I247" i="3"/>
  <c r="I249" i="3"/>
  <c r="I253" i="3"/>
  <c r="I260" i="3"/>
  <c r="I270" i="3"/>
  <c r="I271" i="3"/>
  <c r="I274" i="3"/>
  <c r="I276" i="3"/>
  <c r="I277" i="3"/>
  <c r="I281" i="3"/>
  <c r="I284" i="3"/>
  <c r="I285" i="3"/>
  <c r="W240" i="3"/>
  <c r="W241" i="3" s="1"/>
  <c r="W242" i="3" s="1"/>
  <c r="W243" i="3" s="1"/>
  <c r="W244" i="3" s="1"/>
  <c r="V247" i="3"/>
  <c r="V248" i="3" s="1"/>
  <c r="V249" i="3" s="1"/>
  <c r="W250" i="3" s="1"/>
  <c r="W251" i="3" s="1"/>
  <c r="U262" i="3"/>
  <c r="T260" i="3"/>
  <c r="C260" i="3" s="1"/>
  <c r="V240" i="3"/>
  <c r="U239" i="3"/>
  <c r="U247" i="3"/>
  <c r="T246" i="3"/>
  <c r="V262" i="3"/>
  <c r="V263" i="3" s="1"/>
  <c r="I239" i="3"/>
  <c r="I241" i="3"/>
  <c r="I243" i="3"/>
  <c r="I246" i="3"/>
  <c r="I248" i="3"/>
  <c r="I250" i="3"/>
  <c r="I255" i="3"/>
  <c r="I262" i="3"/>
  <c r="I269" i="3"/>
  <c r="I278" i="3"/>
  <c r="I282" i="3"/>
  <c r="I283" i="3"/>
  <c r="I210" i="3"/>
  <c r="I169" i="3"/>
  <c r="I220" i="3"/>
  <c r="I221" i="3"/>
  <c r="I167" i="3"/>
  <c r="J168" i="3" s="1"/>
  <c r="I217" i="3"/>
  <c r="U179" i="3"/>
  <c r="V180" i="3"/>
  <c r="W180" i="3"/>
  <c r="W181" i="3" s="1"/>
  <c r="W182" i="3" s="1"/>
  <c r="W183" i="3" s="1"/>
  <c r="I168" i="3"/>
  <c r="I198" i="3"/>
  <c r="I199" i="3"/>
  <c r="I208" i="3"/>
  <c r="F126" i="3" l="1"/>
  <c r="I125" i="3"/>
  <c r="W264" i="3"/>
  <c r="W265" i="3"/>
  <c r="U248" i="3"/>
  <c r="T247" i="3"/>
  <c r="V241" i="3"/>
  <c r="U240" i="3"/>
  <c r="T262" i="3"/>
  <c r="U263" i="3"/>
  <c r="V265" i="3" s="1"/>
  <c r="U180" i="3"/>
  <c r="V181" i="3"/>
  <c r="U265" i="3" l="1"/>
  <c r="V264" i="3"/>
  <c r="U264" i="3" s="1"/>
  <c r="T263" i="3"/>
  <c r="V242" i="3"/>
  <c r="U241" i="3"/>
  <c r="U249" i="3"/>
  <c r="T248" i="3"/>
  <c r="U181" i="3"/>
  <c r="V182" i="3"/>
  <c r="V250" i="3" l="1"/>
  <c r="T249" i="3"/>
  <c r="V243" i="3"/>
  <c r="U242" i="3"/>
  <c r="U182" i="3"/>
  <c r="V183" i="3"/>
  <c r="U183" i="3" s="1"/>
  <c r="U250" i="3" l="1"/>
  <c r="V251" i="3"/>
  <c r="U251" i="3" s="1"/>
  <c r="U243" i="3"/>
  <c r="V244" i="3"/>
  <c r="U244" i="3" s="1"/>
  <c r="A202" i="3" l="1"/>
  <c r="A185" i="3"/>
  <c r="A186" i="3" s="1"/>
  <c r="A187" i="3" s="1"/>
  <c r="A188" i="3" s="1"/>
  <c r="A189" i="3" s="1"/>
  <c r="A190" i="3" s="1"/>
  <c r="A191" i="3" s="1"/>
  <c r="A192" i="3" s="1"/>
  <c r="A193" i="3" s="1"/>
  <c r="A194" i="3" s="1"/>
  <c r="A173" i="3"/>
  <c r="A161" i="3"/>
  <c r="C161" i="3"/>
  <c r="C162" i="3" s="1"/>
  <c r="C163" i="3" s="1"/>
  <c r="C164" i="3" s="1"/>
  <c r="C165" i="3" s="1"/>
  <c r="E291" i="3" l="1"/>
  <c r="E290" i="3"/>
  <c r="H120" i="3"/>
  <c r="I206" i="3" l="1"/>
  <c r="I205" i="3"/>
  <c r="I204" i="3"/>
  <c r="I202" i="3"/>
  <c r="I194" i="3"/>
  <c r="I193" i="3"/>
  <c r="I192" i="3"/>
  <c r="I191" i="3"/>
  <c r="I190" i="3"/>
  <c r="I189" i="3"/>
  <c r="I188" i="3"/>
  <c r="I187" i="3"/>
  <c r="I186" i="3"/>
  <c r="I185" i="3"/>
  <c r="I177" i="3"/>
  <c r="I176" i="3"/>
  <c r="I175" i="3"/>
  <c r="I174" i="3"/>
  <c r="I173" i="3"/>
  <c r="I162" i="3"/>
  <c r="I163" i="3"/>
  <c r="K163" i="3" s="1"/>
  <c r="I164" i="3"/>
  <c r="W173" i="3"/>
  <c r="V202" i="3"/>
  <c r="V173" i="3"/>
  <c r="W202" i="3"/>
  <c r="V185" i="3"/>
  <c r="W185" i="3"/>
  <c r="I124" i="3" l="1"/>
  <c r="I126" i="3" s="1"/>
  <c r="U202" i="3"/>
  <c r="V204" i="3"/>
  <c r="W204" i="3"/>
  <c r="W205" i="3" s="1"/>
  <c r="W206" i="3" s="1"/>
  <c r="U185" i="3"/>
  <c r="V186" i="3"/>
  <c r="W186" i="3"/>
  <c r="W187" i="3" s="1"/>
  <c r="W188" i="3" s="1"/>
  <c r="W189" i="3" s="1"/>
  <c r="W190" i="3" s="1"/>
  <c r="W191" i="3" s="1"/>
  <c r="W192" i="3" s="1"/>
  <c r="W193" i="3" s="1"/>
  <c r="W194" i="3" s="1"/>
  <c r="W174" i="3"/>
  <c r="W175" i="3" s="1"/>
  <c r="W176" i="3" s="1"/>
  <c r="W177" i="3" s="1"/>
  <c r="V174" i="3"/>
  <c r="U173" i="3"/>
  <c r="C202" i="3" l="1"/>
  <c r="C185" i="3"/>
  <c r="U204" i="3"/>
  <c r="V205" i="3"/>
  <c r="U205" i="3" s="1"/>
  <c r="U186" i="3"/>
  <c r="V187" i="3"/>
  <c r="U187" i="3" s="1"/>
  <c r="C187" i="3" s="1"/>
  <c r="V175" i="3"/>
  <c r="U174" i="3"/>
  <c r="C186" i="3" l="1"/>
  <c r="V206" i="3"/>
  <c r="U206" i="3" s="1"/>
  <c r="V188" i="3"/>
  <c r="U188" i="3" s="1"/>
  <c r="C188" i="3" s="1"/>
  <c r="V176" i="3"/>
  <c r="U175" i="3"/>
  <c r="V189" i="3" l="1"/>
  <c r="U189" i="3" s="1"/>
  <c r="C189" i="3" s="1"/>
  <c r="V177" i="3"/>
  <c r="U176" i="3"/>
  <c r="V190" i="3" l="1"/>
  <c r="U190" i="3" s="1"/>
  <c r="C190" i="3" s="1"/>
  <c r="U177" i="3"/>
  <c r="V191" i="3" l="1"/>
  <c r="U191" i="3" s="1"/>
  <c r="C191" i="3" s="1"/>
  <c r="V192" i="3" l="1"/>
  <c r="U192" i="3" s="1"/>
  <c r="C192" i="3" s="1"/>
  <c r="V193" i="3" l="1"/>
  <c r="U193" i="3" s="1"/>
  <c r="C193" i="3" s="1"/>
  <c r="V194" i="3" l="1"/>
  <c r="U194" i="3" l="1"/>
  <c r="C194" i="3" l="1"/>
</calcChain>
</file>

<file path=xl/sharedStrings.xml><?xml version="1.0" encoding="utf-8"?>
<sst xmlns="http://schemas.openxmlformats.org/spreadsheetml/2006/main" count="664" uniqueCount="319">
  <si>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</si>
  <si>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</si>
  <si>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</si>
  <si>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</si>
  <si>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</si>
  <si>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</si>
  <si>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</si>
  <si>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</si>
  <si>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</si>
  <si>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</si>
  <si>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</si>
  <si>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</si>
  <si>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</si>
  <si>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</si>
  <si>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</si>
  <si>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</si>
  <si>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</si>
  <si>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</si>
  <si>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</si>
  <si>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</si>
  <si>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</si>
  <si>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</si>
  <si>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</si>
  <si>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</si>
  <si>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</si>
  <si>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</si>
  <si>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</si>
  <si>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</si>
  <si>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</si>
  <si>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</si>
  <si>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</si>
  <si>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</si>
  <si>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</si>
  <si>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</si>
  <si>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</si>
  <si>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</si>
  <si>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</si>
  <si>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</si>
  <si>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</si>
  <si>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</si>
  <si>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</si>
  <si>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</si>
  <si>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</si>
  <si>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</si>
  <si>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</si>
  <si>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</si>
  <si>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</si>
  <si>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</si>
  <si>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</si>
  <si>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</si>
  <si>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</si>
  <si>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</si>
  <si>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</si>
  <si>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</si>
  <si>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</si>
  <si>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</si>
  <si>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</si>
  <si>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</si>
  <si>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</si>
  <si>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</si>
  <si>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</si>
  <si>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</si>
  <si>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</si>
  <si>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</si>
  <si>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</si>
  <si>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</si>
  <si>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</si>
  <si>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</si>
  <si>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</si>
  <si>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</si>
  <si>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</si>
  <si>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</si>
  <si>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</si>
  <si>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</si>
  <si>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</si>
  <si>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</si>
  <si>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</si>
  <si>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</si>
  <si>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</si>
  <si>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</si>
  <si>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</si>
  <si>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</si>
  <si>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</si>
  <si>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</si>
  <si>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</si>
  <si>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</si>
  <si>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</si>
  <si>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</si>
  <si>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</si>
  <si>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</si>
  <si>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</si>
  <si>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</si>
  <si>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</si>
  <si>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</si>
  <si>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</si>
  <si>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</si>
  <si>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</si>
  <si>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</si>
  <si>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</si>
  <si>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</si>
  <si>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</si>
  <si>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</si>
  <si>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</si>
  <si>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</si>
  <si>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</si>
  <si>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</si>
  <si>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</si>
  <si>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</si>
  <si>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</si>
  <si>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</si>
  <si>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</si>
  <si>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</si>
  <si>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</si>
  <si>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</si>
  <si>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</si>
  <si>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</si>
  <si>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</si>
  <si>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</si>
  <si>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</si>
  <si>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</si>
  <si>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</si>
  <si>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</si>
  <si>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</si>
  <si>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</si>
  <si>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</si>
  <si>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</si>
  <si>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</si>
  <si>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</si>
  <si>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Approved Layout &amp; Floor Plans, CC, RERA certificate</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</si>
  <si>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</si>
  <si>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</si>
  <si>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</si>
  <si>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</si>
  <si>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</si>
  <si>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</si>
  <si>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</si>
  <si>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</si>
  <si>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</si>
  <si>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</si>
  <si>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</si>
  <si>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</si>
  <si>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</si>
  <si>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</si>
  <si>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</si>
  <si>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</si>
  <si>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</si>
  <si>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</si>
  <si>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</si>
  <si>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</si>
  <si>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</si>
  <si>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</si>
  <si>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</si>
  <si>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</si>
  <si>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</si>
  <si>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</si>
  <si>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</si>
  <si>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</si>
  <si>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</si>
  <si>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1st Floor</t>
  </si>
  <si>
    <t>2nd to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</si>
  <si>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</si>
  <si>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</si>
  <si>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</si>
  <si>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</si>
  <si>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</si>
  <si>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</si>
  <si>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</si>
  <si>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</si>
  <si>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</si>
  <si>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</si>
  <si>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</si>
  <si>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</si>
  <si>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</si>
  <si>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</si>
  <si>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</si>
  <si>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Tower 2</t>
  </si>
  <si>
    <t>No. of Floors Planned/Proposed</t>
  </si>
  <si>
    <t>Project Address</t>
  </si>
  <si>
    <t>Width of the Road</t>
  </si>
  <si>
    <t>Details of Flats in Building</t>
  </si>
  <si>
    <t>Total Saleable Area</t>
  </si>
  <si>
    <t>Total Carpet Area</t>
  </si>
  <si>
    <t>No. of Unit</t>
  </si>
  <si>
    <t>Building &amp; Wing</t>
  </si>
  <si>
    <t>Sale / Rehab</t>
  </si>
  <si>
    <t>Flats/ Shops/ Offices</t>
  </si>
  <si>
    <t>Total</t>
  </si>
  <si>
    <t>Godrej Properties</t>
  </si>
  <si>
    <t>Godrej Bayview Vashi</t>
  </si>
  <si>
    <t>Suncity Infrastructures (Mumbai) LLP</t>
  </si>
  <si>
    <t>Unit No. 5C, 5th Floor, Godrej One, Pirojshanagar, Vikhroli East.</t>
  </si>
  <si>
    <t>Tower 1 (Rehab)</t>
  </si>
  <si>
    <t>Rehab</t>
  </si>
  <si>
    <t>Tower 1 (Incentive)</t>
  </si>
  <si>
    <t>Tower 2 (Incentive)</t>
  </si>
  <si>
    <t>Tower 3 (Incentive)</t>
  </si>
  <si>
    <t>Middle</t>
  </si>
  <si>
    <t>Fire NOC Details</t>
  </si>
  <si>
    <t>G + 1st to 24th floor</t>
  </si>
  <si>
    <t>Stilt + 1st to 26th floor</t>
  </si>
  <si>
    <t xml:space="preserve">Axis
IFSC Code: UTIB0000004
</t>
  </si>
  <si>
    <t>Navi Mumbai Municipal Corporation (NMMC)</t>
  </si>
  <si>
    <t>Rishab Chs</t>
  </si>
  <si>
    <t>Road</t>
  </si>
  <si>
    <t>Rehab Tower 2</t>
  </si>
  <si>
    <t>Ground For Parking</t>
  </si>
  <si>
    <t>2BHK</t>
  </si>
  <si>
    <t>3BHK</t>
  </si>
  <si>
    <t>Void</t>
  </si>
  <si>
    <t>2nd Floor</t>
  </si>
  <si>
    <t xml:space="preserve"> 4th, 6th, 8th, 10th, 14th, 16th, 18th &amp; 20th Floor</t>
  </si>
  <si>
    <t>3rd, 5th, 9th, 11th, 13th, 15th, 19th &amp; 21st Floor</t>
  </si>
  <si>
    <t>23rd Floor</t>
  </si>
  <si>
    <t>24th Floor</t>
  </si>
  <si>
    <t>702 &amp; 1702</t>
  </si>
  <si>
    <t>703 &amp; 1703</t>
  </si>
  <si>
    <t>704 &amp; 1704</t>
  </si>
  <si>
    <t>705 &amp; 1705</t>
  </si>
  <si>
    <t>Refuge Area</t>
  </si>
  <si>
    <t>7th &amp; 17th Floor (Part Refuge Area)</t>
  </si>
  <si>
    <t>12th Floor (Part Refuge Area)</t>
  </si>
  <si>
    <t>22nd Floor  (Part Refuge Area)</t>
  </si>
  <si>
    <t>Fitness Center</t>
  </si>
  <si>
    <t>Double Height</t>
  </si>
  <si>
    <t>Flats</t>
  </si>
  <si>
    <t xml:space="preserve">Residential </t>
  </si>
  <si>
    <t>1.6 KM from Vashi Railway Station
2.8 KM from Sanpada Railway Station</t>
  </si>
  <si>
    <t>Godrej Bayview Vashi, Plot 18 &amp; Plot 3, Sector 9, Road.Dayanshwar Marg, Near. Air India Maharaja CHS,Village.Vashi, Thane, Thane, 400703.</t>
  </si>
  <si>
    <t>700 M from Vashi Bus Depot</t>
  </si>
  <si>
    <t xml:space="preserve">About 800M from St. Mary’s Multipurpose High School And Junior College
</t>
  </si>
  <si>
    <t>About 1.6KM form Fortis Hiranandani Hospital</t>
  </si>
  <si>
    <t>1. Approx. 1.6 KM from APMC Market.
2. Approx. 1.8 KM from D mart.</t>
  </si>
  <si>
    <t>Juhu Chowpatty Marg, Vashi</t>
  </si>
  <si>
    <t>Air India Maharaja CHS</t>
  </si>
  <si>
    <t>JN2-58/B, Building</t>
  </si>
  <si>
    <t>Dayanshwar Marg</t>
  </si>
  <si>
    <t>Shop = NA</t>
  </si>
  <si>
    <t>FIRE/HO/VASHI/163/2021
Date:08/01/2021</t>
  </si>
  <si>
    <t>401, …, 2001</t>
  </si>
  <si>
    <t>402, …, 2002</t>
  </si>
  <si>
    <t>403, …, 2003</t>
  </si>
  <si>
    <t>404, …, 2004</t>
  </si>
  <si>
    <t>405, …, 2005</t>
  </si>
  <si>
    <t>301, …, 2101</t>
  </si>
  <si>
    <t>302, …, 2102</t>
  </si>
  <si>
    <t>303, …, 2103</t>
  </si>
  <si>
    <t>304, …, 2104</t>
  </si>
  <si>
    <t>305, …, 2105</t>
  </si>
  <si>
    <t>2nd Floor (E Deck Floor)</t>
  </si>
  <si>
    <t>406, …, 2006</t>
  </si>
  <si>
    <t>306, …, 2106</t>
  </si>
  <si>
    <t>CA</t>
  </si>
  <si>
    <t>TER</t>
  </si>
  <si>
    <t>SA</t>
  </si>
  <si>
    <t>Tower 3</t>
  </si>
  <si>
    <t>10,00,000/-</t>
  </si>
  <si>
    <t>Date of Site Visit</t>
  </si>
  <si>
    <t>Tower 3(Incentive) = 4B + G + 1st to 24th floor</t>
  </si>
  <si>
    <t>External Plaster</t>
  </si>
  <si>
    <t>External Plumbing, Elevation and Waterproofing</t>
  </si>
  <si>
    <t>Wooden Work</t>
  </si>
  <si>
    <t>Electrical &amp; Sanitary fittings</t>
  </si>
  <si>
    <t>Table Updated 16/11/2024.</t>
  </si>
  <si>
    <t>Godrej Bayview = P51700031726 (Tower 2 &amp; 3)
Seabreeze at Godrej Bayview = P51700079255 (Tower 1)</t>
  </si>
  <si>
    <t>Godrej Bayview = 31/12/2027
Seabreeze at Godrej Bayview = 31/12/2030</t>
  </si>
  <si>
    <t>Tower 2 &amp; 3 = 04/06/2021
Tower 1 = 24/02/2025</t>
  </si>
  <si>
    <t>Tower 2 &amp; 3 = 244
Tower 1 = 119</t>
  </si>
  <si>
    <t>Flats =  363</t>
  </si>
  <si>
    <t>Latitude, Longitude</t>
  </si>
  <si>
    <t>Landmark</t>
  </si>
  <si>
    <t>Location Link</t>
  </si>
  <si>
    <t>19.077923,72.996174</t>
  </si>
  <si>
    <t>https://maps.app.goo.gl/6WnG9iidG6hoGFAg9</t>
  </si>
  <si>
    <t>Swimming Pool, Sun Deck, Multipurpose Hall, Indoor Games, Jogging Track, Landscape Garden, Decorative Entrance Lobby, Etc.</t>
  </si>
  <si>
    <t>12M</t>
  </si>
  <si>
    <t>Tower 2 (Incentive) = 4B + G + 1st to 24th floor</t>
  </si>
  <si>
    <t>4B + G + 1st to 24th Floor</t>
  </si>
  <si>
    <t>4B + G + 1st to 25th Floor</t>
  </si>
  <si>
    <t>NMMCC/RB/2025/APL/00086
Date: 20/01/2025</t>
  </si>
  <si>
    <t xml:space="preserve">NMMC/TPO/BP/Case No.20201CNMMC17104/1858/2021
Date: :04/06/2021
Tower 2 &amp; 3 (Incentive) = 4B + G +1st to 24th floor
Tower 1 (Rehab) = G + 1st to 24th floor
Tower 2 (Rehab) = Stilt + 1st to 26th floor
Tower 1 (Incentive) = 4B + G + 1st to 5th floor
</t>
  </si>
  <si>
    <t>NMMCC/RB/2025/APL/00086
Date: 20/01/2025
Tower 1 (Incentive) = 4B + G + 1st to 25th floor</t>
  </si>
  <si>
    <t>Tower 1 (Incentive) = 4B + G + 1st to 25th floor</t>
  </si>
  <si>
    <t>301, …, 2501</t>
  </si>
  <si>
    <t>302, …, 2502</t>
  </si>
  <si>
    <t>303, …, 2503</t>
  </si>
  <si>
    <t>304, …, 2504</t>
  </si>
  <si>
    <t>305, …, 2505</t>
  </si>
  <si>
    <t>701, …, 2201</t>
  </si>
  <si>
    <t>702, …, 2202</t>
  </si>
  <si>
    <t>703, …, 2203</t>
  </si>
  <si>
    <t>704, …, 2204</t>
  </si>
  <si>
    <t>705, …, 2205</t>
  </si>
  <si>
    <t>7th, 12th, 17th &amp; 22nd Floor (Part Refuge Area)</t>
  </si>
  <si>
    <t>NA</t>
  </si>
  <si>
    <t>36000 to 37000</t>
  </si>
  <si>
    <t>On Carpet area</t>
  </si>
  <si>
    <t>Rate of Flat Per Sq. Ft. 
(On Carpet area)</t>
  </si>
  <si>
    <t>1st Floor For Residential</t>
  </si>
  <si>
    <t>Ground Floor For Entrance Lobby, Kids Play Area &amp;  Parking</t>
  </si>
  <si>
    <t>1st to 4th Basement Floor For Parking</t>
  </si>
  <si>
    <t>Flats = 363</t>
  </si>
  <si>
    <t>Floor Rise Per Sq.Ft.
(On Carpet area)</t>
  </si>
  <si>
    <t>2nd Floor (Part Library &amp; Entry to E-Deck Floor)</t>
  </si>
  <si>
    <t>Library &amp; Entry to E-Deck Floor</t>
  </si>
  <si>
    <t>3rd to 6th, 8th to 11th, 13th to 16th, 18th to 21st &amp; 23rd to 25th Floor</t>
  </si>
  <si>
    <t>Layout</t>
  </si>
  <si>
    <t>Proposed Redevelopment Project, Plot 3 &amp; 18 [S. Nos. :138 (part), 111 (part), 126 (part), 137 (part), 89 (part), 50 (part), 135 (part),Plot 3 (S.Nos. 114 (part), 113 (part), 115 (part), 42 (part), 111 (part), 131 (part), 137 (part), 110(part)], Sector 9, Village.Vashi, Thane, Thane, Navi Mumbai .</t>
  </si>
  <si>
    <t>Airport NOC Details</t>
  </si>
  <si>
    <t>NAVI/WEST/B/081419/421656
Date 26/08/2019
Valid Upto : 
Site Elevation (AMSL) =4.85M
Permissible Top Elevation (AMSL) = 88.39M
Valid Upto Date : 25/08/2027</t>
  </si>
  <si>
    <t>SEIAA-EC-0000002153
Date:02/3/2020
Valid For : 
Plot Area : 18272.71 Sqm
Total Builtup Area : 133784 Sqm</t>
  </si>
  <si>
    <t xml:space="preserve">FIRE/HO/VASHI/163/2021
Date:08/01/2021
Valid Upto :
Tower 1 (Incentive) = 4B + G + 1st to 5th floor (Height = 19.95 Mtrs)
Tower 2 (Incentive) = 4B + G + 1st to 24th floor (Height = 76.95 Mtrs)
</t>
  </si>
  <si>
    <t>Vivek C.H.S.</t>
  </si>
  <si>
    <t>Mr. Alok Singh 8928666801</t>
  </si>
  <si>
    <t>Creche</t>
  </si>
  <si>
    <t>As per site visit dated 29/04/2025
We have observed that tower 1 &amp; 2 Basement &amp; tower 3 excavation work in process
(Extra Work given for Tower 3)</t>
  </si>
  <si>
    <t>07/07/2025 @01:51PM</t>
  </si>
  <si>
    <t>Mr Suraj Khare</t>
  </si>
  <si>
    <r>
      <t xml:space="preserve">1. Since internal visit were not permitted, we were unable to determine building progress from an external visit; so, we are maintaining the same progress as in the previous report.
2. We considered Carpet area as per Approved Plan.
3. We considered Gross carpet area = Net carpet + CB Area + FB Area.
4. We have considered rate by verifying it from market inquire.
5. Car parking is subjected to authentic documentation.
6. We have updated Approved plans for Tower 1 to 3 &amp; CC for Tower 1 (on 05/03/2025).
7. On Site, we meet Mr.Amit (Sales) - 8976509102.
7. </t>
    </r>
    <r>
      <rPr>
        <sz val="16"/>
        <color rgb="FFFF0000"/>
        <rFont val="Times New Roman"/>
        <family val="1"/>
      </rPr>
      <t>On Site, we meet Mr........(........).</t>
    </r>
    <r>
      <rPr>
        <sz val="16"/>
        <rFont val="Times New Roman"/>
        <family val="1"/>
      </rPr>
      <t xml:space="preserve">
</t>
    </r>
  </si>
  <si>
    <t>Mr. Tushar Mohite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</si>
</sst>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u/>
      <sz val="11"/>
      <color theme="10"/>
      <name val="Calibri"/>
      <family val="2"/>
    </font>
    <font>
      <u/>
      <sz val="14"/>
      <color theme="10"/>
      <name val="Calibri"/>
      <family val="2"/>
    </font>
    <font>
      <sz val="14"/>
      <name val="Times New Roman"/>
      <family val="1"/>
    </font>
    <font>
      <b/>
      <sz val="16"/>
      <color rgb="FFFF0000"/>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2" fillId="0" borderId="0" applyNumberFormat="0" applyFill="0" applyBorder="0" applyAlignment="0" applyProtection="0"/>
  </cellStyleXfs>
  <cellXfs count="181">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8" xfId="0" applyFont="1" applyBorder="1" applyProtection="1">
      <protection hidden="1"/>
    </xf>
    <xf numFmtId="0" fontId="7" fillId="0" borderId="0" xfId="1" applyFont="1" applyAlignment="1">
      <alignment horizontal="center" vertical="center"/>
    </xf>
    <xf numFmtId="0" fontId="10" fillId="0" borderId="17" xfId="0" applyFont="1" applyBorder="1" applyProtection="1">
      <protection hidden="1"/>
    </xf>
    <xf numFmtId="1" fontId="11" fillId="0" borderId="17" xfId="0" applyNumberFormat="1" applyFont="1" applyBorder="1"/>
    <xf numFmtId="1" fontId="11" fillId="0" borderId="17" xfId="0" applyNumberFormat="1" applyFont="1" applyBorder="1" applyAlignment="1">
      <alignment horizontal="right"/>
    </xf>
    <xf numFmtId="1" fontId="11"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6" fillId="4" borderId="5" xfId="1" applyNumberFormat="1" applyFont="1" applyFill="1" applyBorder="1" applyAlignment="1">
      <alignment horizontal="center" vertical="center" wrapText="1"/>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3" fillId="0" borderId="2" xfId="0" applyFont="1" applyBorder="1" applyAlignment="1">
      <alignment vertical="top" wrapText="1"/>
    </xf>
    <xf numFmtId="0" fontId="2" fillId="0" borderId="0" xfId="0" applyFont="1" applyAlignment="1">
      <alignment vertical="top" wrapText="1"/>
    </xf>
    <xf numFmtId="0" fontId="0" fillId="0" borderId="0" xfId="0" applyAlignment="1">
      <alignment horizontal="center"/>
    </xf>
    <xf numFmtId="1" fontId="0" fillId="0" borderId="0" xfId="0" applyNumberFormat="1"/>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4" fontId="4" fillId="4" borderId="1" xfId="0" applyNumberFormat="1" applyFont="1" applyFill="1" applyBorder="1" applyAlignment="1">
      <alignment horizontal="left" vertical="top" wrapText="1"/>
    </xf>
    <xf numFmtId="0" fontId="9" fillId="0" borderId="0" xfId="0" applyFont="1" applyAlignment="1">
      <alignment vertical="top"/>
    </xf>
    <xf numFmtId="0" fontId="3" fillId="0" borderId="0" xfId="0" applyFont="1" applyAlignment="1">
      <alignment vertical="top"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22" fontId="15" fillId="0" borderId="12" xfId="0" applyNumberFormat="1" applyFont="1" applyBorder="1" applyAlignment="1">
      <alignment horizontal="center" vertical="top" wrapText="1"/>
    </xf>
    <xf numFmtId="22" fontId="15" fillId="0" borderId="0" xfId="0" applyNumberFormat="1" applyFont="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1" xfId="0" applyFont="1" applyBorder="1" applyAlignment="1">
      <alignment horizontal="left" vertical="top" wrapText="1"/>
    </xf>
    <xf numFmtId="0" fontId="4" fillId="4" borderId="3" xfId="0" applyFont="1" applyFill="1" applyBorder="1" applyAlignment="1">
      <alignment horizontal="lef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3" fillId="4" borderId="1"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0" xfId="1" applyNumberFormat="1" applyFont="1" applyFill="1" applyAlignment="1">
      <alignment horizontal="center" vertical="center" wrapText="1"/>
    </xf>
    <xf numFmtId="1" fontId="8" fillId="4" borderId="2" xfId="1" applyNumberFormat="1" applyFont="1" applyFill="1" applyBorder="1" applyAlignment="1">
      <alignment horizontal="center" vertical="center" wrapText="1"/>
    </xf>
    <xf numFmtId="1" fontId="8" fillId="4" borderId="3" xfId="1" applyNumberFormat="1" applyFont="1" applyFill="1" applyBorder="1" applyAlignment="1">
      <alignment horizontal="center" vertical="center" wrapText="1"/>
    </xf>
    <xf numFmtId="1" fontId="8" fillId="4" borderId="15" xfId="1" applyNumberFormat="1" applyFont="1" applyFill="1" applyBorder="1" applyAlignment="1">
      <alignment horizontal="center" vertical="center"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0" fontId="3" fillId="4" borderId="3" xfId="0" applyFont="1" applyFill="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3" fillId="0" borderId="1" xfId="0" applyFont="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1"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1" fontId="5" fillId="0" borderId="1" xfId="1" applyNumberFormat="1"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5"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1" xfId="0" applyFont="1" applyBorder="1" applyAlignment="1">
      <alignment horizontal="left" vertical="top"/>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22" fontId="4" fillId="4" borderId="2" xfId="0" applyNumberFormat="1" applyFont="1" applyFill="1" applyBorder="1" applyAlignment="1">
      <alignment horizontal="left" vertical="top" wrapText="1"/>
    </xf>
    <xf numFmtId="0" fontId="13" fillId="4" borderId="2" xfId="2" applyFont="1" applyFill="1" applyBorder="1" applyAlignment="1">
      <alignment horizontal="left" vertical="top" wrapText="1"/>
    </xf>
    <xf numFmtId="0" fontId="14" fillId="4" borderId="3" xfId="0" applyFont="1" applyFill="1" applyBorder="1" applyAlignment="1">
      <alignment horizontal="left" vertical="top" wrapText="1"/>
    </xf>
    <xf numFmtId="0" fontId="14" fillId="4" borderId="5"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4" xfId="0" applyFont="1" applyFill="1" applyBorder="1" applyAlignment="1">
      <alignment horizontal="left" vertical="top" wrapText="1"/>
    </xf>
    <xf numFmtId="0" fontId="3" fillId="4" borderId="1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9</xdr:col>
      <xdr:colOff>250371</xdr:colOff>
      <xdr:row>40</xdr:row>
      <xdr:rowOff>76200</xdr:rowOff>
    </xdr:from>
    <xdr:to>
      <xdr:col>11</xdr:col>
      <xdr:colOff>897843</xdr:colOff>
      <xdr:row>49</xdr:row>
      <xdr:rowOff>288211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940142" y="20290971"/>
          <a:ext cx="3742857" cy="2095238"/>
        </a:xfrm>
        <a:prstGeom prst="rect">
          <a:avLst/>
        </a:prstGeom>
      </xdr:spPr>
    </xdr:pic>
    <xdr:clientData/>
  </xdr:twoCellAnchor>
  <xdr:twoCellAnchor>
    <xdr:from>
      <xdr:col>9</xdr:col>
      <xdr:colOff>896468</xdr:colOff>
      <xdr:row>334</xdr:row>
      <xdr:rowOff>73639</xdr:rowOff>
    </xdr:from>
    <xdr:to>
      <xdr:col>23</xdr:col>
      <xdr:colOff>101680</xdr:colOff>
      <xdr:row>360</xdr:row>
      <xdr:rowOff>24899</xdr:rowOff>
    </xdr:to>
    <xdr:grpSp>
      <xdr:nvGrpSpPr>
        <xdr:cNvPr id="17" name="Group 16">
          <a:extLst>
            <a:ext uri="{FF2B5EF4-FFF2-40B4-BE49-F238E27FC236}">
              <a16:creationId xmlns:a16="http://schemas.microsoft.com/office/drawing/2014/main" id="{4CDC2DBC-54EF-86AA-BEC3-7B27FE871601}"/>
            </a:ext>
          </a:extLst>
        </xdr:cNvPr>
        <xdr:cNvGrpSpPr/>
      </xdr:nvGrpSpPr>
      <xdr:grpSpPr>
        <a:xfrm>
          <a:off x="11573433" y="103311192"/>
          <a:ext cx="8385071" cy="6943731"/>
          <a:chOff x="1333498" y="73709893"/>
          <a:chExt cx="7643241" cy="7707331"/>
        </a:xfrm>
      </xdr:grpSpPr>
      <xdr:pic>
        <xdr:nvPicPr>
          <xdr:cNvPr id="26" name="Picture 25">
            <a:extLst>
              <a:ext uri="{FF2B5EF4-FFF2-40B4-BE49-F238E27FC236}">
                <a16:creationId xmlns:a16="http://schemas.microsoft.com/office/drawing/2014/main" id="{83E004A6-0732-85A3-9D49-D1D92B9957EC}"/>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6550114" y="78177223"/>
            <a:ext cx="2426625" cy="322070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27" name="Picture 26">
            <a:extLst>
              <a:ext uri="{FF2B5EF4-FFF2-40B4-BE49-F238E27FC236}">
                <a16:creationId xmlns:a16="http://schemas.microsoft.com/office/drawing/2014/main" id="{AECEF1BB-48D4-05EF-828B-C8547D7FBBD4}"/>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3941806" y="78177224"/>
            <a:ext cx="2426625" cy="3234312"/>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28" name="Picture 27">
            <a:extLst>
              <a:ext uri="{FF2B5EF4-FFF2-40B4-BE49-F238E27FC236}">
                <a16:creationId xmlns:a16="http://schemas.microsoft.com/office/drawing/2014/main" id="{98918A24-E867-10C5-BE72-CA34B779351C}"/>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333498" y="78177224"/>
            <a:ext cx="2426625" cy="324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29" name="Picture 28">
            <a:extLst>
              <a:ext uri="{FF2B5EF4-FFF2-40B4-BE49-F238E27FC236}">
                <a16:creationId xmlns:a16="http://schemas.microsoft.com/office/drawing/2014/main" id="{0A3A4C79-DF98-9130-EA63-57F0C0ED3B9D}"/>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870145" y="73709893"/>
            <a:ext cx="3235500" cy="432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30" name="Picture 29">
            <a:extLst>
              <a:ext uri="{FF2B5EF4-FFF2-40B4-BE49-F238E27FC236}">
                <a16:creationId xmlns:a16="http://schemas.microsoft.com/office/drawing/2014/main" id="{25FC6C9A-1143-3296-8B95-27CD9A2D9E6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5250369" y="73709893"/>
            <a:ext cx="3235500" cy="432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1796142</xdr:colOff>
      <xdr:row>336</xdr:row>
      <xdr:rowOff>32656</xdr:rowOff>
    </xdr:from>
    <xdr:to>
      <xdr:col>7</xdr:col>
      <xdr:colOff>1513113</xdr:colOff>
      <xdr:row>373</xdr:row>
      <xdr:rowOff>32658</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1796142" y="103808091"/>
          <a:ext cx="7041136" cy="9950826"/>
          <a:chOff x="365005" y="277339"/>
          <a:chExt cx="5760000" cy="8550024"/>
        </a:xfrm>
      </xdr:grpSpPr>
      <xdr:grpSp>
        <xdr:nvGrpSpPr>
          <xdr:cNvPr id="32" name="Group 31">
            <a:extLst>
              <a:ext uri="{FF2B5EF4-FFF2-40B4-BE49-F238E27FC236}">
                <a16:creationId xmlns:a16="http://schemas.microsoft.com/office/drawing/2014/main" id="{00000000-0008-0000-0000-000020000000}"/>
              </a:ext>
            </a:extLst>
          </xdr:cNvPr>
          <xdr:cNvGrpSpPr/>
        </xdr:nvGrpSpPr>
        <xdr:grpSpPr>
          <a:xfrm>
            <a:off x="365005" y="277339"/>
            <a:ext cx="5760000" cy="4280618"/>
            <a:chOff x="365005" y="277339"/>
            <a:chExt cx="5760000" cy="4280618"/>
          </a:xfrm>
        </xdr:grpSpPr>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7"/>
            <a:stretch>
              <a:fillRect/>
            </a:stretch>
          </xdr:blipFill>
          <xdr:spPr>
            <a:xfrm>
              <a:off x="365005" y="277339"/>
              <a:ext cx="5760000" cy="4280618"/>
            </a:xfrm>
            <a:prstGeom prst="rect">
              <a:avLst/>
            </a:prstGeom>
            <a:ln>
              <a:solidFill>
                <a:schemeClr val="tx1"/>
              </a:solidFill>
            </a:ln>
          </xdr:spPr>
        </xdr:pic>
        <xdr:sp macro="" textlink="">
          <xdr:nvSpPr>
            <xdr:cNvPr id="40" name="Rectangle 39">
              <a:extLst>
                <a:ext uri="{FF2B5EF4-FFF2-40B4-BE49-F238E27FC236}">
                  <a16:creationId xmlns:a16="http://schemas.microsoft.com/office/drawing/2014/main" id="{00000000-0008-0000-0000-000028000000}"/>
                </a:ext>
              </a:extLst>
            </xdr:cNvPr>
            <xdr:cNvSpPr/>
          </xdr:nvSpPr>
          <xdr:spPr>
            <a:xfrm rot="18868906">
              <a:off x="2411730" y="765810"/>
              <a:ext cx="1177290" cy="10858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1" name="Rectangle 40">
              <a:extLst>
                <a:ext uri="{FF2B5EF4-FFF2-40B4-BE49-F238E27FC236}">
                  <a16:creationId xmlns:a16="http://schemas.microsoft.com/office/drawing/2014/main" id="{00000000-0008-0000-0000-000029000000}"/>
                </a:ext>
              </a:extLst>
            </xdr:cNvPr>
            <xdr:cNvSpPr/>
          </xdr:nvSpPr>
          <xdr:spPr>
            <a:xfrm rot="18868906">
              <a:off x="3044191" y="1780032"/>
              <a:ext cx="1177290" cy="10858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2" name="Rectangle 41">
              <a:extLst>
                <a:ext uri="{FF2B5EF4-FFF2-40B4-BE49-F238E27FC236}">
                  <a16:creationId xmlns:a16="http://schemas.microsoft.com/office/drawing/2014/main" id="{00000000-0008-0000-0000-00002A000000}"/>
                </a:ext>
              </a:extLst>
            </xdr:cNvPr>
            <xdr:cNvSpPr/>
          </xdr:nvSpPr>
          <xdr:spPr>
            <a:xfrm rot="18868906">
              <a:off x="1693862" y="2483586"/>
              <a:ext cx="1268860" cy="121146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3" name="TextBox 10">
              <a:extLst>
                <a:ext uri="{FF2B5EF4-FFF2-40B4-BE49-F238E27FC236}">
                  <a16:creationId xmlns:a16="http://schemas.microsoft.com/office/drawing/2014/main" id="{00000000-0008-0000-0000-00002B000000}"/>
                </a:ext>
              </a:extLst>
            </xdr:cNvPr>
            <xdr:cNvSpPr txBox="1"/>
          </xdr:nvSpPr>
          <xdr:spPr>
            <a:xfrm>
              <a:off x="2328292" y="605790"/>
              <a:ext cx="41389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T1</a:t>
              </a:r>
              <a:endParaRPr lang="en-IN" b="1">
                <a:solidFill>
                  <a:srgbClr val="FF0000"/>
                </a:solidFill>
              </a:endParaRPr>
            </a:p>
          </xdr:txBody>
        </xdr:sp>
        <xdr:sp macro="" textlink="">
          <xdr:nvSpPr>
            <xdr:cNvPr id="44" name="TextBox 11">
              <a:extLst>
                <a:ext uri="{FF2B5EF4-FFF2-40B4-BE49-F238E27FC236}">
                  <a16:creationId xmlns:a16="http://schemas.microsoft.com/office/drawing/2014/main" id="{00000000-0008-0000-0000-00002C000000}"/>
                </a:ext>
              </a:extLst>
            </xdr:cNvPr>
            <xdr:cNvSpPr txBox="1"/>
          </xdr:nvSpPr>
          <xdr:spPr>
            <a:xfrm>
              <a:off x="3877683" y="2742984"/>
              <a:ext cx="41549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T2</a:t>
              </a:r>
              <a:endParaRPr lang="en-IN" b="1">
                <a:solidFill>
                  <a:srgbClr val="FF0000"/>
                </a:solidFill>
              </a:endParaRPr>
            </a:p>
          </xdr:txBody>
        </xdr:sp>
        <xdr:sp macro="" textlink="">
          <xdr:nvSpPr>
            <xdr:cNvPr id="45" name="TextBox 12">
              <a:extLst>
                <a:ext uri="{FF2B5EF4-FFF2-40B4-BE49-F238E27FC236}">
                  <a16:creationId xmlns:a16="http://schemas.microsoft.com/office/drawing/2014/main" id="{00000000-0008-0000-0000-00002D000000}"/>
                </a:ext>
              </a:extLst>
            </xdr:cNvPr>
            <xdr:cNvSpPr txBox="1"/>
          </xdr:nvSpPr>
          <xdr:spPr>
            <a:xfrm>
              <a:off x="1692022" y="3601768"/>
              <a:ext cx="41549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T3</a:t>
              </a:r>
              <a:endParaRPr lang="en-IN" b="1">
                <a:solidFill>
                  <a:srgbClr val="FF0000"/>
                </a:solidFill>
              </a:endParaRPr>
            </a:p>
          </xdr:txBody>
        </xdr:sp>
      </xdr:grpSp>
      <xdr:grpSp>
        <xdr:nvGrpSpPr>
          <xdr:cNvPr id="33" name="Group 32">
            <a:extLst>
              <a:ext uri="{FF2B5EF4-FFF2-40B4-BE49-F238E27FC236}">
                <a16:creationId xmlns:a16="http://schemas.microsoft.com/office/drawing/2014/main" id="{00000000-0008-0000-0000-000021000000}"/>
              </a:ext>
            </a:extLst>
          </xdr:cNvPr>
          <xdr:cNvGrpSpPr/>
        </xdr:nvGrpSpPr>
        <xdr:grpSpPr>
          <a:xfrm>
            <a:off x="976150" y="4689703"/>
            <a:ext cx="4606290" cy="4137660"/>
            <a:chOff x="941860" y="4709160"/>
            <a:chExt cx="4606290" cy="4137660"/>
          </a:xfrm>
        </xdr:grpSpPr>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8"/>
            <a:stretch>
              <a:fillRect/>
            </a:stretch>
          </xdr:blipFill>
          <xdr:spPr>
            <a:xfrm>
              <a:off x="941860" y="4709160"/>
              <a:ext cx="4606290" cy="4137660"/>
            </a:xfrm>
            <a:prstGeom prst="rect">
              <a:avLst/>
            </a:prstGeom>
            <a:ln>
              <a:solidFill>
                <a:schemeClr val="tx1"/>
              </a:solidFill>
            </a:ln>
          </xdr:spPr>
        </xdr:pic>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8"/>
            <a:srcRect l="64557" t="35975" r="26559" b="53467"/>
            <a:stretch/>
          </xdr:blipFill>
          <xdr:spPr>
            <a:xfrm>
              <a:off x="3119670" y="4886488"/>
              <a:ext cx="2428480" cy="1891502"/>
            </a:xfrm>
            <a:prstGeom prst="rect">
              <a:avLst/>
            </a:prstGeom>
          </xdr:spPr>
        </xdr:pic>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8"/>
            <a:srcRect l="64557" t="35975" r="26559" b="53467"/>
            <a:stretch/>
          </xdr:blipFill>
          <xdr:spPr>
            <a:xfrm>
              <a:off x="4828960" y="6777990"/>
              <a:ext cx="719190" cy="613461"/>
            </a:xfrm>
            <a:prstGeom prst="rect">
              <a:avLst/>
            </a:prstGeom>
          </xdr:spPr>
        </xdr:pic>
        <xdr:sp macro="" textlink="">
          <xdr:nvSpPr>
            <xdr:cNvPr id="37" name="Rectangle 36">
              <a:extLst>
                <a:ext uri="{FF2B5EF4-FFF2-40B4-BE49-F238E27FC236}">
                  <a16:creationId xmlns:a16="http://schemas.microsoft.com/office/drawing/2014/main" id="{00000000-0008-0000-0000-000025000000}"/>
                </a:ext>
              </a:extLst>
            </xdr:cNvPr>
            <xdr:cNvSpPr/>
          </xdr:nvSpPr>
          <xdr:spPr>
            <a:xfrm rot="18868906">
              <a:off x="1682985" y="6755234"/>
              <a:ext cx="1608840" cy="121146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8" name="TextBox 13">
              <a:extLst>
                <a:ext uri="{FF2B5EF4-FFF2-40B4-BE49-F238E27FC236}">
                  <a16:creationId xmlns:a16="http://schemas.microsoft.com/office/drawing/2014/main" id="{00000000-0008-0000-0000-000026000000}"/>
                </a:ext>
              </a:extLst>
            </xdr:cNvPr>
            <xdr:cNvSpPr txBox="1"/>
          </xdr:nvSpPr>
          <xdr:spPr>
            <a:xfrm>
              <a:off x="1407328" y="6777990"/>
              <a:ext cx="57900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Sale</a:t>
              </a:r>
              <a:endParaRPr lang="en-IN" b="1">
                <a:solidFill>
                  <a:srgbClr val="FF0000"/>
                </a:solidFill>
              </a:endParaRPr>
            </a:p>
          </xdr:txBody>
        </xdr:sp>
      </xdr:grpSp>
    </xdr:grpSp>
    <xdr:clientData/>
  </xdr:twoCellAnchor>
  <xdr:twoCellAnchor>
    <xdr:from>
      <xdr:col>2</xdr:col>
      <xdr:colOff>315684</xdr:colOff>
      <xdr:row>379</xdr:row>
      <xdr:rowOff>261257</xdr:rowOff>
    </xdr:from>
    <xdr:to>
      <xdr:col>7</xdr:col>
      <xdr:colOff>729342</xdr:colOff>
      <xdr:row>410</xdr:row>
      <xdr:rowOff>32656</xdr:rowOff>
    </xdr:to>
    <xdr:grpSp>
      <xdr:nvGrpSpPr>
        <xdr:cNvPr id="46" name="Group 45">
          <a:extLst>
            <a:ext uri="{FF2B5EF4-FFF2-40B4-BE49-F238E27FC236}">
              <a16:creationId xmlns:a16="http://schemas.microsoft.com/office/drawing/2014/main" id="{00000000-0008-0000-0000-00002E000000}"/>
            </a:ext>
          </a:extLst>
        </xdr:cNvPr>
        <xdr:cNvGrpSpPr/>
      </xdr:nvGrpSpPr>
      <xdr:grpSpPr>
        <a:xfrm>
          <a:off x="2538931" y="115601163"/>
          <a:ext cx="5514576" cy="7839634"/>
          <a:chOff x="729689" y="183133"/>
          <a:chExt cx="5525582" cy="8893811"/>
        </a:xfrm>
      </xdr:grpSpPr>
      <xdr:pic>
        <xdr:nvPicPr>
          <xdr:cNvPr id="47" name="Picture 46">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729689" y="183133"/>
            <a:ext cx="5525582" cy="4551323"/>
          </a:xfrm>
          <a:prstGeom prst="rect">
            <a:avLst/>
          </a:prstGeom>
          <a:ln>
            <a:solidFill>
              <a:schemeClr val="tx1"/>
            </a:solidFill>
          </a:ln>
        </xdr:spPr>
      </xdr:pic>
      <xdr:grpSp>
        <xdr:nvGrpSpPr>
          <xdr:cNvPr id="48" name="Group 47">
            <a:extLst>
              <a:ext uri="{FF2B5EF4-FFF2-40B4-BE49-F238E27FC236}">
                <a16:creationId xmlns:a16="http://schemas.microsoft.com/office/drawing/2014/main" id="{00000000-0008-0000-0000-000030000000}"/>
              </a:ext>
            </a:extLst>
          </xdr:cNvPr>
          <xdr:cNvGrpSpPr/>
        </xdr:nvGrpSpPr>
        <xdr:grpSpPr>
          <a:xfrm>
            <a:off x="792480" y="4849624"/>
            <a:ext cx="5400000" cy="4227320"/>
            <a:chOff x="792480" y="4916680"/>
            <a:chExt cx="5400000" cy="4227320"/>
          </a:xfrm>
        </xdr:grpSpPr>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792480" y="4916680"/>
              <a:ext cx="5400000" cy="4227320"/>
            </a:xfrm>
            <a:prstGeom prst="rect">
              <a:avLst/>
            </a:prstGeom>
            <a:ln>
              <a:solidFill>
                <a:schemeClr val="tx1"/>
              </a:solidFill>
            </a:ln>
          </xdr:spPr>
        </xdr:pic>
        <xdr:cxnSp macro="">
          <xdr:nvCxnSpPr>
            <xdr:cNvPr id="50" name="Straight Connector 49">
              <a:extLst>
                <a:ext uri="{FF2B5EF4-FFF2-40B4-BE49-F238E27FC236}">
                  <a16:creationId xmlns:a16="http://schemas.microsoft.com/office/drawing/2014/main" id="{00000000-0008-0000-0000-000032000000}"/>
                </a:ext>
              </a:extLst>
            </xdr:cNvPr>
            <xdr:cNvCxnSpPr/>
          </xdr:nvCxnSpPr>
          <xdr:spPr>
            <a:xfrm>
              <a:off x="2702560" y="5415280"/>
              <a:ext cx="789920" cy="7620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000-000033000000}"/>
                </a:ext>
              </a:extLst>
            </xdr:cNvPr>
            <xdr:cNvCxnSpPr/>
          </xdr:nvCxnSpPr>
          <xdr:spPr>
            <a:xfrm flipH="1">
              <a:off x="2545080" y="5410200"/>
              <a:ext cx="152400" cy="171704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000-000034000000}"/>
                </a:ext>
              </a:extLst>
            </xdr:cNvPr>
            <xdr:cNvCxnSpPr/>
          </xdr:nvCxnSpPr>
          <xdr:spPr>
            <a:xfrm flipH="1">
              <a:off x="2128520" y="7127240"/>
              <a:ext cx="401320" cy="37592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000-000035000000}"/>
                </a:ext>
              </a:extLst>
            </xdr:cNvPr>
            <xdr:cNvCxnSpPr/>
          </xdr:nvCxnSpPr>
          <xdr:spPr>
            <a:xfrm flipH="1">
              <a:off x="2037080" y="7513320"/>
              <a:ext cx="91440" cy="103124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000-000036000000}"/>
                </a:ext>
              </a:extLst>
            </xdr:cNvPr>
            <xdr:cNvCxnSpPr/>
          </xdr:nvCxnSpPr>
          <xdr:spPr>
            <a:xfrm>
              <a:off x="2037080" y="8554720"/>
              <a:ext cx="492760" cy="3556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000-000037000000}"/>
                </a:ext>
              </a:extLst>
            </xdr:cNvPr>
            <xdr:cNvCxnSpPr/>
          </xdr:nvCxnSpPr>
          <xdr:spPr>
            <a:xfrm flipV="1">
              <a:off x="2529840" y="8229600"/>
              <a:ext cx="91440" cy="38100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000-000038000000}"/>
                </a:ext>
              </a:extLst>
            </xdr:cNvPr>
            <xdr:cNvCxnSpPr/>
          </xdr:nvCxnSpPr>
          <xdr:spPr>
            <a:xfrm flipV="1">
              <a:off x="2621280" y="7838440"/>
              <a:ext cx="401320" cy="40640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000-000039000000}"/>
                </a:ext>
              </a:extLst>
            </xdr:cNvPr>
            <xdr:cNvCxnSpPr/>
          </xdr:nvCxnSpPr>
          <xdr:spPr>
            <a:xfrm>
              <a:off x="3022600" y="7853680"/>
              <a:ext cx="1508760" cy="7874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000-00003A000000}"/>
                </a:ext>
              </a:extLst>
            </xdr:cNvPr>
            <xdr:cNvCxnSpPr/>
          </xdr:nvCxnSpPr>
          <xdr:spPr>
            <a:xfrm flipV="1">
              <a:off x="4551680" y="7030340"/>
              <a:ext cx="45720" cy="91986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000-00003B000000}"/>
                </a:ext>
              </a:extLst>
            </xdr:cNvPr>
            <xdr:cNvCxnSpPr/>
          </xdr:nvCxnSpPr>
          <xdr:spPr>
            <a:xfrm flipH="1" flipV="1">
              <a:off x="3383280" y="6979920"/>
              <a:ext cx="1201400" cy="5042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000-00003C000000}"/>
                </a:ext>
              </a:extLst>
            </xdr:cNvPr>
            <xdr:cNvCxnSpPr/>
          </xdr:nvCxnSpPr>
          <xdr:spPr>
            <a:xfrm flipH="1">
              <a:off x="3383280" y="5491480"/>
              <a:ext cx="109200" cy="148844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9</xdr:col>
      <xdr:colOff>947697</xdr:colOff>
      <xdr:row>287</xdr:row>
      <xdr:rowOff>837561</xdr:rowOff>
    </xdr:from>
    <xdr:to>
      <xdr:col>13</xdr:col>
      <xdr:colOff>242077</xdr:colOff>
      <xdr:row>301</xdr:row>
      <xdr:rowOff>223151</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11624662" y="89408855"/>
          <a:ext cx="4081533" cy="5176790"/>
          <a:chOff x="14314714" y="91886315"/>
          <a:chExt cx="3600000" cy="4806676"/>
        </a:xfrm>
      </xdr:grpSpPr>
      <xdr:grpSp>
        <xdr:nvGrpSpPr>
          <xdr:cNvPr id="68" name="Group 67">
            <a:extLst>
              <a:ext uri="{FF2B5EF4-FFF2-40B4-BE49-F238E27FC236}">
                <a16:creationId xmlns:a16="http://schemas.microsoft.com/office/drawing/2014/main" id="{00000000-0008-0000-0000-000044000000}"/>
              </a:ext>
            </a:extLst>
          </xdr:cNvPr>
          <xdr:cNvGrpSpPr/>
        </xdr:nvGrpSpPr>
        <xdr:grpSpPr>
          <a:xfrm>
            <a:off x="14314714" y="91886315"/>
            <a:ext cx="3600000" cy="4806676"/>
            <a:chOff x="1235392" y="1370348"/>
            <a:chExt cx="3600000" cy="4806676"/>
          </a:xfrm>
        </xdr:grpSpPr>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35392" y="1370348"/>
              <a:ext cx="3600000" cy="4806676"/>
            </a:xfrm>
            <a:prstGeom prst="rect">
              <a:avLst/>
            </a:prstGeom>
            <a:ln>
              <a:solidFill>
                <a:schemeClr val="tx1"/>
              </a:solidFill>
            </a:ln>
          </xdr:spPr>
        </xdr:pic>
        <xdr:sp macro="" textlink="">
          <xdr:nvSpPr>
            <xdr:cNvPr id="70" name="TextBox 2">
              <a:extLst>
                <a:ext uri="{FF2B5EF4-FFF2-40B4-BE49-F238E27FC236}">
                  <a16:creationId xmlns:a16="http://schemas.microsoft.com/office/drawing/2014/main" id="{00000000-0008-0000-0000-000046000000}"/>
                </a:ext>
              </a:extLst>
            </xdr:cNvPr>
            <xdr:cNvSpPr txBox="1"/>
          </xdr:nvSpPr>
          <xdr:spPr>
            <a:xfrm>
              <a:off x="3279140" y="3020060"/>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2</a:t>
              </a:r>
              <a:endParaRPr lang="en-IN" b="1"/>
            </a:p>
          </xdr:txBody>
        </xdr:sp>
        <xdr:cxnSp macro="">
          <xdr:nvCxnSpPr>
            <xdr:cNvPr id="71" name="Straight Arrow Connector 70">
              <a:extLst>
                <a:ext uri="{FF2B5EF4-FFF2-40B4-BE49-F238E27FC236}">
                  <a16:creationId xmlns:a16="http://schemas.microsoft.com/office/drawing/2014/main" id="{00000000-0008-0000-0000-000047000000}"/>
                </a:ext>
              </a:extLst>
            </xdr:cNvPr>
            <xdr:cNvCxnSpPr>
              <a:stCxn id="70" idx="2"/>
            </xdr:cNvCxnSpPr>
          </xdr:nvCxnSpPr>
          <xdr:spPr>
            <a:xfrm flipH="1">
              <a:off x="3672841" y="3389392"/>
              <a:ext cx="75466" cy="435848"/>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TextBox 5">
              <a:extLst>
                <a:ext uri="{FF2B5EF4-FFF2-40B4-BE49-F238E27FC236}">
                  <a16:creationId xmlns:a16="http://schemas.microsoft.com/office/drawing/2014/main" id="{00000000-0008-0000-0000-000048000000}"/>
                </a:ext>
              </a:extLst>
            </xdr:cNvPr>
            <xdr:cNvSpPr txBox="1"/>
          </xdr:nvSpPr>
          <xdr:spPr>
            <a:xfrm>
              <a:off x="2116588" y="2835394"/>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1</a:t>
              </a:r>
              <a:endParaRPr lang="en-IN" b="1"/>
            </a:p>
          </xdr:txBody>
        </xdr:sp>
        <xdr:cxnSp macro="">
          <xdr:nvCxnSpPr>
            <xdr:cNvPr id="73" name="Straight Arrow Connector 72">
              <a:extLst>
                <a:ext uri="{FF2B5EF4-FFF2-40B4-BE49-F238E27FC236}">
                  <a16:creationId xmlns:a16="http://schemas.microsoft.com/office/drawing/2014/main" id="{00000000-0008-0000-0000-000049000000}"/>
                </a:ext>
              </a:extLst>
            </xdr:cNvPr>
            <xdr:cNvCxnSpPr>
              <a:stCxn id="72" idx="2"/>
            </xdr:cNvCxnSpPr>
          </xdr:nvCxnSpPr>
          <xdr:spPr>
            <a:xfrm flipH="1">
              <a:off x="2510289" y="3204726"/>
              <a:ext cx="75466" cy="435848"/>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TextBox 7">
              <a:extLst>
                <a:ext uri="{FF2B5EF4-FFF2-40B4-BE49-F238E27FC236}">
                  <a16:creationId xmlns:a16="http://schemas.microsoft.com/office/drawing/2014/main" id="{00000000-0008-0000-0000-00004A000000}"/>
                </a:ext>
              </a:extLst>
            </xdr:cNvPr>
            <xdr:cNvSpPr txBox="1"/>
          </xdr:nvSpPr>
          <xdr:spPr>
            <a:xfrm>
              <a:off x="3464560" y="5186680"/>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3</a:t>
              </a:r>
              <a:endParaRPr lang="en-IN" b="1"/>
            </a:p>
          </xdr:txBody>
        </xdr:sp>
        <xdr:cxnSp macro="">
          <xdr:nvCxnSpPr>
            <xdr:cNvPr id="75" name="Straight Arrow Connector 74">
              <a:extLst>
                <a:ext uri="{FF2B5EF4-FFF2-40B4-BE49-F238E27FC236}">
                  <a16:creationId xmlns:a16="http://schemas.microsoft.com/office/drawing/2014/main" id="{00000000-0008-0000-0000-00004B000000}"/>
                </a:ext>
              </a:extLst>
            </xdr:cNvPr>
            <xdr:cNvCxnSpPr>
              <a:stCxn id="74" idx="0"/>
            </xdr:cNvCxnSpPr>
          </xdr:nvCxnSpPr>
          <xdr:spPr>
            <a:xfrm flipH="1" flipV="1">
              <a:off x="3317241" y="4754880"/>
              <a:ext cx="616486" cy="431800"/>
            </a:xfrm>
            <a:prstGeom prst="straightConnector1">
              <a:avLst/>
            </a:prstGeom>
            <a:ln w="28575">
              <a:solidFill>
                <a:srgbClr val="20242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15871372" y="91984285"/>
            <a:ext cx="197817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a:t>Actual position of tower as per </a:t>
            </a:r>
          </a:p>
          <a:p>
            <a:r>
              <a:rPr lang="en-IN" sz="1100"/>
              <a:t>visit dtd</a:t>
            </a:r>
            <a:r>
              <a:rPr lang="en-IN" sz="1100" baseline="0"/>
              <a:t> 05/03/2026</a:t>
            </a:r>
            <a:endParaRPr lang="en-IN" sz="1100"/>
          </a:p>
        </xdr:txBody>
      </xdr:sp>
    </xdr:grpSp>
    <xdr:clientData/>
  </xdr:twoCellAnchor>
  <xdr:twoCellAnchor>
    <xdr:from>
      <xdr:col>0</xdr:col>
      <xdr:colOff>941292</xdr:colOff>
      <xdr:row>293</xdr:row>
      <xdr:rowOff>134471</xdr:rowOff>
    </xdr:from>
    <xdr:to>
      <xdr:col>8</xdr:col>
      <xdr:colOff>295834</xdr:colOff>
      <xdr:row>319</xdr:row>
      <xdr:rowOff>0</xdr:rowOff>
    </xdr:to>
    <xdr:grpSp>
      <xdr:nvGrpSpPr>
        <xdr:cNvPr id="13" name="Group 12">
          <a:extLst>
            <a:ext uri="{FF2B5EF4-FFF2-40B4-BE49-F238E27FC236}">
              <a16:creationId xmlns:a16="http://schemas.microsoft.com/office/drawing/2014/main" id="{97B8D950-7FCD-3D61-B3A5-FE308D256C8B}"/>
            </a:ext>
          </a:extLst>
        </xdr:cNvPr>
        <xdr:cNvGrpSpPr/>
      </xdr:nvGrpSpPr>
      <xdr:grpSpPr>
        <a:xfrm>
          <a:off x="941292" y="92345436"/>
          <a:ext cx="8355107" cy="6857999"/>
          <a:chOff x="-97575" y="613203"/>
          <a:chExt cx="6883464" cy="5218797"/>
        </a:xfrm>
      </xdr:grpSpPr>
      <xdr:pic>
        <xdr:nvPicPr>
          <xdr:cNvPr id="14" name="Picture 13">
            <a:extLst>
              <a:ext uri="{FF2B5EF4-FFF2-40B4-BE49-F238E27FC236}">
                <a16:creationId xmlns:a16="http://schemas.microsoft.com/office/drawing/2014/main" id="{B1429E11-A2E8-5CBF-E300-4136367E65C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7574" y="613203"/>
            <a:ext cx="3356889" cy="2520000"/>
          </a:xfrm>
          <a:prstGeom prst="rect">
            <a:avLst/>
          </a:prstGeom>
          <a:ln>
            <a:solidFill>
              <a:schemeClr val="tx1"/>
            </a:solidFill>
          </a:ln>
        </xdr:spPr>
      </xdr:pic>
      <xdr:pic>
        <xdr:nvPicPr>
          <xdr:cNvPr id="15" name="Picture 14">
            <a:extLst>
              <a:ext uri="{FF2B5EF4-FFF2-40B4-BE49-F238E27FC236}">
                <a16:creationId xmlns:a16="http://schemas.microsoft.com/office/drawing/2014/main" id="{81D01BA7-BF68-E798-39E5-A81E7939280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28999" y="613203"/>
            <a:ext cx="3356889" cy="2520000"/>
          </a:xfrm>
          <a:prstGeom prst="rect">
            <a:avLst/>
          </a:prstGeom>
          <a:ln>
            <a:solidFill>
              <a:schemeClr val="tx1"/>
            </a:solidFill>
          </a:ln>
        </xdr:spPr>
      </xdr:pic>
      <xdr:pic>
        <xdr:nvPicPr>
          <xdr:cNvPr id="16" name="Picture 15">
            <a:extLst>
              <a:ext uri="{FF2B5EF4-FFF2-40B4-BE49-F238E27FC236}">
                <a16:creationId xmlns:a16="http://schemas.microsoft.com/office/drawing/2014/main" id="{074D3F41-9E54-0E43-CADE-B52C211BADB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7575" y="3312000"/>
            <a:ext cx="3356889" cy="2520000"/>
          </a:xfrm>
          <a:prstGeom prst="rect">
            <a:avLst/>
          </a:prstGeom>
          <a:ln>
            <a:solidFill>
              <a:schemeClr val="tx1"/>
            </a:solidFill>
          </a:ln>
        </xdr:spPr>
      </xdr:pic>
      <xdr:pic>
        <xdr:nvPicPr>
          <xdr:cNvPr id="18" name="Picture 17">
            <a:extLst>
              <a:ext uri="{FF2B5EF4-FFF2-40B4-BE49-F238E27FC236}">
                <a16:creationId xmlns:a16="http://schemas.microsoft.com/office/drawing/2014/main" id="{59937AF9-3D09-0A4C-B9BE-18DF3FC4F42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429000" y="3312000"/>
            <a:ext cx="3356889" cy="252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6WnG9iidG6hoGFAg9"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23"/>
  <sheetViews>
    <sheetView tabSelected="1" view="pageBreakPreview" topLeftCell="A110" zoomScale="85" zoomScaleNormal="85" zoomScaleSheetLayoutView="85" zoomScalePageLayoutView="55" workbookViewId="0">
      <selection activeCell="J3" sqref="J3"/>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4" customWidth="1"/>
    <col min="5" max="6" width="27.109375" style="1" customWidth="1"/>
    <col min="7" max="7" width="1.44140625" style="1" customWidth="1"/>
    <col min="8" max="8" width="24.44140625" style="1" customWidth="1"/>
    <col min="9" max="9" width="24.44140625" style="14" customWidth="1"/>
    <col min="10" max="10" width="26.109375" style="1" customWidth="1"/>
    <col min="11" max="11" width="19" style="1" bestFit="1" customWidth="1"/>
    <col min="12" max="12" width="15.5546875" style="1" bestFit="1" customWidth="1"/>
    <col min="13" max="20" width="9.109375" style="1"/>
    <col min="21" max="23" width="0" style="1" hidden="1" customWidth="1"/>
    <col min="24" max="26" width="9.109375" style="1"/>
    <col min="27" max="27" width="7.88671875" style="1" customWidth="1"/>
    <col min="28" max="16384" width="9.109375" style="1"/>
  </cols>
  <sheetData>
    <row r="1" spans="1:16" ht="21" x14ac:dyDescent="0.3">
      <c r="A1" s="89" t="s">
        <v>41</v>
      </c>
      <c r="B1" s="90"/>
      <c r="C1" s="90"/>
      <c r="D1" s="90"/>
      <c r="E1" s="90"/>
      <c r="F1" s="90"/>
      <c r="G1" s="90"/>
      <c r="H1" s="90"/>
      <c r="I1" s="91"/>
    </row>
    <row r="2" spans="1:16" ht="42" customHeight="1" x14ac:dyDescent="0.3">
      <c r="A2" s="137" t="s">
        <v>11</v>
      </c>
      <c r="B2" s="137"/>
      <c r="C2" s="137"/>
      <c r="D2" s="4" t="s">
        <v>4</v>
      </c>
      <c r="E2" s="138" t="s">
        <v>92</v>
      </c>
      <c r="F2" s="138"/>
      <c r="G2" s="80" t="s">
        <v>15</v>
      </c>
      <c r="H2" s="80"/>
      <c r="I2" s="64">
        <v>45840</v>
      </c>
    </row>
    <row r="3" spans="1:16" ht="42.75" customHeight="1" x14ac:dyDescent="0.3">
      <c r="A3" s="129" t="s">
        <v>42</v>
      </c>
      <c r="B3" s="130"/>
      <c r="C3" s="131"/>
      <c r="D3" s="21" t="s">
        <v>4</v>
      </c>
      <c r="E3" s="141" t="s">
        <v>188</v>
      </c>
      <c r="F3" s="142"/>
      <c r="G3" s="80" t="s">
        <v>256</v>
      </c>
      <c r="H3" s="80"/>
      <c r="I3" s="64" t="s">
        <v>315</v>
      </c>
      <c r="K3" s="180">
        <v>45773</v>
      </c>
      <c r="L3" s="180">
        <v>45845</v>
      </c>
    </row>
    <row r="4" spans="1:16" ht="43.5" customHeight="1" x14ac:dyDescent="0.3">
      <c r="A4" s="129" t="s">
        <v>39</v>
      </c>
      <c r="B4" s="130"/>
      <c r="C4" s="131"/>
      <c r="D4" s="28" t="s">
        <v>4</v>
      </c>
      <c r="E4" s="78" t="s">
        <v>312</v>
      </c>
      <c r="F4" s="79"/>
      <c r="G4" s="80" t="s">
        <v>36</v>
      </c>
      <c r="H4" s="80"/>
      <c r="I4" s="64" t="str">
        <f ca="1">TEXT(TODAY(),"DD/MM/YYYY")</f>
        <v>11/07/2025</v>
      </c>
      <c r="L4" s="1">
        <f>L3-K3</f>
        <v>72</v>
      </c>
    </row>
    <row r="5" spans="1:16" ht="21" x14ac:dyDescent="0.3">
      <c r="A5" s="88" t="s">
        <v>43</v>
      </c>
      <c r="B5" s="88"/>
      <c r="C5" s="88"/>
      <c r="D5" s="88"/>
      <c r="E5" s="88"/>
      <c r="F5" s="88"/>
      <c r="G5" s="88"/>
      <c r="H5" s="88"/>
      <c r="I5" s="143"/>
    </row>
    <row r="6" spans="1:16" ht="44.25" customHeight="1" x14ac:dyDescent="0.3">
      <c r="A6" s="139" t="s">
        <v>32</v>
      </c>
      <c r="B6" s="139"/>
      <c r="C6" s="139"/>
      <c r="D6" s="2" t="s">
        <v>4</v>
      </c>
      <c r="E6" s="22" t="s">
        <v>105</v>
      </c>
      <c r="F6" s="21" t="s">
        <v>38</v>
      </c>
      <c r="G6" s="2" t="s">
        <v>4</v>
      </c>
      <c r="H6" s="75" t="s">
        <v>316</v>
      </c>
      <c r="I6" s="75"/>
      <c r="K6" s="69" t="s">
        <v>314</v>
      </c>
      <c r="L6" s="70"/>
      <c r="M6" s="70"/>
      <c r="N6" s="70"/>
      <c r="O6" s="70"/>
      <c r="P6" s="70"/>
    </row>
    <row r="7" spans="1:16" ht="68.25" customHeight="1" x14ac:dyDescent="0.3">
      <c r="A7" s="139" t="s">
        <v>45</v>
      </c>
      <c r="B7" s="139"/>
      <c r="C7" s="139"/>
      <c r="D7" s="2" t="s">
        <v>4</v>
      </c>
      <c r="E7" s="5" t="s">
        <v>189</v>
      </c>
      <c r="F7" s="21" t="s">
        <v>46</v>
      </c>
      <c r="G7" s="2" t="s">
        <v>4</v>
      </c>
      <c r="H7" s="78" t="s">
        <v>187</v>
      </c>
      <c r="I7" s="79"/>
      <c r="K7" s="69"/>
      <c r="L7" s="70"/>
      <c r="M7" s="70"/>
      <c r="N7" s="70"/>
      <c r="O7" s="70"/>
      <c r="P7" s="70"/>
    </row>
    <row r="8" spans="1:16" ht="24" customHeight="1" x14ac:dyDescent="0.3">
      <c r="A8" s="139" t="s">
        <v>47</v>
      </c>
      <c r="B8" s="139"/>
      <c r="C8" s="139"/>
      <c r="D8" s="2" t="s">
        <v>4</v>
      </c>
      <c r="E8" s="140" t="s">
        <v>190</v>
      </c>
      <c r="F8" s="140"/>
      <c r="G8" s="140"/>
      <c r="H8" s="140"/>
      <c r="I8" s="140"/>
    </row>
    <row r="9" spans="1:16" ht="43.5" customHeight="1" x14ac:dyDescent="0.3">
      <c r="A9" s="80" t="s">
        <v>177</v>
      </c>
      <c r="B9" s="21" t="s">
        <v>4</v>
      </c>
      <c r="C9" s="21" t="s">
        <v>44</v>
      </c>
      <c r="D9" s="2" t="s">
        <v>4</v>
      </c>
      <c r="E9" s="78" t="s">
        <v>227</v>
      </c>
      <c r="F9" s="81"/>
      <c r="G9" s="81"/>
      <c r="H9" s="81"/>
      <c r="I9" s="79"/>
    </row>
    <row r="10" spans="1:16" ht="86.25" customHeight="1" x14ac:dyDescent="0.3">
      <c r="A10" s="80"/>
      <c r="B10" s="21" t="s">
        <v>4</v>
      </c>
      <c r="C10" s="21" t="s">
        <v>14</v>
      </c>
      <c r="D10" s="2" t="s">
        <v>4</v>
      </c>
      <c r="E10" s="78" t="s">
        <v>306</v>
      </c>
      <c r="F10" s="81"/>
      <c r="G10" s="81"/>
      <c r="H10" s="81"/>
      <c r="I10" s="79"/>
    </row>
    <row r="11" spans="1:16" ht="42" customHeight="1" x14ac:dyDescent="0.3">
      <c r="A11" s="80"/>
      <c r="B11" s="21" t="s">
        <v>4</v>
      </c>
      <c r="C11" s="21" t="s">
        <v>5</v>
      </c>
      <c r="D11" s="2" t="s">
        <v>4</v>
      </c>
      <c r="E11" s="78" t="s">
        <v>227</v>
      </c>
      <c r="F11" s="81"/>
      <c r="G11" s="81"/>
      <c r="H11" s="81"/>
      <c r="I11" s="79"/>
    </row>
    <row r="12" spans="1:16" ht="21" x14ac:dyDescent="0.3">
      <c r="A12" s="80" t="s">
        <v>37</v>
      </c>
      <c r="B12" s="80"/>
      <c r="C12" s="80"/>
      <c r="D12" s="2" t="s">
        <v>4</v>
      </c>
      <c r="E12" s="85" t="s">
        <v>128</v>
      </c>
      <c r="F12" s="85"/>
      <c r="G12" s="85"/>
      <c r="H12" s="85"/>
      <c r="I12" s="85"/>
    </row>
    <row r="13" spans="1:16" ht="20.100000000000001" customHeight="1" x14ac:dyDescent="0.3">
      <c r="A13" s="88" t="s">
        <v>48</v>
      </c>
      <c r="B13" s="88"/>
      <c r="C13" s="88"/>
      <c r="D13" s="88"/>
      <c r="E13" s="88"/>
      <c r="F13" s="88"/>
      <c r="G13" s="88"/>
      <c r="H13" s="88"/>
      <c r="I13" s="88"/>
    </row>
    <row r="14" spans="1:16" ht="63" x14ac:dyDescent="0.3">
      <c r="A14" s="21" t="s">
        <v>30</v>
      </c>
      <c r="B14" s="2" t="s">
        <v>4</v>
      </c>
      <c r="C14" s="116" t="s">
        <v>93</v>
      </c>
      <c r="D14" s="117"/>
      <c r="E14" s="118"/>
      <c r="F14" s="17" t="s">
        <v>49</v>
      </c>
      <c r="G14" s="2" t="s">
        <v>4</v>
      </c>
      <c r="H14" s="75" t="s">
        <v>201</v>
      </c>
      <c r="I14" s="75"/>
    </row>
    <row r="15" spans="1:16" ht="93" customHeight="1" x14ac:dyDescent="0.3">
      <c r="A15" s="21" t="s">
        <v>50</v>
      </c>
      <c r="B15" s="2" t="s">
        <v>4</v>
      </c>
      <c r="C15" s="116" t="s">
        <v>263</v>
      </c>
      <c r="D15" s="117"/>
      <c r="E15" s="118"/>
      <c r="F15" s="21" t="s">
        <v>51</v>
      </c>
      <c r="G15" s="2" t="s">
        <v>4</v>
      </c>
      <c r="H15" s="145" t="s">
        <v>264</v>
      </c>
      <c r="I15" s="75"/>
    </row>
    <row r="16" spans="1:16" ht="49.95" customHeight="1" x14ac:dyDescent="0.3">
      <c r="A16" s="51" t="s">
        <v>52</v>
      </c>
      <c r="B16" s="2" t="s">
        <v>4</v>
      </c>
      <c r="C16" s="173" t="s">
        <v>265</v>
      </c>
      <c r="D16" s="117"/>
      <c r="E16" s="118"/>
      <c r="F16" s="21" t="s">
        <v>53</v>
      </c>
      <c r="G16" s="2" t="s">
        <v>4</v>
      </c>
      <c r="H16" s="144">
        <v>44896</v>
      </c>
      <c r="I16" s="79"/>
    </row>
    <row r="17" spans="1:11" ht="69.599999999999994" customHeight="1" x14ac:dyDescent="0.3">
      <c r="A17" s="51" t="s">
        <v>54</v>
      </c>
      <c r="B17" s="2" t="s">
        <v>4</v>
      </c>
      <c r="C17" s="173" t="str">
        <f>H15</f>
        <v>Godrej Bayview = 31/12/2027
Seabreeze at Godrej Bayview = 31/12/2030</v>
      </c>
      <c r="D17" s="117"/>
      <c r="E17" s="118"/>
      <c r="F17" s="21" t="s">
        <v>55</v>
      </c>
      <c r="G17" s="2" t="s">
        <v>4</v>
      </c>
      <c r="H17" s="78" t="s">
        <v>200</v>
      </c>
      <c r="I17" s="79"/>
    </row>
    <row r="18" spans="1:11" ht="42" x14ac:dyDescent="0.3">
      <c r="A18" s="51" t="s">
        <v>56</v>
      </c>
      <c r="B18" s="2" t="s">
        <v>4</v>
      </c>
      <c r="C18" s="174" t="s">
        <v>225</v>
      </c>
      <c r="D18" s="175"/>
      <c r="E18" s="176"/>
      <c r="F18" s="21" t="s">
        <v>108</v>
      </c>
      <c r="G18" s="2" t="s">
        <v>4</v>
      </c>
      <c r="H18" s="75">
        <v>18272.71</v>
      </c>
      <c r="I18" s="75"/>
    </row>
    <row r="19" spans="1:11" ht="42" x14ac:dyDescent="0.3">
      <c r="A19" s="21" t="s">
        <v>57</v>
      </c>
      <c r="B19" s="2" t="s">
        <v>4</v>
      </c>
      <c r="C19" s="116">
        <v>3</v>
      </c>
      <c r="D19" s="117"/>
      <c r="E19" s="118"/>
      <c r="F19" s="21" t="s">
        <v>107</v>
      </c>
      <c r="G19" s="2" t="s">
        <v>4</v>
      </c>
      <c r="H19" s="75">
        <v>54180.425000000003</v>
      </c>
      <c r="I19" s="75"/>
    </row>
    <row r="20" spans="1:11" ht="42" x14ac:dyDescent="0.3">
      <c r="A20" s="21" t="s">
        <v>106</v>
      </c>
      <c r="B20" s="2" t="s">
        <v>4</v>
      </c>
      <c r="C20" s="116">
        <v>54818.13</v>
      </c>
      <c r="D20" s="117"/>
      <c r="E20" s="118"/>
      <c r="F20" s="6" t="s">
        <v>58</v>
      </c>
      <c r="G20" s="2" t="s">
        <v>4</v>
      </c>
      <c r="H20" s="78" t="s">
        <v>267</v>
      </c>
      <c r="I20" s="79"/>
      <c r="J20" s="66" t="s">
        <v>266</v>
      </c>
      <c r="K20" s="1">
        <f>244+119</f>
        <v>363</v>
      </c>
    </row>
    <row r="21" spans="1:11" ht="42" x14ac:dyDescent="0.3">
      <c r="A21" s="21" t="s">
        <v>59</v>
      </c>
      <c r="B21" s="2" t="s">
        <v>4</v>
      </c>
      <c r="C21" s="116" t="s">
        <v>300</v>
      </c>
      <c r="D21" s="117"/>
      <c r="E21" s="118"/>
      <c r="F21" s="21" t="s">
        <v>60</v>
      </c>
      <c r="G21" s="2" t="s">
        <v>4</v>
      </c>
      <c r="H21" s="75" t="s">
        <v>236</v>
      </c>
      <c r="I21" s="75"/>
    </row>
    <row r="22" spans="1:11" ht="21" x14ac:dyDescent="0.3">
      <c r="A22" s="51" t="s">
        <v>268</v>
      </c>
      <c r="B22" s="2" t="s">
        <v>4</v>
      </c>
      <c r="C22" s="116" t="s">
        <v>271</v>
      </c>
      <c r="D22" s="117"/>
      <c r="E22" s="118"/>
      <c r="F22" s="29" t="s">
        <v>269</v>
      </c>
      <c r="G22" s="29" t="s">
        <v>4</v>
      </c>
      <c r="H22" s="116" t="s">
        <v>311</v>
      </c>
      <c r="I22" s="118"/>
    </row>
    <row r="23" spans="1:11" ht="21" x14ac:dyDescent="0.3">
      <c r="A23" s="51" t="s">
        <v>270</v>
      </c>
      <c r="B23" s="2" t="s">
        <v>4</v>
      </c>
      <c r="C23" s="170" t="s">
        <v>272</v>
      </c>
      <c r="D23" s="171"/>
      <c r="E23" s="171"/>
      <c r="F23" s="171"/>
      <c r="G23" s="171"/>
      <c r="H23" s="171"/>
      <c r="I23" s="172"/>
    </row>
    <row r="24" spans="1:11" ht="44.25" customHeight="1" x14ac:dyDescent="0.3">
      <c r="A24" s="51" t="s">
        <v>28</v>
      </c>
      <c r="B24" s="2" t="s">
        <v>4</v>
      </c>
      <c r="C24" s="75" t="s">
        <v>273</v>
      </c>
      <c r="D24" s="75"/>
      <c r="E24" s="75"/>
      <c r="F24" s="75"/>
      <c r="G24" s="75"/>
      <c r="H24" s="75"/>
      <c r="I24" s="75"/>
    </row>
    <row r="25" spans="1:11" ht="24" customHeight="1" x14ac:dyDescent="0.3">
      <c r="A25" s="89" t="s">
        <v>23</v>
      </c>
      <c r="B25" s="90"/>
      <c r="C25" s="90"/>
      <c r="D25" s="90"/>
      <c r="E25" s="90"/>
      <c r="F25" s="90"/>
      <c r="G25" s="90"/>
      <c r="H25" s="90"/>
      <c r="I25" s="91"/>
    </row>
    <row r="26" spans="1:11" ht="20.25" customHeight="1" x14ac:dyDescent="0.3">
      <c r="A26" s="55" t="s">
        <v>29</v>
      </c>
      <c r="B26" s="56" t="s">
        <v>4</v>
      </c>
      <c r="C26" s="85" t="s">
        <v>94</v>
      </c>
      <c r="D26" s="85"/>
      <c r="E26" s="85"/>
      <c r="F26" s="55" t="s">
        <v>16</v>
      </c>
      <c r="G26" s="56" t="s">
        <v>4</v>
      </c>
      <c r="H26" s="85" t="s">
        <v>196</v>
      </c>
      <c r="I26" s="85"/>
    </row>
    <row r="27" spans="1:11" ht="21" x14ac:dyDescent="0.3">
      <c r="A27" s="55" t="s">
        <v>17</v>
      </c>
      <c r="B27" s="56" t="s">
        <v>4</v>
      </c>
      <c r="C27" s="85" t="s">
        <v>111</v>
      </c>
      <c r="D27" s="85"/>
      <c r="E27" s="85"/>
      <c r="F27" s="55" t="s">
        <v>178</v>
      </c>
      <c r="G27" s="56" t="s">
        <v>4</v>
      </c>
      <c r="H27" s="85" t="s">
        <v>274</v>
      </c>
      <c r="I27" s="85"/>
    </row>
    <row r="28" spans="1:11" ht="42" x14ac:dyDescent="0.3">
      <c r="A28" s="55" t="s">
        <v>26</v>
      </c>
      <c r="B28" s="56" t="s">
        <v>4</v>
      </c>
      <c r="C28" s="85" t="s">
        <v>110</v>
      </c>
      <c r="D28" s="85"/>
      <c r="E28" s="85"/>
      <c r="F28" s="55" t="s">
        <v>19</v>
      </c>
      <c r="G28" s="56" t="s">
        <v>4</v>
      </c>
      <c r="H28" s="85" t="s">
        <v>228</v>
      </c>
      <c r="I28" s="85"/>
    </row>
    <row r="29" spans="1:11" ht="63.6" customHeight="1" x14ac:dyDescent="0.3">
      <c r="A29" s="57" t="s">
        <v>133</v>
      </c>
      <c r="B29" s="56" t="s">
        <v>4</v>
      </c>
      <c r="C29" s="85" t="s">
        <v>229</v>
      </c>
      <c r="D29" s="85"/>
      <c r="E29" s="85"/>
      <c r="F29" s="55" t="s">
        <v>134</v>
      </c>
      <c r="G29" s="56" t="s">
        <v>4</v>
      </c>
      <c r="H29" s="86" t="s">
        <v>230</v>
      </c>
      <c r="I29" s="87"/>
    </row>
    <row r="30" spans="1:11" ht="63" customHeight="1" x14ac:dyDescent="0.3">
      <c r="A30" s="55" t="s">
        <v>20</v>
      </c>
      <c r="B30" s="56" t="s">
        <v>4</v>
      </c>
      <c r="C30" s="85" t="s">
        <v>231</v>
      </c>
      <c r="D30" s="85"/>
      <c r="E30" s="85"/>
      <c r="F30" s="55" t="s">
        <v>18</v>
      </c>
      <c r="G30" s="56" t="s">
        <v>4</v>
      </c>
      <c r="H30" s="85" t="s">
        <v>226</v>
      </c>
      <c r="I30" s="85"/>
    </row>
    <row r="31" spans="1:11" ht="21.75" customHeight="1" x14ac:dyDescent="0.3">
      <c r="A31" s="57" t="s">
        <v>139</v>
      </c>
      <c r="B31" s="56" t="s">
        <v>4</v>
      </c>
      <c r="C31" s="85" t="s">
        <v>140</v>
      </c>
      <c r="D31" s="85"/>
      <c r="E31" s="85"/>
      <c r="F31" s="55" t="s">
        <v>141</v>
      </c>
      <c r="G31" s="56" t="s">
        <v>4</v>
      </c>
      <c r="H31" s="86" t="s">
        <v>140</v>
      </c>
      <c r="I31" s="87"/>
    </row>
    <row r="32" spans="1:11" ht="21.75" customHeight="1" x14ac:dyDescent="0.3">
      <c r="A32" s="57" t="s">
        <v>142</v>
      </c>
      <c r="B32" s="56" t="s">
        <v>4</v>
      </c>
      <c r="C32" s="86" t="s">
        <v>140</v>
      </c>
      <c r="D32" s="119"/>
      <c r="E32" s="119"/>
      <c r="F32" s="119"/>
      <c r="G32" s="119"/>
      <c r="H32" s="119"/>
      <c r="I32" s="87"/>
    </row>
    <row r="33" spans="1:9" ht="21" x14ac:dyDescent="0.3">
      <c r="A33" s="82" t="s">
        <v>40</v>
      </c>
      <c r="B33" s="83"/>
      <c r="C33" s="83"/>
      <c r="D33" s="83"/>
      <c r="E33" s="83"/>
      <c r="F33" s="83"/>
      <c r="G33" s="83"/>
      <c r="H33" s="83"/>
      <c r="I33" s="84"/>
    </row>
    <row r="34" spans="1:9" ht="42" x14ac:dyDescent="0.3">
      <c r="A34" s="129" t="s">
        <v>21</v>
      </c>
      <c r="B34" s="130"/>
      <c r="C34" s="131"/>
      <c r="D34" s="2" t="s">
        <v>4</v>
      </c>
      <c r="E34" s="22" t="s">
        <v>112</v>
      </c>
      <c r="F34" s="21" t="s">
        <v>22</v>
      </c>
      <c r="G34" s="7" t="s">
        <v>4</v>
      </c>
      <c r="H34" s="78" t="s">
        <v>113</v>
      </c>
      <c r="I34" s="79"/>
    </row>
    <row r="35" spans="1:9" ht="42" x14ac:dyDescent="0.3">
      <c r="A35" s="129" t="s">
        <v>25</v>
      </c>
      <c r="B35" s="130"/>
      <c r="C35" s="131"/>
      <c r="D35" s="2" t="s">
        <v>4</v>
      </c>
      <c r="E35" s="22" t="s">
        <v>113</v>
      </c>
      <c r="F35" s="8" t="s">
        <v>35</v>
      </c>
      <c r="G35" s="2" t="s">
        <v>4</v>
      </c>
      <c r="H35" s="78" t="s">
        <v>113</v>
      </c>
      <c r="I35" s="79"/>
    </row>
    <row r="36" spans="1:9" ht="42" x14ac:dyDescent="0.3">
      <c r="A36" s="129" t="s">
        <v>34</v>
      </c>
      <c r="B36" s="130"/>
      <c r="C36" s="131"/>
      <c r="D36" s="2" t="s">
        <v>4</v>
      </c>
      <c r="E36" s="5" t="s">
        <v>114</v>
      </c>
      <c r="F36" s="21" t="s">
        <v>24</v>
      </c>
      <c r="G36" s="24" t="s">
        <v>4</v>
      </c>
      <c r="H36" s="78" t="s">
        <v>115</v>
      </c>
      <c r="I36" s="79"/>
    </row>
    <row r="37" spans="1:9" ht="21" x14ac:dyDescent="0.3">
      <c r="A37" s="89" t="s">
        <v>0</v>
      </c>
      <c r="B37" s="90"/>
      <c r="C37" s="90"/>
      <c r="D37" s="90"/>
      <c r="E37" s="90"/>
      <c r="F37" s="90"/>
      <c r="G37" s="90"/>
      <c r="H37" s="90"/>
      <c r="I37" s="91"/>
    </row>
    <row r="38" spans="1:9" ht="21" x14ac:dyDescent="0.3">
      <c r="A38" s="133" t="s">
        <v>0</v>
      </c>
      <c r="B38" s="134"/>
      <c r="C38" s="135"/>
      <c r="D38" s="2" t="s">
        <v>4</v>
      </c>
      <c r="E38" s="9" t="s">
        <v>1</v>
      </c>
      <c r="F38" s="9" t="s">
        <v>6</v>
      </c>
      <c r="G38" s="133" t="s">
        <v>2</v>
      </c>
      <c r="H38" s="135"/>
      <c r="I38" s="9" t="s">
        <v>3</v>
      </c>
    </row>
    <row r="39" spans="1:9" ht="21" x14ac:dyDescent="0.3">
      <c r="A39" s="129" t="s">
        <v>7</v>
      </c>
      <c r="B39" s="130"/>
      <c r="C39" s="131"/>
      <c r="D39" s="2" t="s">
        <v>4</v>
      </c>
      <c r="E39" s="23" t="s">
        <v>203</v>
      </c>
      <c r="F39" s="23" t="s">
        <v>203</v>
      </c>
      <c r="G39" s="76" t="s">
        <v>204</v>
      </c>
      <c r="H39" s="77"/>
      <c r="I39" s="23" t="s">
        <v>202</v>
      </c>
    </row>
    <row r="40" spans="1:9" ht="42.75" customHeight="1" x14ac:dyDescent="0.3">
      <c r="A40" s="129" t="s">
        <v>8</v>
      </c>
      <c r="B40" s="130"/>
      <c r="C40" s="131"/>
      <c r="D40" s="2" t="s">
        <v>4</v>
      </c>
      <c r="E40" s="23" t="s">
        <v>234</v>
      </c>
      <c r="F40" s="23" t="s">
        <v>232</v>
      </c>
      <c r="G40" s="76" t="s">
        <v>233</v>
      </c>
      <c r="H40" s="77"/>
      <c r="I40" s="23" t="s">
        <v>235</v>
      </c>
    </row>
    <row r="41" spans="1:9" ht="20.25" customHeight="1" x14ac:dyDescent="0.3">
      <c r="A41" s="129" t="s">
        <v>12</v>
      </c>
      <c r="B41" s="130"/>
      <c r="C41" s="131"/>
      <c r="D41" s="2" t="s">
        <v>4</v>
      </c>
      <c r="E41" s="18" t="s">
        <v>110</v>
      </c>
      <c r="F41" s="21" t="s">
        <v>13</v>
      </c>
      <c r="G41" s="2" t="s">
        <v>4</v>
      </c>
      <c r="H41" s="78" t="s">
        <v>109</v>
      </c>
      <c r="I41" s="79"/>
    </row>
    <row r="42" spans="1:9" ht="21" x14ac:dyDescent="0.3">
      <c r="A42" s="89" t="s">
        <v>61</v>
      </c>
      <c r="B42" s="90"/>
      <c r="C42" s="90"/>
      <c r="D42" s="90"/>
      <c r="E42" s="90"/>
      <c r="F42" s="90"/>
      <c r="G42" s="90"/>
      <c r="H42" s="90"/>
      <c r="I42" s="91"/>
    </row>
    <row r="43" spans="1:9" ht="21" customHeight="1" x14ac:dyDescent="0.3">
      <c r="A43" s="120" t="s">
        <v>62</v>
      </c>
      <c r="B43" s="120"/>
      <c r="C43" s="120" t="s">
        <v>63</v>
      </c>
      <c r="D43" s="120"/>
      <c r="E43" s="120" t="s">
        <v>176</v>
      </c>
      <c r="F43" s="120"/>
      <c r="G43" s="120"/>
      <c r="H43" s="120" t="s">
        <v>64</v>
      </c>
      <c r="I43" s="120"/>
    </row>
    <row r="44" spans="1:9" ht="21" hidden="1" x14ac:dyDescent="0.3">
      <c r="A44" s="121" t="s">
        <v>191</v>
      </c>
      <c r="B44" s="121"/>
      <c r="C44" s="136" t="s">
        <v>192</v>
      </c>
      <c r="D44" s="136"/>
      <c r="E44" s="75" t="s">
        <v>198</v>
      </c>
      <c r="F44" s="75"/>
      <c r="G44" s="75"/>
      <c r="H44" s="75" t="s">
        <v>198</v>
      </c>
      <c r="I44" s="75"/>
    </row>
    <row r="45" spans="1:9" ht="21" hidden="1" x14ac:dyDescent="0.3">
      <c r="A45" s="121" t="s">
        <v>175</v>
      </c>
      <c r="B45" s="121"/>
      <c r="C45" s="136" t="s">
        <v>192</v>
      </c>
      <c r="D45" s="136"/>
      <c r="E45" s="75" t="s">
        <v>199</v>
      </c>
      <c r="F45" s="75"/>
      <c r="G45" s="75"/>
      <c r="H45" s="75" t="s">
        <v>199</v>
      </c>
      <c r="I45" s="75"/>
    </row>
    <row r="46" spans="1:9" ht="21" customHeight="1" x14ac:dyDescent="0.3">
      <c r="A46" s="122" t="s">
        <v>193</v>
      </c>
      <c r="B46" s="122"/>
      <c r="C46" s="136" t="s">
        <v>95</v>
      </c>
      <c r="D46" s="136"/>
      <c r="E46" s="75" t="s">
        <v>277</v>
      </c>
      <c r="F46" s="75"/>
      <c r="G46" s="75"/>
      <c r="H46" s="75" t="s">
        <v>277</v>
      </c>
      <c r="I46" s="75"/>
    </row>
    <row r="47" spans="1:9" ht="21" customHeight="1" x14ac:dyDescent="0.3">
      <c r="A47" s="122" t="s">
        <v>194</v>
      </c>
      <c r="B47" s="122"/>
      <c r="C47" s="136" t="s">
        <v>95</v>
      </c>
      <c r="D47" s="136"/>
      <c r="E47" s="75" t="s">
        <v>276</v>
      </c>
      <c r="F47" s="75"/>
      <c r="G47" s="75"/>
      <c r="H47" s="75" t="s">
        <v>277</v>
      </c>
      <c r="I47" s="75"/>
    </row>
    <row r="48" spans="1:9" ht="21" customHeight="1" x14ac:dyDescent="0.3">
      <c r="A48" s="122" t="s">
        <v>195</v>
      </c>
      <c r="B48" s="122"/>
      <c r="C48" s="136" t="s">
        <v>95</v>
      </c>
      <c r="D48" s="136"/>
      <c r="E48" s="75" t="s">
        <v>276</v>
      </c>
      <c r="F48" s="75"/>
      <c r="G48" s="75"/>
      <c r="H48" s="75" t="s">
        <v>277</v>
      </c>
      <c r="I48" s="75"/>
    </row>
    <row r="49" spans="1:11" ht="21" x14ac:dyDescent="0.3">
      <c r="A49" s="88" t="s">
        <v>65</v>
      </c>
      <c r="B49" s="88"/>
      <c r="C49" s="88"/>
      <c r="D49" s="88"/>
      <c r="E49" s="88"/>
      <c r="F49" s="88"/>
      <c r="G49" s="88"/>
      <c r="H49" s="88"/>
      <c r="I49" s="88"/>
    </row>
    <row r="50" spans="1:11" ht="63" customHeight="1" x14ac:dyDescent="0.3">
      <c r="A50" s="17" t="s">
        <v>66</v>
      </c>
      <c r="B50" s="17" t="s">
        <v>4</v>
      </c>
      <c r="C50" s="78" t="s">
        <v>110</v>
      </c>
      <c r="D50" s="81"/>
      <c r="E50" s="81"/>
      <c r="F50" s="81"/>
      <c r="G50" s="81"/>
      <c r="H50" s="81"/>
      <c r="I50" s="79"/>
    </row>
    <row r="51" spans="1:11" ht="45.6" customHeight="1" x14ac:dyDescent="0.3">
      <c r="A51" s="17" t="s">
        <v>67</v>
      </c>
      <c r="B51" s="17" t="s">
        <v>4</v>
      </c>
      <c r="C51" s="78" t="s">
        <v>278</v>
      </c>
      <c r="D51" s="81"/>
      <c r="E51" s="81"/>
      <c r="F51" s="81"/>
      <c r="G51" s="81" t="s">
        <v>4</v>
      </c>
      <c r="H51" s="81"/>
      <c r="I51" s="79"/>
    </row>
    <row r="52" spans="1:11" ht="47.4" customHeight="1" x14ac:dyDescent="0.3">
      <c r="A52" s="17" t="s">
        <v>68</v>
      </c>
      <c r="B52" s="17" t="s">
        <v>4</v>
      </c>
      <c r="C52" s="78" t="str">
        <f>C51</f>
        <v>NMMCC/RB/2025/APL/00086
Date: 20/01/2025</v>
      </c>
      <c r="D52" s="81"/>
      <c r="E52" s="81"/>
      <c r="F52" s="81"/>
      <c r="G52" s="81" t="s">
        <v>4</v>
      </c>
      <c r="H52" s="81"/>
      <c r="I52" s="79"/>
    </row>
    <row r="53" spans="1:11" ht="64.2" customHeight="1" x14ac:dyDescent="0.3">
      <c r="A53" s="17" t="s">
        <v>96</v>
      </c>
      <c r="B53" s="17" t="s">
        <v>4</v>
      </c>
      <c r="C53" s="86" t="s">
        <v>279</v>
      </c>
      <c r="D53" s="119"/>
      <c r="E53" s="119"/>
      <c r="F53" s="119"/>
      <c r="G53" s="119" t="s">
        <v>4</v>
      </c>
      <c r="H53" s="119">
        <f>H49</f>
        <v>0</v>
      </c>
      <c r="I53" s="87"/>
    </row>
    <row r="54" spans="1:11" ht="62.25" customHeight="1" x14ac:dyDescent="0.3">
      <c r="A54" s="17" t="s">
        <v>96</v>
      </c>
      <c r="B54" s="17" t="s">
        <v>4</v>
      </c>
      <c r="C54" s="78" t="s">
        <v>280</v>
      </c>
      <c r="D54" s="81"/>
      <c r="E54" s="81"/>
      <c r="F54" s="81"/>
      <c r="G54" s="81" t="s">
        <v>4</v>
      </c>
      <c r="H54" s="81">
        <f>H50</f>
        <v>0</v>
      </c>
      <c r="I54" s="79"/>
    </row>
    <row r="55" spans="1:11" ht="108.6" customHeight="1" x14ac:dyDescent="0.3">
      <c r="A55" s="17" t="s">
        <v>69</v>
      </c>
      <c r="B55" s="17" t="s">
        <v>4</v>
      </c>
      <c r="C55" s="78" t="s">
        <v>309</v>
      </c>
      <c r="D55" s="81"/>
      <c r="E55" s="81"/>
      <c r="F55" s="81"/>
      <c r="G55" s="81" t="s">
        <v>4</v>
      </c>
      <c r="H55" s="81" t="s">
        <v>237</v>
      </c>
      <c r="I55" s="79"/>
    </row>
    <row r="56" spans="1:11" ht="111.6" customHeight="1" x14ac:dyDescent="0.3">
      <c r="A56" s="17" t="s">
        <v>197</v>
      </c>
      <c r="B56" s="17" t="s">
        <v>4</v>
      </c>
      <c r="C56" s="78" t="s">
        <v>310</v>
      </c>
      <c r="D56" s="81"/>
      <c r="E56" s="81"/>
      <c r="F56" s="81" t="s">
        <v>197</v>
      </c>
      <c r="G56" s="81" t="s">
        <v>4</v>
      </c>
      <c r="H56" s="81"/>
      <c r="I56" s="79"/>
    </row>
    <row r="57" spans="1:11" ht="133.94999999999999" customHeight="1" x14ac:dyDescent="0.3">
      <c r="A57" s="17" t="s">
        <v>307</v>
      </c>
      <c r="B57" s="17" t="s">
        <v>4</v>
      </c>
      <c r="C57" s="78" t="s">
        <v>308</v>
      </c>
      <c r="D57" s="81"/>
      <c r="E57" s="81"/>
      <c r="F57" s="81" t="s">
        <v>197</v>
      </c>
      <c r="G57" s="81" t="s">
        <v>4</v>
      </c>
      <c r="H57" s="81"/>
      <c r="I57" s="79"/>
      <c r="J57" s="1">
        <f>88.39-4.85</f>
        <v>83.54</v>
      </c>
    </row>
    <row r="58" spans="1:11" ht="21.6" thickBot="1" x14ac:dyDescent="0.35">
      <c r="A58" s="89" t="s">
        <v>70</v>
      </c>
      <c r="B58" s="90"/>
      <c r="C58" s="90"/>
      <c r="D58" s="90"/>
      <c r="E58" s="90"/>
      <c r="F58" s="90"/>
      <c r="G58" s="90"/>
      <c r="H58" s="90"/>
      <c r="I58" s="91"/>
      <c r="J58" s="65" t="s">
        <v>262</v>
      </c>
    </row>
    <row r="59" spans="1:11" ht="20.25" customHeight="1" x14ac:dyDescent="0.4">
      <c r="A59" s="92" t="s">
        <v>281</v>
      </c>
      <c r="B59" s="92"/>
      <c r="C59" s="92"/>
      <c r="D59" s="93" t="s">
        <v>4</v>
      </c>
      <c r="E59" s="62" t="s">
        <v>143</v>
      </c>
      <c r="F59" s="72" t="s">
        <v>129</v>
      </c>
      <c r="G59" s="72"/>
      <c r="H59" s="62" t="s">
        <v>144</v>
      </c>
      <c r="I59" s="62" t="s">
        <v>145</v>
      </c>
      <c r="J59" s="38" t="str">
        <f ca="1">(IF(F62&gt;99%,"All work completed. Please provide OC.",IF(F62&gt;89.8%,"Plinth, RCC, Brick, Plaster, Flooring, Wooden, Plumbing, Electrification, etc., work Completed. Finishing work is in process.",IF(F62&lt;94%,(IF(C62=0,"Work not yet Started.",IF(E62=25%,"Piling work in process",IF(E62=50%,"Excavation work in process",IF(E62=100%,"Excavation work Completed. ","0")))&amp;(IF(C63=0%,"",IF(C63=K64,"Footing work is process",IF(C63=K65,"Footing work Completed",IF(C63=K66,"1st Basement Completed",IF(C63=K67,"1st &amp; 2nd Basement Completed",IF(C63=K68,"1st to 3rd Basement Completed",IF(C63=K69,"1st to 4th Basement Completed",IF(C63=K70,"Plinth work is process",IF(C63=K71,"Plinth work completed","0")))))))))))&amp;(IF(C64=(F60+H60+I60),", RCC Slab",IF(C64&gt;0,", RCC upto "&amp;C64&amp;" Slab",""))&amp;(IF(C65=I60,", Brickwork",IF(C65&gt;0,", Brickwork upto "&amp;C65&amp;" Floor",""))&amp;(IF(C66=I60,", Internal Plaster",IF(C66&gt;0,", Internal Plaster upto "&amp;C66&amp;" Floor",""))&amp;(IF(C67=I60,", External Plaster",IF(C67&gt;0,", External Plaster upto "&amp;C67&amp;" Floor",""))&amp;(IF(C68=I60,", External Plumbing, Elevation and Waterproofing",IF(C68&gt;0,", External Plumbing, Elevation and Waterproofing upto "&amp;C68&amp;" Floor",""))&amp;(IF(C69=I60,", Flooring &amp; Fitting",IF(C69&gt;0,", Flooring &amp; Fitting upto "&amp;C69&amp;" Floor",""))&amp;(IF(C70=I60,", Wooden Work",IF(C70&gt;0,", Wooden Work upto "&amp;C70&amp;" Floor",""))&amp;(IF(C71=I60,", Electrical &amp; Sanitary fittings",IF(C71&gt;0,", Electrical &amp; Sanitary fittings upto "&amp;C71&amp;" Floor",""))&amp;(IF(C72&gt;0,", Finishing upto "&amp;C72&amp;" Floor","")&amp;(IF(C64&gt;0.5," Completed",""))))))))))))))))</f>
        <v>Excavation work Completed. 1st &amp; 2nd Basement Completed</v>
      </c>
      <c r="K59" s="40"/>
    </row>
    <row r="60" spans="1:11" ht="21" x14ac:dyDescent="0.4">
      <c r="A60" s="92"/>
      <c r="B60" s="92"/>
      <c r="C60" s="92"/>
      <c r="D60" s="93"/>
      <c r="E60" s="62">
        <v>4</v>
      </c>
      <c r="F60" s="72">
        <v>1</v>
      </c>
      <c r="G60" s="72"/>
      <c r="H60" s="62">
        <v>0</v>
      </c>
      <c r="I60" s="62">
        <f ca="1">--TRIM(RIGHT(SUBSTITUTE(LEFT(A59,_xlfn.AGGREGATE(16,6,FIND({0,1,2,3,4,5,6,7,8,9},A59,ROW(INDIRECT("1:"&amp;LEN(A59)))),1))," ",REPT(" ",LEN(A59))),LEN(A59)))</f>
        <v>25</v>
      </c>
      <c r="J60" s="39" t="s">
        <v>149</v>
      </c>
      <c r="K60" s="40"/>
    </row>
    <row r="61" spans="1:11" ht="20.25" customHeight="1" x14ac:dyDescent="0.4">
      <c r="A61" s="94" t="s">
        <v>147</v>
      </c>
      <c r="B61" s="94"/>
      <c r="C61" s="94" t="s">
        <v>160</v>
      </c>
      <c r="D61" s="94"/>
      <c r="E61" s="63" t="s">
        <v>161</v>
      </c>
      <c r="F61" s="94" t="s">
        <v>148</v>
      </c>
      <c r="G61" s="94"/>
      <c r="H61" s="50" t="s">
        <v>146</v>
      </c>
      <c r="I61" s="50"/>
      <c r="J61" s="42" t="s">
        <v>162</v>
      </c>
      <c r="K61" s="41">
        <f ca="1">I60*25%</f>
        <v>6.25</v>
      </c>
    </row>
    <row r="62" spans="1:11" ht="20.25" customHeight="1" x14ac:dyDescent="0.4">
      <c r="A62" s="71" t="s">
        <v>163</v>
      </c>
      <c r="B62" s="71"/>
      <c r="C62" s="72">
        <f ca="1">K63</f>
        <v>25</v>
      </c>
      <c r="D62" s="72"/>
      <c r="E62" s="61">
        <f ca="1">((100/I60)*C62)/100</f>
        <v>1</v>
      </c>
      <c r="F62" s="71">
        <f ca="1">(((C62/I60*5)+(C63/I60*20)+(25/(F60+H60+I60)*C64)+(5/(I60)*C65)+(2.5/(I60)*C66)+(2.5/(I60)*C67)+(5/I60*C68)+(10/I60*C69)+(2.5/I60*C70)+(2.5/I60*C71)+(10/I60*C72)+(10/I60*C73))/100)</f>
        <v>0.18333333333333335</v>
      </c>
      <c r="G62" s="71"/>
      <c r="H62" s="71" t="str">
        <f ca="1">J59</f>
        <v>Excavation work Completed. 1st &amp; 2nd Basement Completed</v>
      </c>
      <c r="I62" s="71"/>
      <c r="J62" s="42" t="s">
        <v>150</v>
      </c>
      <c r="K62" s="46">
        <f ca="1">I60*50%</f>
        <v>12.5</v>
      </c>
    </row>
    <row r="63" spans="1:11" ht="21" x14ac:dyDescent="0.4">
      <c r="A63" s="71" t="s">
        <v>130</v>
      </c>
      <c r="B63" s="71"/>
      <c r="C63" s="95">
        <f ca="1">K67</f>
        <v>16.666666666666668</v>
      </c>
      <c r="D63" s="72"/>
      <c r="E63" s="61">
        <f ca="1">((100/I60)*C63)/100</f>
        <v>0.66666666666666674</v>
      </c>
      <c r="F63" s="71"/>
      <c r="G63" s="71"/>
      <c r="H63" s="71"/>
      <c r="I63" s="71"/>
      <c r="J63" s="42" t="s">
        <v>151</v>
      </c>
      <c r="K63" s="46">
        <f ca="1">I60</f>
        <v>25</v>
      </c>
    </row>
    <row r="64" spans="1:11" ht="21" customHeight="1" x14ac:dyDescent="0.4">
      <c r="A64" s="71" t="s">
        <v>164</v>
      </c>
      <c r="B64" s="71"/>
      <c r="C64" s="95">
        <v>0</v>
      </c>
      <c r="D64" s="72"/>
      <c r="E64" s="61">
        <f ca="1">((100/(F60+H60+I60))*C64)/100</f>
        <v>0</v>
      </c>
      <c r="F64" s="71"/>
      <c r="G64" s="71"/>
      <c r="H64" s="71"/>
      <c r="I64" s="71"/>
      <c r="J64" s="42" t="s">
        <v>152</v>
      </c>
      <c r="K64" s="47">
        <f ca="1">(IF(E60&gt;1,(I60/(E60+2)),I60/4))</f>
        <v>4.166666666666667</v>
      </c>
    </row>
    <row r="65" spans="1:13" ht="21" customHeight="1" x14ac:dyDescent="0.4">
      <c r="A65" s="71" t="s">
        <v>165</v>
      </c>
      <c r="B65" s="71"/>
      <c r="C65" s="72">
        <v>0</v>
      </c>
      <c r="D65" s="72"/>
      <c r="E65" s="61">
        <f ca="1">((100/I60)*C65)/100</f>
        <v>0</v>
      </c>
      <c r="F65" s="71"/>
      <c r="G65" s="71"/>
      <c r="H65" s="71"/>
      <c r="I65" s="71"/>
      <c r="J65" s="42" t="s">
        <v>153</v>
      </c>
      <c r="K65" s="47">
        <f ca="1">(IF(E60&gt;1,(I60/(E60+2)+K64),I60/4+K64))</f>
        <v>8.3333333333333339</v>
      </c>
    </row>
    <row r="66" spans="1:13" ht="21" customHeight="1" x14ac:dyDescent="0.4">
      <c r="A66" s="73" t="s">
        <v>166</v>
      </c>
      <c r="B66" s="74"/>
      <c r="C66" s="72">
        <v>0</v>
      </c>
      <c r="D66" s="72"/>
      <c r="E66" s="61">
        <f ca="1">((100/I60)*C66)/100</f>
        <v>0</v>
      </c>
      <c r="F66" s="71"/>
      <c r="G66" s="71"/>
      <c r="H66" s="71"/>
      <c r="I66" s="71"/>
      <c r="J66" s="42" t="s">
        <v>167</v>
      </c>
      <c r="K66" s="47">
        <f ca="1">(IF(E60&gt;1,(I60/(E60+2)+K65),0))</f>
        <v>12.5</v>
      </c>
    </row>
    <row r="67" spans="1:13" ht="21" customHeight="1" x14ac:dyDescent="0.4">
      <c r="A67" s="73" t="s">
        <v>258</v>
      </c>
      <c r="B67" s="74"/>
      <c r="C67" s="72">
        <v>0</v>
      </c>
      <c r="D67" s="72"/>
      <c r="E67" s="61">
        <f ca="1">((100/I60)*C67)/100</f>
        <v>0</v>
      </c>
      <c r="F67" s="71"/>
      <c r="G67" s="71"/>
      <c r="H67" s="71"/>
      <c r="I67" s="71"/>
      <c r="J67" s="42" t="s">
        <v>168</v>
      </c>
      <c r="K67" s="47">
        <f ca="1">(IF(E60&gt;2,(I60/(E60+2)+K66),0))</f>
        <v>16.666666666666668</v>
      </c>
    </row>
    <row r="68" spans="1:13" ht="57.75" customHeight="1" x14ac:dyDescent="0.4">
      <c r="A68" s="73" t="s">
        <v>259</v>
      </c>
      <c r="B68" s="74"/>
      <c r="C68" s="72">
        <v>0</v>
      </c>
      <c r="D68" s="72"/>
      <c r="E68" s="61">
        <f ca="1">((100/(I60))*C68)/100</f>
        <v>0</v>
      </c>
      <c r="F68" s="71"/>
      <c r="G68" s="71"/>
      <c r="H68" s="71"/>
      <c r="I68" s="71"/>
      <c r="J68" s="42" t="s">
        <v>170</v>
      </c>
      <c r="K68" s="48">
        <f ca="1">(IF(E60&gt;3,(I60/(E60+2)+K67),0))</f>
        <v>20.833333333333336</v>
      </c>
    </row>
    <row r="69" spans="1:13" ht="21" x14ac:dyDescent="0.4">
      <c r="A69" s="71" t="s">
        <v>169</v>
      </c>
      <c r="B69" s="71"/>
      <c r="C69" s="72">
        <v>0</v>
      </c>
      <c r="D69" s="72"/>
      <c r="E69" s="61">
        <f ca="1">((100/(I60))*C69)/100</f>
        <v>0</v>
      </c>
      <c r="F69" s="71"/>
      <c r="G69" s="71"/>
      <c r="H69" s="71"/>
      <c r="I69" s="71"/>
      <c r="J69" s="42" t="s">
        <v>171</v>
      </c>
      <c r="K69" s="47">
        <f>(IF(E60&gt;4,(I60/(E60+2)+K68),0))</f>
        <v>0</v>
      </c>
    </row>
    <row r="70" spans="1:13" ht="21" customHeight="1" x14ac:dyDescent="0.4">
      <c r="A70" s="71" t="s">
        <v>260</v>
      </c>
      <c r="B70" s="71"/>
      <c r="C70" s="72">
        <v>0</v>
      </c>
      <c r="D70" s="72"/>
      <c r="E70" s="61">
        <f ca="1">((100/I60)*C70)/100</f>
        <v>0</v>
      </c>
      <c r="F70" s="71"/>
      <c r="G70" s="71"/>
      <c r="H70" s="71"/>
      <c r="I70" s="71"/>
      <c r="J70" s="42" t="s">
        <v>154</v>
      </c>
      <c r="K70" s="47">
        <f>(IF(E60=1,(I60/(E60+3)+K65),IF(E60=0,(I60/4+K65),IF(E60&gt;1,0))))</f>
        <v>0</v>
      </c>
    </row>
    <row r="71" spans="1:13" ht="21.6" thickBot="1" x14ac:dyDescent="0.45">
      <c r="A71" s="71" t="s">
        <v>261</v>
      </c>
      <c r="B71" s="71"/>
      <c r="C71" s="72">
        <v>0</v>
      </c>
      <c r="D71" s="72"/>
      <c r="E71" s="61">
        <f ca="1">((100/I60)*C71)/100</f>
        <v>0</v>
      </c>
      <c r="F71" s="71"/>
      <c r="G71" s="71"/>
      <c r="H71" s="71"/>
      <c r="I71" s="71"/>
      <c r="J71" s="44" t="s">
        <v>155</v>
      </c>
      <c r="K71" s="49">
        <f ca="1">(IF(E60&gt;1.5,(I60/(E60+2)+K64+MAX(0,K65-K64)+MAX(0,K66-K65)+MAX(0,K67-K66)+MAX(0,K68-K67)+MAX(0,K69-K68)),IF(E60=1,(I60/(E60+3)+K70),IF(E60=0,I60/4+K70))))</f>
        <v>25</v>
      </c>
      <c r="M71" s="1" t="e">
        <f>(IF(D59&gt;1.5,(H59/(D59+2)+J64+MAX(0,J65-J64)+MAX(0,J66-J65)+MAX(0,J67-J66)+MAX(0,J68-J67)+MAX(0,J69-J68)),IF(D59=1,(H59/(D59+3)+J69),IF(D59=0,H59*0.3+J69))))</f>
        <v>#VALUE!</v>
      </c>
    </row>
    <row r="72" spans="1:13" ht="21" x14ac:dyDescent="0.3">
      <c r="A72" s="71" t="s">
        <v>172</v>
      </c>
      <c r="B72" s="71"/>
      <c r="C72" s="72">
        <v>0</v>
      </c>
      <c r="D72" s="72"/>
      <c r="E72" s="61">
        <f ca="1">((100/(I60))*C72)/100</f>
        <v>0</v>
      </c>
      <c r="F72" s="71"/>
      <c r="G72" s="71"/>
      <c r="H72" s="71"/>
      <c r="I72" s="71"/>
    </row>
    <row r="73" spans="1:13" ht="21" x14ac:dyDescent="0.3">
      <c r="A73" s="71" t="s">
        <v>173</v>
      </c>
      <c r="B73" s="71"/>
      <c r="C73" s="72">
        <v>0</v>
      </c>
      <c r="D73" s="72"/>
      <c r="E73" s="61">
        <f ca="1">((100/(I60))*C73)/100</f>
        <v>0</v>
      </c>
      <c r="F73" s="71"/>
      <c r="G73" s="71"/>
      <c r="H73" s="71"/>
      <c r="I73" s="71"/>
    </row>
    <row r="74" spans="1:13" ht="21.6" thickBot="1" x14ac:dyDescent="0.35">
      <c r="A74" s="89" t="s">
        <v>70</v>
      </c>
      <c r="B74" s="90"/>
      <c r="C74" s="90"/>
      <c r="D74" s="90"/>
      <c r="E74" s="90"/>
      <c r="F74" s="90"/>
      <c r="G74" s="90"/>
      <c r="H74" s="90"/>
      <c r="I74" s="91"/>
      <c r="J74" s="65" t="s">
        <v>262</v>
      </c>
    </row>
    <row r="75" spans="1:13" ht="20.25" customHeight="1" x14ac:dyDescent="0.4">
      <c r="A75" s="92" t="s">
        <v>275</v>
      </c>
      <c r="B75" s="92"/>
      <c r="C75" s="92"/>
      <c r="D75" s="93" t="s">
        <v>4</v>
      </c>
      <c r="E75" s="62" t="s">
        <v>143</v>
      </c>
      <c r="F75" s="72" t="s">
        <v>129</v>
      </c>
      <c r="G75" s="72"/>
      <c r="H75" s="62" t="s">
        <v>144</v>
      </c>
      <c r="I75" s="62" t="s">
        <v>145</v>
      </c>
      <c r="J75" s="38" t="str">
        <f ca="1">(IF(F78&gt;99%,"All work completed. Please provide OC.",IF(F78&gt;89.8%,"Plinth, RCC, Brick, Plaster, Flooring, Wooden, Plumbing, Electrification, etc., work Completed. Finishing work is in process.",IF(F78&lt;94%,(IF(C78=0,"Work not yet Started.",IF(E78=25%,"Piling work in process",IF(E78=50%,"Excavation work in process",IF(E78=100%,"Excavation work Completed. ","0")))&amp;(IF(C79=0%,"",IF(C79=K80,"Footing work is process",IF(C79=K81,"Footing work Completed",IF(C79=K82,"1st Basement Completed",IF(C79=K83,"1st &amp; 2nd Basement Completed",IF(C79=K84,"1st to 3rd Basement Completed",IF(C79=K85,"1st to 4th Basement Completed",IF(C79=K86,"Plinth work is process",IF(C79=K87,"Plinth work completed","0")))))))))))&amp;(IF(C80=(F76+H76+I76),", RCC Slab",IF(C80&gt;0,", RCC upto "&amp;C80&amp;" Slab",""))&amp;(IF(C81=I76,", Brickwork",IF(C81&gt;0,", Brickwork upto "&amp;C81&amp;" Floor",""))&amp;(IF(C82=I76,", Internal Plaster",IF(C82&gt;0,", Internal Plaster upto "&amp;C82&amp;" Floor",""))&amp;(IF(C83=I76,", External Plaster",IF(C83&gt;0,", External Plaster upto "&amp;C83&amp;" Floor",""))&amp;(IF(C84=I76,", External Plumbing, Elevation and Waterproofing",IF(C84&gt;0,", External Plumbing, Elevation and Waterproofing upto "&amp;C84&amp;" Floor",""))&amp;(IF(C85=I76,", Flooring &amp; Fitting",IF(C85&gt;0,", Flooring &amp; Fitting upto "&amp;C85&amp;" Floor",""))&amp;(IF(C86=I76,", Wooden Work",IF(C86&gt;0,", Wooden Work upto "&amp;C86&amp;" Floor",""))&amp;(IF(C87=I76,", Electrical &amp; Sanitary fittings",IF(C87&gt;0,", Electrical &amp; Sanitary fittings upto "&amp;C87&amp;" Floor",""))&amp;(IF(C88&gt;0,", Finishing upto "&amp;C88&amp;" Floor","")&amp;(IF(C80&gt;0.5," Completed",""))))))))))))))))</f>
        <v>Excavation work Completed. 1st Basement Completed</v>
      </c>
      <c r="K75" s="40"/>
    </row>
    <row r="76" spans="1:13" ht="21" x14ac:dyDescent="0.4">
      <c r="A76" s="92"/>
      <c r="B76" s="92"/>
      <c r="C76" s="92"/>
      <c r="D76" s="93"/>
      <c r="E76" s="62">
        <v>4</v>
      </c>
      <c r="F76" s="72">
        <v>1</v>
      </c>
      <c r="G76" s="72"/>
      <c r="H76" s="62">
        <v>0</v>
      </c>
      <c r="I76" s="62">
        <f ca="1">--TRIM(RIGHT(SUBSTITUTE(LEFT(A75,_xlfn.AGGREGATE(16,6,FIND({0,1,2,3,4,5,6,7,8,9},A75,ROW(INDIRECT("1:"&amp;LEN(A75)))),1))," ",REPT(" ",LEN(A75))),LEN(A75)))</f>
        <v>24</v>
      </c>
      <c r="J76" s="39" t="s">
        <v>149</v>
      </c>
      <c r="K76" s="40"/>
    </row>
    <row r="77" spans="1:13" ht="20.25" customHeight="1" x14ac:dyDescent="0.4">
      <c r="A77" s="94" t="s">
        <v>147</v>
      </c>
      <c r="B77" s="94"/>
      <c r="C77" s="94" t="s">
        <v>160</v>
      </c>
      <c r="D77" s="94"/>
      <c r="E77" s="63" t="s">
        <v>161</v>
      </c>
      <c r="F77" s="94" t="s">
        <v>148</v>
      </c>
      <c r="G77" s="94"/>
      <c r="H77" s="50" t="s">
        <v>146</v>
      </c>
      <c r="I77" s="50"/>
      <c r="J77" s="42" t="s">
        <v>162</v>
      </c>
      <c r="K77" s="41">
        <f ca="1">I76*25%</f>
        <v>6</v>
      </c>
    </row>
    <row r="78" spans="1:13" ht="20.25" customHeight="1" x14ac:dyDescent="0.4">
      <c r="A78" s="71" t="s">
        <v>163</v>
      </c>
      <c r="B78" s="71"/>
      <c r="C78" s="72">
        <f ca="1">K79</f>
        <v>24</v>
      </c>
      <c r="D78" s="72"/>
      <c r="E78" s="61">
        <f ca="1">((100/I76)*C78)/100</f>
        <v>1</v>
      </c>
      <c r="F78" s="71">
        <f ca="1">(((C78/I76*5)+(C79/I76*20)+(25/(F76+H76+I76)*C80)+(5/(I76)*C81)+(2.5/(I76)*C82)+(2.5/(I76)*C83)+(5/I76*C84)+(10/I76*C85)+(2.5/I76*C86)+(2.5/I76*C87)+(10/I76*C88)+(10/I76*C89))/100)</f>
        <v>0.15</v>
      </c>
      <c r="G78" s="71"/>
      <c r="H78" s="71" t="str">
        <f ca="1">J75</f>
        <v>Excavation work Completed. 1st Basement Completed</v>
      </c>
      <c r="I78" s="71"/>
      <c r="J78" s="42" t="s">
        <v>150</v>
      </c>
      <c r="K78" s="46">
        <f ca="1">I76*50%</f>
        <v>12</v>
      </c>
    </row>
    <row r="79" spans="1:13" ht="21" x14ac:dyDescent="0.4">
      <c r="A79" s="71" t="s">
        <v>130</v>
      </c>
      <c r="B79" s="71"/>
      <c r="C79" s="95">
        <f ca="1">K82</f>
        <v>12</v>
      </c>
      <c r="D79" s="72"/>
      <c r="E79" s="61">
        <f ca="1">((100/I76)*C79)/100</f>
        <v>0.5</v>
      </c>
      <c r="F79" s="71"/>
      <c r="G79" s="71"/>
      <c r="H79" s="71"/>
      <c r="I79" s="71"/>
      <c r="J79" s="42" t="s">
        <v>151</v>
      </c>
      <c r="K79" s="46">
        <f ca="1">I76</f>
        <v>24</v>
      </c>
    </row>
    <row r="80" spans="1:13" ht="21" customHeight="1" x14ac:dyDescent="0.4">
      <c r="A80" s="71" t="s">
        <v>164</v>
      </c>
      <c r="B80" s="71"/>
      <c r="C80" s="72">
        <v>0</v>
      </c>
      <c r="D80" s="72"/>
      <c r="E80" s="61">
        <f ca="1">((100/(F76+H76+I76))*C80)/100</f>
        <v>0</v>
      </c>
      <c r="F80" s="71"/>
      <c r="G80" s="71"/>
      <c r="H80" s="71"/>
      <c r="I80" s="71"/>
      <c r="J80" s="42" t="s">
        <v>152</v>
      </c>
      <c r="K80" s="47">
        <f ca="1">(IF(E76&gt;1,(I76/(E76+2)),I76/4))</f>
        <v>4</v>
      </c>
    </row>
    <row r="81" spans="1:13" ht="21" customHeight="1" x14ac:dyDescent="0.4">
      <c r="A81" s="71" t="s">
        <v>165</v>
      </c>
      <c r="B81" s="71"/>
      <c r="C81" s="72">
        <v>0</v>
      </c>
      <c r="D81" s="72"/>
      <c r="E81" s="61">
        <f ca="1">((100/I76)*C81)/100</f>
        <v>0</v>
      </c>
      <c r="F81" s="71"/>
      <c r="G81" s="71"/>
      <c r="H81" s="71"/>
      <c r="I81" s="71"/>
      <c r="J81" s="42" t="s">
        <v>153</v>
      </c>
      <c r="K81" s="47">
        <f ca="1">(IF(E76&gt;1,(I76/(E76+2)+K80),I76/4+K80))</f>
        <v>8</v>
      </c>
    </row>
    <row r="82" spans="1:13" ht="21" customHeight="1" x14ac:dyDescent="0.4">
      <c r="A82" s="73" t="s">
        <v>166</v>
      </c>
      <c r="B82" s="74"/>
      <c r="C82" s="72">
        <v>0</v>
      </c>
      <c r="D82" s="72"/>
      <c r="E82" s="61">
        <f ca="1">((100/I76)*C82)/100</f>
        <v>0</v>
      </c>
      <c r="F82" s="71"/>
      <c r="G82" s="71"/>
      <c r="H82" s="71"/>
      <c r="I82" s="71"/>
      <c r="J82" s="42" t="s">
        <v>167</v>
      </c>
      <c r="K82" s="47">
        <f ca="1">(IF(E76&gt;1,(I76/(E76+2)+K81),0))</f>
        <v>12</v>
      </c>
    </row>
    <row r="83" spans="1:13" ht="21" customHeight="1" x14ac:dyDescent="0.4">
      <c r="A83" s="73" t="s">
        <v>258</v>
      </c>
      <c r="B83" s="74"/>
      <c r="C83" s="72">
        <v>0</v>
      </c>
      <c r="D83" s="72"/>
      <c r="E83" s="61">
        <f ca="1">((100/I76)*C83)/100</f>
        <v>0</v>
      </c>
      <c r="F83" s="71"/>
      <c r="G83" s="71"/>
      <c r="H83" s="71"/>
      <c r="I83" s="71"/>
      <c r="J83" s="42" t="s">
        <v>168</v>
      </c>
      <c r="K83" s="47">
        <f ca="1">(IF(E76&gt;2,(I76/(E76+2)+K82),0))</f>
        <v>16</v>
      </c>
    </row>
    <row r="84" spans="1:13" ht="57.75" customHeight="1" x14ac:dyDescent="0.4">
      <c r="A84" s="73" t="s">
        <v>259</v>
      </c>
      <c r="B84" s="74"/>
      <c r="C84" s="72">
        <v>0</v>
      </c>
      <c r="D84" s="72"/>
      <c r="E84" s="61">
        <f ca="1">((100/(I76))*C84)/100</f>
        <v>0</v>
      </c>
      <c r="F84" s="71"/>
      <c r="G84" s="71"/>
      <c r="H84" s="71"/>
      <c r="I84" s="71"/>
      <c r="J84" s="42" t="s">
        <v>170</v>
      </c>
      <c r="K84" s="48">
        <f ca="1">(IF(E76&gt;3,(I76/(E76+2)+K83),0))</f>
        <v>20</v>
      </c>
    </row>
    <row r="85" spans="1:13" ht="21" x14ac:dyDescent="0.4">
      <c r="A85" s="71" t="s">
        <v>169</v>
      </c>
      <c r="B85" s="71"/>
      <c r="C85" s="72">
        <v>0</v>
      </c>
      <c r="D85" s="72"/>
      <c r="E85" s="61">
        <f ca="1">((100/(I76))*C85)/100</f>
        <v>0</v>
      </c>
      <c r="F85" s="71"/>
      <c r="G85" s="71"/>
      <c r="H85" s="71"/>
      <c r="I85" s="71"/>
      <c r="J85" s="42" t="s">
        <v>171</v>
      </c>
      <c r="K85" s="47">
        <f>(IF(E76&gt;4,(I76/(E76+2)+K84),0))</f>
        <v>0</v>
      </c>
    </row>
    <row r="86" spans="1:13" ht="21" customHeight="1" x14ac:dyDescent="0.4">
      <c r="A86" s="71" t="s">
        <v>260</v>
      </c>
      <c r="B86" s="71"/>
      <c r="C86" s="72">
        <v>0</v>
      </c>
      <c r="D86" s="72"/>
      <c r="E86" s="61">
        <f ca="1">((100/I76)*C86)/100</f>
        <v>0</v>
      </c>
      <c r="F86" s="71"/>
      <c r="G86" s="71"/>
      <c r="H86" s="71"/>
      <c r="I86" s="71"/>
      <c r="J86" s="42" t="s">
        <v>154</v>
      </c>
      <c r="K86" s="47">
        <f>(IF(E76=1,(I76/(E76+3)+K81),IF(E76=0,(I76/4+K81),IF(E76&gt;1,0))))</f>
        <v>0</v>
      </c>
    </row>
    <row r="87" spans="1:13" ht="21.6" thickBot="1" x14ac:dyDescent="0.45">
      <c r="A87" s="71" t="s">
        <v>261</v>
      </c>
      <c r="B87" s="71"/>
      <c r="C87" s="72">
        <v>0</v>
      </c>
      <c r="D87" s="72"/>
      <c r="E87" s="61">
        <f ca="1">((100/I76)*C87)/100</f>
        <v>0</v>
      </c>
      <c r="F87" s="71"/>
      <c r="G87" s="71"/>
      <c r="H87" s="71"/>
      <c r="I87" s="71"/>
      <c r="J87" s="44" t="s">
        <v>155</v>
      </c>
      <c r="K87" s="49">
        <f ca="1">(IF(E76&gt;1.5,(I76/(E76+2)+K80+MAX(0,K81-K80)+MAX(0,K82-K81)+MAX(0,K83-K82)+MAX(0,K84-K83)+MAX(0,K85-K84)),IF(E76=1,(I76/(E76+3)+K86),IF(E76=0,I76/4+K86))))</f>
        <v>24</v>
      </c>
      <c r="M87" s="1" t="e">
        <f>(IF(D75&gt;1.5,(H75/(D75+2)+J80+MAX(0,J81-J80)+MAX(0,J82-J81)+MAX(0,J83-J82)+MAX(0,J84-J83)+MAX(0,J85-J84)),IF(D75=1,(H75/(D75+3)+J85),IF(D75=0,H75*0.3+J85))))</f>
        <v>#VALUE!</v>
      </c>
    </row>
    <row r="88" spans="1:13" ht="21" x14ac:dyDescent="0.3">
      <c r="A88" s="71" t="s">
        <v>172</v>
      </c>
      <c r="B88" s="71"/>
      <c r="C88" s="72">
        <v>0</v>
      </c>
      <c r="D88" s="72"/>
      <c r="E88" s="61">
        <f ca="1">((100/(I76))*C88)/100</f>
        <v>0</v>
      </c>
      <c r="F88" s="71"/>
      <c r="G88" s="71"/>
      <c r="H88" s="71"/>
      <c r="I88" s="71"/>
    </row>
    <row r="89" spans="1:13" ht="21" x14ac:dyDescent="0.3">
      <c r="A89" s="71" t="s">
        <v>173</v>
      </c>
      <c r="B89" s="71"/>
      <c r="C89" s="72">
        <v>0</v>
      </c>
      <c r="D89" s="72"/>
      <c r="E89" s="61">
        <f ca="1">((100/(I76))*C89)/100</f>
        <v>0</v>
      </c>
      <c r="F89" s="71"/>
      <c r="G89" s="71"/>
      <c r="H89" s="71"/>
      <c r="I89" s="71"/>
    </row>
    <row r="90" spans="1:13" ht="21.6" thickBot="1" x14ac:dyDescent="0.35">
      <c r="A90" s="88" t="s">
        <v>70</v>
      </c>
      <c r="B90" s="88"/>
      <c r="C90" s="88"/>
      <c r="D90" s="88"/>
      <c r="E90" s="88"/>
      <c r="F90" s="88"/>
      <c r="G90" s="88"/>
      <c r="H90" s="88"/>
      <c r="I90" s="88"/>
      <c r="J90" s="65" t="s">
        <v>262</v>
      </c>
    </row>
    <row r="91" spans="1:13" ht="20.25" customHeight="1" x14ac:dyDescent="0.4">
      <c r="A91" s="92" t="s">
        <v>257</v>
      </c>
      <c r="B91" s="92"/>
      <c r="C91" s="92"/>
      <c r="D91" s="93" t="s">
        <v>4</v>
      </c>
      <c r="E91" s="62" t="s">
        <v>143</v>
      </c>
      <c r="F91" s="72" t="s">
        <v>129</v>
      </c>
      <c r="G91" s="72"/>
      <c r="H91" s="62" t="s">
        <v>144</v>
      </c>
      <c r="I91" s="62" t="s">
        <v>145</v>
      </c>
      <c r="J91" s="38" t="str">
        <f ca="1">(IF(F94&gt;99%,"All work completed. Please provide OC.",IF(F94&gt;89.8%,"Plinth, RCC, Brick, Plaster, Flooring, Wooden, Plumbing, Electrification, etc., work Completed. Finishing work is in process.",IF(F94&lt;94%,(IF(C94=0,"Work not yet Started.",IF(E94=25%,"Piling work in process",IF(E94=50%,"Excavation work in process",IF(E94=100%,"Excavation work Completed. ","0")))&amp;(IF(C95=0%,"",IF(C95=K96,"Footing work is process",IF(C95=K97,"Footing work Completed",IF(C95=K98,"1st Basement Completed",IF(C95=K99,"1st &amp; 2nd Basement Completed",IF(C95=K100,"1st to 3rd Basement Completed",IF(C95=K101,"1st to 4th Basement Completed",IF(C95=K102,"Plinth work is process",IF(C95=K103,"Plinth work completed","0")))))))))))&amp;(IF(C96=(F92+H92+I92),", RCC Slab",IF(C96&gt;0,", RCC upto "&amp;C96&amp;" Slab",""))&amp;(IF(C97=I92,", Brickwork",IF(C97&gt;0,", Brickwork upto "&amp;C97&amp;" Floor",""))&amp;(IF(C98=I92,", Internal Plaster",IF(C98&gt;0,", Internal Plaster upto "&amp;C98&amp;" Floor",""))&amp;(IF(C99=I92,", External Plaster",IF(C99&gt;0,", External Plaster upto "&amp;C99&amp;" Floor",""))&amp;(IF(C100=I92,", External Plumbing, Elevation and Waterproofing",IF(C100&gt;0,", External Plumbing, Elevation and Waterproofing upto "&amp;C100&amp;" Floor",""))&amp;(IF(C101=I92,", Flooring &amp; Fitting",IF(C101&gt;0,", Flooring &amp; Fitting upto "&amp;C101&amp;" Floor",""))&amp;(IF(C102=I92,", Wooden Work",IF(C102&gt;0,", Wooden Work upto "&amp;C102&amp;" Floor",""))&amp;(IF(C103=I92,", Electrical &amp; Sanitary fittings",IF(C103&gt;0,", Electrical &amp; Sanitary fittings upto "&amp;C103&amp;" Floor",""))&amp;(IF(C104&gt;0,", Finishing upto "&amp;C104&amp;" Floor","")&amp;(IF(C96&gt;0.5," Completed",""))))))))))))))))</f>
        <v>Excavation work Completed. Footing work is process</v>
      </c>
      <c r="K91" s="40"/>
    </row>
    <row r="92" spans="1:13" ht="21" x14ac:dyDescent="0.4">
      <c r="A92" s="92"/>
      <c r="B92" s="92"/>
      <c r="C92" s="92"/>
      <c r="D92" s="93"/>
      <c r="E92" s="62">
        <v>4</v>
      </c>
      <c r="F92" s="72">
        <v>1</v>
      </c>
      <c r="G92" s="72"/>
      <c r="H92" s="62">
        <v>0</v>
      </c>
      <c r="I92" s="62">
        <f ca="1">--TRIM(RIGHT(SUBSTITUTE(LEFT(A91,_xlfn.AGGREGATE(16,6,FIND({0,1,2,3,4,5,6,7,8,9},A91,ROW(INDIRECT("1:"&amp;LEN(A91)))),1))," ",REPT(" ",LEN(A91))),LEN(A91)))</f>
        <v>24</v>
      </c>
      <c r="J92" s="39" t="s">
        <v>149</v>
      </c>
      <c r="K92" s="40"/>
    </row>
    <row r="93" spans="1:13" ht="20.25" customHeight="1" x14ac:dyDescent="0.4">
      <c r="A93" s="94" t="s">
        <v>147</v>
      </c>
      <c r="B93" s="94"/>
      <c r="C93" s="94" t="s">
        <v>160</v>
      </c>
      <c r="D93" s="94"/>
      <c r="E93" s="63" t="s">
        <v>161</v>
      </c>
      <c r="F93" s="94" t="s">
        <v>148</v>
      </c>
      <c r="G93" s="94"/>
      <c r="H93" s="50" t="s">
        <v>146</v>
      </c>
      <c r="I93" s="50"/>
      <c r="J93" s="42" t="s">
        <v>162</v>
      </c>
      <c r="K93" s="41">
        <f ca="1">I92*25%</f>
        <v>6</v>
      </c>
    </row>
    <row r="94" spans="1:13" ht="20.25" customHeight="1" x14ac:dyDescent="0.4">
      <c r="A94" s="71" t="s">
        <v>163</v>
      </c>
      <c r="B94" s="71"/>
      <c r="C94" s="72">
        <f ca="1">K95</f>
        <v>24</v>
      </c>
      <c r="D94" s="72"/>
      <c r="E94" s="61">
        <f ca="1">((100/I92)*C94)/100</f>
        <v>1</v>
      </c>
      <c r="F94" s="71">
        <f ca="1">(((C94/I92*5)+(C95/I92*20)+(25/(F92+H92+I92)*C96)+(5/(I92)*C97)+(2.5/(I92)*C98)+(2.5/(I92)*C99)+(5/I92*C100)+(10/I92*C101)+(2.5/I92*C102)+(2.5/I92*C103)+(10/I92*C104)+(10/I92*C105))/100)</f>
        <v>8.3333333333333315E-2</v>
      </c>
      <c r="G94" s="71"/>
      <c r="H94" s="71" t="str">
        <f ca="1">J91</f>
        <v>Excavation work Completed. Footing work is process</v>
      </c>
      <c r="I94" s="71"/>
      <c r="J94" s="42" t="s">
        <v>150</v>
      </c>
      <c r="K94" s="46">
        <f ca="1">I92*50%</f>
        <v>12</v>
      </c>
    </row>
    <row r="95" spans="1:13" ht="21" x14ac:dyDescent="0.4">
      <c r="A95" s="71" t="s">
        <v>130</v>
      </c>
      <c r="B95" s="71"/>
      <c r="C95" s="95">
        <f ca="1">K96</f>
        <v>4</v>
      </c>
      <c r="D95" s="72"/>
      <c r="E95" s="61">
        <f ca="1">((100/I92)*C95)/100</f>
        <v>0.16666666666666669</v>
      </c>
      <c r="F95" s="71"/>
      <c r="G95" s="71"/>
      <c r="H95" s="71"/>
      <c r="I95" s="71"/>
      <c r="J95" s="42" t="s">
        <v>151</v>
      </c>
      <c r="K95" s="46">
        <f ca="1">I92</f>
        <v>24</v>
      </c>
    </row>
    <row r="96" spans="1:13" ht="21" customHeight="1" x14ac:dyDescent="0.4">
      <c r="A96" s="71" t="s">
        <v>164</v>
      </c>
      <c r="B96" s="71"/>
      <c r="C96" s="72">
        <v>0</v>
      </c>
      <c r="D96" s="72"/>
      <c r="E96" s="61">
        <f ca="1">((100/(F92+H92+I92))*C96)/100</f>
        <v>0</v>
      </c>
      <c r="F96" s="71"/>
      <c r="G96" s="71"/>
      <c r="H96" s="71"/>
      <c r="I96" s="71"/>
      <c r="J96" s="42" t="s">
        <v>152</v>
      </c>
      <c r="K96" s="47">
        <f ca="1">(IF(E92&gt;1,(I92/(E92+2)),I92/4))</f>
        <v>4</v>
      </c>
    </row>
    <row r="97" spans="1:13" ht="21" customHeight="1" x14ac:dyDescent="0.4">
      <c r="A97" s="71" t="s">
        <v>165</v>
      </c>
      <c r="B97" s="71"/>
      <c r="C97" s="72">
        <v>0</v>
      </c>
      <c r="D97" s="72"/>
      <c r="E97" s="61">
        <f ca="1">((100/I92)*C97)/100</f>
        <v>0</v>
      </c>
      <c r="F97" s="71"/>
      <c r="G97" s="71"/>
      <c r="H97" s="71"/>
      <c r="I97" s="71"/>
      <c r="J97" s="42" t="s">
        <v>153</v>
      </c>
      <c r="K97" s="47">
        <f ca="1">(IF(E92&gt;1,(I92/(E92+2)+K96),I92/4+K96))</f>
        <v>8</v>
      </c>
    </row>
    <row r="98" spans="1:13" ht="21" customHeight="1" x14ac:dyDescent="0.4">
      <c r="A98" s="73" t="s">
        <v>166</v>
      </c>
      <c r="B98" s="74"/>
      <c r="C98" s="72">
        <v>0</v>
      </c>
      <c r="D98" s="72"/>
      <c r="E98" s="61">
        <f ca="1">((100/I92)*C98)/100</f>
        <v>0</v>
      </c>
      <c r="F98" s="71"/>
      <c r="G98" s="71"/>
      <c r="H98" s="71"/>
      <c r="I98" s="71"/>
      <c r="J98" s="42" t="s">
        <v>167</v>
      </c>
      <c r="K98" s="47">
        <f ca="1">(IF(E92&gt;1,(I92/(E92+2)+K97),0))</f>
        <v>12</v>
      </c>
    </row>
    <row r="99" spans="1:13" ht="21" customHeight="1" x14ac:dyDescent="0.4">
      <c r="A99" s="73" t="s">
        <v>258</v>
      </c>
      <c r="B99" s="74"/>
      <c r="C99" s="72">
        <v>0</v>
      </c>
      <c r="D99" s="72"/>
      <c r="E99" s="61">
        <f ca="1">((100/I92)*C99)/100</f>
        <v>0</v>
      </c>
      <c r="F99" s="71"/>
      <c r="G99" s="71"/>
      <c r="H99" s="71"/>
      <c r="I99" s="71"/>
      <c r="J99" s="42" t="s">
        <v>168</v>
      </c>
      <c r="K99" s="47">
        <f ca="1">(IF(E92&gt;2,(I92/(E92+2)+K98),0))</f>
        <v>16</v>
      </c>
    </row>
    <row r="100" spans="1:13" ht="57.75" customHeight="1" x14ac:dyDescent="0.4">
      <c r="A100" s="73" t="s">
        <v>259</v>
      </c>
      <c r="B100" s="74"/>
      <c r="C100" s="72">
        <v>0</v>
      </c>
      <c r="D100" s="72"/>
      <c r="E100" s="61">
        <f ca="1">((100/(I92))*C100)/100</f>
        <v>0</v>
      </c>
      <c r="F100" s="71"/>
      <c r="G100" s="71"/>
      <c r="H100" s="71"/>
      <c r="I100" s="71"/>
      <c r="J100" s="42" t="s">
        <v>170</v>
      </c>
      <c r="K100" s="48">
        <f ca="1">(IF(E92&gt;3,(I92/(E92+2)+K99),0))</f>
        <v>20</v>
      </c>
    </row>
    <row r="101" spans="1:13" ht="21" x14ac:dyDescent="0.4">
      <c r="A101" s="71" t="s">
        <v>169</v>
      </c>
      <c r="B101" s="71"/>
      <c r="C101" s="72">
        <v>0</v>
      </c>
      <c r="D101" s="72"/>
      <c r="E101" s="61">
        <f ca="1">((100/(I92))*C101)/100</f>
        <v>0</v>
      </c>
      <c r="F101" s="71"/>
      <c r="G101" s="71"/>
      <c r="H101" s="71"/>
      <c r="I101" s="71"/>
      <c r="J101" s="42" t="s">
        <v>171</v>
      </c>
      <c r="K101" s="47">
        <f>(IF(E92&gt;4,(I92/(E92+2)+K100),0))</f>
        <v>0</v>
      </c>
    </row>
    <row r="102" spans="1:13" ht="21" customHeight="1" x14ac:dyDescent="0.4">
      <c r="A102" s="71" t="s">
        <v>260</v>
      </c>
      <c r="B102" s="71"/>
      <c r="C102" s="72">
        <v>0</v>
      </c>
      <c r="D102" s="72"/>
      <c r="E102" s="61">
        <f ca="1">((100/I92)*C102)/100</f>
        <v>0</v>
      </c>
      <c r="F102" s="71"/>
      <c r="G102" s="71"/>
      <c r="H102" s="71"/>
      <c r="I102" s="71"/>
      <c r="J102" s="42" t="s">
        <v>154</v>
      </c>
      <c r="K102" s="47">
        <f>(IF(E92=1,(I92/(E92+3)+K97),IF(E92=0,(I92/4+K97),IF(E92&gt;1,0))))</f>
        <v>0</v>
      </c>
    </row>
    <row r="103" spans="1:13" ht="21.6" thickBot="1" x14ac:dyDescent="0.45">
      <c r="A103" s="71" t="s">
        <v>261</v>
      </c>
      <c r="B103" s="71"/>
      <c r="C103" s="72">
        <v>0</v>
      </c>
      <c r="D103" s="72"/>
      <c r="E103" s="61">
        <f ca="1">((100/I92)*C103)/100</f>
        <v>0</v>
      </c>
      <c r="F103" s="71"/>
      <c r="G103" s="71"/>
      <c r="H103" s="71"/>
      <c r="I103" s="71"/>
      <c r="J103" s="44" t="s">
        <v>155</v>
      </c>
      <c r="K103" s="49">
        <f ca="1">(IF(E92&gt;1.5,(I92/(E92+2)+K96+MAX(0,K97-K96)+MAX(0,K98-K97)+MAX(0,K99-K98)+MAX(0,K100-K99)+MAX(0,K101-K100)),IF(E92=1,(I92/(E92+3)+K102),IF(E92=0,I92/4+K102))))</f>
        <v>24</v>
      </c>
      <c r="M103" s="1" t="e">
        <f>(IF(D91&gt;1.5,(H91/(D91+2)+J96+MAX(0,J97-J96)+MAX(0,J98-J97)+MAX(0,J99-J98)+MAX(0,J100-J99)+MAX(0,J101-J100)),IF(D91=1,(H91/(D91+3)+J101),IF(D91=0,H91*0.3+J101))))</f>
        <v>#VALUE!</v>
      </c>
    </row>
    <row r="104" spans="1:13" ht="21" x14ac:dyDescent="0.3">
      <c r="A104" s="71" t="s">
        <v>172</v>
      </c>
      <c r="B104" s="71"/>
      <c r="C104" s="72">
        <v>0</v>
      </c>
      <c r="D104" s="72"/>
      <c r="E104" s="61">
        <f ca="1">((100/(I92))*C104)/100</f>
        <v>0</v>
      </c>
      <c r="F104" s="71"/>
      <c r="G104" s="71"/>
      <c r="H104" s="71"/>
      <c r="I104" s="71"/>
    </row>
    <row r="105" spans="1:13" ht="21" x14ac:dyDescent="0.3">
      <c r="A105" s="71" t="s">
        <v>173</v>
      </c>
      <c r="B105" s="71"/>
      <c r="C105" s="72">
        <v>0</v>
      </c>
      <c r="D105" s="72"/>
      <c r="E105" s="61">
        <f ca="1">((100/(I92))*C105)/100</f>
        <v>0</v>
      </c>
      <c r="F105" s="71"/>
      <c r="G105" s="71"/>
      <c r="H105" s="71"/>
      <c r="I105" s="71"/>
    </row>
    <row r="106" spans="1:13" ht="36.75" customHeight="1" x14ac:dyDescent="0.4">
      <c r="A106" s="154" t="s">
        <v>156</v>
      </c>
      <c r="B106" s="155"/>
      <c r="C106" s="155"/>
      <c r="D106" s="155"/>
      <c r="E106" s="155"/>
      <c r="F106" s="155"/>
      <c r="G106" s="155"/>
      <c r="H106" s="156">
        <f ca="1">AVERAGE(F62,F78,F94)</f>
        <v>0.1388888888888889</v>
      </c>
      <c r="I106" s="157"/>
      <c r="J106" s="42"/>
      <c r="K106" s="43"/>
      <c r="L106" s="43"/>
    </row>
    <row r="107" spans="1:13" ht="21" x14ac:dyDescent="0.3">
      <c r="A107" s="89" t="s">
        <v>74</v>
      </c>
      <c r="B107" s="90"/>
      <c r="C107" s="90"/>
      <c r="D107" s="90"/>
      <c r="E107" s="90"/>
      <c r="F107" s="90"/>
      <c r="G107" s="90"/>
      <c r="H107" s="90"/>
      <c r="I107" s="91"/>
    </row>
    <row r="108" spans="1:13" ht="63" x14ac:dyDescent="0.3">
      <c r="A108" s="80" t="s">
        <v>75</v>
      </c>
      <c r="B108" s="80"/>
      <c r="C108" s="80"/>
      <c r="D108" s="3" t="s">
        <v>4</v>
      </c>
      <c r="E108" s="15" t="s">
        <v>135</v>
      </c>
      <c r="F108" s="21" t="s">
        <v>174</v>
      </c>
      <c r="G108" s="3" t="s">
        <v>4</v>
      </c>
      <c r="H108" s="128" t="s">
        <v>295</v>
      </c>
      <c r="I108" s="128"/>
    </row>
    <row r="109" spans="1:13" ht="63" x14ac:dyDescent="0.3">
      <c r="A109" s="80" t="s">
        <v>296</v>
      </c>
      <c r="B109" s="80"/>
      <c r="C109" s="80"/>
      <c r="D109" s="2" t="s">
        <v>131</v>
      </c>
      <c r="E109" s="18" t="s">
        <v>294</v>
      </c>
      <c r="F109" s="21" t="s">
        <v>301</v>
      </c>
      <c r="G109" s="2" t="s">
        <v>4</v>
      </c>
      <c r="H109" s="75" t="s">
        <v>293</v>
      </c>
      <c r="I109" s="75"/>
    </row>
    <row r="110" spans="1:13" ht="21" x14ac:dyDescent="0.3">
      <c r="A110" s="153" t="s">
        <v>78</v>
      </c>
      <c r="B110" s="153"/>
      <c r="C110" s="153"/>
      <c r="D110" s="3" t="s">
        <v>4</v>
      </c>
      <c r="E110" s="18" t="s">
        <v>255</v>
      </c>
      <c r="F110" s="3" t="s">
        <v>127</v>
      </c>
      <c r="G110" s="3" t="s">
        <v>4</v>
      </c>
      <c r="H110" s="146" t="s">
        <v>136</v>
      </c>
      <c r="I110" s="147"/>
    </row>
    <row r="111" spans="1:13" ht="21" hidden="1" x14ac:dyDescent="0.3">
      <c r="A111" s="80" t="s">
        <v>117</v>
      </c>
      <c r="B111" s="80"/>
      <c r="C111" s="80"/>
      <c r="D111" s="2" t="s">
        <v>4</v>
      </c>
      <c r="E111" s="18" t="s">
        <v>118</v>
      </c>
      <c r="F111" s="21" t="s">
        <v>119</v>
      </c>
      <c r="G111" s="2" t="s">
        <v>4</v>
      </c>
      <c r="H111" s="75" t="s">
        <v>97</v>
      </c>
      <c r="I111" s="75"/>
    </row>
    <row r="112" spans="1:13" ht="63" hidden="1" x14ac:dyDescent="0.3">
      <c r="A112" s="80" t="s">
        <v>120</v>
      </c>
      <c r="B112" s="80"/>
      <c r="C112" s="80"/>
      <c r="D112" s="2" t="s">
        <v>4</v>
      </c>
      <c r="E112" s="18" t="s">
        <v>121</v>
      </c>
      <c r="F112" s="21" t="s">
        <v>122</v>
      </c>
      <c r="G112" s="2" t="s">
        <v>4</v>
      </c>
      <c r="H112" s="75" t="s">
        <v>123</v>
      </c>
      <c r="I112" s="75"/>
    </row>
    <row r="113" spans="1:151 16227:16384" ht="21" hidden="1" x14ac:dyDescent="0.3">
      <c r="A113" s="80" t="s">
        <v>77</v>
      </c>
      <c r="B113" s="80"/>
      <c r="C113" s="80"/>
      <c r="D113" s="2" t="s">
        <v>4</v>
      </c>
      <c r="E113" s="18" t="s">
        <v>99</v>
      </c>
      <c r="F113" s="21" t="s">
        <v>76</v>
      </c>
      <c r="G113" s="2" t="s">
        <v>4</v>
      </c>
      <c r="H113" s="78" t="s">
        <v>99</v>
      </c>
      <c r="I113" s="79"/>
    </row>
    <row r="114" spans="1:151 16227:16384" ht="21" hidden="1" x14ac:dyDescent="0.3">
      <c r="A114" s="80" t="s">
        <v>124</v>
      </c>
      <c r="B114" s="80"/>
      <c r="C114" s="80"/>
      <c r="D114" s="2" t="s">
        <v>4</v>
      </c>
      <c r="E114" s="18" t="s">
        <v>98</v>
      </c>
      <c r="F114" s="21" t="s">
        <v>78</v>
      </c>
      <c r="G114" s="2" t="s">
        <v>4</v>
      </c>
      <c r="H114" s="75" t="s">
        <v>116</v>
      </c>
      <c r="I114" s="75"/>
    </row>
    <row r="115" spans="1:151 16227:16384" ht="21" hidden="1" x14ac:dyDescent="0.3">
      <c r="A115" s="80" t="s">
        <v>125</v>
      </c>
      <c r="B115" s="80"/>
      <c r="C115" s="80"/>
      <c r="D115" s="2" t="s">
        <v>4</v>
      </c>
      <c r="E115" s="19" t="s">
        <v>109</v>
      </c>
      <c r="F115" s="21" t="s">
        <v>126</v>
      </c>
      <c r="G115" s="2" t="s">
        <v>4</v>
      </c>
      <c r="H115" s="177" t="s">
        <v>109</v>
      </c>
      <c r="I115" s="177"/>
    </row>
    <row r="116" spans="1:151 16227:16384" ht="18" hidden="1" customHeight="1" x14ac:dyDescent="0.3">
      <c r="A116" s="153" t="s">
        <v>127</v>
      </c>
      <c r="B116" s="153"/>
      <c r="C116" s="153"/>
      <c r="D116" s="3" t="s">
        <v>4</v>
      </c>
      <c r="E116" s="10"/>
      <c r="F116" s="3" t="s">
        <v>127</v>
      </c>
      <c r="G116" s="3" t="s">
        <v>4</v>
      </c>
      <c r="H116" s="178" t="s">
        <v>109</v>
      </c>
      <c r="I116" s="179"/>
    </row>
    <row r="117" spans="1:151 16227:16384" ht="21" x14ac:dyDescent="0.3">
      <c r="A117" s="89" t="s">
        <v>73</v>
      </c>
      <c r="B117" s="90"/>
      <c r="C117" s="90"/>
      <c r="D117" s="90"/>
      <c r="E117" s="90"/>
      <c r="F117" s="90"/>
      <c r="G117" s="90"/>
      <c r="H117" s="90"/>
      <c r="I117" s="91"/>
    </row>
    <row r="118" spans="1:151 16227:16384" ht="21" x14ac:dyDescent="0.3">
      <c r="A118" s="129" t="s">
        <v>9</v>
      </c>
      <c r="B118" s="130"/>
      <c r="C118" s="130"/>
      <c r="D118" s="130"/>
      <c r="E118" s="130"/>
      <c r="F118" s="131"/>
      <c r="G118" s="2" t="s">
        <v>4</v>
      </c>
      <c r="H118" s="149">
        <f>43400/10.764</f>
        <v>4031.9583797844671</v>
      </c>
      <c r="I118" s="150"/>
    </row>
    <row r="119" spans="1:151 16227:16384" ht="21" x14ac:dyDescent="0.3">
      <c r="A119" s="129" t="s">
        <v>31</v>
      </c>
      <c r="B119" s="130"/>
      <c r="C119" s="130"/>
      <c r="D119" s="130"/>
      <c r="E119" s="130"/>
      <c r="F119" s="131"/>
      <c r="G119" s="2" t="s">
        <v>4</v>
      </c>
      <c r="H119" s="148">
        <f>80500/10.764</f>
        <v>7478.6324786324794</v>
      </c>
      <c r="I119" s="148"/>
    </row>
    <row r="120" spans="1:151 16227:16384" ht="21" hidden="1" x14ac:dyDescent="0.3">
      <c r="A120" s="129" t="s">
        <v>137</v>
      </c>
      <c r="B120" s="130"/>
      <c r="C120" s="130"/>
      <c r="D120" s="130"/>
      <c r="E120" s="130"/>
      <c r="F120" s="131"/>
      <c r="G120" s="2" t="s">
        <v>4</v>
      </c>
      <c r="H120" s="148">
        <f>H118*0.8</f>
        <v>3225.5667038275737</v>
      </c>
      <c r="I120" s="148"/>
    </row>
    <row r="121" spans="1:151 16227:16384" ht="21" x14ac:dyDescent="0.3">
      <c r="A121" s="151" t="s">
        <v>82</v>
      </c>
      <c r="B121" s="152"/>
      <c r="C121" s="152"/>
      <c r="D121" s="152"/>
      <c r="E121" s="152"/>
      <c r="F121" s="152"/>
      <c r="G121" s="152"/>
      <c r="H121" s="152"/>
      <c r="I121" s="123"/>
    </row>
    <row r="122" spans="1:151 16227:16384" s="11" customFormat="1" ht="40.799999999999997" x14ac:dyDescent="0.3">
      <c r="A122" s="124" t="s">
        <v>183</v>
      </c>
      <c r="B122" s="125"/>
      <c r="C122" s="124" t="s">
        <v>184</v>
      </c>
      <c r="D122" s="125"/>
      <c r="E122" s="52" t="s">
        <v>185</v>
      </c>
      <c r="F122" s="124" t="s">
        <v>182</v>
      </c>
      <c r="G122" s="125"/>
      <c r="H122" s="52" t="s">
        <v>181</v>
      </c>
      <c r="I122" s="52" t="s">
        <v>180</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1" x14ac:dyDescent="0.3">
      <c r="A123" s="126" t="s">
        <v>193</v>
      </c>
      <c r="B123" s="127"/>
      <c r="C123" s="126" t="s">
        <v>95</v>
      </c>
      <c r="D123" s="127"/>
      <c r="E123" s="53" t="s">
        <v>224</v>
      </c>
      <c r="F123" s="126">
        <f>COUNT(F134:F136,F138)+COUNT(F140:F142,F144)+COUNT(F146:F150)*19+COUNT(F152:F153,F155:F156)*4</f>
        <v>119</v>
      </c>
      <c r="G123" s="127"/>
      <c r="H123" s="53">
        <f>SUM(F134:F136,F138)+SUM(F140:F142,F144)+SUM(F146:F150)*19+SUM(F152:F153,F155:F156)*4</f>
        <v>129001.470156</v>
      </c>
      <c r="I123" s="53">
        <f>SUM(I134:I136,I138)+SUM(I140:I142,I144)+SUM(I146:I150)*19+SUM(I152:I153,I155:I156)*4</f>
        <v>212852.42575739996</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1" x14ac:dyDescent="0.3">
      <c r="A124" s="126" t="s">
        <v>194</v>
      </c>
      <c r="B124" s="127"/>
      <c r="C124" s="126" t="s">
        <v>95</v>
      </c>
      <c r="D124" s="127"/>
      <c r="E124" s="53" t="s">
        <v>224</v>
      </c>
      <c r="F124" s="126">
        <f>COUNT(F162:G164)+COUNT(F167:G170)+COUNT(F173:G177)*8+COUNT(F179:G183)*8+COUNT(F196)+COUNT(F198:G200)+COUNT(F202)*2+COUNT(F204:G206)*2+COUNT(F208)+COUNT(F210:G212)+COUNT(F214:G218)+COUNT(F220:G224)</f>
        <v>113</v>
      </c>
      <c r="G124" s="127"/>
      <c r="H124" s="53">
        <f>SUM(F162:G164)+SUM(F167:G170)+SUM(F173:G177)*8+SUM(F179:G183)*8+SUM(F196)+SUM(F198:G200)+SUM(F202)*2+SUM(F204:G206)*2+SUM(F208)+SUM(F210:G212)+SUM(F214:G218)+SUM(F220:G224)</f>
        <v>83628.260819999996</v>
      </c>
      <c r="I124" s="53">
        <f>SUM(I162:I164)+SUM(I167:I170)+SUM(I173:I177)*8+SUM(I179:I183)*8+SUM(I196)+SUM(I198:I200)+SUM(I202)*2+SUM(I204:I206)*2+SUM(I208)+SUM(I210:I212)+SUM(I214:I218)+SUM(I220:I224)</f>
        <v>143711.31305699999</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1" x14ac:dyDescent="0.3">
      <c r="A125" s="126" t="s">
        <v>195</v>
      </c>
      <c r="B125" s="127"/>
      <c r="C125" s="126" t="s">
        <v>95</v>
      </c>
      <c r="D125" s="127"/>
      <c r="E125" s="53" t="s">
        <v>224</v>
      </c>
      <c r="F125" s="126">
        <f>COUNT(F232)+COUNT(F236:G237)+COUNT(F239:G244)*8+COUNT(F246:G251)*8+COUNT(F253)+COUNT(F255:G258)+COUNT(F260)*2+COUNT(F262:G265)*2+COUNT(F267)+COUNT(F269:G272)+COUNT(F274:G279)+COUNT(F281:G286)</f>
        <v>131</v>
      </c>
      <c r="G125" s="127"/>
      <c r="H125" s="53">
        <f>SUM(F232)+SUM(F236:G237)+SUM(F239:G244)*8+SUM(F246:G251)*8+SUM(F253)+SUM(F255:G258)+SUM(F260)*2+SUM(F262:G265)*2+SUM(F267)+SUM(F269:G272)+SUM(F274:G279)+SUM(F281:G286)</f>
        <v>101601.34217999999</v>
      </c>
      <c r="I125" s="53">
        <f>SUM(I232)+SUM(I236:I237)+SUM(I239:I244)*8+SUM(I246:I251)*8+SUM(I253)+SUM(I255:I258)+SUM(I260)*2+SUM(I262:I265)*2+SUM(I267)+SUM(I269:I272)+SUM(I274:I279)+SUM(I281:I286)</f>
        <v>174169.68718499996</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1" x14ac:dyDescent="0.3">
      <c r="A126" s="124" t="s">
        <v>186</v>
      </c>
      <c r="B126" s="125"/>
      <c r="C126" s="124" t="s">
        <v>95</v>
      </c>
      <c r="D126" s="125"/>
      <c r="E126" s="52" t="s">
        <v>224</v>
      </c>
      <c r="F126" s="124">
        <f>SUM(F123:F125)</f>
        <v>363</v>
      </c>
      <c r="G126" s="125"/>
      <c r="H126" s="52">
        <f>SUM(H123:H125)</f>
        <v>314231.073156</v>
      </c>
      <c r="I126" s="52">
        <f>SUM(I123:I125)</f>
        <v>530733.42599939986</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ht="21" x14ac:dyDescent="0.3">
      <c r="A127" s="82" t="s">
        <v>179</v>
      </c>
      <c r="B127" s="83"/>
      <c r="C127" s="83"/>
      <c r="D127" s="83"/>
      <c r="E127" s="83"/>
      <c r="F127" s="83"/>
      <c r="G127" s="83"/>
      <c r="H127" s="83"/>
      <c r="I127" s="123"/>
    </row>
    <row r="128" spans="1:151 16227:16384" ht="44.25" customHeight="1" x14ac:dyDescent="0.3">
      <c r="A128" s="132" t="s">
        <v>104</v>
      </c>
      <c r="B128" s="132"/>
      <c r="C128" s="132" t="s">
        <v>100</v>
      </c>
      <c r="D128" s="132"/>
      <c r="E128" s="132" t="s">
        <v>101</v>
      </c>
      <c r="F128" s="132" t="s">
        <v>102</v>
      </c>
      <c r="G128" s="132"/>
      <c r="H128" s="132" t="s">
        <v>103</v>
      </c>
      <c r="I128" s="36" t="s">
        <v>157</v>
      </c>
    </row>
    <row r="129" spans="1:151 16227:16384" s="11" customFormat="1" ht="21" x14ac:dyDescent="0.3">
      <c r="A129" s="132"/>
      <c r="B129" s="132"/>
      <c r="C129" s="132"/>
      <c r="D129" s="132"/>
      <c r="E129" s="132"/>
      <c r="F129" s="132"/>
      <c r="G129" s="132"/>
      <c r="H129" s="132"/>
      <c r="I129" s="37">
        <v>0.65</v>
      </c>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1" x14ac:dyDescent="0.3">
      <c r="A130" s="113" t="s">
        <v>193</v>
      </c>
      <c r="B130" s="114"/>
      <c r="C130" s="114"/>
      <c r="D130" s="114"/>
      <c r="E130" s="114"/>
      <c r="F130" s="114"/>
      <c r="G130" s="114"/>
      <c r="H130" s="114"/>
      <c r="I130" s="115"/>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1" x14ac:dyDescent="0.3">
      <c r="A131" s="98" t="s">
        <v>299</v>
      </c>
      <c r="B131" s="99"/>
      <c r="C131" s="99"/>
      <c r="D131" s="99"/>
      <c r="E131" s="99"/>
      <c r="F131" s="99"/>
      <c r="G131" s="99"/>
      <c r="H131" s="99"/>
      <c r="I131" s="102"/>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1" x14ac:dyDescent="0.3">
      <c r="A132" s="98" t="s">
        <v>298</v>
      </c>
      <c r="B132" s="99"/>
      <c r="C132" s="99"/>
      <c r="D132" s="99"/>
      <c r="E132" s="99"/>
      <c r="F132" s="99"/>
      <c r="G132" s="99"/>
      <c r="H132" s="99"/>
      <c r="I132" s="102"/>
      <c r="J132" s="96">
        <v>10.763999999999999</v>
      </c>
      <c r="K132" s="97"/>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1" x14ac:dyDescent="0.3">
      <c r="A133" s="98" t="s">
        <v>297</v>
      </c>
      <c r="B133" s="99"/>
      <c r="C133" s="99"/>
      <c r="D133" s="99"/>
      <c r="E133" s="99"/>
      <c r="F133" s="99"/>
      <c r="G133" s="99"/>
      <c r="H133" s="99"/>
      <c r="I133" s="102"/>
      <c r="J133" s="1">
        <v>1</v>
      </c>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1" x14ac:dyDescent="0.3">
      <c r="A134" s="103" t="str">
        <f>A133</f>
        <v>1st Floor For Residential</v>
      </c>
      <c r="B134" s="104"/>
      <c r="C134" s="101">
        <f>LEFT(A133,SUM(LEN(A133)-LEN(SUBSTITUTE(A133,{"0","1","2","3","4","5","6","7","8","9"},""))))*100+1</f>
        <v>101</v>
      </c>
      <c r="D134" s="101"/>
      <c r="E134" s="20" t="s">
        <v>206</v>
      </c>
      <c r="F134" s="96">
        <f>(70.962+4.591+4.458)*10.764</f>
        <v>861.23840399999995</v>
      </c>
      <c r="G134" s="97"/>
      <c r="H134" s="20">
        <v>0</v>
      </c>
      <c r="I134" s="20">
        <f>F134*(($I$129)+1)+H134</f>
        <v>1421.0433665999999</v>
      </c>
      <c r="J134" s="1">
        <f>2.6*1.375+2.45*2.835+5.8*3.2+3.425*0.735+3.65*3.05+4.575*3.35+2.275*1.6+2.275*1.375+1*2.515</f>
        <v>67.34</v>
      </c>
      <c r="K134" s="1">
        <f>5.8*3.2+3.425*0.735+2.45*2.835+4.575*3.35+3.65*3.05+2.275*1.6+2.275*1.375+1*2.515+2.6*1.375</f>
        <v>67.34</v>
      </c>
      <c r="L134" s="1">
        <f>1.65*1.42+1.05*2.45</f>
        <v>4.9154999999999998</v>
      </c>
      <c r="M134" s="1">
        <f>3.4*1.35</f>
        <v>4.59</v>
      </c>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1" x14ac:dyDescent="0.3">
      <c r="A135" s="105"/>
      <c r="B135" s="106"/>
      <c r="C135" s="101">
        <f>C134+1</f>
        <v>102</v>
      </c>
      <c r="D135" s="101"/>
      <c r="E135" s="20" t="s">
        <v>207</v>
      </c>
      <c r="F135" s="96">
        <f>(98.814+5.078+5.26)*10.764</f>
        <v>1174.9121279999999</v>
      </c>
      <c r="G135" s="97"/>
      <c r="H135" s="20">
        <v>0</v>
      </c>
      <c r="I135" s="20">
        <f>F135*(($I$129)+1)+H135</f>
        <v>1938.6050111999998</v>
      </c>
      <c r="J135" s="1">
        <f>2.45*1.05+1.65*1.42</f>
        <v>4.9154999999999998</v>
      </c>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1" x14ac:dyDescent="0.3">
      <c r="A136" s="105"/>
      <c r="B136" s="106"/>
      <c r="C136" s="101">
        <f t="shared" ref="C136:C138" si="0">C135+1</f>
        <v>103</v>
      </c>
      <c r="D136" s="101"/>
      <c r="E136" s="20" t="s">
        <v>206</v>
      </c>
      <c r="F136" s="96">
        <f>(72.225+4.913+4.375)*10.764</f>
        <v>877.40593199999989</v>
      </c>
      <c r="G136" s="97"/>
      <c r="H136" s="20">
        <v>0</v>
      </c>
      <c r="I136" s="20">
        <f>F136*(($I$129)+1)+H136</f>
        <v>1447.7197877999997</v>
      </c>
      <c r="J136" s="1">
        <f>3.4*1.35</f>
        <v>4.59</v>
      </c>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customHeight="1" x14ac:dyDescent="0.3">
      <c r="A137" s="105"/>
      <c r="B137" s="106"/>
      <c r="C137" s="101">
        <f t="shared" si="0"/>
        <v>104</v>
      </c>
      <c r="D137" s="101"/>
      <c r="E137" s="96" t="s">
        <v>208</v>
      </c>
      <c r="F137" s="109"/>
      <c r="G137" s="109"/>
      <c r="H137" s="109"/>
      <c r="I137" s="97"/>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3">
      <c r="A138" s="107"/>
      <c r="B138" s="108"/>
      <c r="C138" s="101">
        <f t="shared" si="0"/>
        <v>105</v>
      </c>
      <c r="D138" s="101"/>
      <c r="E138" s="20" t="s">
        <v>207</v>
      </c>
      <c r="F138" s="96">
        <f>(104.999+5.162+5.26)*10.764</f>
        <v>1242.391644</v>
      </c>
      <c r="G138" s="97"/>
      <c r="H138" s="20">
        <v>0</v>
      </c>
      <c r="I138" s="20">
        <f t="shared" ref="I138" si="1">F138*(($I$129)+1)+H138</f>
        <v>2049.9462125999999</v>
      </c>
      <c r="J138" s="1"/>
      <c r="K138" s="1">
        <f>3.31*6.7+1.22*3.45+3.5*2.45+3.35*4.875+4.575*3.35+3.05*4.575+1.625*2.525+1.375*2.275+1.375*2.275+1.35*2.6+4.7*1.025</f>
        <v>99.259124999999997</v>
      </c>
      <c r="L138" s="1">
        <f>1.42*1.67+1.05*2.45</f>
        <v>4.9439000000000002</v>
      </c>
      <c r="M138" s="1">
        <f>3.385*1.5</f>
        <v>5.0774999999999997</v>
      </c>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1" x14ac:dyDescent="0.3">
      <c r="A139" s="98" t="s">
        <v>302</v>
      </c>
      <c r="B139" s="99"/>
      <c r="C139" s="99"/>
      <c r="D139" s="99"/>
      <c r="E139" s="99"/>
      <c r="F139" s="99"/>
      <c r="G139" s="99"/>
      <c r="H139" s="99"/>
      <c r="I139" s="102"/>
      <c r="J139" s="1">
        <v>1</v>
      </c>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1" x14ac:dyDescent="0.3">
      <c r="A140" s="103" t="str">
        <f>A139</f>
        <v>2nd Floor (Part Library &amp; Entry to E-Deck Floor)</v>
      </c>
      <c r="B140" s="104"/>
      <c r="C140" s="101">
        <f>LEFT(A139,SUM(LEN(A139)-LEN(SUBSTITUTE(A139,{"0","1","2","3","4","5","6","7","8","9"},""))))*100+1</f>
        <v>201</v>
      </c>
      <c r="D140" s="101"/>
      <c r="E140" s="20" t="s">
        <v>206</v>
      </c>
      <c r="F140" s="96">
        <f>(70.962+4.591+4.458)*10.764</f>
        <v>861.23840399999995</v>
      </c>
      <c r="G140" s="97"/>
      <c r="H140" s="20">
        <v>0</v>
      </c>
      <c r="I140" s="20">
        <f>F140*(($I$129)+1)+H140</f>
        <v>1421.0433665999999</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1" x14ac:dyDescent="0.3">
      <c r="A141" s="105"/>
      <c r="B141" s="106"/>
      <c r="C141" s="101">
        <f>C140+1</f>
        <v>202</v>
      </c>
      <c r="D141" s="101"/>
      <c r="E141" s="20" t="s">
        <v>207</v>
      </c>
      <c r="F141" s="96">
        <f>(98.814+5.078+5.26)*10.764</f>
        <v>1174.9121279999999</v>
      </c>
      <c r="G141" s="97"/>
      <c r="H141" s="20">
        <v>0</v>
      </c>
      <c r="I141" s="20">
        <f>F141*(($I$129)+1)+H141</f>
        <v>1938.6050111999998</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1" x14ac:dyDescent="0.3">
      <c r="A142" s="105"/>
      <c r="B142" s="106"/>
      <c r="C142" s="101">
        <f t="shared" ref="C142:C144" si="2">C141+1</f>
        <v>203</v>
      </c>
      <c r="D142" s="101"/>
      <c r="E142" s="20" t="s">
        <v>206</v>
      </c>
      <c r="F142" s="96">
        <f>(72.225+4.913+4.375)*10.764</f>
        <v>877.40593199999989</v>
      </c>
      <c r="G142" s="97"/>
      <c r="H142" s="20">
        <v>0</v>
      </c>
      <c r="I142" s="20">
        <f>F142*(($I$129)+1)+H142</f>
        <v>1447.7197877999997</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customHeight="1" x14ac:dyDescent="0.3">
      <c r="A143" s="105"/>
      <c r="B143" s="106"/>
      <c r="C143" s="101">
        <f t="shared" si="2"/>
        <v>204</v>
      </c>
      <c r="D143" s="101"/>
      <c r="E143" s="96" t="s">
        <v>303</v>
      </c>
      <c r="F143" s="109"/>
      <c r="G143" s="109"/>
      <c r="H143" s="109"/>
      <c r="I143" s="97"/>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3">
      <c r="A144" s="107"/>
      <c r="B144" s="108"/>
      <c r="C144" s="101">
        <f t="shared" si="2"/>
        <v>205</v>
      </c>
      <c r="D144" s="101"/>
      <c r="E144" s="20" t="s">
        <v>207</v>
      </c>
      <c r="F144" s="96">
        <f>(104.999+5.162+5.26)*10.764</f>
        <v>1242.391644</v>
      </c>
      <c r="G144" s="97"/>
      <c r="H144" s="20">
        <v>0</v>
      </c>
      <c r="I144" s="20">
        <f t="shared" ref="I144" si="3">F144*(($I$129)+1)+H144</f>
        <v>2049.9462125999999</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1" x14ac:dyDescent="0.3">
      <c r="A145" s="98" t="s">
        <v>304</v>
      </c>
      <c r="B145" s="99"/>
      <c r="C145" s="99"/>
      <c r="D145" s="99"/>
      <c r="E145" s="99"/>
      <c r="F145" s="99"/>
      <c r="G145" s="99"/>
      <c r="H145" s="99"/>
      <c r="I145" s="102"/>
      <c r="J145" s="1">
        <f>4+4+4+4+3</f>
        <v>19</v>
      </c>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1" x14ac:dyDescent="0.3">
      <c r="A146" s="103" t="str">
        <f>A145</f>
        <v>3rd to 6th, 8th to 11th, 13th to 16th, 18th to 21st &amp; 23rd to 25th Floor</v>
      </c>
      <c r="B146" s="104"/>
      <c r="C146" s="96" t="s">
        <v>282</v>
      </c>
      <c r="D146" s="97"/>
      <c r="E146" s="20" t="s">
        <v>206</v>
      </c>
      <c r="F146" s="96">
        <f>(70.962+4.591+4.458)*10.764</f>
        <v>861.23840399999995</v>
      </c>
      <c r="G146" s="97"/>
      <c r="H146" s="20">
        <v>0</v>
      </c>
      <c r="I146" s="20">
        <f t="shared" ref="I146:I150" si="4">F146*(($I$129)+1)+H146</f>
        <v>1421.0433665999999</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1" customHeight="1" x14ac:dyDescent="0.3">
      <c r="A147" s="105"/>
      <c r="B147" s="106"/>
      <c r="C147" s="96" t="s">
        <v>283</v>
      </c>
      <c r="D147" s="97"/>
      <c r="E147" s="20" t="s">
        <v>207</v>
      </c>
      <c r="F147" s="96">
        <f>(98.814+5.078+5.26)*10.764</f>
        <v>1174.9121279999999</v>
      </c>
      <c r="G147" s="97"/>
      <c r="H147" s="20">
        <v>0</v>
      </c>
      <c r="I147" s="20">
        <f t="shared" si="4"/>
        <v>1938.6050111999998</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1" customHeight="1" x14ac:dyDescent="0.3">
      <c r="A148" s="105"/>
      <c r="B148" s="106"/>
      <c r="C148" s="96" t="s">
        <v>284</v>
      </c>
      <c r="D148" s="97"/>
      <c r="E148" s="20" t="s">
        <v>206</v>
      </c>
      <c r="F148" s="96">
        <f>(72.225+4.913+4.375)*10.764</f>
        <v>877.40593199999989</v>
      </c>
      <c r="G148" s="97"/>
      <c r="H148" s="20">
        <v>0</v>
      </c>
      <c r="I148" s="20">
        <f t="shared" si="4"/>
        <v>1447.7197877999997</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3">
      <c r="A149" s="105"/>
      <c r="B149" s="106"/>
      <c r="C149" s="96" t="s">
        <v>285</v>
      </c>
      <c r="D149" s="97"/>
      <c r="E149" s="20" t="s">
        <v>207</v>
      </c>
      <c r="F149" s="96">
        <f>(105.15+5.162+5.26)*10.764</f>
        <v>1244.017008</v>
      </c>
      <c r="G149" s="97"/>
      <c r="H149" s="20">
        <v>0</v>
      </c>
      <c r="I149" s="20">
        <f t="shared" si="4"/>
        <v>2052.6280631999998</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3">
      <c r="A150" s="107"/>
      <c r="B150" s="108"/>
      <c r="C150" s="96" t="s">
        <v>286</v>
      </c>
      <c r="D150" s="97"/>
      <c r="E150" s="20" t="s">
        <v>207</v>
      </c>
      <c r="F150" s="96">
        <f>(104.999+5.162+5.26)*10.764</f>
        <v>1242.391644</v>
      </c>
      <c r="G150" s="97"/>
      <c r="H150" s="20">
        <v>0</v>
      </c>
      <c r="I150" s="20">
        <f t="shared" si="4"/>
        <v>2049.9462125999999</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1" x14ac:dyDescent="0.3">
      <c r="A151" s="98" t="s">
        <v>292</v>
      </c>
      <c r="B151" s="99"/>
      <c r="C151" s="99"/>
      <c r="D151" s="99"/>
      <c r="E151" s="99"/>
      <c r="F151" s="99"/>
      <c r="G151" s="99"/>
      <c r="H151" s="99"/>
      <c r="I151" s="102"/>
      <c r="J151" s="1">
        <v>4</v>
      </c>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1" x14ac:dyDescent="0.3">
      <c r="A152" s="103" t="str">
        <f>A151</f>
        <v>7th, 12th, 17th &amp; 22nd Floor (Part Refuge Area)</v>
      </c>
      <c r="B152" s="104"/>
      <c r="C152" s="96" t="s">
        <v>287</v>
      </c>
      <c r="D152" s="97"/>
      <c r="E152" s="20" t="s">
        <v>206</v>
      </c>
      <c r="F152" s="96">
        <f>(70.962+4.591+4.458)*10.764</f>
        <v>861.23840399999995</v>
      </c>
      <c r="G152" s="97"/>
      <c r="H152" s="20">
        <v>0</v>
      </c>
      <c r="I152" s="20">
        <f>F152*(($I$129)+1)+H152</f>
        <v>1421.0433665999999</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1" x14ac:dyDescent="0.3">
      <c r="A153" s="105"/>
      <c r="B153" s="106"/>
      <c r="C153" s="96" t="s">
        <v>288</v>
      </c>
      <c r="D153" s="97"/>
      <c r="E153" s="20" t="s">
        <v>207</v>
      </c>
      <c r="F153" s="96">
        <f>(98.814+5.078+5.26)*10.764</f>
        <v>1174.9121279999999</v>
      </c>
      <c r="G153" s="97"/>
      <c r="H153" s="20">
        <v>0</v>
      </c>
      <c r="I153" s="20">
        <f>F153*(($I$129)+1)+H153</f>
        <v>1938.6050111999998</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1" x14ac:dyDescent="0.3">
      <c r="A154" s="105"/>
      <c r="B154" s="106"/>
      <c r="C154" s="96" t="s">
        <v>289</v>
      </c>
      <c r="D154" s="97"/>
      <c r="E154" s="96" t="s">
        <v>218</v>
      </c>
      <c r="F154" s="109"/>
      <c r="G154" s="109"/>
      <c r="H154" s="109"/>
      <c r="I154" s="97"/>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3">
      <c r="A155" s="105"/>
      <c r="B155" s="106"/>
      <c r="C155" s="96" t="s">
        <v>290</v>
      </c>
      <c r="D155" s="97"/>
      <c r="E155" s="20" t="s">
        <v>207</v>
      </c>
      <c r="F155" s="96">
        <f>(105.15+5.162+5.26)*10.764</f>
        <v>1244.017008</v>
      </c>
      <c r="G155" s="97"/>
      <c r="H155" s="20">
        <v>0</v>
      </c>
      <c r="I155" s="20">
        <f>F155*(($I$129)+1)+H155</f>
        <v>2052.6280631999998</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3">
      <c r="A156" s="107"/>
      <c r="B156" s="108"/>
      <c r="C156" s="96" t="s">
        <v>291</v>
      </c>
      <c r="D156" s="97"/>
      <c r="E156" s="20" t="s">
        <v>207</v>
      </c>
      <c r="F156" s="96">
        <f>(104.999+5.162+5.26)*10.764</f>
        <v>1242.391644</v>
      </c>
      <c r="G156" s="97"/>
      <c r="H156" s="20">
        <v>0</v>
      </c>
      <c r="I156" s="20">
        <f>F156*(($I$129)+1)+H156</f>
        <v>2049.9462125999999</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1" x14ac:dyDescent="0.3">
      <c r="A157" s="98" t="s">
        <v>194</v>
      </c>
      <c r="B157" s="99"/>
      <c r="C157" s="99"/>
      <c r="D157" s="99"/>
      <c r="E157" s="99"/>
      <c r="F157" s="99"/>
      <c r="G157" s="99"/>
      <c r="H157" s="99"/>
      <c r="I157" s="10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1" customHeight="1" x14ac:dyDescent="0.3">
      <c r="A158" s="98" t="s">
        <v>299</v>
      </c>
      <c r="B158" s="99"/>
      <c r="C158" s="99"/>
      <c r="D158" s="99"/>
      <c r="E158" s="99"/>
      <c r="F158" s="99"/>
      <c r="G158" s="99"/>
      <c r="H158" s="99"/>
      <c r="I158" s="10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1" x14ac:dyDescent="0.3">
      <c r="A159" s="98" t="s">
        <v>205</v>
      </c>
      <c r="B159" s="99"/>
      <c r="C159" s="99"/>
      <c r="D159" s="99"/>
      <c r="E159" s="99"/>
      <c r="F159" s="99"/>
      <c r="G159" s="99"/>
      <c r="H159" s="99"/>
      <c r="I159" s="102"/>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1" x14ac:dyDescent="0.3">
      <c r="A160" s="98" t="s">
        <v>158</v>
      </c>
      <c r="B160" s="99"/>
      <c r="C160" s="99"/>
      <c r="D160" s="99"/>
      <c r="E160" s="99"/>
      <c r="F160" s="99"/>
      <c r="G160" s="99"/>
      <c r="H160" s="99"/>
      <c r="I160" s="10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1" x14ac:dyDescent="0.3">
      <c r="A161" s="103" t="str">
        <f>A160</f>
        <v>1st Floor</v>
      </c>
      <c r="B161" s="104"/>
      <c r="C161" s="101">
        <f>LEFT(A160,SUM(LEN(A160)-LEN(SUBSTITUTE(A160,{"0","1","2","3","4","5","6","7","8","9"},""))))*100+1</f>
        <v>101</v>
      </c>
      <c r="D161" s="101"/>
      <c r="E161" s="96" t="s">
        <v>208</v>
      </c>
      <c r="F161" s="109"/>
      <c r="G161" s="109"/>
      <c r="H161" s="109"/>
      <c r="I161" s="97"/>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1" x14ac:dyDescent="0.3">
      <c r="A162" s="105"/>
      <c r="B162" s="106"/>
      <c r="C162" s="101">
        <f>C161+1</f>
        <v>102</v>
      </c>
      <c r="D162" s="101"/>
      <c r="E162" s="20" t="s">
        <v>206</v>
      </c>
      <c r="F162" s="96">
        <f>(51.41+(0.6*(3+3+1.975))+(0.6*(3.125+3.25)))*10.764</f>
        <v>646.05527999999993</v>
      </c>
      <c r="G162" s="97"/>
      <c r="H162" s="20">
        <f>1.5*3.25*10.764</f>
        <v>52.474499999999999</v>
      </c>
      <c r="I162" s="20">
        <f t="shared" ref="I162:I177" si="5">F162*(($I$129)+1)+H162</f>
        <v>1118.4657119999999</v>
      </c>
      <c r="J162" s="1">
        <f>3.05*5.225+0.1*2.125+2.5*3.05+0.55+1.9+2.5*3.65+0.6*0.66+1.375*2.125+1.425*2.125+2.91*1.86+3.21*1</f>
        <v>50.317349999999998</v>
      </c>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1" x14ac:dyDescent="0.3">
      <c r="A163" s="105"/>
      <c r="B163" s="106"/>
      <c r="C163" s="101">
        <f t="shared" ref="C163:C165" si="6">C162+1</f>
        <v>103</v>
      </c>
      <c r="D163" s="101"/>
      <c r="E163" s="20" t="s">
        <v>206</v>
      </c>
      <c r="F163" s="96">
        <f>(50.86+(0.6*(3+3+2.785+1.15+1.975))+(0.6*(3.25+3.25)))*10.764</f>
        <v>666.35618399999998</v>
      </c>
      <c r="G163" s="97"/>
      <c r="H163" s="20">
        <f>1.5*3.37*10.764</f>
        <v>54.412019999999991</v>
      </c>
      <c r="I163" s="20">
        <f t="shared" si="5"/>
        <v>1153.8997235999998</v>
      </c>
      <c r="J163" s="1"/>
      <c r="K163" s="1">
        <f>20000000/I163</f>
        <v>17332.528633946546</v>
      </c>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3">
      <c r="A164" s="107"/>
      <c r="B164" s="108"/>
      <c r="C164" s="101">
        <f t="shared" si="6"/>
        <v>104</v>
      </c>
      <c r="D164" s="101"/>
      <c r="E164" s="20" t="s">
        <v>207</v>
      </c>
      <c r="F164" s="96">
        <f>(70.89+(0.6*(3+3+1.2))+(0.6*(3.67+3.385)))*10.764</f>
        <v>855.12445200000013</v>
      </c>
      <c r="G164" s="97"/>
      <c r="H164" s="20">
        <f>1.5*2.925*10.764</f>
        <v>47.227049999999991</v>
      </c>
      <c r="I164" s="20">
        <f t="shared" si="5"/>
        <v>1458.1823958</v>
      </c>
      <c r="J164" s="1"/>
      <c r="K164" s="1">
        <f>20000000/F163</f>
        <v>30013.978229997188</v>
      </c>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3">
      <c r="A165" s="67"/>
      <c r="B165" s="68"/>
      <c r="C165" s="101">
        <f t="shared" si="6"/>
        <v>105</v>
      </c>
      <c r="D165" s="101"/>
      <c r="E165" s="96" t="s">
        <v>208</v>
      </c>
      <c r="F165" s="109"/>
      <c r="G165" s="109"/>
      <c r="H165" s="109"/>
      <c r="I165" s="97"/>
      <c r="J165" s="1"/>
      <c r="K165" s="1">
        <f>20000000/F164</f>
        <v>23388.40849799486</v>
      </c>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1" x14ac:dyDescent="0.3">
      <c r="A166" s="98" t="s">
        <v>248</v>
      </c>
      <c r="B166" s="99"/>
      <c r="C166" s="99"/>
      <c r="D166" s="99"/>
      <c r="E166" s="99"/>
      <c r="F166" s="99"/>
      <c r="G166" s="99"/>
      <c r="H166" s="99"/>
      <c r="I166" s="102"/>
      <c r="J166" s="1"/>
      <c r="K166" s="1">
        <f>30000000/F164</f>
        <v>35082.612746992287</v>
      </c>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3">
      <c r="A167" s="103" t="str">
        <f>A166</f>
        <v>2nd Floor (E Deck Floor)</v>
      </c>
      <c r="B167" s="104"/>
      <c r="C167" s="101">
        <f>LEFT(A166,SUM(LEN(A166)-LEN(SUBSTITUTE(A166,{"0","1","2","3","4","5","6","7","8","9"},""))))*100+1</f>
        <v>201</v>
      </c>
      <c r="D167" s="101"/>
      <c r="E167" s="20" t="s">
        <v>206</v>
      </c>
      <c r="F167" s="101">
        <f>(51.26+(0.6*(1.975+3+3))+(1.926+1.95))*10.764</f>
        <v>644.98964399999988</v>
      </c>
      <c r="G167" s="101"/>
      <c r="H167" s="54">
        <f>4.687*10.764</f>
        <v>50.450868</v>
      </c>
      <c r="I167" s="20">
        <f>F167*(($I$129)+1)+H167</f>
        <v>1114.6837805999996</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3">
      <c r="A168" s="105"/>
      <c r="B168" s="106"/>
      <c r="C168" s="101">
        <f>C167+1</f>
        <v>202</v>
      </c>
      <c r="D168" s="101"/>
      <c r="E168" s="20" t="s">
        <v>206</v>
      </c>
      <c r="F168" s="96">
        <f>(51.41+(0.6*(3+3+1.975))+(0.6*(3.125+3.25)))*10.764</f>
        <v>646.05527999999993</v>
      </c>
      <c r="G168" s="97"/>
      <c r="H168" s="20">
        <f>1.5*3.25*10.764</f>
        <v>52.474499999999999</v>
      </c>
      <c r="I168" s="20">
        <f t="shared" ref="I168:I170" si="7">F168*(($I$129)+1)+H168</f>
        <v>1118.4657119999999</v>
      </c>
      <c r="J168" s="1">
        <f>23800000/I167</f>
        <v>21351.346825185883</v>
      </c>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3">
      <c r="A169" s="105"/>
      <c r="B169" s="106"/>
      <c r="C169" s="101">
        <f t="shared" ref="C169:C171" si="8">C168+1</f>
        <v>203</v>
      </c>
      <c r="D169" s="101"/>
      <c r="E169" s="20" t="s">
        <v>206</v>
      </c>
      <c r="F169" s="96">
        <f>(50.86+(0.6*(3+3+2.785+1.15+1.975))+(0.6*(3.25+3.25)))*10.764</f>
        <v>666.35618399999998</v>
      </c>
      <c r="G169" s="97"/>
      <c r="H169" s="20">
        <f>1.5*3.37*10.764</f>
        <v>54.412019999999991</v>
      </c>
      <c r="I169" s="20">
        <f t="shared" si="7"/>
        <v>1153.8997235999998</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3">
      <c r="A170" s="107"/>
      <c r="B170" s="108"/>
      <c r="C170" s="101">
        <f t="shared" si="8"/>
        <v>204</v>
      </c>
      <c r="D170" s="101"/>
      <c r="E170" s="20" t="s">
        <v>207</v>
      </c>
      <c r="F170" s="96">
        <f>(70.89+(0.6*(3+3+1.2))+(0.6*(3.67+3.385)))*10.764</f>
        <v>855.12445200000013</v>
      </c>
      <c r="G170" s="97"/>
      <c r="H170" s="20">
        <f>1.5*2.925*10.764</f>
        <v>47.227049999999991</v>
      </c>
      <c r="I170" s="20">
        <f t="shared" si="7"/>
        <v>1458.1823958</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3">
      <c r="A171" s="67"/>
      <c r="B171" s="68"/>
      <c r="C171" s="101">
        <f t="shared" si="8"/>
        <v>205</v>
      </c>
      <c r="D171" s="101"/>
      <c r="E171" s="96" t="s">
        <v>313</v>
      </c>
      <c r="F171" s="109"/>
      <c r="G171" s="109"/>
      <c r="H171" s="109"/>
      <c r="I171" s="97"/>
      <c r="J171" s="1"/>
      <c r="K171" s="1">
        <f>20000000/F170</f>
        <v>23388.40849799486</v>
      </c>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3">
      <c r="A172" s="98" t="s">
        <v>210</v>
      </c>
      <c r="B172" s="99"/>
      <c r="C172" s="99"/>
      <c r="D172" s="99"/>
      <c r="E172" s="99"/>
      <c r="F172" s="99"/>
      <c r="G172" s="99"/>
      <c r="H172" s="99"/>
      <c r="I172" s="100"/>
      <c r="J172" s="1"/>
      <c r="K172" s="1">
        <v>1</v>
      </c>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3">
      <c r="A173" s="103" t="str">
        <f>A172</f>
        <v xml:space="preserve"> 4th, 6th, 8th, 10th, 14th, 16th, 18th &amp; 20th Floor</v>
      </c>
      <c r="B173" s="104"/>
      <c r="C173" s="96" t="s">
        <v>238</v>
      </c>
      <c r="D173" s="97"/>
      <c r="E173" s="20" t="s">
        <v>206</v>
      </c>
      <c r="F173" s="96">
        <f>(51.26+(1.8+1.185+0.69)+(1.926+1.95))*10.764</f>
        <v>633.04160399999989</v>
      </c>
      <c r="G173" s="97"/>
      <c r="H173" s="20">
        <f>4.687*10.764</f>
        <v>50.450868</v>
      </c>
      <c r="I173" s="20">
        <f t="shared" si="5"/>
        <v>1094.9695145999997</v>
      </c>
      <c r="J173" s="1"/>
      <c r="K173" s="1">
        <v>1</v>
      </c>
      <c r="L173" s="1"/>
      <c r="M173" s="1"/>
      <c r="N173" s="1"/>
      <c r="O173" s="1"/>
      <c r="P173" s="1"/>
      <c r="Q173" s="1"/>
      <c r="R173" s="1"/>
      <c r="S173" s="1"/>
      <c r="T173" s="1"/>
      <c r="U173" s="45" t="str">
        <f t="shared" ref="U173:U177" ca="1" si="9">V173&amp;""&amp;",..,"&amp;""&amp;W173</f>
        <v>4601,..,2001</v>
      </c>
      <c r="V173" s="45">
        <f ca="1">(SUMPRODUCT(MID(0&amp;(LEFT(A172,SUM(LEN(A172)-LEN(SUBSTITUTE(A172,{"0","1","2","3"},""))))), LARGE(INDEX(ISNUMBER(--MID((LEFT(A172,SUM(LEN(A172)-LEN(SUBSTITUTE(A172,{"0","1","2","3"},""))))), ROW(INDIRECT("1:"&amp;LEN((LEFT(A172,SUM(LEN(A172)-LEN(SUBSTITUTE(A172,{"0","1","2","3"},"")))))))), 1)) * ROW(INDIRECT("1:"&amp;LEN((LEFT(A172,SUM(LEN(A172)-LEN(SUBSTITUTE(A172,{"0","1","2","3"},"")))))))), 0), ROW(INDIRECT("1:"&amp;LEN((LEFT(A172,SUM(LEN(A172)-LEN(SUBSTITUTE(A172,{"0","1","2","3"},"")))))))))+1, 1) * 10^ROW(INDIRECT("1:"&amp;LEN((LEFT(A172,SUM(LEN(A172)-LEN(SUBSTITUTE(A172,{"0","1","2","3"},""))))))))/10))*100+1</f>
        <v>4601</v>
      </c>
      <c r="W173" s="45">
        <f ca="1">(SUMPRODUCT(MID(0&amp;(--TRIM(RIGHT(SUBSTITUTE(LEFT(A172,_xlfn.AGGREGATE(16,6,FIND({0,1,2,3,4,5,6,7,8,9},A172,ROW(INDIRECT("1:"&amp;LEN(A172)))),1)),"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",LEN(A172))),LEN(A172)))))))/10))*100+1</f>
        <v>2001</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3">
      <c r="A174" s="105"/>
      <c r="B174" s="106"/>
      <c r="C174" s="96" t="s">
        <v>239</v>
      </c>
      <c r="D174" s="97"/>
      <c r="E174" s="20" t="s">
        <v>206</v>
      </c>
      <c r="F174" s="96">
        <f>(51.41+(1.8+1.8+1.185)+(1.95+1.95))*10.764</f>
        <v>646.86257999999987</v>
      </c>
      <c r="G174" s="97"/>
      <c r="H174" s="20">
        <f>4.687*10.764</f>
        <v>50.450868</v>
      </c>
      <c r="I174" s="20">
        <f t="shared" si="5"/>
        <v>1117.7741249999997</v>
      </c>
      <c r="J174" s="1"/>
      <c r="K174" s="1"/>
      <c r="L174" s="1"/>
      <c r="M174" s="1"/>
      <c r="N174" s="1"/>
      <c r="O174" s="1"/>
      <c r="P174" s="1"/>
      <c r="Q174" s="1"/>
      <c r="R174" s="1"/>
      <c r="S174" s="1"/>
      <c r="T174" s="1"/>
      <c r="U174" s="45" t="str">
        <f t="shared" ca="1" si="9"/>
        <v>4602,..,2002</v>
      </c>
      <c r="V174" s="45">
        <f ca="1">V173+1</f>
        <v>4602</v>
      </c>
      <c r="W174" s="45">
        <f ca="1">W173+1</f>
        <v>2002</v>
      </c>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3">
      <c r="A175" s="105"/>
      <c r="B175" s="106"/>
      <c r="C175" s="96" t="s">
        <v>240</v>
      </c>
      <c r="D175" s="97"/>
      <c r="E175" s="20" t="s">
        <v>206</v>
      </c>
      <c r="F175" s="96">
        <f>(50.86+(1.8+1.8+1.671)+(1.95+2.022))*10.764</f>
        <v>646.94869199999994</v>
      </c>
      <c r="G175" s="97"/>
      <c r="H175" s="20">
        <f>4.875*10.764</f>
        <v>52.474499999999999</v>
      </c>
      <c r="I175" s="20">
        <f t="shared" si="5"/>
        <v>1119.9398417999998</v>
      </c>
      <c r="J175" s="1"/>
      <c r="K175" s="1"/>
      <c r="L175" s="1"/>
      <c r="M175" s="1"/>
      <c r="N175" s="1"/>
      <c r="O175" s="1"/>
      <c r="P175" s="1"/>
      <c r="Q175" s="1"/>
      <c r="R175" s="1"/>
      <c r="S175" s="1"/>
      <c r="T175" s="1"/>
      <c r="U175" s="45" t="str">
        <f t="shared" ca="1" si="9"/>
        <v>4603,..,2003</v>
      </c>
      <c r="V175" s="45">
        <f t="shared" ref="V175:V177" ca="1" si="10">V174+1</f>
        <v>4603</v>
      </c>
      <c r="W175" s="45">
        <f t="shared" ref="W175:W177" ca="1" si="11">W174+1</f>
        <v>2003</v>
      </c>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3">
      <c r="A176" s="105"/>
      <c r="B176" s="106"/>
      <c r="C176" s="96" t="s">
        <v>241</v>
      </c>
      <c r="D176" s="97"/>
      <c r="E176" s="20" t="s">
        <v>207</v>
      </c>
      <c r="F176" s="96">
        <f>(70.89+(1.8+1.8+1.185+0.72)+(1.95+2.202))*10.764</f>
        <v>867.00790799999993</v>
      </c>
      <c r="G176" s="97"/>
      <c r="H176" s="20">
        <f>4.387*10.764</f>
        <v>47.221667999999994</v>
      </c>
      <c r="I176" s="20">
        <f t="shared" si="5"/>
        <v>1477.7847161999998</v>
      </c>
      <c r="J176" s="1"/>
      <c r="K176" s="1"/>
      <c r="L176" s="1"/>
      <c r="M176" s="1"/>
      <c r="N176" s="1"/>
      <c r="O176" s="1"/>
      <c r="P176" s="1"/>
      <c r="Q176" s="1"/>
      <c r="R176" s="1"/>
      <c r="S176" s="1"/>
      <c r="T176" s="1"/>
      <c r="U176" s="45" t="str">
        <f t="shared" ca="1" si="9"/>
        <v>4604,..,2004</v>
      </c>
      <c r="V176" s="45">
        <f t="shared" ca="1" si="10"/>
        <v>4604</v>
      </c>
      <c r="W176" s="45">
        <f t="shared" ca="1" si="11"/>
        <v>2004</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3">
      <c r="A177" s="107"/>
      <c r="B177" s="108"/>
      <c r="C177" s="96" t="s">
        <v>242</v>
      </c>
      <c r="D177" s="97"/>
      <c r="E177" s="20" t="s">
        <v>207</v>
      </c>
      <c r="F177" s="96">
        <f>(70.89+(0.72+1.8+1.8)+(2.202+1.95))*10.764</f>
        <v>854.252568</v>
      </c>
      <c r="G177" s="97"/>
      <c r="H177" s="20">
        <f>4.387*10.764</f>
        <v>47.221667999999994</v>
      </c>
      <c r="I177" s="20">
        <f t="shared" si="5"/>
        <v>1456.7384051999998</v>
      </c>
      <c r="J177" s="1"/>
      <c r="K177" s="1"/>
      <c r="L177" s="1"/>
      <c r="M177" s="1"/>
      <c r="N177" s="1"/>
      <c r="O177" s="1"/>
      <c r="P177" s="1"/>
      <c r="Q177" s="1"/>
      <c r="R177" s="1"/>
      <c r="S177" s="1"/>
      <c r="T177" s="1"/>
      <c r="U177" s="45" t="str">
        <f t="shared" ca="1" si="9"/>
        <v>4605,..,2005</v>
      </c>
      <c r="V177" s="45">
        <f t="shared" ca="1" si="10"/>
        <v>4605</v>
      </c>
      <c r="W177" s="45">
        <f t="shared" ca="1" si="11"/>
        <v>2005</v>
      </c>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3">
      <c r="A178" s="98" t="s">
        <v>211</v>
      </c>
      <c r="B178" s="99"/>
      <c r="C178" s="99"/>
      <c r="D178" s="99"/>
      <c r="E178" s="99"/>
      <c r="F178" s="99"/>
      <c r="G178" s="99"/>
      <c r="H178" s="99"/>
      <c r="I178" s="100"/>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3">
      <c r="A179" s="103" t="str">
        <f>A178</f>
        <v>3rd, 5th, 9th, 11th, 13th, 15th, 19th &amp; 21st Floor</v>
      </c>
      <c r="B179" s="104"/>
      <c r="C179" s="96" t="s">
        <v>243</v>
      </c>
      <c r="D179" s="97"/>
      <c r="E179" s="20" t="s">
        <v>206</v>
      </c>
      <c r="F179" s="96">
        <f>(51.26+(1.8+1.8+1.185)+(1.926+1.95))*10.764</f>
        <v>644.989644</v>
      </c>
      <c r="G179" s="97"/>
      <c r="H179" s="20">
        <f>4.875*10.764</f>
        <v>52.474499999999999</v>
      </c>
      <c r="I179" s="20">
        <f t="shared" ref="I179:I183" si="12">F179*(($I$129)+1)+H179</f>
        <v>1116.7074126</v>
      </c>
      <c r="J179" s="1"/>
      <c r="K179" s="1"/>
      <c r="L179" s="1"/>
      <c r="M179" s="1"/>
      <c r="N179" s="1"/>
      <c r="O179" s="1"/>
      <c r="P179" s="1"/>
      <c r="Q179" s="1"/>
      <c r="R179" s="1"/>
      <c r="S179" s="1"/>
      <c r="T179" s="1"/>
      <c r="U179" s="45" t="str">
        <f t="shared" ref="U179:U183" ca="1" si="13">V179&amp;""&amp;",..,"&amp;""&amp;W179</f>
        <v>3501,..,2101</v>
      </c>
      <c r="V179" s="45">
        <f ca="1">(SUMPRODUCT(MID(0&amp;(LEFT(A178,SUM(LEN(A178)-LEN(SUBSTITUTE(A178,{"0","1","2","3"},""))))), LARGE(INDEX(ISNUMBER(--MID((LEFT(A178,SUM(LEN(A178)-LEN(SUBSTITUTE(A178,{"0","1","2","3"},""))))), ROW(INDIRECT("1:"&amp;LEN((LEFT(A178,SUM(LEN(A178)-LEN(SUBSTITUTE(A178,{"0","1","2","3"},"")))))))), 1)) * ROW(INDIRECT("1:"&amp;LEN((LEFT(A178,SUM(LEN(A178)-LEN(SUBSTITUTE(A178,{"0","1","2","3"},"")))))))), 0), ROW(INDIRECT("1:"&amp;LEN((LEFT(A178,SUM(LEN(A178)-LEN(SUBSTITUTE(A178,{"0","1","2","3"},"")))))))))+1, 1) * 10^ROW(INDIRECT("1:"&amp;LEN((LEFT(A178,SUM(LEN(A178)-LEN(SUBSTITUTE(A178,{"0","1","2","3"},""))))))))/10))*100+1</f>
        <v>3501</v>
      </c>
      <c r="W179" s="45">
        <f ca="1">(SUMPRODUCT(MID(0&amp;(--TRIM(RIGHT(SUBSTITUTE(LEFT(A178,_xlfn.AGGREGATE(16,6,FIND({0,1,2,3,4,5,6,7,8,9},A178,ROW(INDIRECT("1:"&amp;LEN(A178)))),1)),"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",LEN(A178))),LEN(A178)))))))/10))*100+1</f>
        <v>2101</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3">
      <c r="A180" s="105"/>
      <c r="B180" s="106"/>
      <c r="C180" s="96" t="s">
        <v>244</v>
      </c>
      <c r="D180" s="97"/>
      <c r="E180" s="20" t="s">
        <v>206</v>
      </c>
      <c r="F180" s="96">
        <f>(51.41+(1.8+1.8+1.185)+(1.875+1.95))*10.764</f>
        <v>646.05527999999993</v>
      </c>
      <c r="G180" s="97"/>
      <c r="H180" s="20">
        <f>4.875*10.764</f>
        <v>52.474499999999999</v>
      </c>
      <c r="I180" s="20">
        <f t="shared" si="12"/>
        <v>1118.4657119999999</v>
      </c>
      <c r="J180" s="1"/>
      <c r="K180" s="1"/>
      <c r="L180" s="1"/>
      <c r="M180" s="1"/>
      <c r="N180" s="1"/>
      <c r="O180" s="1"/>
      <c r="P180" s="1"/>
      <c r="Q180" s="1"/>
      <c r="R180" s="1"/>
      <c r="S180" s="1"/>
      <c r="T180" s="1"/>
      <c r="U180" s="45" t="str">
        <f t="shared" ca="1" si="13"/>
        <v>3502,..,2102</v>
      </c>
      <c r="V180" s="45">
        <f ca="1">V179+1</f>
        <v>3502</v>
      </c>
      <c r="W180" s="45">
        <f ca="1">W179+1</f>
        <v>2102</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3">
      <c r="A181" s="105"/>
      <c r="B181" s="106"/>
      <c r="C181" s="96" t="s">
        <v>245</v>
      </c>
      <c r="D181" s="97"/>
      <c r="E181" s="20" t="s">
        <v>206</v>
      </c>
      <c r="F181" s="96">
        <f>(50.86+(1.8+1.671+1.8+0.69)+(1.95+1.95))*10.764</f>
        <v>653.60084399999994</v>
      </c>
      <c r="G181" s="97"/>
      <c r="H181" s="20">
        <f>4.387*10.764</f>
        <v>47.221667999999994</v>
      </c>
      <c r="I181" s="20">
        <f t="shared" si="12"/>
        <v>1125.6630605999997</v>
      </c>
      <c r="J181" s="1"/>
      <c r="K181" s="1"/>
      <c r="L181" s="1"/>
      <c r="M181" s="1"/>
      <c r="N181" s="1"/>
      <c r="O181" s="1"/>
      <c r="P181" s="1"/>
      <c r="Q181" s="1"/>
      <c r="R181" s="1"/>
      <c r="S181" s="1"/>
      <c r="T181" s="1"/>
      <c r="U181" s="45" t="str">
        <f t="shared" ca="1" si="13"/>
        <v>3503,..,2103</v>
      </c>
      <c r="V181" s="45">
        <f t="shared" ref="V181:W183" ca="1" si="14">V180+1</f>
        <v>3503</v>
      </c>
      <c r="W181" s="45">
        <f t="shared" ca="1" si="14"/>
        <v>2103</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3">
      <c r="A182" s="105"/>
      <c r="B182" s="106"/>
      <c r="C182" s="96" t="s">
        <v>246</v>
      </c>
      <c r="D182" s="97"/>
      <c r="E182" s="20" t="s">
        <v>207</v>
      </c>
      <c r="F182" s="96">
        <f>(70.89+(1.8+1.8+1.185+1.53+0.72)+(2.202+2.031))*10.764</f>
        <v>884.34871199999998</v>
      </c>
      <c r="G182" s="97"/>
      <c r="H182" s="20">
        <f>4.875*10.764</f>
        <v>52.474499999999999</v>
      </c>
      <c r="I182" s="20">
        <f t="shared" si="12"/>
        <v>1511.6498747999999</v>
      </c>
      <c r="J182" s="1">
        <f>32400000/(F182+H182)</f>
        <v>34584.967136787811</v>
      </c>
      <c r="K182" s="1"/>
      <c r="L182" s="1"/>
      <c r="M182" s="1"/>
      <c r="N182" s="1"/>
      <c r="O182" s="1"/>
      <c r="P182" s="1"/>
      <c r="Q182" s="1"/>
      <c r="R182" s="1"/>
      <c r="S182" s="1"/>
      <c r="T182" s="1"/>
      <c r="U182" s="45" t="str">
        <f t="shared" ca="1" si="13"/>
        <v>3504,..,2104</v>
      </c>
      <c r="V182" s="45">
        <f t="shared" ca="1" si="14"/>
        <v>3504</v>
      </c>
      <c r="W182" s="45">
        <f t="shared" ca="1" si="14"/>
        <v>2104</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3">
      <c r="A183" s="107"/>
      <c r="B183" s="108"/>
      <c r="C183" s="96" t="s">
        <v>247</v>
      </c>
      <c r="D183" s="97"/>
      <c r="E183" s="20" t="s">
        <v>207</v>
      </c>
      <c r="F183" s="96">
        <f>(70.89+(1.8+1.8+1.185+1.53+0.72)+(2.202+2.031))*10.764</f>
        <v>884.34871199999998</v>
      </c>
      <c r="G183" s="97"/>
      <c r="H183" s="20">
        <f>4.875*10.764</f>
        <v>52.474499999999999</v>
      </c>
      <c r="I183" s="20">
        <f t="shared" si="12"/>
        <v>1511.6498747999999</v>
      </c>
      <c r="J183" s="1"/>
      <c r="K183" s="1"/>
      <c r="L183" s="1"/>
      <c r="M183" s="1"/>
      <c r="N183" s="1"/>
      <c r="O183" s="1"/>
      <c r="P183" s="1"/>
      <c r="Q183" s="1"/>
      <c r="R183" s="1"/>
      <c r="S183" s="1"/>
      <c r="T183" s="1"/>
      <c r="U183" s="45" t="str">
        <f t="shared" ca="1" si="13"/>
        <v>3505,..,2105</v>
      </c>
      <c r="V183" s="45">
        <f t="shared" ca="1" si="14"/>
        <v>3505</v>
      </c>
      <c r="W183" s="45">
        <f t="shared" ca="1" si="14"/>
        <v>2105</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1" hidden="1" x14ac:dyDescent="0.3">
      <c r="A184" s="98" t="s">
        <v>159</v>
      </c>
      <c r="B184" s="99"/>
      <c r="C184" s="99"/>
      <c r="D184" s="99"/>
      <c r="E184" s="99"/>
      <c r="F184" s="99"/>
      <c r="G184" s="99"/>
      <c r="H184" s="99"/>
      <c r="I184" s="10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hidden="1" customHeight="1" x14ac:dyDescent="0.3">
      <c r="A185" s="101" t="str">
        <f>A184</f>
        <v>2nd to 5th Floor</v>
      </c>
      <c r="B185" s="101"/>
      <c r="C185" s="96" t="str">
        <f ca="1">U185</f>
        <v>201 to 501</v>
      </c>
      <c r="D185" s="97"/>
      <c r="E185" s="20"/>
      <c r="F185" s="96"/>
      <c r="G185" s="97"/>
      <c r="H185" s="20"/>
      <c r="I185" s="20">
        <f t="shared" ref="I185:I194" si="15">F185*(($I$129)+1)+H185</f>
        <v>0</v>
      </c>
      <c r="J185" s="1"/>
      <c r="K185" s="1"/>
      <c r="L185" s="1"/>
      <c r="M185" s="1"/>
      <c r="N185" s="1"/>
      <c r="O185" s="1"/>
      <c r="P185" s="1"/>
      <c r="Q185" s="1"/>
      <c r="R185" s="1"/>
      <c r="S185" s="1"/>
      <c r="T185" s="1"/>
      <c r="U185" s="45" t="str">
        <f ca="1">V185&amp;""&amp;" to "&amp;""&amp;W185</f>
        <v>201 to 501</v>
      </c>
      <c r="V185" s="45">
        <f ca="1">(SUMPRODUCT(MID(0&amp;(LEFT(A184,SUM(LEN(A184)-LEN(SUBSTITUTE(A184,{"0","1","2","3"},""))))), LARGE(INDEX(ISNUMBER(--MID((LEFT(A184,SUM(LEN(A184)-LEN(SUBSTITUTE(A184,{"0","1","2","3"},""))))), ROW(INDIRECT("1:"&amp;LEN((LEFT(A184,SUM(LEN(A184)-LEN(SUBSTITUTE(A184,{"0","1","2","3"},"")))))))), 1)) * ROW(INDIRECT("1:"&amp;LEN((LEFT(A184,SUM(LEN(A184)-LEN(SUBSTITUTE(A184,{"0","1","2","3"},"")))))))), 0), ROW(INDIRECT("1:"&amp;LEN((LEFT(A184,SUM(LEN(A184)-LEN(SUBSTITUTE(A184,{"0","1","2","3"},"")))))))))+1, 1) * 10^ROW(INDIRECT("1:"&amp;LEN((LEFT(A184,SUM(LEN(A184)-LEN(SUBSTITUTE(A184,{"0","1","2","3"},""))))))))/10))*100+1</f>
        <v>201</v>
      </c>
      <c r="W185" s="45">
        <f ca="1">(SUMPRODUCT(MID(0&amp;(--TRIM(RIGHT(SUBSTITUTE(LEFT(A184,_xlfn.AGGREGATE(16,6,FIND({0,1,2,3,4,5,6,7,8,9},A184,ROW(INDIRECT("1:"&amp;LEN(A184)))),1)),"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",LEN(A184))),LEN(A184)))))))/10))*100+1</f>
        <v>501</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hidden="1" customHeight="1" x14ac:dyDescent="0.3">
      <c r="A186" s="101" t="str">
        <f t="shared" ref="A186:A194" si="16">A185</f>
        <v>2nd to 5th Floor</v>
      </c>
      <c r="B186" s="101"/>
      <c r="C186" s="96" t="str">
        <f t="shared" ref="C186:C194" ca="1" si="17">U186</f>
        <v>202 to 502</v>
      </c>
      <c r="D186" s="97"/>
      <c r="E186" s="20"/>
      <c r="F186" s="96"/>
      <c r="G186" s="97"/>
      <c r="H186" s="20"/>
      <c r="I186" s="20">
        <f t="shared" si="15"/>
        <v>0</v>
      </c>
      <c r="J186" s="1"/>
      <c r="K186" s="1"/>
      <c r="L186" s="1"/>
      <c r="M186" s="1"/>
      <c r="N186" s="1"/>
      <c r="O186" s="1"/>
      <c r="P186" s="1"/>
      <c r="Q186" s="1"/>
      <c r="R186" s="1"/>
      <c r="S186" s="1"/>
      <c r="T186" s="1"/>
      <c r="U186" s="45" t="str">
        <f t="shared" ref="U186:U194" ca="1" si="18">V186&amp;""&amp;" to "&amp;""&amp;W186</f>
        <v>202 to 502</v>
      </c>
      <c r="V186" s="45">
        <f ca="1">V185+1</f>
        <v>202</v>
      </c>
      <c r="W186" s="45">
        <f ca="1">W185+1</f>
        <v>502</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hidden="1" customHeight="1" x14ac:dyDescent="0.3">
      <c r="A187" s="101" t="str">
        <f t="shared" si="16"/>
        <v>2nd to 5th Floor</v>
      </c>
      <c r="B187" s="101"/>
      <c r="C187" s="96" t="str">
        <f t="shared" ca="1" si="17"/>
        <v>203 to 503</v>
      </c>
      <c r="D187" s="97"/>
      <c r="E187" s="20"/>
      <c r="F187" s="96"/>
      <c r="G187" s="97"/>
      <c r="H187" s="20"/>
      <c r="I187" s="20">
        <f t="shared" si="15"/>
        <v>0</v>
      </c>
      <c r="J187" s="1"/>
      <c r="K187" s="1"/>
      <c r="L187" s="1"/>
      <c r="M187" s="1"/>
      <c r="N187" s="1"/>
      <c r="O187" s="1"/>
      <c r="P187" s="1"/>
      <c r="Q187" s="1"/>
      <c r="R187" s="1"/>
      <c r="S187" s="1"/>
      <c r="T187" s="1"/>
      <c r="U187" s="45" t="str">
        <f t="shared" ca="1" si="18"/>
        <v>203 to 503</v>
      </c>
      <c r="V187" s="45">
        <f t="shared" ref="V187:V194" ca="1" si="19">V186+1</f>
        <v>203</v>
      </c>
      <c r="W187" s="45">
        <f t="shared" ref="W187:W194" ca="1" si="20">W186+1</f>
        <v>503</v>
      </c>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hidden="1" customHeight="1" x14ac:dyDescent="0.3">
      <c r="A188" s="101" t="str">
        <f t="shared" si="16"/>
        <v>2nd to 5th Floor</v>
      </c>
      <c r="B188" s="101"/>
      <c r="C188" s="96" t="str">
        <f t="shared" ca="1" si="17"/>
        <v>204 to 504</v>
      </c>
      <c r="D188" s="97"/>
      <c r="E188" s="20"/>
      <c r="F188" s="96"/>
      <c r="G188" s="97"/>
      <c r="H188" s="20"/>
      <c r="I188" s="20">
        <f t="shared" si="15"/>
        <v>0</v>
      </c>
      <c r="J188" s="1"/>
      <c r="K188" s="1"/>
      <c r="L188" s="1"/>
      <c r="M188" s="1"/>
      <c r="N188" s="1"/>
      <c r="O188" s="1"/>
      <c r="P188" s="1"/>
      <c r="Q188" s="1"/>
      <c r="R188" s="1"/>
      <c r="S188" s="1"/>
      <c r="T188" s="1"/>
      <c r="U188" s="45" t="str">
        <f t="shared" ca="1" si="18"/>
        <v>204 to 504</v>
      </c>
      <c r="V188" s="45">
        <f t="shared" ca="1" si="19"/>
        <v>204</v>
      </c>
      <c r="W188" s="45">
        <f t="shared" ca="1" si="20"/>
        <v>504</v>
      </c>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hidden="1" customHeight="1" x14ac:dyDescent="0.3">
      <c r="A189" s="101" t="str">
        <f t="shared" si="16"/>
        <v>2nd to 5th Floor</v>
      </c>
      <c r="B189" s="101"/>
      <c r="C189" s="96" t="str">
        <f t="shared" ca="1" si="17"/>
        <v>205 to 505</v>
      </c>
      <c r="D189" s="97"/>
      <c r="E189" s="20"/>
      <c r="F189" s="96"/>
      <c r="G189" s="97"/>
      <c r="H189" s="20"/>
      <c r="I189" s="20">
        <f t="shared" si="15"/>
        <v>0</v>
      </c>
      <c r="J189" s="1"/>
      <c r="K189" s="1"/>
      <c r="L189" s="1"/>
      <c r="M189" s="1"/>
      <c r="N189" s="1"/>
      <c r="O189" s="1"/>
      <c r="P189" s="1"/>
      <c r="Q189" s="1"/>
      <c r="R189" s="1"/>
      <c r="S189" s="1"/>
      <c r="T189" s="1"/>
      <c r="U189" s="45" t="str">
        <f t="shared" ca="1" si="18"/>
        <v>205 to 505</v>
      </c>
      <c r="V189" s="45">
        <f t="shared" ca="1" si="19"/>
        <v>205</v>
      </c>
      <c r="W189" s="45">
        <f t="shared" ca="1" si="20"/>
        <v>505</v>
      </c>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hidden="1" customHeight="1" x14ac:dyDescent="0.3">
      <c r="A190" s="101" t="str">
        <f t="shared" si="16"/>
        <v>2nd to 5th Floor</v>
      </c>
      <c r="B190" s="101"/>
      <c r="C190" s="96" t="str">
        <f t="shared" ca="1" si="17"/>
        <v>206 to 506</v>
      </c>
      <c r="D190" s="97"/>
      <c r="E190" s="20"/>
      <c r="F190" s="96"/>
      <c r="G190" s="97"/>
      <c r="H190" s="20"/>
      <c r="I190" s="20">
        <f t="shared" si="15"/>
        <v>0</v>
      </c>
      <c r="J190" s="1"/>
      <c r="K190" s="1"/>
      <c r="L190" s="1"/>
      <c r="M190" s="1"/>
      <c r="N190" s="1"/>
      <c r="O190" s="1"/>
      <c r="P190" s="1"/>
      <c r="Q190" s="1"/>
      <c r="R190" s="1"/>
      <c r="S190" s="1"/>
      <c r="T190" s="1"/>
      <c r="U190" s="45" t="str">
        <f t="shared" ca="1" si="18"/>
        <v>206 to 506</v>
      </c>
      <c r="V190" s="45">
        <f t="shared" ca="1" si="19"/>
        <v>206</v>
      </c>
      <c r="W190" s="45">
        <f t="shared" ca="1" si="20"/>
        <v>506</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hidden="1" customHeight="1" x14ac:dyDescent="0.3">
      <c r="A191" s="101" t="str">
        <f t="shared" si="16"/>
        <v>2nd to 5th Floor</v>
      </c>
      <c r="B191" s="101"/>
      <c r="C191" s="96" t="str">
        <f t="shared" ca="1" si="17"/>
        <v>207 to 507</v>
      </c>
      <c r="D191" s="97"/>
      <c r="E191" s="20"/>
      <c r="F191" s="96"/>
      <c r="G191" s="97"/>
      <c r="H191" s="20"/>
      <c r="I191" s="20">
        <f t="shared" si="15"/>
        <v>0</v>
      </c>
      <c r="J191" s="1"/>
      <c r="K191" s="1"/>
      <c r="L191" s="1"/>
      <c r="M191" s="1"/>
      <c r="N191" s="1"/>
      <c r="O191" s="1"/>
      <c r="P191" s="1"/>
      <c r="Q191" s="1"/>
      <c r="R191" s="1"/>
      <c r="S191" s="1"/>
      <c r="T191" s="1"/>
      <c r="U191" s="45" t="str">
        <f t="shared" ca="1" si="18"/>
        <v>207 to 507</v>
      </c>
      <c r="V191" s="45">
        <f t="shared" ca="1" si="19"/>
        <v>207</v>
      </c>
      <c r="W191" s="45">
        <f t="shared" ca="1" si="20"/>
        <v>507</v>
      </c>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hidden="1" customHeight="1" x14ac:dyDescent="0.3">
      <c r="A192" s="101" t="str">
        <f t="shared" si="16"/>
        <v>2nd to 5th Floor</v>
      </c>
      <c r="B192" s="101"/>
      <c r="C192" s="96" t="str">
        <f t="shared" ca="1" si="17"/>
        <v>208 to 508</v>
      </c>
      <c r="D192" s="97"/>
      <c r="E192" s="20"/>
      <c r="F192" s="96"/>
      <c r="G192" s="97"/>
      <c r="H192" s="20"/>
      <c r="I192" s="20">
        <f t="shared" si="15"/>
        <v>0</v>
      </c>
      <c r="J192" s="1"/>
      <c r="K192" s="1"/>
      <c r="L192" s="1"/>
      <c r="M192" s="1"/>
      <c r="N192" s="1"/>
      <c r="O192" s="1"/>
      <c r="P192" s="1"/>
      <c r="Q192" s="1"/>
      <c r="R192" s="1"/>
      <c r="S192" s="1"/>
      <c r="T192" s="1"/>
      <c r="U192" s="45" t="str">
        <f t="shared" ca="1" si="18"/>
        <v>208 to 508</v>
      </c>
      <c r="V192" s="45">
        <f t="shared" ca="1" si="19"/>
        <v>208</v>
      </c>
      <c r="W192" s="45">
        <f t="shared" ca="1" si="20"/>
        <v>508</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hidden="1" customHeight="1" x14ac:dyDescent="0.3">
      <c r="A193" s="101" t="str">
        <f t="shared" si="16"/>
        <v>2nd to 5th Floor</v>
      </c>
      <c r="B193" s="101"/>
      <c r="C193" s="96" t="str">
        <f t="shared" ca="1" si="17"/>
        <v>209 to 509</v>
      </c>
      <c r="D193" s="97"/>
      <c r="E193" s="20"/>
      <c r="F193" s="96"/>
      <c r="G193" s="97"/>
      <c r="H193" s="20"/>
      <c r="I193" s="20">
        <f t="shared" si="15"/>
        <v>0</v>
      </c>
      <c r="J193" s="1"/>
      <c r="K193" s="1"/>
      <c r="L193" s="1"/>
      <c r="M193" s="1"/>
      <c r="N193" s="1"/>
      <c r="O193" s="1"/>
      <c r="P193" s="1"/>
      <c r="Q193" s="1"/>
      <c r="R193" s="1"/>
      <c r="S193" s="1"/>
      <c r="T193" s="1"/>
      <c r="U193" s="45" t="str">
        <f t="shared" ca="1" si="18"/>
        <v>209 to 509</v>
      </c>
      <c r="V193" s="45">
        <f t="shared" ca="1" si="19"/>
        <v>209</v>
      </c>
      <c r="W193" s="45">
        <f t="shared" ca="1" si="20"/>
        <v>509</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hidden="1" customHeight="1" x14ac:dyDescent="0.3">
      <c r="A194" s="101" t="str">
        <f t="shared" si="16"/>
        <v>2nd to 5th Floor</v>
      </c>
      <c r="B194" s="101"/>
      <c r="C194" s="96" t="str">
        <f t="shared" ca="1" si="17"/>
        <v>210 to 510</v>
      </c>
      <c r="D194" s="97"/>
      <c r="E194" s="20"/>
      <c r="F194" s="96"/>
      <c r="G194" s="97"/>
      <c r="H194" s="20"/>
      <c r="I194" s="20">
        <f t="shared" si="15"/>
        <v>0</v>
      </c>
      <c r="J194" s="1"/>
      <c r="K194" s="1"/>
      <c r="L194" s="1"/>
      <c r="M194" s="1"/>
      <c r="N194" s="1"/>
      <c r="O194" s="1"/>
      <c r="P194" s="1"/>
      <c r="Q194" s="1"/>
      <c r="R194" s="1"/>
      <c r="S194" s="1"/>
      <c r="T194" s="1"/>
      <c r="U194" s="45" t="str">
        <f t="shared" ca="1" si="18"/>
        <v>210 to 510</v>
      </c>
      <c r="V194" s="45">
        <f t="shared" ca="1" si="19"/>
        <v>210</v>
      </c>
      <c r="W194" s="45">
        <f t="shared" ca="1" si="20"/>
        <v>510</v>
      </c>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1" x14ac:dyDescent="0.3">
      <c r="A195" s="98" t="s">
        <v>220</v>
      </c>
      <c r="B195" s="99"/>
      <c r="C195" s="99"/>
      <c r="D195" s="99"/>
      <c r="E195" s="99"/>
      <c r="F195" s="99"/>
      <c r="G195" s="99"/>
      <c r="H195" s="99"/>
      <c r="I195" s="10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3">
      <c r="A196" s="103" t="str">
        <f>A195</f>
        <v>12th Floor (Part Refuge Area)</v>
      </c>
      <c r="B196" s="104"/>
      <c r="C196" s="101">
        <f>LEFT(A195,SUM(LEN(A195)-LEN(SUBSTITUTE(A195,{"0","1","2","3","4","5","6","7","8","9"},""))))*100+1</f>
        <v>1201</v>
      </c>
      <c r="D196" s="101"/>
      <c r="E196" s="20" t="s">
        <v>206</v>
      </c>
      <c r="F196" s="96">
        <f>(51.26+(1.95+1.926)+(1.8+1.185+1.8+0.69))*10.764</f>
        <v>652.41680399999996</v>
      </c>
      <c r="G196" s="97"/>
      <c r="H196" s="54">
        <f>4.687*10.764</f>
        <v>50.450868</v>
      </c>
      <c r="I196" s="20">
        <f>F196*(($I$129)+1)+H196</f>
        <v>1126.9385945999998</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3">
      <c r="A197" s="105"/>
      <c r="B197" s="106"/>
      <c r="C197" s="96">
        <f>C196+1</f>
        <v>1202</v>
      </c>
      <c r="D197" s="97"/>
      <c r="E197" s="96" t="s">
        <v>218</v>
      </c>
      <c r="F197" s="109"/>
      <c r="G197" s="109"/>
      <c r="H197" s="109"/>
      <c r="I197" s="97"/>
      <c r="J197" s="1">
        <f>3.05*5.225+0.1*2.125+2.5*3.05+0.55+1.9+2.5*3.65+0.6*0.66+1.375*2.125+1.425*2.125+2.91*1.86+3.21*1</f>
        <v>50.317349999999998</v>
      </c>
      <c r="K197" s="1"/>
      <c r="L197" s="1"/>
      <c r="M197" s="1"/>
      <c r="N197" s="1"/>
      <c r="O197" s="1"/>
      <c r="P197" s="1"/>
      <c r="Q197" s="1"/>
      <c r="R197" s="1"/>
      <c r="S197" s="1"/>
      <c r="T197" s="1"/>
      <c r="U197" s="45"/>
      <c r="V197" s="45"/>
      <c r="W197" s="45"/>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3">
      <c r="A198" s="105"/>
      <c r="B198" s="106"/>
      <c r="C198" s="101">
        <f t="shared" ref="C198:C200" si="21">C197+1</f>
        <v>1203</v>
      </c>
      <c r="D198" s="101"/>
      <c r="E198" s="20" t="s">
        <v>206</v>
      </c>
      <c r="F198" s="96">
        <f>(50.86+(1.8+1.671+0.69+1.8)+(1.95+2.022))*10.764</f>
        <v>654.37585200000001</v>
      </c>
      <c r="G198" s="97"/>
      <c r="H198" s="20">
        <f>4.875*10.764</f>
        <v>52.474499999999999</v>
      </c>
      <c r="I198" s="20">
        <f t="shared" ref="I198:I199" si="22">F198*(($I$129)+1)+H198</f>
        <v>1132.1946558</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3">
      <c r="A199" s="105"/>
      <c r="B199" s="106"/>
      <c r="C199" s="101">
        <f t="shared" si="21"/>
        <v>1204</v>
      </c>
      <c r="D199" s="101"/>
      <c r="E199" s="20" t="s">
        <v>207</v>
      </c>
      <c r="F199" s="96">
        <f>(70.89+(1.8+1.185+1.8+1.53+0.72)+(2.202+1.95))*10.764</f>
        <v>883.47682799999995</v>
      </c>
      <c r="G199" s="97"/>
      <c r="H199" s="20">
        <f>4.387*10.764</f>
        <v>47.221667999999994</v>
      </c>
      <c r="I199" s="20">
        <f t="shared" si="22"/>
        <v>1504.9584341999998</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3">
      <c r="A200" s="107"/>
      <c r="B200" s="108"/>
      <c r="C200" s="101">
        <f t="shared" si="21"/>
        <v>1205</v>
      </c>
      <c r="D200" s="101"/>
      <c r="E200" s="20" t="s">
        <v>207</v>
      </c>
      <c r="F200" s="96">
        <f>(70.89+(1.8+1.185+1.8+1.53+0.72)+(2.202+1.95))*10.764</f>
        <v>883.47682799999995</v>
      </c>
      <c r="G200" s="97"/>
      <c r="H200" s="20">
        <f>4.387*10.764</f>
        <v>47.221667999999994</v>
      </c>
      <c r="I200" s="20">
        <f t="shared" ref="I200" si="23">F200*(($I$129)+1)+H200</f>
        <v>1504.9584341999998</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1" x14ac:dyDescent="0.3">
      <c r="A201" s="98" t="s">
        <v>219</v>
      </c>
      <c r="B201" s="99"/>
      <c r="C201" s="99"/>
      <c r="D201" s="99"/>
      <c r="E201" s="99"/>
      <c r="F201" s="99"/>
      <c r="G201" s="99"/>
      <c r="H201" s="99"/>
      <c r="I201" s="100"/>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3">
      <c r="A202" s="103" t="str">
        <f>A201</f>
        <v>7th &amp; 17th Floor (Part Refuge Area)</v>
      </c>
      <c r="B202" s="104"/>
      <c r="C202" s="96" t="str">
        <f ca="1">U202</f>
        <v>701 &amp; 1701</v>
      </c>
      <c r="D202" s="97"/>
      <c r="E202" s="20" t="s">
        <v>206</v>
      </c>
      <c r="F202" s="96">
        <f>(51.26+(1.8+1.8+1.185+0.69)+(1.926+1.875))*10.764</f>
        <v>651.60950400000002</v>
      </c>
      <c r="G202" s="97"/>
      <c r="H202" s="20">
        <f>4.687*10.764</f>
        <v>50.450868</v>
      </c>
      <c r="I202" s="20">
        <f t="shared" ref="I202:I206" si="24">F202*(($I$129)+1)+H202</f>
        <v>1125.6065495999999</v>
      </c>
      <c r="J202" s="1"/>
      <c r="K202" s="1"/>
      <c r="L202" s="1"/>
      <c r="M202" s="1"/>
      <c r="N202" s="1"/>
      <c r="O202" s="1"/>
      <c r="P202" s="1"/>
      <c r="Q202" s="1"/>
      <c r="R202" s="1"/>
      <c r="S202" s="1"/>
      <c r="T202" s="1"/>
      <c r="U202" s="45" t="str">
        <f ca="1">V202&amp;""&amp;" &amp; "&amp;""&amp;W202</f>
        <v>701 &amp; 1701</v>
      </c>
      <c r="V202" s="45">
        <f ca="1">(SUMPRODUCT(MID(0&amp;(LEFT(A201,SUM(LEN(A201)-LEN(SUBSTITUTE(A201,{"0","1","2","3"},""))))), LARGE(INDEX(ISNUMBER(--MID((LEFT(A201,SUM(LEN(A201)-LEN(SUBSTITUTE(A201,{"0","1","2","3"},""))))), ROW(INDIRECT("1:"&amp;LEN((LEFT(A201,SUM(LEN(A201)-LEN(SUBSTITUTE(A201,{"0","1","2","3"},"")))))))), 1)) * ROW(INDIRECT("1:"&amp;LEN((LEFT(A201,SUM(LEN(A201)-LEN(SUBSTITUTE(A201,{"0","1","2","3"},"")))))))), 0), ROW(INDIRECT("1:"&amp;LEN((LEFT(A201,SUM(LEN(A201)-LEN(SUBSTITUTE(A201,{"0","1","2","3"},"")))))))))+1, 1) * 10^ROW(INDIRECT("1:"&amp;LEN((LEFT(A201,SUM(LEN(A201)-LEN(SUBSTITUTE(A201,{"0","1","2","3"},""))))))))/10))*100+1</f>
        <v>701</v>
      </c>
      <c r="W202" s="45">
        <f ca="1">(SUMPRODUCT(MID(0&amp;(--TRIM(RIGHT(SUBSTITUTE(LEFT(A201,_xlfn.AGGREGATE(16,6,FIND({0,1,2,3,4,5,6,7,8,9},A201,ROW(INDIRECT("1:"&amp;LEN(A201)))),1)),"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",LEN(A201))),LEN(A201)))))))/10))*100+1</f>
        <v>1701</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3">
      <c r="A203" s="105"/>
      <c r="B203" s="106"/>
      <c r="C203" s="96" t="s">
        <v>214</v>
      </c>
      <c r="D203" s="97"/>
      <c r="E203" s="96" t="s">
        <v>218</v>
      </c>
      <c r="F203" s="109"/>
      <c r="G203" s="109"/>
      <c r="H203" s="109"/>
      <c r="I203" s="97"/>
      <c r="J203" s="1"/>
      <c r="K203" s="1"/>
      <c r="L203" s="1"/>
      <c r="M203" s="1"/>
      <c r="N203" s="1"/>
      <c r="O203" s="1"/>
      <c r="P203" s="1"/>
      <c r="Q203" s="1"/>
      <c r="R203" s="1"/>
      <c r="S203" s="1"/>
      <c r="T203" s="1"/>
      <c r="U203" s="45" t="str">
        <f t="shared" ref="U203" si="25">V203&amp;""&amp;" &amp; "&amp;""&amp;W203</f>
        <v>1 &amp; 1</v>
      </c>
      <c r="V203" s="45">
        <f>V201+1</f>
        <v>1</v>
      </c>
      <c r="W203" s="45">
        <f>W201+1</f>
        <v>1</v>
      </c>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3">
      <c r="A204" s="105"/>
      <c r="B204" s="106"/>
      <c r="C204" s="96" t="s">
        <v>215</v>
      </c>
      <c r="D204" s="97"/>
      <c r="E204" s="20" t="s">
        <v>206</v>
      </c>
      <c r="F204" s="96">
        <f>(50.86+(1.8+1.671+1.8+0.69)+(1.95+1.95))*10.764</f>
        <v>653.60084399999994</v>
      </c>
      <c r="G204" s="97"/>
      <c r="H204" s="20">
        <f>5.055*10.764</f>
        <v>54.412019999999991</v>
      </c>
      <c r="I204" s="20">
        <f t="shared" si="24"/>
        <v>1132.8534125999997</v>
      </c>
      <c r="J204" s="1"/>
      <c r="K204" s="1"/>
      <c r="L204" s="1"/>
      <c r="M204" s="1"/>
      <c r="N204" s="1"/>
      <c r="O204" s="1"/>
      <c r="P204" s="1"/>
      <c r="Q204" s="1"/>
      <c r="R204" s="1"/>
      <c r="S204" s="1"/>
      <c r="T204" s="1"/>
      <c r="U204" s="45" t="str">
        <f t="shared" ref="U204:U206" ca="1" si="26">V204&amp;""&amp;" &amp; "&amp;""&amp;W204</f>
        <v>702 &amp; 1702</v>
      </c>
      <c r="V204" s="45">
        <f ca="1">V202+1</f>
        <v>702</v>
      </c>
      <c r="W204" s="45">
        <f ca="1">W202+1</f>
        <v>1702</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3">
      <c r="A205" s="105"/>
      <c r="B205" s="106"/>
      <c r="C205" s="96" t="s">
        <v>216</v>
      </c>
      <c r="D205" s="97"/>
      <c r="E205" s="20" t="s">
        <v>207</v>
      </c>
      <c r="F205" s="96">
        <f>(70.89+(1.8+1.8+1.185+1.53+0.72)+(2.202+2.031))*10.764</f>
        <v>884.34871199999998</v>
      </c>
      <c r="G205" s="97"/>
      <c r="H205" s="20">
        <f>4.875*10.764</f>
        <v>52.474499999999999</v>
      </c>
      <c r="I205" s="20">
        <f t="shared" si="24"/>
        <v>1511.6498747999999</v>
      </c>
      <c r="J205" s="1"/>
      <c r="K205" s="1"/>
      <c r="L205" s="1"/>
      <c r="M205" s="1"/>
      <c r="N205" s="1"/>
      <c r="O205" s="1"/>
      <c r="P205" s="1"/>
      <c r="Q205" s="1"/>
      <c r="R205" s="1"/>
      <c r="S205" s="1"/>
      <c r="T205" s="1"/>
      <c r="U205" s="45" t="str">
        <f t="shared" ca="1" si="26"/>
        <v>703 &amp; 1703</v>
      </c>
      <c r="V205" s="45">
        <f t="shared" ref="V205:V206" ca="1" si="27">V204+1</f>
        <v>703</v>
      </c>
      <c r="W205" s="45">
        <f t="shared" ref="W205:W206" ca="1" si="28">W204+1</f>
        <v>1703</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3">
      <c r="A206" s="107"/>
      <c r="B206" s="108"/>
      <c r="C206" s="96" t="s">
        <v>217</v>
      </c>
      <c r="D206" s="97"/>
      <c r="E206" s="20" t="s">
        <v>207</v>
      </c>
      <c r="F206" s="96">
        <f>(70.89+(1.8+1.8+1.185+1.53+0.72)+(2.202+2.031))*10.764</f>
        <v>884.34871199999998</v>
      </c>
      <c r="G206" s="97"/>
      <c r="H206" s="20">
        <f>4.875*10.764</f>
        <v>52.474499999999999</v>
      </c>
      <c r="I206" s="20">
        <f t="shared" si="24"/>
        <v>1511.6498747999999</v>
      </c>
      <c r="J206" s="1"/>
      <c r="K206" s="1"/>
      <c r="L206" s="1"/>
      <c r="M206" s="1"/>
      <c r="N206" s="1"/>
      <c r="O206" s="1"/>
      <c r="P206" s="1"/>
      <c r="Q206" s="1"/>
      <c r="R206" s="1"/>
      <c r="S206" s="1"/>
      <c r="T206" s="1"/>
      <c r="U206" s="45" t="str">
        <f t="shared" ca="1" si="26"/>
        <v>704 &amp; 1704</v>
      </c>
      <c r="V206" s="45">
        <f t="shared" ca="1" si="27"/>
        <v>704</v>
      </c>
      <c r="W206" s="45">
        <f t="shared" ca="1" si="28"/>
        <v>1704</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1" x14ac:dyDescent="0.3">
      <c r="A207" s="98" t="s">
        <v>221</v>
      </c>
      <c r="B207" s="99"/>
      <c r="C207" s="99"/>
      <c r="D207" s="99"/>
      <c r="E207" s="99"/>
      <c r="F207" s="99"/>
      <c r="G207" s="99"/>
      <c r="H207" s="99"/>
      <c r="I207" s="10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3">
      <c r="A208" s="103" t="str">
        <f>A207</f>
        <v>22nd Floor  (Part Refuge Area)</v>
      </c>
      <c r="B208" s="104"/>
      <c r="C208" s="101">
        <f>LEFT(A207,SUM(LEN(A207)-LEN(SUBSTITUTE(A207,{"0","1","2","3","4","5","6","7","8","9"},""))))*100+1</f>
        <v>2201</v>
      </c>
      <c r="D208" s="101"/>
      <c r="E208" s="20" t="s">
        <v>206</v>
      </c>
      <c r="F208" s="96">
        <f>(51.26+(1.8+1.185+1.8+0.96)+(1.926+1.95))*10.764</f>
        <v>655.32308399999988</v>
      </c>
      <c r="G208" s="97"/>
      <c r="H208" s="54">
        <f>4.687*10.764</f>
        <v>50.450868</v>
      </c>
      <c r="I208" s="20">
        <f>F208*(($I$129)+1)+H208</f>
        <v>1131.7339565999996</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3">
      <c r="A209" s="105"/>
      <c r="B209" s="106"/>
      <c r="C209" s="96">
        <f>C208+1</f>
        <v>2202</v>
      </c>
      <c r="D209" s="97"/>
      <c r="E209" s="96" t="s">
        <v>218</v>
      </c>
      <c r="F209" s="109"/>
      <c r="G209" s="109"/>
      <c r="H209" s="109"/>
      <c r="I209" s="97"/>
      <c r="J209" s="1">
        <f>3.05*5.225+0.1*2.125+2.5*3.05+0.55+1.9+2.5*3.65+0.6*0.66+1.375*2.125+1.425*2.125+2.91*1.86+3.21*1</f>
        <v>50.317349999999998</v>
      </c>
      <c r="K209" s="1"/>
      <c r="L209" s="1"/>
      <c r="M209" s="1"/>
      <c r="N209" s="1"/>
      <c r="O209" s="1"/>
      <c r="P209" s="1"/>
      <c r="Q209" s="1"/>
      <c r="R209" s="1"/>
      <c r="S209" s="1"/>
      <c r="T209" s="1"/>
      <c r="U209" s="45"/>
      <c r="V209" s="45"/>
      <c r="W209" s="45"/>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3">
      <c r="A210" s="105"/>
      <c r="B210" s="106"/>
      <c r="C210" s="101">
        <f t="shared" ref="C210:C212" si="29">C209+1</f>
        <v>2203</v>
      </c>
      <c r="D210" s="101"/>
      <c r="E210" s="20" t="s">
        <v>206</v>
      </c>
      <c r="F210" s="96">
        <f>(50.86+(1.8+1.671+0.69+1.8)+(1.95+2.022))*10.764</f>
        <v>654.37585200000001</v>
      </c>
      <c r="G210" s="97"/>
      <c r="H210" s="20">
        <f>4.875*10.764</f>
        <v>52.474499999999999</v>
      </c>
      <c r="I210" s="20">
        <f t="shared" ref="I210:I211" si="30">F210*(($I$129)+1)+H210</f>
        <v>1132.1946558</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3">
      <c r="A211" s="105"/>
      <c r="B211" s="106"/>
      <c r="C211" s="101">
        <f t="shared" si="29"/>
        <v>2204</v>
      </c>
      <c r="D211" s="101"/>
      <c r="E211" s="20" t="s">
        <v>207</v>
      </c>
      <c r="F211" s="96">
        <f>(70.89+(1.8+1.185+1.8+1.53+0.72)+(2.202+1.95))*10.764</f>
        <v>883.47682799999995</v>
      </c>
      <c r="G211" s="97"/>
      <c r="H211" s="20">
        <f>4.387*10.764</f>
        <v>47.221667999999994</v>
      </c>
      <c r="I211" s="20">
        <f t="shared" si="30"/>
        <v>1504.9584341999998</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3">
      <c r="A212" s="107"/>
      <c r="B212" s="108"/>
      <c r="C212" s="101">
        <f t="shared" si="29"/>
        <v>2205</v>
      </c>
      <c r="D212" s="101"/>
      <c r="E212" s="20" t="s">
        <v>207</v>
      </c>
      <c r="F212" s="96">
        <f>(70.89+(1.8+1.185+1.8+1.53+0.72)+(2.202+1.95))*10.764</f>
        <v>883.47682799999995</v>
      </c>
      <c r="G212" s="97"/>
      <c r="H212" s="20">
        <f>4.387*10.764</f>
        <v>47.221667999999994</v>
      </c>
      <c r="I212" s="20">
        <f t="shared" ref="I212" si="31">F212*(($I$129)+1)+H212</f>
        <v>1504.9584341999998</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1" x14ac:dyDescent="0.3">
      <c r="A213" s="98" t="s">
        <v>212</v>
      </c>
      <c r="B213" s="99"/>
      <c r="C213" s="99"/>
      <c r="D213" s="99"/>
      <c r="E213" s="99"/>
      <c r="F213" s="99"/>
      <c r="G213" s="99"/>
      <c r="H213" s="99"/>
      <c r="I213" s="100"/>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1" x14ac:dyDescent="0.3">
      <c r="A214" s="103" t="str">
        <f>A213</f>
        <v>23rd Floor</v>
      </c>
      <c r="B214" s="104"/>
      <c r="C214" s="101">
        <f>LEFT(A213,SUM(LEN(A213)-LEN(SUBSTITUTE(A213,{"0","1","2","3","4","5","6","7","8","9"},""))))*100+1</f>
        <v>2301</v>
      </c>
      <c r="D214" s="101"/>
      <c r="E214" s="20" t="s">
        <v>206</v>
      </c>
      <c r="F214" s="96">
        <f>(51.26+(1.8+0.69+1.8+1.185)+(1.875+1.926))*10.764</f>
        <v>651.60950400000002</v>
      </c>
      <c r="G214" s="97"/>
      <c r="H214" s="54">
        <f>4.875*10.764</f>
        <v>52.474499999999999</v>
      </c>
      <c r="I214" s="20">
        <f>F214*(($I$129)+1)+H214</f>
        <v>1127.6301816</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1" x14ac:dyDescent="0.3">
      <c r="A215" s="105"/>
      <c r="B215" s="106"/>
      <c r="C215" s="101">
        <f>C214+1</f>
        <v>2302</v>
      </c>
      <c r="D215" s="101"/>
      <c r="E215" s="20" t="s">
        <v>206</v>
      </c>
      <c r="F215" s="96">
        <f>(51.41+(1.8+1.185+1.8+0.69)+(1.875+1.95))*10.764</f>
        <v>653.48244</v>
      </c>
      <c r="G215" s="97"/>
      <c r="H215" s="54">
        <f>4.875*10.764</f>
        <v>52.474499999999999</v>
      </c>
      <c r="I215" s="20">
        <f t="shared" ref="I215:I217" si="32">F215*(($I$129)+1)+H215</f>
        <v>1130.7205260000001</v>
      </c>
      <c r="J215" s="1">
        <f>3.05*5.225+0.1*2.125+2.5*3.05+0.55+1.9+2.5*3.65+0.6*0.66+1.375*2.125+1.425*2.125+2.91*1.86+3.21*1</f>
        <v>50.317349999999998</v>
      </c>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1" x14ac:dyDescent="0.3">
      <c r="A216" s="105"/>
      <c r="B216" s="106"/>
      <c r="C216" s="101">
        <f t="shared" ref="C216:C218" si="33">C215+1</f>
        <v>2303</v>
      </c>
      <c r="D216" s="101"/>
      <c r="E216" s="20" t="s">
        <v>206</v>
      </c>
      <c r="F216" s="96">
        <f>(50.86+(1.8+0.69+1.8+1.671)+(1.95+1.95))*10.764</f>
        <v>653.60084399999994</v>
      </c>
      <c r="G216" s="97"/>
      <c r="H216" s="20">
        <f>5.055*10.764</f>
        <v>54.412019999999991</v>
      </c>
      <c r="I216" s="20">
        <f t="shared" si="32"/>
        <v>1132.8534125999997</v>
      </c>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3">
      <c r="A217" s="105"/>
      <c r="B217" s="106"/>
      <c r="C217" s="101">
        <f t="shared" si="33"/>
        <v>2304</v>
      </c>
      <c r="D217" s="101"/>
      <c r="E217" s="20" t="s">
        <v>207</v>
      </c>
      <c r="F217" s="96">
        <f>(70.89+(1.8+1.185+1.8+1.53+0.72)+(2.202+2.031))*10.764</f>
        <v>884.34871199999998</v>
      </c>
      <c r="G217" s="97"/>
      <c r="H217" s="20">
        <f>4.875*10.764</f>
        <v>52.474499999999999</v>
      </c>
      <c r="I217" s="20">
        <f t="shared" si="32"/>
        <v>1511.6498747999999</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3">
      <c r="A218" s="107"/>
      <c r="B218" s="108"/>
      <c r="C218" s="101">
        <f t="shared" si="33"/>
        <v>2305</v>
      </c>
      <c r="D218" s="101"/>
      <c r="E218" s="20" t="s">
        <v>207</v>
      </c>
      <c r="F218" s="96">
        <f>(70.89+(1.8+1.185+1.8+1.53+0.72)+(2.202+2.031))*10.764</f>
        <v>884.34871199999998</v>
      </c>
      <c r="G218" s="97"/>
      <c r="H218" s="20">
        <f>4.875*10.764</f>
        <v>52.474499999999999</v>
      </c>
      <c r="I218" s="20">
        <f t="shared" ref="I218" si="34">F218*(($I$129)+1)+H218</f>
        <v>1511.6498747999999</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1" x14ac:dyDescent="0.3">
      <c r="A219" s="98" t="s">
        <v>213</v>
      </c>
      <c r="B219" s="99"/>
      <c r="C219" s="99"/>
      <c r="D219" s="99"/>
      <c r="E219" s="99"/>
      <c r="F219" s="99"/>
      <c r="G219" s="99"/>
      <c r="H219" s="99"/>
      <c r="I219" s="10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1" x14ac:dyDescent="0.3">
      <c r="A220" s="103" t="str">
        <f>A219</f>
        <v>24th Floor</v>
      </c>
      <c r="B220" s="104"/>
      <c r="C220" s="101">
        <f>LEFT(A219,SUM(LEN(A219)-LEN(SUBSTITUTE(A219,{"0","1","2","3","4","5","6","7","8","9"},""))))*100+1</f>
        <v>2401</v>
      </c>
      <c r="D220" s="101"/>
      <c r="E220" s="20" t="s">
        <v>206</v>
      </c>
      <c r="F220" s="96">
        <f>(51.26+(1.8+1.185+1.8+0.96)+(1.926+1.95))*10.764</f>
        <v>655.32308399999988</v>
      </c>
      <c r="G220" s="97"/>
      <c r="H220" s="54">
        <f>4.687*10.764</f>
        <v>50.450868</v>
      </c>
      <c r="I220" s="20">
        <f>F220*(($I$129)+1)+H220</f>
        <v>1131.7339565999996</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1" x14ac:dyDescent="0.3">
      <c r="A221" s="105"/>
      <c r="B221" s="106"/>
      <c r="C221" s="101">
        <f>C220+1</f>
        <v>2402</v>
      </c>
      <c r="D221" s="101"/>
      <c r="E221" s="20" t="s">
        <v>206</v>
      </c>
      <c r="F221" s="96">
        <f>(51.41+(0.69+1.8+1.185+1.8)+(1.95*2))*10.764</f>
        <v>654.28973999999994</v>
      </c>
      <c r="G221" s="97"/>
      <c r="H221" s="54">
        <f>4.687*10.764</f>
        <v>50.450868</v>
      </c>
      <c r="I221" s="20">
        <f t="shared" ref="I221:I224" si="35">F221*(($I$129)+1)+H221</f>
        <v>1130.0289389999998</v>
      </c>
      <c r="J221" s="1">
        <f>3.05*5.225+0.1*2.125+2.5*3.05+0.55+1.9+2.5*3.65+0.6*0.66+1.375*2.125+1.425*2.125+2.91*1.86+3.21*1</f>
        <v>50.317349999999998</v>
      </c>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1" x14ac:dyDescent="0.3">
      <c r="A222" s="105"/>
      <c r="B222" s="106"/>
      <c r="C222" s="101">
        <f t="shared" ref="C222:C224" si="36">C221+1</f>
        <v>2403</v>
      </c>
      <c r="D222" s="101"/>
      <c r="E222" s="20" t="s">
        <v>206</v>
      </c>
      <c r="F222" s="96">
        <f>(50.86+(1.671+1.8+1.8+0.69)+(1.95+2.022))*10.764</f>
        <v>654.37585200000001</v>
      </c>
      <c r="G222" s="97"/>
      <c r="H222" s="20">
        <f>4.875*10.764</f>
        <v>52.474499999999999</v>
      </c>
      <c r="I222" s="20">
        <f t="shared" si="35"/>
        <v>1132.1946558</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3">
      <c r="A223" s="105"/>
      <c r="B223" s="106"/>
      <c r="C223" s="101">
        <f t="shared" si="36"/>
        <v>2404</v>
      </c>
      <c r="D223" s="101"/>
      <c r="E223" s="20" t="s">
        <v>207</v>
      </c>
      <c r="F223" s="96">
        <f>(70.89+(1.8+1.8+1.53+0.72+1.185)+(1.95+2.202))*10.764</f>
        <v>883.47682799999995</v>
      </c>
      <c r="G223" s="97"/>
      <c r="H223" s="20">
        <f>4.387*10.764</f>
        <v>47.221667999999994</v>
      </c>
      <c r="I223" s="20">
        <f t="shared" si="35"/>
        <v>1504.9584341999998</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3">
      <c r="A224" s="107"/>
      <c r="B224" s="108"/>
      <c r="C224" s="101">
        <f t="shared" si="36"/>
        <v>2405</v>
      </c>
      <c r="D224" s="101"/>
      <c r="E224" s="20" t="s">
        <v>207</v>
      </c>
      <c r="F224" s="96">
        <f>(70.89+(1.8+1.8+1.53+0.72+1.185)+(1.95+2.202))*10.764</f>
        <v>883.47682799999995</v>
      </c>
      <c r="G224" s="97"/>
      <c r="H224" s="20">
        <f>4.387*10.764</f>
        <v>47.221667999999994</v>
      </c>
      <c r="I224" s="20">
        <f t="shared" si="35"/>
        <v>1504.9584341999998</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1" x14ac:dyDescent="0.3">
      <c r="A225" s="98" t="s">
        <v>195</v>
      </c>
      <c r="B225" s="99"/>
      <c r="C225" s="99"/>
      <c r="D225" s="99"/>
      <c r="E225" s="99"/>
      <c r="F225" s="99"/>
      <c r="G225" s="99"/>
      <c r="H225" s="99"/>
      <c r="I225" s="10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1" customHeight="1" x14ac:dyDescent="0.3">
      <c r="A226" s="98" t="s">
        <v>299</v>
      </c>
      <c r="B226" s="99"/>
      <c r="C226" s="99"/>
      <c r="D226" s="99"/>
      <c r="E226" s="99"/>
      <c r="F226" s="99"/>
      <c r="G226" s="99"/>
      <c r="H226" s="99"/>
      <c r="I226" s="10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1" x14ac:dyDescent="0.3">
      <c r="A227" s="98" t="s">
        <v>205</v>
      </c>
      <c r="B227" s="99"/>
      <c r="C227" s="99"/>
      <c r="D227" s="99"/>
      <c r="E227" s="99"/>
      <c r="F227" s="99"/>
      <c r="G227" s="99"/>
      <c r="H227" s="99"/>
      <c r="I227" s="10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1" x14ac:dyDescent="0.3">
      <c r="A228" s="98" t="s">
        <v>158</v>
      </c>
      <c r="B228" s="99"/>
      <c r="C228" s="99"/>
      <c r="D228" s="99"/>
      <c r="E228" s="99"/>
      <c r="F228" s="99"/>
      <c r="G228" s="99"/>
      <c r="H228" s="99"/>
      <c r="I228" s="10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3">
      <c r="A229" s="103" t="str">
        <f>A228</f>
        <v>1st Floor</v>
      </c>
      <c r="B229" s="104"/>
      <c r="C229" s="96">
        <f>LEFT(A228,SUM(LEN(A228)-LEN(SUBSTITUTE(A228,{"0","1","2","3","4","5","6","7","8","9"},""))))*100+1</f>
        <v>101</v>
      </c>
      <c r="D229" s="97"/>
      <c r="E229" s="103" t="s">
        <v>223</v>
      </c>
      <c r="F229" s="110"/>
      <c r="G229" s="110"/>
      <c r="H229" s="110"/>
      <c r="I229" s="104"/>
      <c r="J229" s="1"/>
      <c r="K229" s="1"/>
      <c r="L229" s="1"/>
      <c r="M229" s="1"/>
      <c r="N229" s="1"/>
      <c r="O229" s="1"/>
      <c r="P229" s="1"/>
      <c r="Q229" s="1"/>
      <c r="R229" s="1"/>
      <c r="S229" s="1"/>
      <c r="T229" s="1"/>
      <c r="U229" s="45"/>
      <c r="V229" s="45"/>
      <c r="W229" s="45"/>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3">
      <c r="A230" s="105"/>
      <c r="B230" s="106"/>
      <c r="C230" s="96">
        <f>C229+1</f>
        <v>102</v>
      </c>
      <c r="D230" s="97"/>
      <c r="E230" s="105"/>
      <c r="F230" s="112"/>
      <c r="G230" s="112"/>
      <c r="H230" s="112"/>
      <c r="I230" s="106"/>
      <c r="J230" s="1">
        <f>3.05*5.225+0.1*2.125+2.5*3.05+0.55+1.9+2.5*3.65+0.6*0.66+1.375*2.125+1.425*2.125+2.91*1.86+3.21*1</f>
        <v>50.317349999999998</v>
      </c>
      <c r="K230" s="1"/>
      <c r="L230" s="1"/>
      <c r="M230" s="1"/>
      <c r="N230" s="1"/>
      <c r="O230" s="1"/>
      <c r="P230" s="1"/>
      <c r="Q230" s="1"/>
      <c r="R230" s="1"/>
      <c r="S230" s="1"/>
      <c r="T230" s="1"/>
      <c r="U230" s="45"/>
      <c r="V230" s="45"/>
      <c r="W230" s="45"/>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3">
      <c r="A231" s="105"/>
      <c r="B231" s="106"/>
      <c r="C231" s="96">
        <f t="shared" ref="C231:C232" si="37">C230+1</f>
        <v>103</v>
      </c>
      <c r="D231" s="97"/>
      <c r="E231" s="107"/>
      <c r="F231" s="111"/>
      <c r="G231" s="111"/>
      <c r="H231" s="111"/>
      <c r="I231" s="108"/>
      <c r="J231" s="1"/>
      <c r="K231" s="1"/>
      <c r="L231" s="1"/>
      <c r="M231" s="1"/>
      <c r="N231" s="1"/>
      <c r="O231" s="1"/>
      <c r="P231" s="1"/>
      <c r="Q231" s="1"/>
      <c r="R231" s="1"/>
      <c r="S231" s="1"/>
      <c r="T231" s="1"/>
      <c r="U231" s="45"/>
      <c r="V231" s="45"/>
      <c r="W231" s="45"/>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3">
      <c r="A232" s="107"/>
      <c r="B232" s="108"/>
      <c r="C232" s="101">
        <f t="shared" si="37"/>
        <v>104</v>
      </c>
      <c r="D232" s="101"/>
      <c r="E232" s="20" t="s">
        <v>207</v>
      </c>
      <c r="F232" s="96">
        <f>(70.84+0.6*2.125+(1.8+1.53+0.72+1.185)+(2.226+2.031))*10.764</f>
        <v>878.41774800000007</v>
      </c>
      <c r="G232" s="97"/>
      <c r="H232" s="20">
        <f>4.875*10.764</f>
        <v>52.474499999999999</v>
      </c>
      <c r="I232" s="20">
        <f t="shared" ref="I232" si="38">F232*(($I$129)+1)+H232</f>
        <v>1501.8637842000001</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1" x14ac:dyDescent="0.3">
      <c r="A233" s="98" t="s">
        <v>209</v>
      </c>
      <c r="B233" s="99"/>
      <c r="C233" s="99"/>
      <c r="D233" s="99"/>
      <c r="E233" s="99"/>
      <c r="F233" s="99"/>
      <c r="G233" s="99"/>
      <c r="H233" s="99"/>
      <c r="I233" s="10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1" x14ac:dyDescent="0.3">
      <c r="A234" s="103" t="str">
        <f>A233</f>
        <v>2nd Floor</v>
      </c>
      <c r="B234" s="104"/>
      <c r="C234" s="101">
        <f>LEFT(A233,SUM(LEN(A233)-LEN(SUBSTITUTE(A233,{"0","1","2","3","4","5","6","7","8","9"},""))))*100+1</f>
        <v>201</v>
      </c>
      <c r="D234" s="101"/>
      <c r="E234" s="103" t="s">
        <v>222</v>
      </c>
      <c r="F234" s="110"/>
      <c r="G234" s="110"/>
      <c r="H234" s="110"/>
      <c r="I234" s="104"/>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1" x14ac:dyDescent="0.3">
      <c r="A235" s="105"/>
      <c r="B235" s="106"/>
      <c r="C235" s="101">
        <f>C234+1</f>
        <v>202</v>
      </c>
      <c r="D235" s="101"/>
      <c r="E235" s="107"/>
      <c r="F235" s="111"/>
      <c r="G235" s="111"/>
      <c r="H235" s="111"/>
      <c r="I235" s="108"/>
      <c r="J235" s="1">
        <f>3.05*5.225+0.1*2.125+2.5*3.05+0.55+1.9+2.5*3.65+0.6*0.66+1.375*2.125+1.425*2.125+2.91*1.86+3.21*1</f>
        <v>50.317349999999998</v>
      </c>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1" x14ac:dyDescent="0.3">
      <c r="A236" s="105"/>
      <c r="B236" s="106"/>
      <c r="C236" s="101">
        <f t="shared" ref="C236:C237" si="39">C235+1</f>
        <v>203</v>
      </c>
      <c r="D236" s="101"/>
      <c r="E236" s="20" t="s">
        <v>207</v>
      </c>
      <c r="F236" s="96">
        <f>(70.84+0.6*2.125+(1.8+1.8+1.53+0.72+1.185)+(2.226+1.83))*10.764</f>
        <v>895.62938399999996</v>
      </c>
      <c r="G236" s="97"/>
      <c r="H236" s="20">
        <f>4.387*10.764</f>
        <v>47.221667999999994</v>
      </c>
      <c r="I236" s="20">
        <f t="shared" ref="I236:I237" si="40">F236*(($I$129)+1)+H236</f>
        <v>1525.0101515999997</v>
      </c>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3">
      <c r="A237" s="107"/>
      <c r="B237" s="108"/>
      <c r="C237" s="101">
        <f t="shared" si="39"/>
        <v>204</v>
      </c>
      <c r="D237" s="101"/>
      <c r="E237" s="20" t="s">
        <v>207</v>
      </c>
      <c r="F237" s="96">
        <f>(70.89+0.6*2.125+(1.8+1.185+1.8+1.53+0.72)+(2.226+1.83))*10.764</f>
        <v>896.16758399999992</v>
      </c>
      <c r="G237" s="97"/>
      <c r="H237" s="20">
        <f>4.387*10.764</f>
        <v>47.221667999999994</v>
      </c>
      <c r="I237" s="20">
        <f t="shared" si="40"/>
        <v>1525.8981815999996</v>
      </c>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3">
      <c r="A238" s="98" t="s">
        <v>210</v>
      </c>
      <c r="B238" s="99"/>
      <c r="C238" s="99"/>
      <c r="D238" s="99"/>
      <c r="E238" s="99"/>
      <c r="F238" s="99"/>
      <c r="G238" s="99"/>
      <c r="H238" s="99"/>
      <c r="I238" s="100"/>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3">
      <c r="A239" s="103" t="str">
        <f>A238</f>
        <v xml:space="preserve"> 4th, 6th, 8th, 10th, 14th, 16th, 18th &amp; 20th Floor</v>
      </c>
      <c r="B239" s="104"/>
      <c r="C239" s="96" t="s">
        <v>238</v>
      </c>
      <c r="D239" s="97"/>
      <c r="E239" s="20" t="s">
        <v>206</v>
      </c>
      <c r="F239" s="96">
        <f>(54.69+0.6*2.125+(1.8+1.461+1.8+0.72)+(1.95+2.262))*10.764</f>
        <v>709.97191199999997</v>
      </c>
      <c r="G239" s="97"/>
      <c r="H239" s="20">
        <f>4.687*10.764</f>
        <v>50.450868</v>
      </c>
      <c r="I239" s="20">
        <f t="shared" ref="I239:I243" si="41">F239*(($I$129)+1)+H239</f>
        <v>1221.9045227999998</v>
      </c>
      <c r="J239" s="1"/>
      <c r="K239" s="1"/>
      <c r="L239" s="1"/>
      <c r="M239" s="1"/>
      <c r="N239" s="1"/>
      <c r="O239" s="1"/>
      <c r="P239" s="1"/>
      <c r="Q239" s="1"/>
      <c r="R239" s="1"/>
      <c r="S239" s="1"/>
      <c r="T239" s="1"/>
      <c r="U239" s="45" t="str">
        <f t="shared" ref="U239:U243" ca="1" si="42">V239&amp;""&amp;",..,"&amp;""&amp;W239</f>
        <v>4601,..,2001</v>
      </c>
      <c r="V239" s="45">
        <f ca="1">(SUMPRODUCT(MID(0&amp;(LEFT(A238,SUM(LEN(A238)-LEN(SUBSTITUTE(A238,{"0","1","2","3"},""))))), LARGE(INDEX(ISNUMBER(--MID((LEFT(A238,SUM(LEN(A238)-LEN(SUBSTITUTE(A238,{"0","1","2","3"},""))))), ROW(INDIRECT("1:"&amp;LEN((LEFT(A238,SUM(LEN(A238)-LEN(SUBSTITUTE(A238,{"0","1","2","3"},"")))))))), 1)) * ROW(INDIRECT("1:"&amp;LEN((LEFT(A238,SUM(LEN(A238)-LEN(SUBSTITUTE(A238,{"0","1","2","3"},"")))))))), 0), ROW(INDIRECT("1:"&amp;LEN((LEFT(A238,SUM(LEN(A238)-LEN(SUBSTITUTE(A238,{"0","1","2","3"},"")))))))))+1, 1) * 10^ROW(INDIRECT("1:"&amp;LEN((LEFT(A238,SUM(LEN(A238)-LEN(SUBSTITUTE(A238,{"0","1","2","3"},""))))))))/10))*100+1</f>
        <v>4601</v>
      </c>
      <c r="W239" s="45">
        <f ca="1">(SUMPRODUCT(MID(0&amp;(--TRIM(RIGHT(SUBSTITUTE(LEFT(A238,_xlfn.AGGREGATE(16,6,FIND({0,1,2,3,4,5,6,7,8,9},A238,ROW(INDIRECT("1:"&amp;LEN(A238)))),1))," ",REPT(" ",LEN(A238))),LEN(A238)))), LARGE(INDEX(ISNUMBER(--MID((--TRIM(RIGHT(SUBSTITUTE(LEFT(A238,_xlfn.AGGREGATE(16,6,FIND({0,1,2,3,4,5,6,7,8,9},A238,ROW(INDIRECT("1:"&amp;LEN(A238)))),1))," ",REPT(" ",LEN(A238))),LEN(A238)))), ROW(INDIRECT("1:"&amp;LEN((--TRIM(RIGHT(SUBSTITUTE(LEFT(A238,_xlfn.AGGREGATE(16,6,FIND({0,1,2,3,4,5,6,7,8,9},A238,ROW(INDIRECT("1:"&amp;LEN(A238)))),1))," ",REPT(" ",LEN(A238))),LEN(A238))))))), 1)) * ROW(INDIRECT("1:"&amp;LEN((--TRIM(RIGHT(SUBSTITUTE(LEFT(A238,_xlfn.AGGREGATE(16,6,FIND({0,1,2,3,4,5,6,7,8,9},A238,ROW(INDIRECT("1:"&amp;LEN(A238)))),1))," ",REPT(" ",LEN(A238))),LEN(A238))))))), 0), ROW(INDIRECT("1:"&amp;LEN((--TRIM(RIGHT(SUBSTITUTE(LEFT(A238,_xlfn.AGGREGATE(16,6,FIND({0,1,2,3,4,5,6,7,8,9},A238,ROW(INDIRECT("1:"&amp;LEN(A238)))),1))," ",REPT(" ",LEN(A238))),LEN(A238))))))))+1, 1) * 10^ROW(INDIRECT("1:"&amp;LEN((--TRIM(RIGHT(SUBSTITUTE(LEFT(A238,_xlfn.AGGREGATE(16,6,FIND({0,1,2,3,4,5,6,7,8,9},A238,ROW(INDIRECT("1:"&amp;LEN(A238)))),1))," ",REPT(" ",LEN(A238))),LEN(A238)))))))/10))*100+1</f>
        <v>2001</v>
      </c>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3">
      <c r="A240" s="105"/>
      <c r="B240" s="106"/>
      <c r="C240" s="96" t="s">
        <v>239</v>
      </c>
      <c r="D240" s="97"/>
      <c r="E240" s="20" t="s">
        <v>206</v>
      </c>
      <c r="F240" s="96">
        <f>(54.82+0.6*2.125+(1.8+1.8+0.69+1.437)+(1.9+2.286))*10.764</f>
        <v>710.51011200000005</v>
      </c>
      <c r="G240" s="97"/>
      <c r="H240" s="20">
        <f>4.687*10.764</f>
        <v>50.450868</v>
      </c>
      <c r="I240" s="20">
        <f t="shared" si="41"/>
        <v>1222.7925527999998</v>
      </c>
      <c r="J240" s="1"/>
      <c r="K240" s="1"/>
      <c r="L240" s="1"/>
      <c r="M240" s="1"/>
      <c r="N240" s="1"/>
      <c r="O240" s="1"/>
      <c r="P240" s="1"/>
      <c r="Q240" s="1"/>
      <c r="R240" s="1"/>
      <c r="S240" s="1"/>
      <c r="T240" s="1"/>
      <c r="U240" s="45" t="str">
        <f t="shared" ca="1" si="42"/>
        <v>4602,..,2002</v>
      </c>
      <c r="V240" s="45">
        <f ca="1">V239+1</f>
        <v>4602</v>
      </c>
      <c r="W240" s="45">
        <f ca="1">W239+1</f>
        <v>2002</v>
      </c>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6:16384" s="11" customFormat="1" ht="20.25" customHeight="1" x14ac:dyDescent="0.3">
      <c r="A241" s="105"/>
      <c r="B241" s="106"/>
      <c r="C241" s="96" t="s">
        <v>240</v>
      </c>
      <c r="D241" s="97"/>
      <c r="E241" s="20" t="s">
        <v>207</v>
      </c>
      <c r="F241" s="96">
        <f>(70.84+0.6*2.125+(1.8+1.8+1.53+0.72+1.185)+(2.226+1.83))*10.764</f>
        <v>895.62938399999996</v>
      </c>
      <c r="G241" s="97"/>
      <c r="H241" s="20">
        <f>4.387*10.764</f>
        <v>47.221667999999994</v>
      </c>
      <c r="I241" s="20">
        <f t="shared" si="41"/>
        <v>1525.0101515999997</v>
      </c>
      <c r="J241" s="1"/>
      <c r="K241" s="1"/>
      <c r="L241" s="1"/>
      <c r="M241" s="1"/>
      <c r="N241" s="1"/>
      <c r="O241" s="1"/>
      <c r="P241" s="1"/>
      <c r="Q241" s="1"/>
      <c r="R241" s="1"/>
      <c r="S241" s="1"/>
      <c r="T241" s="1"/>
      <c r="U241" s="45" t="str">
        <f t="shared" ca="1" si="42"/>
        <v>4603,..,2003</v>
      </c>
      <c r="V241" s="45">
        <f t="shared" ref="V241:W244" ca="1" si="43">V240+1</f>
        <v>4603</v>
      </c>
      <c r="W241" s="45">
        <f t="shared" ca="1" si="43"/>
        <v>2003</v>
      </c>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6:16384" s="11" customFormat="1" ht="20.25" customHeight="1" x14ac:dyDescent="0.3">
      <c r="A242" s="105"/>
      <c r="B242" s="106"/>
      <c r="C242" s="96" t="s">
        <v>241</v>
      </c>
      <c r="D242" s="97"/>
      <c r="E242" s="20" t="s">
        <v>207</v>
      </c>
      <c r="F242" s="96">
        <f>(70.84+0.6*1.125+(1.8+1.8+1.53+1.185+0.72)+(2.226+1.83))*10.764</f>
        <v>889.17098399999986</v>
      </c>
      <c r="G242" s="97"/>
      <c r="H242" s="20">
        <f>4.387*10.764</f>
        <v>47.221667999999994</v>
      </c>
      <c r="I242" s="20">
        <f t="shared" si="41"/>
        <v>1514.3537915999996</v>
      </c>
      <c r="J242" s="1"/>
      <c r="K242" s="1"/>
      <c r="L242" s="1"/>
      <c r="M242" s="1"/>
      <c r="N242" s="1"/>
      <c r="O242" s="1"/>
      <c r="P242" s="1"/>
      <c r="Q242" s="1"/>
      <c r="R242" s="1"/>
      <c r="S242" s="1"/>
      <c r="T242" s="1"/>
      <c r="U242" s="45" t="str">
        <f t="shared" ca="1" si="42"/>
        <v>4604,..,2004</v>
      </c>
      <c r="V242" s="45">
        <f t="shared" ca="1" si="43"/>
        <v>4604</v>
      </c>
      <c r="W242" s="45">
        <f t="shared" ca="1" si="43"/>
        <v>2004</v>
      </c>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6:16384" s="11" customFormat="1" ht="20.25" customHeight="1" x14ac:dyDescent="0.3">
      <c r="A243" s="105"/>
      <c r="B243" s="106"/>
      <c r="C243" s="96" t="s">
        <v>242</v>
      </c>
      <c r="D243" s="97"/>
      <c r="E243" s="20" t="s">
        <v>206</v>
      </c>
      <c r="F243" s="96">
        <f>(54.82+0.6*2.125+(0.72+1.461+1.8+1.8)+(2.286+1.95))*10.764</f>
        <v>711.62956799999995</v>
      </c>
      <c r="G243" s="97"/>
      <c r="H243" s="20">
        <f>4.687*10.764</f>
        <v>50.450868</v>
      </c>
      <c r="I243" s="20">
        <f t="shared" si="41"/>
        <v>1224.6396551999997</v>
      </c>
      <c r="J243" s="1"/>
      <c r="K243" s="1"/>
      <c r="L243" s="1"/>
      <c r="M243" s="1"/>
      <c r="N243" s="1"/>
      <c r="O243" s="1"/>
      <c r="P243" s="1"/>
      <c r="Q243" s="1"/>
      <c r="R243" s="1"/>
      <c r="S243" s="1"/>
      <c r="T243" s="1"/>
      <c r="U243" s="45" t="str">
        <f t="shared" ca="1" si="42"/>
        <v>4605,..,2005</v>
      </c>
      <c r="V243" s="45">
        <f t="shared" ca="1" si="43"/>
        <v>4605</v>
      </c>
      <c r="W243" s="45">
        <f t="shared" ca="1" si="43"/>
        <v>2005</v>
      </c>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6:16384" s="11" customFormat="1" ht="20.25" customHeight="1" x14ac:dyDescent="0.3">
      <c r="A244" s="107"/>
      <c r="B244" s="108"/>
      <c r="C244" s="96" t="s">
        <v>249</v>
      </c>
      <c r="D244" s="97"/>
      <c r="E244" s="20" t="s">
        <v>206</v>
      </c>
      <c r="F244" s="96">
        <f>(54.82+0.6*2.125+(0.72+1.461+1.8+1.8)+(2.262+1.95))*10.764</f>
        <v>711.37123199999985</v>
      </c>
      <c r="G244" s="97"/>
      <c r="H244" s="20">
        <f>4.687*10.764</f>
        <v>50.450868</v>
      </c>
      <c r="I244" s="20">
        <f t="shared" ref="I244" si="44">F244*(($I$129)+1)+H244</f>
        <v>1224.2134007999996</v>
      </c>
      <c r="J244" s="1"/>
      <c r="K244" s="1"/>
      <c r="L244" s="1"/>
      <c r="M244" s="1"/>
      <c r="N244" s="1"/>
      <c r="O244" s="1"/>
      <c r="P244" s="1"/>
      <c r="Q244" s="1"/>
      <c r="R244" s="1"/>
      <c r="S244" s="1"/>
      <c r="T244" s="1"/>
      <c r="U244" s="45" t="str">
        <f t="shared" ref="U244" ca="1" si="45">V244&amp;""&amp;",..,"&amp;""&amp;W244</f>
        <v>4606,..,2006</v>
      </c>
      <c r="V244" s="45">
        <f t="shared" ca="1" si="43"/>
        <v>4606</v>
      </c>
      <c r="W244" s="45">
        <f t="shared" ca="1" si="43"/>
        <v>2006</v>
      </c>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6:16384" s="11" customFormat="1" ht="20.25" customHeight="1" x14ac:dyDescent="0.3">
      <c r="A245" s="98" t="s">
        <v>211</v>
      </c>
      <c r="B245" s="99"/>
      <c r="C245" s="99"/>
      <c r="D245" s="99"/>
      <c r="E245" s="99"/>
      <c r="F245" s="99"/>
      <c r="G245" s="99"/>
      <c r="H245" s="99"/>
      <c r="I245" s="100"/>
      <c r="J245" s="1"/>
      <c r="K245" s="1"/>
      <c r="L245" s="1">
        <v>709.97191199999997</v>
      </c>
      <c r="M245" s="1">
        <v>50.450868</v>
      </c>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row>
    <row r="246" spans="1:151 16226:16384" s="11" customFormat="1" ht="20.25" customHeight="1" x14ac:dyDescent="0.3">
      <c r="A246" s="103" t="str">
        <f>A245</f>
        <v>3rd, 5th, 9th, 11th, 13th, 15th, 19th &amp; 21st Floor</v>
      </c>
      <c r="B246" s="104"/>
      <c r="C246" s="96" t="s">
        <v>243</v>
      </c>
      <c r="D246" s="97"/>
      <c r="E246" s="20" t="s">
        <v>206</v>
      </c>
      <c r="F246" s="96">
        <f>(54.69+0.6*2.125+(1.8+1.8+1.437+0.72)+(1.95+1.875))*10.764</f>
        <v>705.54790799999989</v>
      </c>
      <c r="G246" s="97"/>
      <c r="H246" s="20">
        <f>4.575*10.764</f>
        <v>49.2453</v>
      </c>
      <c r="I246" s="20">
        <f t="shared" ref="I246:I251" si="46">F246*(($I$129)+1)+H246</f>
        <v>1213.3993481999998</v>
      </c>
      <c r="J246" s="1"/>
      <c r="K246" s="1"/>
      <c r="L246" s="1">
        <v>895.62938399999996</v>
      </c>
      <c r="M246" s="1">
        <v>47.221667999999994</v>
      </c>
      <c r="N246" s="1"/>
      <c r="O246" s="1"/>
      <c r="P246" s="1"/>
      <c r="Q246" s="1"/>
      <c r="R246" s="1"/>
      <c r="S246" s="1"/>
      <c r="T246" s="45" t="str">
        <f t="shared" ref="T246:U251" ca="1" si="47">U246&amp;""&amp;",..,"&amp;""&amp;V246</f>
        <v>3501,..,2101</v>
      </c>
      <c r="U246" s="45">
        <f ca="1">(SUMPRODUCT(MID(0&amp;(LEFT(A245,SUM(LEN(A245)-LEN(SUBSTITUTE(A245,{"0","1","2","3"},""))))), LARGE(INDEX(ISNUMBER(--MID((LEFT(A245,SUM(LEN(A245)-LEN(SUBSTITUTE(A245,{"0","1","2","3"},""))))), ROW(INDIRECT("1:"&amp;LEN((LEFT(A245,SUM(LEN(A245)-LEN(SUBSTITUTE(A245,{"0","1","2","3"},"")))))))), 1)) * ROW(INDIRECT("1:"&amp;LEN((LEFT(A245,SUM(LEN(A245)-LEN(SUBSTITUTE(A245,{"0","1","2","3"},"")))))))), 0), ROW(INDIRECT("1:"&amp;LEN((LEFT(A245,SUM(LEN(A245)-LEN(SUBSTITUTE(A245,{"0","1","2","3"},"")))))))))+1, 1) * 10^ROW(INDIRECT("1:"&amp;LEN((LEFT(A245,SUM(LEN(A245)-LEN(SUBSTITUTE(A245,{"0","1","2","3"},""))))))))/10))*100+1</f>
        <v>3501</v>
      </c>
      <c r="V246" s="45">
        <f ca="1">(SUMPRODUCT(MID(0&amp;(--TRIM(RIGHT(SUBSTITUTE(LEFT(A245,_xlfn.AGGREGATE(16,6,FIND({0,1,2,3,4,5,6,7,8,9},A245,ROW(INDIRECT("1:"&amp;LEN(A245)))),1))," ",REPT(" ",LEN(A245))),LEN(A245)))), LARGE(INDEX(ISNUMBER(--MID((--TRIM(RIGHT(SUBSTITUTE(LEFT(A245,_xlfn.AGGREGATE(16,6,FIND({0,1,2,3,4,5,6,7,8,9},A245,ROW(INDIRECT("1:"&amp;LEN(A245)))),1))," ",REPT(" ",LEN(A245))),LEN(A245)))), ROW(INDIRECT("1:"&amp;LEN((--TRIM(RIGHT(SUBSTITUTE(LEFT(A245,_xlfn.AGGREGATE(16,6,FIND({0,1,2,3,4,5,6,7,8,9},A245,ROW(INDIRECT("1:"&amp;LEN(A245)))),1))," ",REPT(" ",LEN(A245))),LEN(A245))))))), 1)) * ROW(INDIRECT("1:"&amp;LEN((--TRIM(RIGHT(SUBSTITUTE(LEFT(A245,_xlfn.AGGREGATE(16,6,FIND({0,1,2,3,4,5,6,7,8,9},A245,ROW(INDIRECT("1:"&amp;LEN(A245)))),1))," ",REPT(" ",LEN(A245))),LEN(A245))))))), 0), ROW(INDIRECT("1:"&amp;LEN((--TRIM(RIGHT(SUBSTITUTE(LEFT(A245,_xlfn.AGGREGATE(16,6,FIND({0,1,2,3,4,5,6,7,8,9},A245,ROW(INDIRECT("1:"&amp;LEN(A245)))),1))," ",REPT(" ",LEN(A245))),LEN(A245))))))))+1, 1) * 10^ROW(INDIRECT("1:"&amp;LEN((--TRIM(RIGHT(SUBSTITUTE(LEFT(A245,_xlfn.AGGREGATE(16,6,FIND({0,1,2,3,4,5,6,7,8,9},A245,ROW(INDIRECT("1:"&amp;LEN(A245)))),1))," ",REPT(" ",LEN(A245))),LEN(A245)))))))/10))*100+1</f>
        <v>2101</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row>
    <row r="247" spans="1:151 16226:16384" s="11" customFormat="1" ht="20.25" customHeight="1" x14ac:dyDescent="0.3">
      <c r="A247" s="105"/>
      <c r="B247" s="106"/>
      <c r="C247" s="96" t="s">
        <v>244</v>
      </c>
      <c r="D247" s="97"/>
      <c r="E247" s="20" t="s">
        <v>206</v>
      </c>
      <c r="F247" s="96">
        <f>(54.69+0.6*2.125+(1.8+1.8+1.437+0.72)+(1.95+1.875))*10.764</f>
        <v>705.54790799999989</v>
      </c>
      <c r="G247" s="97"/>
      <c r="H247" s="20">
        <f>4.575*10.764</f>
        <v>49.2453</v>
      </c>
      <c r="I247" s="20">
        <f t="shared" si="46"/>
        <v>1213.3993481999998</v>
      </c>
      <c r="J247" s="1"/>
      <c r="K247" s="1"/>
      <c r="L247" s="1">
        <v>889.17098399999986</v>
      </c>
      <c r="M247" s="1">
        <v>47.221667999999994</v>
      </c>
      <c r="N247" s="1"/>
      <c r="O247" s="1"/>
      <c r="P247" s="1"/>
      <c r="Q247" s="1"/>
      <c r="R247" s="1"/>
      <c r="S247" s="1"/>
      <c r="T247" s="45" t="str">
        <f t="shared" ca="1" si="47"/>
        <v>3502,..,2102</v>
      </c>
      <c r="U247" s="45">
        <f ca="1">U246+1</f>
        <v>3502</v>
      </c>
      <c r="V247" s="45">
        <f ca="1">V246+1</f>
        <v>2102</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row>
    <row r="248" spans="1:151 16226:16384" s="11" customFormat="1" ht="20.25" customHeight="1" x14ac:dyDescent="0.3">
      <c r="A248" s="105"/>
      <c r="B248" s="106"/>
      <c r="C248" s="96" t="s">
        <v>245</v>
      </c>
      <c r="D248" s="97"/>
      <c r="E248" s="20" t="s">
        <v>207</v>
      </c>
      <c r="F248" s="96">
        <f>(70.84+0.6*2.125+(1.8+1.8+1.53+1.185+0.72)+(2.226+2.031))*10.764</f>
        <v>897.79294800000002</v>
      </c>
      <c r="G248" s="97"/>
      <c r="H248" s="20">
        <f>4.875*10.764</f>
        <v>52.474499999999999</v>
      </c>
      <c r="I248" s="20">
        <f t="shared" si="46"/>
        <v>1533.8328641999999</v>
      </c>
      <c r="J248" s="1"/>
      <c r="K248" s="1"/>
      <c r="L248" s="1">
        <v>711.62956799999995</v>
      </c>
      <c r="M248" s="1">
        <v>50.450868</v>
      </c>
      <c r="N248" s="1"/>
      <c r="O248" s="1"/>
      <c r="P248" s="1"/>
      <c r="Q248" s="1"/>
      <c r="R248" s="1"/>
      <c r="S248" s="1"/>
      <c r="T248" s="45" t="str">
        <f t="shared" ca="1" si="47"/>
        <v>3503,..,2103</v>
      </c>
      <c r="U248" s="45">
        <f t="shared" ref="U248:V248" ca="1" si="48">U247+1</f>
        <v>3503</v>
      </c>
      <c r="V248" s="45">
        <f t="shared" ca="1" si="48"/>
        <v>2103</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row>
    <row r="249" spans="1:151 16226:16384" s="11" customFormat="1" ht="20.25" customHeight="1" x14ac:dyDescent="0.3">
      <c r="A249" s="105"/>
      <c r="B249" s="106"/>
      <c r="C249" s="96" t="s">
        <v>246</v>
      </c>
      <c r="D249" s="97"/>
      <c r="E249" s="20" t="s">
        <v>207</v>
      </c>
      <c r="F249" s="96">
        <f>(70.84+0.6*2.125+(1.8+1.8+1.53+1.185+0.72)+(2.226+2.031))*10.764</f>
        <v>897.79294800000002</v>
      </c>
      <c r="G249" s="97"/>
      <c r="H249" s="20">
        <f>4.875*10.764</f>
        <v>52.474499999999999</v>
      </c>
      <c r="I249" s="20">
        <f t="shared" si="46"/>
        <v>1533.8328641999999</v>
      </c>
      <c r="J249" s="1"/>
      <c r="K249" s="1"/>
      <c r="L249" s="1">
        <v>711.37123199999985</v>
      </c>
      <c r="M249" s="1">
        <v>50.450868</v>
      </c>
      <c r="N249" s="1"/>
      <c r="O249" s="1"/>
      <c r="P249" s="1"/>
      <c r="Q249" s="1"/>
      <c r="R249" s="1"/>
      <c r="S249" s="1"/>
      <c r="T249" s="45" t="str">
        <f t="shared" ca="1" si="47"/>
        <v>3504,..,2104</v>
      </c>
      <c r="U249" s="45">
        <f t="shared" ref="U249:V249" ca="1" si="49">U248+1</f>
        <v>3504</v>
      </c>
      <c r="V249" s="45">
        <f t="shared" ca="1" si="49"/>
        <v>2104</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row>
    <row r="250" spans="1:151 16226:16384" s="11" customFormat="1" ht="20.25" customHeight="1" x14ac:dyDescent="0.3">
      <c r="A250" s="105"/>
      <c r="B250" s="106"/>
      <c r="C250" s="96" t="s">
        <v>247</v>
      </c>
      <c r="D250" s="97"/>
      <c r="E250" s="20" t="s">
        <v>206</v>
      </c>
      <c r="F250" s="96">
        <f>(54.82+0.6*2.125+(0.72+1.461+1.8+1.8)+(1.875+1.95))*10.764</f>
        <v>707.20556399999987</v>
      </c>
      <c r="G250" s="97"/>
      <c r="H250" s="20">
        <f>4.575*10.764</f>
        <v>49.2453</v>
      </c>
      <c r="I250" s="20">
        <f t="shared" si="46"/>
        <v>1216.1344805999997</v>
      </c>
      <c r="J250" s="1"/>
      <c r="K250" s="1"/>
      <c r="L250" s="1"/>
      <c r="M250" s="1"/>
      <c r="N250" s="1"/>
      <c r="O250" s="1"/>
      <c r="P250" s="1"/>
      <c r="Q250" s="1"/>
      <c r="R250" s="1"/>
      <c r="S250" s="1"/>
      <c r="T250" s="1"/>
      <c r="U250" s="45" t="str">
        <f t="shared" ca="1" si="47"/>
        <v>3505,..,2105</v>
      </c>
      <c r="V250" s="45">
        <f ca="1">U249+1</f>
        <v>3505</v>
      </c>
      <c r="W250" s="45">
        <f ca="1">V249+1</f>
        <v>2105</v>
      </c>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6:16384" s="11" customFormat="1" ht="20.25" customHeight="1" x14ac:dyDescent="0.3">
      <c r="A251" s="107"/>
      <c r="B251" s="108"/>
      <c r="C251" s="96" t="s">
        <v>250</v>
      </c>
      <c r="D251" s="97"/>
      <c r="E251" s="20" t="s">
        <v>206</v>
      </c>
      <c r="F251" s="96">
        <f>(54.82+0.6*2.125+(0.72+1.461+1.8+1.8)+(1.875+1.95))*10.764</f>
        <v>707.20556399999987</v>
      </c>
      <c r="G251" s="97"/>
      <c r="H251" s="20">
        <f>4.575*10.764</f>
        <v>49.2453</v>
      </c>
      <c r="I251" s="20">
        <f t="shared" si="46"/>
        <v>1216.1344805999997</v>
      </c>
      <c r="J251" s="1"/>
      <c r="K251" s="1"/>
      <c r="L251" s="1"/>
      <c r="M251" s="1"/>
      <c r="N251" s="1"/>
      <c r="O251" s="1"/>
      <c r="P251" s="1"/>
      <c r="Q251" s="1"/>
      <c r="R251" s="1"/>
      <c r="S251" s="1"/>
      <c r="T251" s="1"/>
      <c r="U251" s="45" t="str">
        <f t="shared" ca="1" si="47"/>
        <v>3506,..,2106</v>
      </c>
      <c r="V251" s="45">
        <f t="shared" ref="V251:W251" ca="1" si="50">V250+1</f>
        <v>3506</v>
      </c>
      <c r="W251" s="45">
        <f t="shared" ca="1" si="50"/>
        <v>2106</v>
      </c>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6:16384" s="11" customFormat="1" ht="21" x14ac:dyDescent="0.3">
      <c r="A252" s="98" t="s">
        <v>220</v>
      </c>
      <c r="B252" s="99"/>
      <c r="C252" s="99"/>
      <c r="D252" s="99"/>
      <c r="E252" s="99"/>
      <c r="F252" s="99"/>
      <c r="G252" s="99"/>
      <c r="H252" s="99"/>
      <c r="I252" s="102"/>
      <c r="J252" s="1">
        <f>4*35</f>
        <v>140</v>
      </c>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6:16384" s="11" customFormat="1" ht="20.25" customHeight="1" x14ac:dyDescent="0.3">
      <c r="A253" s="103" t="str">
        <f>A252</f>
        <v>12th Floor (Part Refuge Area)</v>
      </c>
      <c r="B253" s="104"/>
      <c r="C253" s="101">
        <f>LEFT(A252,SUM(LEN(A252)-LEN(SUBSTITUTE(A252,{"0","1","2","3","4","5","6","7","8","9"},""))))*100+1</f>
        <v>1201</v>
      </c>
      <c r="D253" s="101"/>
      <c r="E253" s="20" t="s">
        <v>206</v>
      </c>
      <c r="F253" s="96">
        <f>(54.69+0.6*2.125+(1.8+1.461+1.8+0.72)+(1.95+2.262))*10.764</f>
        <v>709.97191199999997</v>
      </c>
      <c r="G253" s="97"/>
      <c r="H253" s="20">
        <f>4.687*10.764</f>
        <v>50.450868</v>
      </c>
      <c r="I253" s="20">
        <f>F253*(($I$129)+1)+H253</f>
        <v>1221.9045227999998</v>
      </c>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6:16384" s="11" customFormat="1" ht="20.25" customHeight="1" x14ac:dyDescent="0.3">
      <c r="A254" s="105"/>
      <c r="B254" s="106"/>
      <c r="C254" s="96">
        <f>C253+1</f>
        <v>1202</v>
      </c>
      <c r="D254" s="97"/>
      <c r="E254" s="96" t="s">
        <v>218</v>
      </c>
      <c r="F254" s="109"/>
      <c r="G254" s="109"/>
      <c r="H254" s="109"/>
      <c r="I254" s="97"/>
      <c r="J254" s="1">
        <f>3.05*5.225+0.1*2.125+2.5*3.05+0.55+1.9+2.5*3.65+0.6*0.66+1.375*2.125+1.425*2.125+2.91*1.86+3.21*1</f>
        <v>50.317349999999998</v>
      </c>
      <c r="K254" s="1"/>
      <c r="L254" s="1"/>
      <c r="M254" s="1"/>
      <c r="N254" s="1"/>
      <c r="O254" s="1"/>
      <c r="P254" s="1"/>
      <c r="Q254" s="1"/>
      <c r="R254" s="1"/>
      <c r="S254" s="1"/>
      <c r="T254" s="1"/>
      <c r="U254" s="45"/>
      <c r="V254" s="45"/>
      <c r="W254" s="45"/>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6:16384" s="11" customFormat="1" ht="20.25" customHeight="1" x14ac:dyDescent="0.3">
      <c r="A255" s="105"/>
      <c r="B255" s="106"/>
      <c r="C255" s="101">
        <f t="shared" ref="C255:C258" si="51">C254+1</f>
        <v>1203</v>
      </c>
      <c r="D255" s="101"/>
      <c r="E255" s="20" t="s">
        <v>207</v>
      </c>
      <c r="F255" s="96">
        <f>(70.84+0.6*2.125+(1.8+1.8+1.53+0.72+1.185)+(2.226+1.83))*10.764</f>
        <v>895.62938399999996</v>
      </c>
      <c r="G255" s="97"/>
      <c r="H255" s="20">
        <f>4.387*10.764</f>
        <v>47.221667999999994</v>
      </c>
      <c r="I255" s="20">
        <f t="shared" ref="I255:I257" si="52">F255*(($I$129)+1)+H255</f>
        <v>1525.0101515999997</v>
      </c>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6:16384" s="11" customFormat="1" ht="20.25" customHeight="1" x14ac:dyDescent="0.3">
      <c r="A256" s="105"/>
      <c r="B256" s="106"/>
      <c r="C256" s="101">
        <f t="shared" si="51"/>
        <v>1204</v>
      </c>
      <c r="D256" s="101"/>
      <c r="E256" s="20" t="s">
        <v>207</v>
      </c>
      <c r="F256" s="96">
        <f>(70.84+0.6*1.125+(1.8+1.8+1.53+1.185+0.72)+(2.226+1.83))*10.764</f>
        <v>889.17098399999986</v>
      </c>
      <c r="G256" s="97"/>
      <c r="H256" s="20">
        <f>4.387*10.764</f>
        <v>47.221667999999994</v>
      </c>
      <c r="I256" s="20">
        <f t="shared" si="52"/>
        <v>1514.3537915999996</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6:16384" s="11" customFormat="1" ht="20.25" customHeight="1" x14ac:dyDescent="0.3">
      <c r="A257" s="105"/>
      <c r="B257" s="106"/>
      <c r="C257" s="101">
        <f t="shared" si="51"/>
        <v>1205</v>
      </c>
      <c r="D257" s="101"/>
      <c r="E257" s="20" t="s">
        <v>206</v>
      </c>
      <c r="F257" s="96">
        <f>(54.82+0.6*2.125+(0.72+1.461+1.8+1.8)+(2.286+1.95))*10.764</f>
        <v>711.62956799999995</v>
      </c>
      <c r="G257" s="97"/>
      <c r="H257" s="20">
        <f>4.687*10.764</f>
        <v>50.450868</v>
      </c>
      <c r="I257" s="20">
        <f t="shared" si="52"/>
        <v>1224.6396551999997</v>
      </c>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6:16384" s="11" customFormat="1" ht="20.25" customHeight="1" x14ac:dyDescent="0.3">
      <c r="A258" s="107"/>
      <c r="B258" s="108"/>
      <c r="C258" s="101">
        <f t="shared" si="51"/>
        <v>1206</v>
      </c>
      <c r="D258" s="101"/>
      <c r="E258" s="20" t="s">
        <v>206</v>
      </c>
      <c r="F258" s="96">
        <f>(54.82+0.6*2.125+(0.72+1.461+1.8+1.8)+(2.262+1.95))*10.764</f>
        <v>711.37123199999985</v>
      </c>
      <c r="G258" s="97"/>
      <c r="H258" s="20">
        <f>4.687*10.764</f>
        <v>50.450868</v>
      </c>
      <c r="I258" s="20">
        <f t="shared" ref="I258" si="53">F258*(($I$129)+1)+H258</f>
        <v>1224.2134007999996</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6:16384" s="11" customFormat="1" ht="21" x14ac:dyDescent="0.3">
      <c r="A259" s="98" t="s">
        <v>219</v>
      </c>
      <c r="B259" s="99"/>
      <c r="C259" s="99"/>
      <c r="D259" s="99"/>
      <c r="E259" s="99"/>
      <c r="F259" s="99"/>
      <c r="G259" s="99"/>
      <c r="H259" s="99"/>
      <c r="I259" s="100"/>
      <c r="J259" s="1"/>
      <c r="K259" s="1"/>
      <c r="L259" s="1"/>
      <c r="M259" s="1">
        <v>705.54790799999989</v>
      </c>
      <c r="N259" s="1">
        <v>49.2453</v>
      </c>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1 16226:16384" s="11" customFormat="1" ht="20.25" customHeight="1" x14ac:dyDescent="0.3">
      <c r="A260" s="103" t="str">
        <f>A259</f>
        <v>7th &amp; 17th Floor (Part Refuge Area)</v>
      </c>
      <c r="B260" s="104"/>
      <c r="C260" s="96" t="str">
        <f ca="1">T260</f>
        <v>701 &amp; 1701</v>
      </c>
      <c r="D260" s="97"/>
      <c r="E260" s="20" t="s">
        <v>206</v>
      </c>
      <c r="F260" s="96">
        <f>(54.69+0.6*2.125+(1.8+1.8+1.437+0.72)+(1.95+1.875))*10.764</f>
        <v>705.54790799999989</v>
      </c>
      <c r="G260" s="97"/>
      <c r="H260" s="20">
        <f>4.575*10.764</f>
        <v>49.2453</v>
      </c>
      <c r="I260" s="20">
        <f t="shared" ref="I260" si="54">F260*(($I$129)+1)+H260</f>
        <v>1213.3993481999998</v>
      </c>
      <c r="J260" s="1"/>
      <c r="K260" s="1"/>
      <c r="L260" s="1"/>
      <c r="M260" s="1">
        <v>897.79294800000002</v>
      </c>
      <c r="N260" s="1">
        <v>52.474499999999999</v>
      </c>
      <c r="O260" s="1"/>
      <c r="P260" s="1"/>
      <c r="Q260" s="1"/>
      <c r="R260" s="1"/>
      <c r="S260" s="1"/>
      <c r="T260" s="45" t="str">
        <f ca="1">U260&amp;""&amp;" &amp; "&amp;""&amp;V260</f>
        <v>701 &amp; 1701</v>
      </c>
      <c r="U260" s="45">
        <f ca="1">(SUMPRODUCT(MID(0&amp;(LEFT(A259,SUM(LEN(A259)-LEN(SUBSTITUTE(A259,{"0","1","2","3"},""))))), LARGE(INDEX(ISNUMBER(--MID((LEFT(A259,SUM(LEN(A259)-LEN(SUBSTITUTE(A259,{"0","1","2","3"},""))))), ROW(INDIRECT("1:"&amp;LEN((LEFT(A259,SUM(LEN(A259)-LEN(SUBSTITUTE(A259,{"0","1","2","3"},"")))))))), 1)) * ROW(INDIRECT("1:"&amp;LEN((LEFT(A259,SUM(LEN(A259)-LEN(SUBSTITUTE(A259,{"0","1","2","3"},"")))))))), 0), ROW(INDIRECT("1:"&amp;LEN((LEFT(A259,SUM(LEN(A259)-LEN(SUBSTITUTE(A259,{"0","1","2","3"},"")))))))))+1, 1) * 10^ROW(INDIRECT("1:"&amp;LEN((LEFT(A259,SUM(LEN(A259)-LEN(SUBSTITUTE(A259,{"0","1","2","3"},""))))))))/10))*100+1</f>
        <v>701</v>
      </c>
      <c r="V260" s="45">
        <f ca="1">(SUMPRODUCT(MID(0&amp;(--TRIM(RIGHT(SUBSTITUTE(LEFT(A259,_xlfn.AGGREGATE(16,6,FIND({0,1,2,3,4,5,6,7,8,9},A259,ROW(INDIRECT("1:"&amp;LEN(A259)))),1))," ",REPT(" ",LEN(A259))),LEN(A259)))), LARGE(INDEX(ISNUMBER(--MID((--TRIM(RIGHT(SUBSTITUTE(LEFT(A259,_xlfn.AGGREGATE(16,6,FIND({0,1,2,3,4,5,6,7,8,9},A259,ROW(INDIRECT("1:"&amp;LEN(A259)))),1))," ",REPT(" ",LEN(A259))),LEN(A259)))), ROW(INDIRECT("1:"&amp;LEN((--TRIM(RIGHT(SUBSTITUTE(LEFT(A259,_xlfn.AGGREGATE(16,6,FIND({0,1,2,3,4,5,6,7,8,9},A259,ROW(INDIRECT("1:"&amp;LEN(A259)))),1))," ",REPT(" ",LEN(A259))),LEN(A259))))))), 1)) * ROW(INDIRECT("1:"&amp;LEN((--TRIM(RIGHT(SUBSTITUTE(LEFT(A259,_xlfn.AGGREGATE(16,6,FIND({0,1,2,3,4,5,6,7,8,9},A259,ROW(INDIRECT("1:"&amp;LEN(A259)))),1))," ",REPT(" ",LEN(A259))),LEN(A259))))))), 0), ROW(INDIRECT("1:"&amp;LEN((--TRIM(RIGHT(SUBSTITUTE(LEFT(A259,_xlfn.AGGREGATE(16,6,FIND({0,1,2,3,4,5,6,7,8,9},A259,ROW(INDIRECT("1:"&amp;LEN(A259)))),1))," ",REPT(" ",LEN(A259))),LEN(A259))))))))+1, 1) * 10^ROW(INDIRECT("1:"&amp;LEN((--TRIM(RIGHT(SUBSTITUTE(LEFT(A259,_xlfn.AGGREGATE(16,6,FIND({0,1,2,3,4,5,6,7,8,9},A259,ROW(INDIRECT("1:"&amp;LEN(A259)))),1))," ",REPT(" ",LEN(A259))),LEN(A259)))))))/10))*100+1</f>
        <v>1701</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1 16226:16384" s="11" customFormat="1" ht="20.25" customHeight="1" x14ac:dyDescent="0.3">
      <c r="A261" s="105"/>
      <c r="B261" s="106"/>
      <c r="C261" s="96" t="s">
        <v>214</v>
      </c>
      <c r="D261" s="97"/>
      <c r="E261" s="96" t="s">
        <v>218</v>
      </c>
      <c r="F261" s="109"/>
      <c r="G261" s="109"/>
      <c r="H261" s="109"/>
      <c r="I261" s="97"/>
      <c r="J261" s="1"/>
      <c r="K261" s="1"/>
      <c r="L261" s="1"/>
      <c r="M261" s="1">
        <v>897.79294800000002</v>
      </c>
      <c r="N261" s="1">
        <v>52.474499999999999</v>
      </c>
      <c r="O261" s="1"/>
      <c r="P261" s="1"/>
      <c r="Q261" s="1"/>
      <c r="R261" s="1"/>
      <c r="S261" s="1"/>
      <c r="T261" s="45" t="str">
        <f t="shared" ref="T261:U264" si="55">U261&amp;""&amp;" &amp; "&amp;""&amp;V261</f>
        <v>1 &amp; 1</v>
      </c>
      <c r="U261" s="45">
        <f>U259+1</f>
        <v>1</v>
      </c>
      <c r="V261" s="45">
        <f>V259+1</f>
        <v>1</v>
      </c>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1 16226:16384" s="11" customFormat="1" ht="20.25" customHeight="1" x14ac:dyDescent="0.3">
      <c r="A262" s="105"/>
      <c r="B262" s="106"/>
      <c r="C262" s="96" t="s">
        <v>215</v>
      </c>
      <c r="D262" s="97"/>
      <c r="E262" s="20" t="s">
        <v>207</v>
      </c>
      <c r="F262" s="96">
        <f>(70.84+0.6*2.125+(1.8+1.8+1.53+1.185+0.72)+(2.226+2.031))*10.764</f>
        <v>897.79294800000002</v>
      </c>
      <c r="G262" s="97"/>
      <c r="H262" s="20">
        <f>4.875*10.764</f>
        <v>52.474499999999999</v>
      </c>
      <c r="I262" s="20">
        <f t="shared" ref="I262:I264" si="56">F262*(($I$129)+1)+H262</f>
        <v>1533.8328641999999</v>
      </c>
      <c r="J262" s="1"/>
      <c r="K262" s="1"/>
      <c r="L262" s="1"/>
      <c r="M262" s="1">
        <v>707.20556399999987</v>
      </c>
      <c r="N262" s="1">
        <v>49.2453</v>
      </c>
      <c r="O262" s="1"/>
      <c r="P262" s="1"/>
      <c r="Q262" s="1"/>
      <c r="R262" s="1"/>
      <c r="S262" s="1"/>
      <c r="T262" s="45" t="str">
        <f t="shared" ca="1" si="55"/>
        <v>702 &amp; 1702</v>
      </c>
      <c r="U262" s="45">
        <f ca="1">U260+1</f>
        <v>702</v>
      </c>
      <c r="V262" s="45">
        <f ca="1">V260+1</f>
        <v>1702</v>
      </c>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1 16226:16384" s="11" customFormat="1" ht="20.25" customHeight="1" x14ac:dyDescent="0.3">
      <c r="A263" s="105"/>
      <c r="B263" s="106"/>
      <c r="C263" s="96" t="s">
        <v>216</v>
      </c>
      <c r="D263" s="97"/>
      <c r="E263" s="20" t="s">
        <v>207</v>
      </c>
      <c r="F263" s="96">
        <f>(70.84+0.6*2.125+(1.8+1.8+1.53+1.185+0.72)+(2.226+2.031))*10.764</f>
        <v>897.79294800000002</v>
      </c>
      <c r="G263" s="97"/>
      <c r="H263" s="20">
        <f>4.875*10.764</f>
        <v>52.474499999999999</v>
      </c>
      <c r="I263" s="20">
        <f t="shared" si="56"/>
        <v>1533.8328641999999</v>
      </c>
      <c r="J263" s="1"/>
      <c r="K263" s="1"/>
      <c r="L263" s="1"/>
      <c r="M263" s="1">
        <v>707.20556399999987</v>
      </c>
      <c r="N263" s="1">
        <v>49.2453</v>
      </c>
      <c r="O263" s="1"/>
      <c r="P263" s="1"/>
      <c r="Q263" s="1"/>
      <c r="R263" s="1"/>
      <c r="S263" s="1"/>
      <c r="T263" s="45" t="str">
        <f t="shared" ca="1" si="55"/>
        <v>703 &amp; 1703</v>
      </c>
      <c r="U263" s="45">
        <f t="shared" ref="U263:V263" ca="1" si="57">U262+1</f>
        <v>703</v>
      </c>
      <c r="V263" s="45">
        <f t="shared" ca="1" si="57"/>
        <v>1703</v>
      </c>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1 16226:16384" s="11" customFormat="1" ht="20.25" customHeight="1" x14ac:dyDescent="0.3">
      <c r="A264" s="105"/>
      <c r="B264" s="106"/>
      <c r="C264" s="96" t="s">
        <v>217</v>
      </c>
      <c r="D264" s="97"/>
      <c r="E264" s="20" t="s">
        <v>206</v>
      </c>
      <c r="F264" s="96">
        <f>(54.82+0.6*2.125+(0.72+1.461+1.8+1.8)+(1.875+1.95))*10.764</f>
        <v>707.20556399999987</v>
      </c>
      <c r="G264" s="97"/>
      <c r="H264" s="20">
        <f>4.575*10.764</f>
        <v>49.2453</v>
      </c>
      <c r="I264" s="20">
        <f t="shared" si="56"/>
        <v>1216.1344805999997</v>
      </c>
      <c r="J264" s="1"/>
      <c r="K264" s="1"/>
      <c r="L264" s="1"/>
      <c r="M264" s="1"/>
      <c r="N264" s="1"/>
      <c r="O264" s="1"/>
      <c r="P264" s="1"/>
      <c r="Q264" s="1"/>
      <c r="R264" s="1"/>
      <c r="S264" s="1"/>
      <c r="T264" s="1"/>
      <c r="U264" s="45" t="str">
        <f t="shared" ca="1" si="55"/>
        <v>704 &amp; 1704</v>
      </c>
      <c r="V264" s="45">
        <f ca="1">U263+1</f>
        <v>704</v>
      </c>
      <c r="W264" s="45">
        <f ca="1">V263+1</f>
        <v>1704</v>
      </c>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6:16384" s="11" customFormat="1" ht="20.25" customHeight="1" x14ac:dyDescent="0.3">
      <c r="A265" s="107"/>
      <c r="B265" s="108"/>
      <c r="C265" s="96" t="s">
        <v>215</v>
      </c>
      <c r="D265" s="97"/>
      <c r="E265" s="20" t="s">
        <v>206</v>
      </c>
      <c r="F265" s="96">
        <f>(54.82+0.6*2.125+(0.72+1.461+1.8+1.8)+(1.875+1.95))*10.764</f>
        <v>707.20556399999987</v>
      </c>
      <c r="G265" s="97"/>
      <c r="H265" s="20">
        <f>4.575*10.764</f>
        <v>49.2453</v>
      </c>
      <c r="I265" s="20">
        <f t="shared" ref="I265" si="58">F265*(($I$129)+1)+H265</f>
        <v>1216.1344805999997</v>
      </c>
      <c r="J265" s="1"/>
      <c r="K265" s="1"/>
      <c r="L265" s="1"/>
      <c r="M265" s="1"/>
      <c r="N265" s="1"/>
      <c r="O265" s="1"/>
      <c r="P265" s="1"/>
      <c r="Q265" s="1"/>
      <c r="R265" s="1"/>
      <c r="S265" s="1"/>
      <c r="T265" s="1"/>
      <c r="U265" s="45" t="str">
        <f t="shared" ref="U265" ca="1" si="59">V265&amp;""&amp;" &amp; "&amp;""&amp;W265</f>
        <v>704 &amp; 1704</v>
      </c>
      <c r="V265" s="45">
        <f ca="1">U263+1</f>
        <v>704</v>
      </c>
      <c r="W265" s="45">
        <f ca="1">V263+1</f>
        <v>1704</v>
      </c>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6:16384" s="11" customFormat="1" ht="21" x14ac:dyDescent="0.3">
      <c r="A266" s="98" t="s">
        <v>221</v>
      </c>
      <c r="B266" s="99"/>
      <c r="C266" s="99"/>
      <c r="D266" s="99"/>
      <c r="E266" s="99"/>
      <c r="F266" s="99"/>
      <c r="G266" s="99"/>
      <c r="H266" s="99"/>
      <c r="I266" s="10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6:16384" s="11" customFormat="1" ht="20.25" customHeight="1" x14ac:dyDescent="0.3">
      <c r="A267" s="103" t="str">
        <f>A266</f>
        <v>22nd Floor  (Part Refuge Area)</v>
      </c>
      <c r="B267" s="104"/>
      <c r="C267" s="101">
        <f>LEFT(A266,SUM(LEN(A266)-LEN(SUBSTITUTE(A266,{"0","1","2","3","4","5","6","7","8","9"},""))))*100+1</f>
        <v>2201</v>
      </c>
      <c r="D267" s="101"/>
      <c r="E267" s="20" t="s">
        <v>206</v>
      </c>
      <c r="F267" s="96">
        <f>(54.69+0.6*2.125+(1.8+1.461+1.8+0.72)+(1.95+2.262))*10.764</f>
        <v>709.97191199999997</v>
      </c>
      <c r="G267" s="97"/>
      <c r="H267" s="20">
        <f>4.687*10.764</f>
        <v>50.450868</v>
      </c>
      <c r="I267" s="20">
        <f>F267*(($I$129)+1)+H267</f>
        <v>1221.9045227999998</v>
      </c>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6:16384" s="11" customFormat="1" ht="20.25" customHeight="1" x14ac:dyDescent="0.3">
      <c r="A268" s="105"/>
      <c r="B268" s="106"/>
      <c r="C268" s="96">
        <f>C267+1</f>
        <v>2202</v>
      </c>
      <c r="D268" s="97"/>
      <c r="E268" s="96" t="s">
        <v>218</v>
      </c>
      <c r="F268" s="109"/>
      <c r="G268" s="109"/>
      <c r="H268" s="109"/>
      <c r="I268" s="97"/>
      <c r="J268" s="1">
        <f>3.05*5.225+0.1*2.125+2.5*3.05+0.55+1.9+2.5*3.65+0.6*0.66+1.375*2.125+1.425*2.125+2.91*1.86+3.21*1</f>
        <v>50.317349999999998</v>
      </c>
      <c r="K268" s="1"/>
      <c r="L268" s="1"/>
      <c r="M268" s="1"/>
      <c r="N268" s="1"/>
      <c r="O268" s="1"/>
      <c r="P268" s="1"/>
      <c r="Q268" s="1"/>
      <c r="R268" s="1"/>
      <c r="S268" s="1"/>
      <c r="T268" s="1"/>
      <c r="U268" s="45"/>
      <c r="V268" s="45"/>
      <c r="W268" s="45"/>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6:16384" s="11" customFormat="1" ht="20.25" customHeight="1" x14ac:dyDescent="0.3">
      <c r="A269" s="105"/>
      <c r="B269" s="106"/>
      <c r="C269" s="101">
        <f t="shared" ref="C269:C272" si="60">C268+1</f>
        <v>2203</v>
      </c>
      <c r="D269" s="101"/>
      <c r="E269" s="20" t="s">
        <v>207</v>
      </c>
      <c r="F269" s="96">
        <f>(70.84+0.6*2.125+(1.8+1.8+1.53+0.72+1.185)+(2.226+1.83))*10.764</f>
        <v>895.62938399999996</v>
      </c>
      <c r="G269" s="97"/>
      <c r="H269" s="20">
        <f>4.387*10.764</f>
        <v>47.221667999999994</v>
      </c>
      <c r="I269" s="20">
        <f t="shared" ref="I269:I271" si="61">F269*(($I$129)+1)+H269</f>
        <v>1525.0101515999997</v>
      </c>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6:16384" s="11" customFormat="1" ht="20.25" customHeight="1" x14ac:dyDescent="0.3">
      <c r="A270" s="105"/>
      <c r="B270" s="106"/>
      <c r="C270" s="101">
        <f t="shared" si="60"/>
        <v>2204</v>
      </c>
      <c r="D270" s="101"/>
      <c r="E270" s="20" t="s">
        <v>207</v>
      </c>
      <c r="F270" s="96">
        <f>(70.84+0.6*1.125+(1.8+1.8+1.53+1.185+0.72)+(2.226+1.83))*10.764</f>
        <v>889.17098399999986</v>
      </c>
      <c r="G270" s="97"/>
      <c r="H270" s="20">
        <f>4.387*10.764</f>
        <v>47.221667999999994</v>
      </c>
      <c r="I270" s="20">
        <f t="shared" si="61"/>
        <v>1514.3537915999996</v>
      </c>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6:16384" s="11" customFormat="1" ht="20.25" customHeight="1" x14ac:dyDescent="0.3">
      <c r="A271" s="105"/>
      <c r="B271" s="106"/>
      <c r="C271" s="101">
        <f t="shared" si="60"/>
        <v>2205</v>
      </c>
      <c r="D271" s="101"/>
      <c r="E271" s="20" t="s">
        <v>206</v>
      </c>
      <c r="F271" s="96">
        <f>(54.82+0.6*2.125+(0.72+1.461+1.8+1.8)+(2.286+1.95))*10.764</f>
        <v>711.62956799999995</v>
      </c>
      <c r="G271" s="97"/>
      <c r="H271" s="20">
        <f>4.687*10.764</f>
        <v>50.450868</v>
      </c>
      <c r="I271" s="20">
        <f t="shared" si="61"/>
        <v>1224.6396551999997</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6:16384" s="11" customFormat="1" ht="20.25" customHeight="1" x14ac:dyDescent="0.3">
      <c r="A272" s="107"/>
      <c r="B272" s="108"/>
      <c r="C272" s="101">
        <f t="shared" si="60"/>
        <v>2206</v>
      </c>
      <c r="D272" s="101"/>
      <c r="E272" s="20" t="s">
        <v>206</v>
      </c>
      <c r="F272" s="96">
        <f>(54.82+0.6*2.125+(0.72+1.461+1.8+1.8)+(2.262+1.95))*10.764</f>
        <v>711.37123199999985</v>
      </c>
      <c r="G272" s="97"/>
      <c r="H272" s="20">
        <f>4.687*10.764</f>
        <v>50.450868</v>
      </c>
      <c r="I272" s="20">
        <f t="shared" ref="I272" si="62">F272*(($I$129)+1)+H272</f>
        <v>1224.2134007999996</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1" x14ac:dyDescent="0.3">
      <c r="A273" s="98" t="s">
        <v>212</v>
      </c>
      <c r="B273" s="99"/>
      <c r="C273" s="99"/>
      <c r="D273" s="99"/>
      <c r="E273" s="99"/>
      <c r="F273" s="99"/>
      <c r="G273" s="99"/>
      <c r="H273" s="99"/>
      <c r="I273" s="100"/>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1" x14ac:dyDescent="0.3">
      <c r="A274" s="103" t="str">
        <f>A273</f>
        <v>23rd Floor</v>
      </c>
      <c r="B274" s="104"/>
      <c r="C274" s="101">
        <f>LEFT(A273,SUM(LEN(A273)-LEN(SUBSTITUTE(A273,{"0","1","2","3","4","5","6","7","8","9"},""))))*100+1</f>
        <v>2301</v>
      </c>
      <c r="D274" s="101"/>
      <c r="E274" s="20" t="s">
        <v>206</v>
      </c>
      <c r="F274" s="96">
        <f>(54.69+0.6*2.125+(1.8+1.461+1.8+0.72)+(1.95+2.262))*10.764</f>
        <v>709.97191199999997</v>
      </c>
      <c r="G274" s="97"/>
      <c r="H274" s="20">
        <f>4.575*10.764</f>
        <v>49.2453</v>
      </c>
      <c r="I274" s="20">
        <f>F274*(($I$129)+1)+H274</f>
        <v>1220.6989547999999</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1" x14ac:dyDescent="0.3">
      <c r="A275" s="105"/>
      <c r="B275" s="106"/>
      <c r="C275" s="101">
        <f>C274+1</f>
        <v>2302</v>
      </c>
      <c r="D275" s="101"/>
      <c r="E275" s="20" t="s">
        <v>206</v>
      </c>
      <c r="F275" s="96">
        <f>(54.82+0.6*2.125+(1.8+1.8+0.69+1.437)+(1.9+2.286))*10.764</f>
        <v>710.51011200000005</v>
      </c>
      <c r="G275" s="97"/>
      <c r="H275" s="20">
        <f>4.575*10.764</f>
        <v>49.2453</v>
      </c>
      <c r="I275" s="20">
        <f t="shared" ref="I275:I278" si="63">F275*(($I$129)+1)+H275</f>
        <v>1221.5869848</v>
      </c>
      <c r="J275" s="1">
        <f>3.05*5.225+0.1*2.125+2.5*3.05+0.55+1.9+2.5*3.65+0.6*0.66+1.375*2.125+1.425*2.125+2.91*1.86+3.21*1</f>
        <v>50.317349999999998</v>
      </c>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1" x14ac:dyDescent="0.3">
      <c r="A276" s="105"/>
      <c r="B276" s="106"/>
      <c r="C276" s="101">
        <f t="shared" ref="C276:C278" si="64">C275+1</f>
        <v>2303</v>
      </c>
      <c r="D276" s="101"/>
      <c r="E276" s="20" t="s">
        <v>207</v>
      </c>
      <c r="F276" s="96">
        <f>(70.84+0.6*2.125+(1.8+1.8+1.53+0.72+1.185)+(2.226+1.83))*10.764</f>
        <v>895.62938399999996</v>
      </c>
      <c r="G276" s="97"/>
      <c r="H276" s="20">
        <f>4.875*10.764</f>
        <v>52.474499999999999</v>
      </c>
      <c r="I276" s="20">
        <f t="shared" si="63"/>
        <v>1530.2629835999999</v>
      </c>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3">
      <c r="A277" s="105"/>
      <c r="B277" s="106"/>
      <c r="C277" s="101">
        <f t="shared" si="64"/>
        <v>2304</v>
      </c>
      <c r="D277" s="101"/>
      <c r="E277" s="20" t="s">
        <v>207</v>
      </c>
      <c r="F277" s="96">
        <f>(70.84+0.6*2.125+(1.8+1.8+1.53+1.185+0.72)+(2.226+1.83))*10.764</f>
        <v>895.62938399999996</v>
      </c>
      <c r="G277" s="97"/>
      <c r="H277" s="20">
        <f>4.875*10.764</f>
        <v>52.474499999999999</v>
      </c>
      <c r="I277" s="20">
        <f t="shared" si="63"/>
        <v>1530.2629835999999</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customHeight="1" x14ac:dyDescent="0.3">
      <c r="A278" s="105"/>
      <c r="B278" s="106"/>
      <c r="C278" s="101">
        <f t="shared" si="64"/>
        <v>2305</v>
      </c>
      <c r="D278" s="101"/>
      <c r="E278" s="20" t="s">
        <v>206</v>
      </c>
      <c r="F278" s="96">
        <f>(54.82+0.6*2.125+(0.72+1.461+1.8+1.8)+(2.286+1.95))*10.764</f>
        <v>711.62956799999995</v>
      </c>
      <c r="G278" s="97"/>
      <c r="H278" s="20">
        <f>4.575*10.764</f>
        <v>49.2453</v>
      </c>
      <c r="I278" s="20">
        <f t="shared" si="63"/>
        <v>1223.4340871999998</v>
      </c>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1" x14ac:dyDescent="0.3">
      <c r="A279" s="107"/>
      <c r="B279" s="108"/>
      <c r="C279" s="101">
        <f>C278+1</f>
        <v>2306</v>
      </c>
      <c r="D279" s="101"/>
      <c r="E279" s="20" t="s">
        <v>206</v>
      </c>
      <c r="F279" s="96">
        <f>(54.82+0.6*2.125+(0.72+1.461+1.8+1.8)+(2.262+1.95))*10.764</f>
        <v>711.37123199999985</v>
      </c>
      <c r="G279" s="97"/>
      <c r="H279" s="20">
        <f>4.575*10.764</f>
        <v>49.2453</v>
      </c>
      <c r="I279" s="20">
        <f t="shared" ref="I279" si="65">F279*(($I$129)+1)+H279</f>
        <v>1223.0078327999997</v>
      </c>
      <c r="J279" s="1">
        <f>3.05*5.225+0.1*2.125+2.5*3.05+0.55+1.9+2.5*3.65+0.6*0.66+1.375*2.125+1.425*2.125+2.91*1.86+3.21*1</f>
        <v>50.317349999999998</v>
      </c>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1" x14ac:dyDescent="0.3">
      <c r="A280" s="98" t="s">
        <v>213</v>
      </c>
      <c r="B280" s="99"/>
      <c r="C280" s="99"/>
      <c r="D280" s="99"/>
      <c r="E280" s="99"/>
      <c r="F280" s="99"/>
      <c r="G280" s="99"/>
      <c r="H280" s="99"/>
      <c r="I280" s="10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1" x14ac:dyDescent="0.3">
      <c r="A281" s="103" t="str">
        <f>A280</f>
        <v>24th Floor</v>
      </c>
      <c r="B281" s="104"/>
      <c r="C281" s="101">
        <f>LEFT(A280,SUM(LEN(A280)-LEN(SUBSTITUTE(A280,{"0","1","2","3","4","5","6","7","8","9"},""))))*100+1</f>
        <v>2401</v>
      </c>
      <c r="D281" s="101"/>
      <c r="E281" s="20" t="s">
        <v>206</v>
      </c>
      <c r="F281" s="96">
        <f>(54.69+0.6*2.125+(1.8+1.461+1.8+0.72)+(1.95+2.262))*10.764</f>
        <v>709.97191199999997</v>
      </c>
      <c r="G281" s="97"/>
      <c r="H281" s="20">
        <f>4.687*10.764</f>
        <v>50.450868</v>
      </c>
      <c r="I281" s="20">
        <f>F281*(($I$129)+1)+H281</f>
        <v>1221.9045227999998</v>
      </c>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1" x14ac:dyDescent="0.3">
      <c r="A282" s="105"/>
      <c r="B282" s="106"/>
      <c r="C282" s="101">
        <f>C281+1</f>
        <v>2402</v>
      </c>
      <c r="D282" s="101"/>
      <c r="E282" s="20" t="s">
        <v>206</v>
      </c>
      <c r="F282" s="96">
        <f>(54.82+0.6*2.125+(1.8+1.8+0.69+1.437)+(1.9+2.286))*10.764</f>
        <v>710.51011200000005</v>
      </c>
      <c r="G282" s="97"/>
      <c r="H282" s="20">
        <f>4.687*10.764</f>
        <v>50.450868</v>
      </c>
      <c r="I282" s="20">
        <f t="shared" ref="I282:I285" si="66">F282*(($I$129)+1)+H282</f>
        <v>1222.7925527999998</v>
      </c>
      <c r="J282" s="1">
        <f>3.05*5.225+0.1*2.125+2.5*3.05+0.55+1.9+2.5*3.65+0.6*0.66+1.375*2.125+1.425*2.125+2.91*1.86+3.21*1</f>
        <v>50.317349999999998</v>
      </c>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1" x14ac:dyDescent="0.3">
      <c r="A283" s="105"/>
      <c r="B283" s="106"/>
      <c r="C283" s="101">
        <f t="shared" ref="C283:C285" si="67">C282+1</f>
        <v>2403</v>
      </c>
      <c r="D283" s="101"/>
      <c r="E283" s="20" t="s">
        <v>207</v>
      </c>
      <c r="F283" s="96">
        <f>(70.84+0.6*2.125+(1.8+1.8+1.53+0.72+1.185)+(2.226+1.83))*10.764</f>
        <v>895.62938399999996</v>
      </c>
      <c r="G283" s="97"/>
      <c r="H283" s="20">
        <f>4.387*10.764</f>
        <v>47.221667999999994</v>
      </c>
      <c r="I283" s="20">
        <f t="shared" si="66"/>
        <v>1525.0101515999997</v>
      </c>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3">
      <c r="A284" s="105"/>
      <c r="B284" s="106"/>
      <c r="C284" s="101">
        <f t="shared" si="67"/>
        <v>2404</v>
      </c>
      <c r="D284" s="101"/>
      <c r="E284" s="20" t="s">
        <v>207</v>
      </c>
      <c r="F284" s="96">
        <f>(70.84+0.6*2.125+(1.8+1.8+1.53+1.185+0.72)+(2.226+1.83))*10.764</f>
        <v>895.62938399999996</v>
      </c>
      <c r="G284" s="97"/>
      <c r="H284" s="20">
        <f>4.387*10.764</f>
        <v>47.221667999999994</v>
      </c>
      <c r="I284" s="20">
        <f t="shared" si="66"/>
        <v>1525.0101515999997</v>
      </c>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3">
      <c r="A285" s="105"/>
      <c r="B285" s="106"/>
      <c r="C285" s="101">
        <f t="shared" si="67"/>
        <v>2405</v>
      </c>
      <c r="D285" s="101"/>
      <c r="E285" s="20" t="s">
        <v>206</v>
      </c>
      <c r="F285" s="96">
        <f>(54.82+0.6*2.125+(0.72+1.461+1.8+1.8)+(2.286+1.95))*10.764</f>
        <v>711.62956799999995</v>
      </c>
      <c r="G285" s="97"/>
      <c r="H285" s="20">
        <f>4.687*10.764</f>
        <v>50.450868</v>
      </c>
      <c r="I285" s="20">
        <f t="shared" si="66"/>
        <v>1224.6396551999997</v>
      </c>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1" x14ac:dyDescent="0.3">
      <c r="A286" s="107"/>
      <c r="B286" s="108"/>
      <c r="C286" s="101">
        <f>C285+1</f>
        <v>2406</v>
      </c>
      <c r="D286" s="101"/>
      <c r="E286" s="20" t="s">
        <v>206</v>
      </c>
      <c r="F286" s="96">
        <f>(54.82+0.6*2.125+(0.72+1.461+1.8+1.8)+(2.262+1.95))*10.764</f>
        <v>711.37123199999985</v>
      </c>
      <c r="G286" s="97"/>
      <c r="H286" s="20">
        <f>4.687*10.764</f>
        <v>50.450868</v>
      </c>
      <c r="I286" s="20">
        <f t="shared" ref="I286" si="68">F286*(($I$129)+1)+H286</f>
        <v>1224.2134007999996</v>
      </c>
      <c r="J286" s="1">
        <f>3.05*5.225+0.1*2.125+2.5*3.05+0.55+1.9+2.5*3.65+0.6*0.66+1.375*2.125+1.425*2.125+2.91*1.86+3.21*1</f>
        <v>50.317349999999998</v>
      </c>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ht="21" x14ac:dyDescent="0.3">
      <c r="A287" s="88" t="s">
        <v>71</v>
      </c>
      <c r="B287" s="88"/>
      <c r="C287" s="88"/>
      <c r="D287" s="88"/>
      <c r="E287" s="88"/>
      <c r="F287" s="88"/>
      <c r="G287" s="88"/>
      <c r="H287" s="88"/>
      <c r="I287" s="88"/>
    </row>
    <row r="288" spans="1:151 16227:16384" ht="156.6" customHeight="1" x14ac:dyDescent="0.3">
      <c r="A288" s="9" t="s">
        <v>79</v>
      </c>
      <c r="B288" s="12" t="s">
        <v>4</v>
      </c>
      <c r="C288" s="75" t="s">
        <v>317</v>
      </c>
      <c r="D288" s="75"/>
      <c r="E288" s="75"/>
      <c r="F288" s="75"/>
      <c r="G288" s="75"/>
      <c r="H288" s="75"/>
      <c r="I288" s="75"/>
    </row>
    <row r="289" spans="1:9" ht="21" x14ac:dyDescent="0.3">
      <c r="A289" s="158" t="s">
        <v>80</v>
      </c>
      <c r="B289" s="158"/>
      <c r="C289" s="158"/>
      <c r="D289" s="158"/>
      <c r="E289" s="158"/>
      <c r="F289" s="158"/>
      <c r="G289" s="158"/>
      <c r="H289" s="158"/>
      <c r="I289" s="158"/>
    </row>
    <row r="290" spans="1:9" ht="21" x14ac:dyDescent="0.3">
      <c r="A290" s="80" t="s">
        <v>72</v>
      </c>
      <c r="B290" s="80"/>
      <c r="C290" s="80"/>
      <c r="D290" s="2" t="s">
        <v>4</v>
      </c>
      <c r="E290" s="78" t="str">
        <f>E3</f>
        <v>Godrej Bayview Vashi</v>
      </c>
      <c r="F290" s="81"/>
      <c r="G290" s="81"/>
      <c r="H290" s="81"/>
      <c r="I290" s="79"/>
    </row>
    <row r="291" spans="1:9" ht="46.95" customHeight="1" x14ac:dyDescent="0.3">
      <c r="A291" s="80" t="s">
        <v>132</v>
      </c>
      <c r="B291" s="80"/>
      <c r="C291" s="80"/>
      <c r="D291" s="2" t="s">
        <v>4</v>
      </c>
      <c r="E291" s="78" t="str">
        <f>E9</f>
        <v>Godrej Bayview Vashi, Plot 18 &amp; Plot 3, Sector 9, Road.Dayanshwar Marg, Near. Air India Maharaja CHS,Village.Vashi, Thane, Thane, 400703.</v>
      </c>
      <c r="F291" s="81"/>
      <c r="G291" s="81"/>
      <c r="H291" s="81"/>
      <c r="I291" s="79"/>
    </row>
    <row r="292" spans="1:9" ht="20.25" customHeight="1" x14ac:dyDescent="0.3">
      <c r="A292" s="168" t="s">
        <v>138</v>
      </c>
      <c r="B292" s="168"/>
      <c r="C292" s="168"/>
      <c r="D292" s="16" t="s">
        <v>4</v>
      </c>
      <c r="E292" s="169" t="str">
        <f>I3</f>
        <v>07/07/2025 @01:51PM</v>
      </c>
      <c r="F292" s="81"/>
      <c r="G292" s="81"/>
      <c r="H292" s="81"/>
      <c r="I292" s="79"/>
    </row>
    <row r="293" spans="1:9" ht="21" x14ac:dyDescent="0.3">
      <c r="A293" s="30"/>
      <c r="B293" s="31"/>
      <c r="C293" s="31"/>
      <c r="D293" s="31"/>
      <c r="E293" s="31"/>
      <c r="F293" s="31"/>
      <c r="G293" s="31"/>
      <c r="H293" s="31"/>
      <c r="I293" s="25"/>
    </row>
    <row r="294" spans="1:9" ht="21" x14ac:dyDescent="0.3">
      <c r="A294" s="32"/>
      <c r="B294" s="33"/>
      <c r="C294" s="33"/>
      <c r="D294" s="33"/>
      <c r="E294" s="33"/>
      <c r="F294" s="33"/>
      <c r="G294" s="33"/>
      <c r="H294" s="33"/>
      <c r="I294" s="26"/>
    </row>
    <row r="295" spans="1:9" ht="21" x14ac:dyDescent="0.3">
      <c r="A295" s="32"/>
      <c r="B295" s="33"/>
      <c r="C295" s="33"/>
      <c r="D295" s="33"/>
      <c r="E295" s="33"/>
      <c r="F295" s="33"/>
      <c r="G295" s="33"/>
      <c r="H295" s="33"/>
      <c r="I295" s="26"/>
    </row>
    <row r="296" spans="1:9" ht="21" x14ac:dyDescent="0.3">
      <c r="A296" s="32"/>
      <c r="B296" s="33"/>
      <c r="C296" s="33"/>
      <c r="D296" s="33"/>
      <c r="E296" s="33"/>
      <c r="F296" s="33"/>
      <c r="G296" s="33"/>
      <c r="H296" s="33"/>
      <c r="I296" s="26"/>
    </row>
    <row r="297" spans="1:9" ht="21" x14ac:dyDescent="0.3">
      <c r="A297" s="32"/>
      <c r="B297" s="33"/>
      <c r="C297" s="33"/>
      <c r="D297" s="33"/>
      <c r="E297" s="33"/>
      <c r="F297" s="33"/>
      <c r="G297" s="33"/>
      <c r="H297" s="33"/>
      <c r="I297" s="26"/>
    </row>
    <row r="298" spans="1:9" ht="21" x14ac:dyDescent="0.3">
      <c r="A298" s="32"/>
      <c r="B298" s="33"/>
      <c r="C298" s="33"/>
      <c r="D298" s="33"/>
      <c r="E298" s="33"/>
      <c r="F298" s="33"/>
      <c r="G298" s="33"/>
      <c r="H298" s="33"/>
      <c r="I298" s="26"/>
    </row>
    <row r="299" spans="1:9" ht="21" x14ac:dyDescent="0.3">
      <c r="A299" s="32"/>
      <c r="B299" s="33"/>
      <c r="C299" s="33"/>
      <c r="D299" s="33"/>
      <c r="E299" s="33"/>
      <c r="F299" s="33"/>
      <c r="G299" s="33"/>
      <c r="H299" s="33"/>
      <c r="I299" s="26"/>
    </row>
    <row r="300" spans="1:9" ht="21" x14ac:dyDescent="0.3">
      <c r="A300" s="32"/>
      <c r="B300" s="33"/>
      <c r="C300" s="33"/>
      <c r="D300" s="33"/>
      <c r="E300" s="33"/>
      <c r="F300" s="33"/>
      <c r="G300" s="33"/>
      <c r="H300" s="33"/>
      <c r="I300" s="26"/>
    </row>
    <row r="301" spans="1:9" ht="21" x14ac:dyDescent="0.3">
      <c r="A301" s="32"/>
      <c r="B301" s="33"/>
      <c r="C301" s="33"/>
      <c r="D301" s="33"/>
      <c r="E301" s="33"/>
      <c r="F301" s="33"/>
      <c r="G301" s="33"/>
      <c r="H301" s="33"/>
      <c r="I301" s="26"/>
    </row>
    <row r="302" spans="1:9" ht="21" x14ac:dyDescent="0.3">
      <c r="A302" s="32"/>
      <c r="B302" s="33"/>
      <c r="C302" s="33"/>
      <c r="D302" s="33"/>
      <c r="E302" s="33"/>
      <c r="F302" s="33"/>
      <c r="G302" s="33"/>
      <c r="H302" s="33"/>
      <c r="I302" s="26"/>
    </row>
    <row r="303" spans="1:9" ht="21" x14ac:dyDescent="0.3">
      <c r="A303" s="32"/>
      <c r="B303" s="33"/>
      <c r="C303" s="33"/>
      <c r="D303" s="33"/>
      <c r="E303" s="33"/>
      <c r="F303" s="33"/>
      <c r="G303" s="33"/>
      <c r="H303" s="33"/>
      <c r="I303" s="26"/>
    </row>
    <row r="304" spans="1:9" ht="21" x14ac:dyDescent="0.3">
      <c r="A304" s="32"/>
      <c r="B304" s="33"/>
      <c r="C304" s="33"/>
      <c r="D304" s="33"/>
      <c r="E304" s="33"/>
      <c r="F304" s="33"/>
      <c r="G304" s="33"/>
      <c r="H304" s="33"/>
      <c r="I304" s="26"/>
    </row>
    <row r="305" spans="1:9" ht="21" x14ac:dyDescent="0.3">
      <c r="A305" s="32"/>
      <c r="B305" s="33"/>
      <c r="C305" s="33"/>
      <c r="D305" s="33"/>
      <c r="E305" s="33"/>
      <c r="F305" s="33"/>
      <c r="G305" s="33"/>
      <c r="H305" s="33"/>
      <c r="I305" s="26"/>
    </row>
    <row r="306" spans="1:9" ht="21" x14ac:dyDescent="0.3">
      <c r="A306" s="32"/>
      <c r="B306" s="33"/>
      <c r="C306" s="33"/>
      <c r="D306" s="33"/>
      <c r="E306" s="33"/>
      <c r="F306" s="33"/>
      <c r="G306" s="33"/>
      <c r="H306" s="33"/>
      <c r="I306" s="26"/>
    </row>
    <row r="307" spans="1:9" ht="21" x14ac:dyDescent="0.3">
      <c r="A307" s="32"/>
      <c r="B307" s="33"/>
      <c r="C307" s="33"/>
      <c r="D307" s="33"/>
      <c r="E307" s="33"/>
      <c r="F307" s="33"/>
      <c r="G307" s="33"/>
      <c r="H307" s="33"/>
      <c r="I307" s="26"/>
    </row>
    <row r="308" spans="1:9" ht="21" x14ac:dyDescent="0.3">
      <c r="A308" s="32"/>
      <c r="B308" s="33"/>
      <c r="C308" s="33"/>
      <c r="D308" s="33"/>
      <c r="E308" s="33"/>
      <c r="F308" s="33"/>
      <c r="G308" s="33"/>
      <c r="H308" s="33"/>
      <c r="I308" s="26"/>
    </row>
    <row r="309" spans="1:9" ht="21" x14ac:dyDescent="0.3">
      <c r="A309" s="32"/>
      <c r="B309" s="33"/>
      <c r="C309" s="33"/>
      <c r="D309" s="33"/>
      <c r="E309" s="33"/>
      <c r="F309" s="33"/>
      <c r="G309" s="33"/>
      <c r="H309" s="33"/>
      <c r="I309" s="26"/>
    </row>
    <row r="310" spans="1:9" ht="21" x14ac:dyDescent="0.3">
      <c r="A310" s="32"/>
      <c r="B310" s="33"/>
      <c r="C310" s="33"/>
      <c r="D310" s="33"/>
      <c r="E310" s="33"/>
      <c r="F310" s="33"/>
      <c r="G310" s="33"/>
      <c r="H310" s="33"/>
      <c r="I310" s="26"/>
    </row>
    <row r="311" spans="1:9" ht="21" x14ac:dyDescent="0.3">
      <c r="A311" s="32"/>
      <c r="B311" s="33"/>
      <c r="C311" s="33"/>
      <c r="D311" s="33"/>
      <c r="E311" s="33"/>
      <c r="F311" s="33"/>
      <c r="G311" s="33"/>
      <c r="H311" s="33"/>
      <c r="I311" s="26"/>
    </row>
    <row r="312" spans="1:9" ht="21" x14ac:dyDescent="0.3">
      <c r="A312" s="32"/>
      <c r="B312" s="33"/>
      <c r="C312" s="33"/>
      <c r="D312" s="33"/>
      <c r="E312" s="33"/>
      <c r="F312" s="33"/>
      <c r="G312" s="33"/>
      <c r="H312" s="33"/>
      <c r="I312" s="26"/>
    </row>
    <row r="313" spans="1:9" ht="21" x14ac:dyDescent="0.3">
      <c r="A313" s="32"/>
      <c r="B313" s="33"/>
      <c r="C313" s="33"/>
      <c r="D313" s="33"/>
      <c r="E313" s="33"/>
      <c r="F313" s="33"/>
      <c r="G313" s="33"/>
      <c r="H313" s="33"/>
      <c r="I313" s="26"/>
    </row>
    <row r="314" spans="1:9" ht="21" x14ac:dyDescent="0.3">
      <c r="A314" s="32"/>
      <c r="B314" s="33"/>
      <c r="C314" s="33"/>
      <c r="D314" s="33"/>
      <c r="E314" s="33"/>
      <c r="F314" s="33"/>
      <c r="G314" s="33"/>
      <c r="H314" s="33"/>
      <c r="I314" s="26"/>
    </row>
    <row r="315" spans="1:9" ht="21" x14ac:dyDescent="0.3">
      <c r="A315" s="32"/>
      <c r="B315" s="33"/>
      <c r="C315" s="33"/>
      <c r="D315" s="33"/>
      <c r="E315" s="33"/>
      <c r="F315" s="33"/>
      <c r="G315" s="33"/>
      <c r="H315" s="33"/>
      <c r="I315" s="26"/>
    </row>
    <row r="316" spans="1:9" ht="21" x14ac:dyDescent="0.3">
      <c r="A316" s="32"/>
      <c r="B316" s="33"/>
      <c r="C316" s="33"/>
      <c r="D316" s="33"/>
      <c r="E316" s="33"/>
      <c r="F316" s="33"/>
      <c r="G316" s="33"/>
      <c r="H316" s="33"/>
      <c r="I316" s="26"/>
    </row>
    <row r="317" spans="1:9" ht="21" x14ac:dyDescent="0.3">
      <c r="A317" s="32"/>
      <c r="B317" s="33"/>
      <c r="C317" s="33"/>
      <c r="D317" s="33"/>
      <c r="E317" s="33"/>
      <c r="F317" s="33"/>
      <c r="G317" s="33"/>
      <c r="H317" s="33"/>
      <c r="I317" s="26"/>
    </row>
    <row r="318" spans="1:9" ht="21" x14ac:dyDescent="0.3">
      <c r="A318" s="32"/>
      <c r="B318" s="33"/>
      <c r="C318" s="33"/>
      <c r="D318" s="33"/>
      <c r="E318" s="33"/>
      <c r="F318" s="33"/>
      <c r="G318" s="33"/>
      <c r="H318" s="33"/>
      <c r="I318" s="26"/>
    </row>
    <row r="319" spans="1:9" ht="21" x14ac:dyDescent="0.3">
      <c r="A319" s="32"/>
      <c r="B319" s="33"/>
      <c r="C319" s="33"/>
      <c r="D319" s="33"/>
      <c r="E319" s="33"/>
      <c r="F319" s="33"/>
      <c r="G319" s="33"/>
      <c r="H319" s="33"/>
      <c r="I319" s="26"/>
    </row>
    <row r="320" spans="1:9" ht="21" x14ac:dyDescent="0.3">
      <c r="A320" s="32"/>
      <c r="B320" s="33"/>
      <c r="C320" s="33"/>
      <c r="D320" s="33"/>
      <c r="E320" s="33"/>
      <c r="F320" s="33"/>
      <c r="G320" s="33"/>
      <c r="H320" s="33"/>
      <c r="I320" s="26"/>
    </row>
    <row r="321" spans="1:9" ht="21" x14ac:dyDescent="0.3">
      <c r="A321" s="32"/>
      <c r="B321" s="33"/>
      <c r="C321" s="33"/>
      <c r="D321" s="33"/>
      <c r="E321" s="33"/>
      <c r="F321" s="33"/>
      <c r="G321" s="33"/>
      <c r="H321" s="33"/>
      <c r="I321" s="26"/>
    </row>
    <row r="322" spans="1:9" ht="21" x14ac:dyDescent="0.3">
      <c r="A322" s="32"/>
      <c r="B322" s="33"/>
      <c r="C322" s="33"/>
      <c r="D322" s="33"/>
      <c r="E322" s="33"/>
      <c r="F322" s="33"/>
      <c r="G322" s="33"/>
      <c r="H322" s="33"/>
      <c r="I322" s="26"/>
    </row>
    <row r="323" spans="1:9" ht="21" x14ac:dyDescent="0.3">
      <c r="A323" s="32"/>
      <c r="B323" s="33"/>
      <c r="C323" s="33"/>
      <c r="D323" s="33"/>
      <c r="E323" s="33"/>
      <c r="F323" s="33"/>
      <c r="G323" s="33"/>
      <c r="H323" s="33"/>
      <c r="I323" s="26"/>
    </row>
    <row r="324" spans="1:9" ht="21" x14ac:dyDescent="0.3">
      <c r="A324" s="32"/>
      <c r="B324" s="33"/>
      <c r="C324" s="33"/>
      <c r="D324" s="33"/>
      <c r="E324" s="33"/>
      <c r="F324" s="33"/>
      <c r="G324" s="33"/>
      <c r="H324" s="33"/>
      <c r="I324" s="26"/>
    </row>
    <row r="325" spans="1:9" ht="21" x14ac:dyDescent="0.3">
      <c r="A325" s="32"/>
      <c r="B325" s="33"/>
      <c r="C325" s="33"/>
      <c r="D325" s="33"/>
      <c r="E325" s="33"/>
      <c r="F325" s="33"/>
      <c r="G325" s="33"/>
      <c r="H325" s="33"/>
      <c r="I325" s="26"/>
    </row>
    <row r="326" spans="1:9" ht="21" x14ac:dyDescent="0.3">
      <c r="A326" s="32"/>
      <c r="B326" s="33"/>
      <c r="C326" s="33"/>
      <c r="D326" s="33"/>
      <c r="E326" s="33"/>
      <c r="F326" s="33"/>
      <c r="G326" s="33"/>
      <c r="H326" s="33"/>
      <c r="I326" s="26"/>
    </row>
    <row r="327" spans="1:9" ht="21" x14ac:dyDescent="0.3">
      <c r="A327" s="32"/>
      <c r="B327" s="33"/>
      <c r="C327" s="33"/>
      <c r="D327" s="33"/>
      <c r="E327" s="33"/>
      <c r="F327" s="33"/>
      <c r="G327" s="33"/>
      <c r="H327" s="33"/>
      <c r="I327" s="26"/>
    </row>
    <row r="328" spans="1:9" ht="21" x14ac:dyDescent="0.3">
      <c r="A328" s="32"/>
      <c r="B328" s="33"/>
      <c r="C328" s="33"/>
      <c r="D328" s="33"/>
      <c r="E328" s="33"/>
      <c r="F328" s="33"/>
      <c r="G328" s="33"/>
      <c r="H328" s="33"/>
      <c r="I328" s="26"/>
    </row>
    <row r="329" spans="1:9" ht="21" x14ac:dyDescent="0.3">
      <c r="A329" s="32"/>
      <c r="B329" s="33"/>
      <c r="C329" s="33"/>
      <c r="D329" s="33"/>
      <c r="E329" s="33"/>
      <c r="F329" s="33"/>
      <c r="G329" s="33"/>
      <c r="H329" s="33"/>
      <c r="I329" s="26"/>
    </row>
    <row r="330" spans="1:9" ht="21" x14ac:dyDescent="0.3">
      <c r="A330" s="32"/>
      <c r="B330" s="33"/>
      <c r="C330" s="33"/>
      <c r="D330" s="33"/>
      <c r="E330" s="33"/>
      <c r="F330" s="33"/>
      <c r="G330" s="33"/>
      <c r="H330" s="33"/>
      <c r="I330" s="26"/>
    </row>
    <row r="331" spans="1:9" ht="21" x14ac:dyDescent="0.3">
      <c r="A331" s="32"/>
      <c r="B331" s="33"/>
      <c r="C331" s="33"/>
      <c r="D331" s="33"/>
      <c r="E331" s="33"/>
      <c r="F331" s="33"/>
      <c r="G331" s="33"/>
      <c r="H331" s="33"/>
      <c r="I331" s="26"/>
    </row>
    <row r="332" spans="1:9" ht="21" x14ac:dyDescent="0.3">
      <c r="A332" s="32"/>
      <c r="B332" s="33"/>
      <c r="C332" s="33"/>
      <c r="D332" s="33"/>
      <c r="E332" s="33"/>
      <c r="F332" s="33"/>
      <c r="G332" s="33"/>
      <c r="H332" s="33"/>
      <c r="I332" s="26"/>
    </row>
    <row r="333" spans="1:9" ht="21" x14ac:dyDescent="0.3">
      <c r="A333" s="32"/>
      <c r="B333" s="33"/>
      <c r="C333" s="33"/>
      <c r="D333" s="33"/>
      <c r="E333" s="33"/>
      <c r="F333" s="33"/>
      <c r="G333" s="33"/>
      <c r="H333" s="33"/>
      <c r="I333" s="26"/>
    </row>
    <row r="334" spans="1:9" ht="21" x14ac:dyDescent="0.3">
      <c r="A334" s="34"/>
      <c r="B334" s="35"/>
      <c r="C334" s="35"/>
      <c r="D334" s="35"/>
      <c r="E334" s="35"/>
      <c r="F334" s="35"/>
      <c r="G334" s="35"/>
      <c r="H334" s="35"/>
      <c r="I334" s="27"/>
    </row>
    <row r="335" spans="1:9" ht="21" x14ac:dyDescent="0.3">
      <c r="A335" s="88" t="s">
        <v>305</v>
      </c>
      <c r="B335" s="88"/>
      <c r="C335" s="88"/>
      <c r="D335" s="88"/>
      <c r="E335" s="88"/>
      <c r="F335" s="88"/>
      <c r="G335" s="88"/>
      <c r="H335" s="88"/>
      <c r="I335" s="88"/>
    </row>
    <row r="336" spans="1:9" ht="21" x14ac:dyDescent="0.3">
      <c r="A336" s="30"/>
      <c r="B336" s="31"/>
      <c r="C336" s="31"/>
      <c r="D336" s="31"/>
      <c r="E336" s="31"/>
      <c r="F336" s="31"/>
      <c r="G336" s="31"/>
      <c r="H336" s="31"/>
      <c r="I336" s="25"/>
    </row>
    <row r="337" spans="1:9" ht="21" x14ac:dyDescent="0.3">
      <c r="A337" s="32"/>
      <c r="B337" s="33"/>
      <c r="C337" s="33"/>
      <c r="D337" s="33"/>
      <c r="E337" s="33"/>
      <c r="F337" s="33"/>
      <c r="G337" s="33"/>
      <c r="H337" s="33"/>
      <c r="I337" s="26"/>
    </row>
    <row r="338" spans="1:9" ht="21" x14ac:dyDescent="0.3">
      <c r="A338" s="32"/>
      <c r="B338" s="33"/>
      <c r="C338" s="33"/>
      <c r="D338" s="33"/>
      <c r="E338" s="33"/>
      <c r="F338" s="33"/>
      <c r="G338" s="33"/>
      <c r="H338" s="33"/>
      <c r="I338" s="26"/>
    </row>
    <row r="339" spans="1:9" ht="21" x14ac:dyDescent="0.3">
      <c r="A339" s="32"/>
      <c r="B339" s="33"/>
      <c r="C339" s="33"/>
      <c r="D339" s="33"/>
      <c r="E339" s="33"/>
      <c r="F339" s="33"/>
      <c r="G339" s="33"/>
      <c r="H339" s="33"/>
      <c r="I339" s="26"/>
    </row>
    <row r="340" spans="1:9" ht="21" x14ac:dyDescent="0.3">
      <c r="A340" s="32"/>
      <c r="B340" s="33"/>
      <c r="C340" s="33"/>
      <c r="D340" s="33"/>
      <c r="E340" s="33"/>
      <c r="F340" s="33"/>
      <c r="G340" s="33"/>
      <c r="H340" s="33"/>
      <c r="I340" s="26"/>
    </row>
    <row r="341" spans="1:9" ht="21" x14ac:dyDescent="0.3">
      <c r="A341" s="32"/>
      <c r="B341" s="33"/>
      <c r="C341" s="33"/>
      <c r="D341" s="33"/>
      <c r="E341" s="33"/>
      <c r="F341" s="33"/>
      <c r="G341" s="33"/>
      <c r="H341" s="33"/>
      <c r="I341" s="26"/>
    </row>
    <row r="342" spans="1:9" ht="21" x14ac:dyDescent="0.3">
      <c r="A342" s="32"/>
      <c r="B342" s="33"/>
      <c r="C342" s="33"/>
      <c r="D342" s="33"/>
      <c r="E342" s="33"/>
      <c r="F342" s="33"/>
      <c r="G342" s="33"/>
      <c r="H342" s="33"/>
      <c r="I342" s="26"/>
    </row>
    <row r="343" spans="1:9" ht="21" x14ac:dyDescent="0.3">
      <c r="A343" s="32"/>
      <c r="B343" s="33"/>
      <c r="C343" s="33"/>
      <c r="D343" s="33"/>
      <c r="E343" s="33"/>
      <c r="F343" s="33"/>
      <c r="G343" s="33"/>
      <c r="H343" s="33"/>
      <c r="I343" s="26"/>
    </row>
    <row r="344" spans="1:9" ht="21" x14ac:dyDescent="0.3">
      <c r="A344" s="32"/>
      <c r="B344" s="33"/>
      <c r="C344" s="33"/>
      <c r="D344" s="33"/>
      <c r="E344" s="33"/>
      <c r="F344" s="33"/>
      <c r="G344" s="33"/>
      <c r="H344" s="33"/>
      <c r="I344" s="26"/>
    </row>
    <row r="345" spans="1:9" ht="21" x14ac:dyDescent="0.3">
      <c r="A345" s="32"/>
      <c r="B345" s="33"/>
      <c r="C345" s="33"/>
      <c r="D345" s="33"/>
      <c r="E345" s="33"/>
      <c r="F345" s="33"/>
      <c r="G345" s="33"/>
      <c r="H345" s="33"/>
      <c r="I345" s="26"/>
    </row>
    <row r="346" spans="1:9" ht="21" x14ac:dyDescent="0.3">
      <c r="A346" s="32"/>
      <c r="B346" s="33"/>
      <c r="C346" s="33"/>
      <c r="D346" s="33"/>
      <c r="E346" s="33"/>
      <c r="F346" s="33"/>
      <c r="G346" s="33"/>
      <c r="H346" s="33"/>
      <c r="I346" s="26"/>
    </row>
    <row r="347" spans="1:9" ht="21" x14ac:dyDescent="0.3">
      <c r="A347" s="32"/>
      <c r="B347" s="33"/>
      <c r="C347" s="33"/>
      <c r="D347" s="33"/>
      <c r="E347" s="33"/>
      <c r="F347" s="33"/>
      <c r="G347" s="33"/>
      <c r="H347" s="33"/>
      <c r="I347" s="26"/>
    </row>
    <row r="348" spans="1:9" ht="21" x14ac:dyDescent="0.3">
      <c r="A348" s="32"/>
      <c r="B348" s="33"/>
      <c r="C348" s="33"/>
      <c r="D348" s="33"/>
      <c r="E348" s="33"/>
      <c r="F348" s="33"/>
      <c r="G348" s="33"/>
      <c r="H348" s="33"/>
      <c r="I348" s="26"/>
    </row>
    <row r="349" spans="1:9" ht="21" x14ac:dyDescent="0.3">
      <c r="A349" s="32"/>
      <c r="B349" s="33"/>
      <c r="C349" s="33"/>
      <c r="D349" s="33"/>
      <c r="E349" s="33"/>
      <c r="F349" s="33"/>
      <c r="G349" s="33"/>
      <c r="H349" s="33"/>
      <c r="I349" s="26"/>
    </row>
    <row r="350" spans="1:9" ht="21" x14ac:dyDescent="0.3">
      <c r="A350" s="32"/>
      <c r="B350" s="33"/>
      <c r="C350" s="33"/>
      <c r="D350" s="33"/>
      <c r="E350" s="33"/>
      <c r="F350" s="33"/>
      <c r="G350" s="33"/>
      <c r="H350" s="33"/>
      <c r="I350" s="26"/>
    </row>
    <row r="351" spans="1:9" ht="21" x14ac:dyDescent="0.3">
      <c r="A351" s="32"/>
      <c r="B351" s="33"/>
      <c r="C351" s="33"/>
      <c r="D351" s="33"/>
      <c r="E351" s="33"/>
      <c r="F351" s="33"/>
      <c r="G351" s="33"/>
      <c r="H351" s="33"/>
      <c r="I351" s="26"/>
    </row>
    <row r="352" spans="1:9" ht="21" x14ac:dyDescent="0.3">
      <c r="A352" s="32"/>
      <c r="B352" s="33"/>
      <c r="C352" s="33"/>
      <c r="D352" s="33"/>
      <c r="E352" s="33"/>
      <c r="F352" s="33"/>
      <c r="G352" s="33"/>
      <c r="H352" s="33"/>
      <c r="I352" s="26"/>
    </row>
    <row r="353" spans="1:9" ht="21" x14ac:dyDescent="0.3">
      <c r="A353" s="32"/>
      <c r="B353" s="33"/>
      <c r="C353" s="33"/>
      <c r="D353" s="33"/>
      <c r="E353" s="33"/>
      <c r="F353" s="33"/>
      <c r="G353" s="33"/>
      <c r="H353" s="33"/>
      <c r="I353" s="26"/>
    </row>
    <row r="354" spans="1:9" ht="21" x14ac:dyDescent="0.3">
      <c r="A354" s="32"/>
      <c r="B354" s="33"/>
      <c r="C354" s="33"/>
      <c r="D354" s="33"/>
      <c r="E354" s="33"/>
      <c r="F354" s="33"/>
      <c r="G354" s="33"/>
      <c r="H354" s="33"/>
      <c r="I354" s="26"/>
    </row>
    <row r="355" spans="1:9" ht="21" x14ac:dyDescent="0.3">
      <c r="A355" s="32"/>
      <c r="B355" s="33"/>
      <c r="C355" s="33"/>
      <c r="D355" s="33"/>
      <c r="E355" s="33"/>
      <c r="F355" s="33"/>
      <c r="G355" s="33"/>
      <c r="H355" s="33"/>
      <c r="I355" s="26"/>
    </row>
    <row r="356" spans="1:9" ht="21" x14ac:dyDescent="0.3">
      <c r="A356" s="32"/>
      <c r="B356" s="33"/>
      <c r="C356" s="33"/>
      <c r="D356" s="33"/>
      <c r="E356" s="33"/>
      <c r="F356" s="33"/>
      <c r="G356" s="33"/>
      <c r="H356" s="33"/>
      <c r="I356" s="26"/>
    </row>
    <row r="357" spans="1:9" ht="21" x14ac:dyDescent="0.3">
      <c r="A357" s="32"/>
      <c r="B357" s="33"/>
      <c r="C357" s="33"/>
      <c r="D357" s="33"/>
      <c r="E357" s="33"/>
      <c r="F357" s="33"/>
      <c r="G357" s="33"/>
      <c r="H357" s="33"/>
      <c r="I357" s="26"/>
    </row>
    <row r="358" spans="1:9" ht="21" x14ac:dyDescent="0.3">
      <c r="A358" s="32"/>
      <c r="B358" s="33"/>
      <c r="C358" s="33"/>
      <c r="D358" s="33"/>
      <c r="E358" s="33"/>
      <c r="F358" s="33"/>
      <c r="G358" s="33"/>
      <c r="H358" s="33"/>
      <c r="I358" s="26"/>
    </row>
    <row r="359" spans="1:9" ht="21" x14ac:dyDescent="0.3">
      <c r="A359" s="32"/>
      <c r="B359" s="33"/>
      <c r="C359" s="33"/>
      <c r="D359" s="33"/>
      <c r="E359" s="33"/>
      <c r="F359" s="33"/>
      <c r="G359" s="33"/>
      <c r="H359" s="33"/>
      <c r="I359" s="26"/>
    </row>
    <row r="360" spans="1:9" ht="21" x14ac:dyDescent="0.3">
      <c r="A360" s="32"/>
      <c r="B360" s="33"/>
      <c r="C360" s="33"/>
      <c r="D360" s="33"/>
      <c r="E360" s="33"/>
      <c r="F360" s="33"/>
      <c r="G360" s="33"/>
      <c r="H360" s="33"/>
      <c r="I360" s="26"/>
    </row>
    <row r="361" spans="1:9" ht="21" x14ac:dyDescent="0.3">
      <c r="A361" s="32"/>
      <c r="B361" s="33"/>
      <c r="C361" s="33"/>
      <c r="D361" s="33"/>
      <c r="E361" s="33"/>
      <c r="F361" s="33"/>
      <c r="G361" s="33"/>
      <c r="H361" s="33"/>
      <c r="I361" s="26"/>
    </row>
    <row r="362" spans="1:9" ht="21" x14ac:dyDescent="0.3">
      <c r="A362" s="32"/>
      <c r="B362" s="33"/>
      <c r="C362" s="33"/>
      <c r="D362" s="33"/>
      <c r="E362" s="33"/>
      <c r="F362" s="33"/>
      <c r="G362" s="33"/>
      <c r="H362" s="33"/>
      <c r="I362" s="26"/>
    </row>
    <row r="363" spans="1:9" ht="21" x14ac:dyDescent="0.3">
      <c r="A363" s="32"/>
      <c r="B363" s="33"/>
      <c r="C363" s="33"/>
      <c r="D363" s="33"/>
      <c r="E363" s="33"/>
      <c r="F363" s="33"/>
      <c r="G363" s="33"/>
      <c r="H363" s="33"/>
      <c r="I363" s="26"/>
    </row>
    <row r="364" spans="1:9" ht="21" x14ac:dyDescent="0.3">
      <c r="A364" s="32"/>
      <c r="B364" s="33"/>
      <c r="C364" s="33"/>
      <c r="D364" s="33"/>
      <c r="E364" s="33"/>
      <c r="F364" s="33"/>
      <c r="G364" s="33"/>
      <c r="H364" s="33"/>
      <c r="I364" s="26"/>
    </row>
    <row r="365" spans="1:9" ht="21" x14ac:dyDescent="0.3">
      <c r="A365" s="32"/>
      <c r="B365" s="33"/>
      <c r="C365" s="33"/>
      <c r="D365" s="33"/>
      <c r="E365" s="33"/>
      <c r="F365" s="33"/>
      <c r="G365" s="33"/>
      <c r="H365" s="33"/>
      <c r="I365" s="26"/>
    </row>
    <row r="366" spans="1:9" ht="21" x14ac:dyDescent="0.3">
      <c r="A366" s="32"/>
      <c r="B366" s="33"/>
      <c r="C366" s="33"/>
      <c r="D366" s="33"/>
      <c r="E366" s="33"/>
      <c r="F366" s="33"/>
      <c r="G366" s="33"/>
      <c r="H366" s="33"/>
      <c r="I366" s="26"/>
    </row>
    <row r="367" spans="1:9" ht="21" x14ac:dyDescent="0.3">
      <c r="A367" s="32"/>
      <c r="B367" s="33"/>
      <c r="C367" s="33"/>
      <c r="D367" s="33"/>
      <c r="E367" s="33"/>
      <c r="F367" s="33"/>
      <c r="G367" s="33"/>
      <c r="H367" s="33"/>
      <c r="I367" s="26"/>
    </row>
    <row r="368" spans="1:9" ht="21" x14ac:dyDescent="0.3">
      <c r="A368" s="32"/>
      <c r="B368" s="33"/>
      <c r="C368" s="33"/>
      <c r="D368" s="33"/>
      <c r="E368" s="33"/>
      <c r="F368" s="33"/>
      <c r="G368" s="33"/>
      <c r="H368" s="33"/>
      <c r="I368" s="26"/>
    </row>
    <row r="369" spans="1:9" ht="21" x14ac:dyDescent="0.3">
      <c r="A369" s="32"/>
      <c r="B369" s="33"/>
      <c r="C369" s="33"/>
      <c r="D369" s="33"/>
      <c r="E369" s="33"/>
      <c r="F369" s="33"/>
      <c r="G369" s="33"/>
      <c r="H369" s="33"/>
      <c r="I369" s="26"/>
    </row>
    <row r="370" spans="1:9" ht="21" x14ac:dyDescent="0.3">
      <c r="A370" s="32"/>
      <c r="B370" s="33"/>
      <c r="C370" s="33"/>
      <c r="D370" s="33"/>
      <c r="E370" s="33"/>
      <c r="F370" s="33"/>
      <c r="G370" s="33"/>
      <c r="H370" s="33"/>
      <c r="I370" s="26"/>
    </row>
    <row r="371" spans="1:9" ht="21" x14ac:dyDescent="0.3">
      <c r="A371" s="32"/>
      <c r="B371" s="33"/>
      <c r="C371" s="33"/>
      <c r="D371" s="33"/>
      <c r="E371" s="33"/>
      <c r="F371" s="33"/>
      <c r="G371" s="33"/>
      <c r="H371" s="33"/>
      <c r="I371" s="26"/>
    </row>
    <row r="372" spans="1:9" ht="21" x14ac:dyDescent="0.3">
      <c r="A372" s="32"/>
      <c r="B372" s="33"/>
      <c r="C372" s="33"/>
      <c r="D372" s="33"/>
      <c r="E372" s="33"/>
      <c r="F372" s="33"/>
      <c r="G372" s="33"/>
      <c r="H372" s="33"/>
      <c r="I372" s="26"/>
    </row>
    <row r="373" spans="1:9" ht="21" x14ac:dyDescent="0.3">
      <c r="A373" s="32"/>
      <c r="B373" s="33"/>
      <c r="C373" s="33"/>
      <c r="D373" s="33"/>
      <c r="E373" s="33"/>
      <c r="F373" s="33"/>
      <c r="G373" s="33"/>
      <c r="H373" s="33"/>
      <c r="I373" s="26"/>
    </row>
    <row r="374" spans="1:9" ht="21" x14ac:dyDescent="0.3">
      <c r="A374" s="32"/>
      <c r="B374" s="33"/>
      <c r="C374" s="33"/>
      <c r="D374" s="33"/>
      <c r="E374" s="33"/>
      <c r="F374" s="33"/>
      <c r="G374" s="33"/>
      <c r="H374" s="33"/>
      <c r="I374" s="26"/>
    </row>
    <row r="375" spans="1:9" ht="21" x14ac:dyDescent="0.3">
      <c r="A375" s="32"/>
      <c r="B375" s="33"/>
      <c r="C375" s="33"/>
      <c r="D375" s="33"/>
      <c r="E375" s="33"/>
      <c r="F375" s="33"/>
      <c r="G375" s="33"/>
      <c r="H375" s="33"/>
      <c r="I375" s="26"/>
    </row>
    <row r="376" spans="1:9" ht="21" x14ac:dyDescent="0.3">
      <c r="A376" s="32"/>
      <c r="B376" s="33"/>
      <c r="C376" s="33"/>
      <c r="D376" s="33"/>
      <c r="E376" s="33"/>
      <c r="F376" s="33"/>
      <c r="G376" s="33"/>
      <c r="H376" s="33"/>
      <c r="I376" s="26"/>
    </row>
    <row r="377" spans="1:9" ht="21" x14ac:dyDescent="0.3">
      <c r="A377" s="32"/>
      <c r="B377" s="33"/>
      <c r="C377" s="33"/>
      <c r="D377" s="33"/>
      <c r="E377" s="33"/>
      <c r="F377" s="33"/>
      <c r="G377" s="33"/>
      <c r="H377" s="33"/>
      <c r="I377" s="26"/>
    </row>
    <row r="378" spans="1:9" ht="21" x14ac:dyDescent="0.3">
      <c r="A378" s="34"/>
      <c r="B378" s="35"/>
      <c r="C378" s="35"/>
      <c r="D378" s="35"/>
      <c r="E378" s="35"/>
      <c r="F378" s="35"/>
      <c r="G378" s="35"/>
      <c r="H378" s="35"/>
      <c r="I378" s="27"/>
    </row>
    <row r="379" spans="1:9" ht="21" x14ac:dyDescent="0.3">
      <c r="A379" s="89" t="s">
        <v>81</v>
      </c>
      <c r="B379" s="90"/>
      <c r="C379" s="90"/>
      <c r="D379" s="90"/>
      <c r="E379" s="90"/>
      <c r="F379" s="90"/>
      <c r="G379" s="90"/>
      <c r="H379" s="90"/>
      <c r="I379" s="91"/>
    </row>
    <row r="380" spans="1:9" ht="21" x14ac:dyDescent="0.3">
      <c r="A380" s="30"/>
      <c r="B380" s="31"/>
      <c r="C380" s="31"/>
      <c r="D380" s="31"/>
      <c r="E380" s="31"/>
      <c r="F380" s="31"/>
      <c r="G380" s="31"/>
      <c r="H380" s="31"/>
      <c r="I380" s="25"/>
    </row>
    <row r="381" spans="1:9" ht="21" x14ac:dyDescent="0.3">
      <c r="A381" s="32"/>
      <c r="B381" s="33"/>
      <c r="C381" s="33"/>
      <c r="D381" s="33"/>
      <c r="E381" s="33"/>
      <c r="F381" s="33"/>
      <c r="G381" s="33"/>
      <c r="H381" s="33"/>
      <c r="I381" s="26"/>
    </row>
    <row r="382" spans="1:9" ht="21" x14ac:dyDescent="0.3">
      <c r="A382" s="32"/>
      <c r="B382" s="33"/>
      <c r="C382" s="33"/>
      <c r="D382" s="33"/>
      <c r="E382" s="33"/>
      <c r="F382" s="33"/>
      <c r="G382" s="33"/>
      <c r="H382" s="33"/>
      <c r="I382" s="26"/>
    </row>
    <row r="383" spans="1:9" ht="21" x14ac:dyDescent="0.3">
      <c r="A383" s="32"/>
      <c r="B383" s="33"/>
      <c r="C383" s="33"/>
      <c r="D383" s="33"/>
      <c r="E383" s="33"/>
      <c r="F383" s="33"/>
      <c r="G383" s="33"/>
      <c r="H383" s="33"/>
      <c r="I383" s="26"/>
    </row>
    <row r="384" spans="1:9" ht="21" x14ac:dyDescent="0.3">
      <c r="A384" s="32"/>
      <c r="B384" s="33"/>
      <c r="C384" s="33"/>
      <c r="D384" s="33"/>
      <c r="E384" s="33"/>
      <c r="F384" s="33"/>
      <c r="G384" s="33"/>
      <c r="H384" s="33"/>
      <c r="I384" s="26"/>
    </row>
    <row r="385" spans="1:9" ht="21" x14ac:dyDescent="0.3">
      <c r="A385" s="32"/>
      <c r="B385" s="33"/>
      <c r="C385" s="33"/>
      <c r="D385" s="33"/>
      <c r="E385" s="33"/>
      <c r="F385" s="33"/>
      <c r="G385" s="33"/>
      <c r="H385" s="33"/>
      <c r="I385" s="26"/>
    </row>
    <row r="386" spans="1:9" ht="21" x14ac:dyDescent="0.3">
      <c r="A386" s="32"/>
      <c r="B386" s="33"/>
      <c r="C386" s="33"/>
      <c r="D386" s="33"/>
      <c r="E386" s="33"/>
      <c r="F386" s="33"/>
      <c r="G386" s="33"/>
      <c r="H386" s="33"/>
      <c r="I386" s="26"/>
    </row>
    <row r="387" spans="1:9" ht="21" x14ac:dyDescent="0.3">
      <c r="A387" s="32"/>
      <c r="B387" s="33"/>
      <c r="C387" s="33"/>
      <c r="D387" s="33"/>
      <c r="E387" s="33"/>
      <c r="F387" s="33"/>
      <c r="G387" s="33"/>
      <c r="H387" s="33"/>
      <c r="I387" s="26"/>
    </row>
    <row r="388" spans="1:9" ht="21" x14ac:dyDescent="0.3">
      <c r="A388" s="32"/>
      <c r="B388" s="33"/>
      <c r="C388" s="33"/>
      <c r="D388" s="33"/>
      <c r="E388" s="33"/>
      <c r="F388" s="33"/>
      <c r="G388" s="33"/>
      <c r="H388" s="33"/>
      <c r="I388" s="26"/>
    </row>
    <row r="389" spans="1:9" ht="21" x14ac:dyDescent="0.3">
      <c r="A389" s="32"/>
      <c r="B389" s="33"/>
      <c r="C389" s="33"/>
      <c r="D389" s="33"/>
      <c r="E389" s="33"/>
      <c r="F389" s="33"/>
      <c r="G389" s="33"/>
      <c r="H389" s="33"/>
      <c r="I389" s="26"/>
    </row>
    <row r="390" spans="1:9" ht="21" x14ac:dyDescent="0.3">
      <c r="A390" s="32"/>
      <c r="B390" s="33"/>
      <c r="C390" s="33"/>
      <c r="D390" s="33"/>
      <c r="E390" s="33"/>
      <c r="F390" s="33"/>
      <c r="G390" s="33"/>
      <c r="H390" s="33"/>
      <c r="I390" s="26"/>
    </row>
    <row r="391" spans="1:9" ht="21" x14ac:dyDescent="0.3">
      <c r="A391" s="32"/>
      <c r="B391" s="33"/>
      <c r="C391" s="33"/>
      <c r="D391" s="33"/>
      <c r="E391" s="33"/>
      <c r="F391" s="33"/>
      <c r="G391" s="33"/>
      <c r="H391" s="33"/>
      <c r="I391" s="26"/>
    </row>
    <row r="392" spans="1:9" ht="21" x14ac:dyDescent="0.3">
      <c r="A392" s="32"/>
      <c r="B392" s="33"/>
      <c r="C392" s="33"/>
      <c r="D392" s="33"/>
      <c r="E392" s="33"/>
      <c r="F392" s="33"/>
      <c r="G392" s="33"/>
      <c r="H392" s="33"/>
      <c r="I392" s="26"/>
    </row>
    <row r="393" spans="1:9" ht="21" x14ac:dyDescent="0.3">
      <c r="A393" s="32"/>
      <c r="B393" s="33"/>
      <c r="C393" s="33"/>
      <c r="D393" s="33"/>
      <c r="E393" s="33"/>
      <c r="F393" s="33"/>
      <c r="G393" s="33"/>
      <c r="H393" s="33"/>
      <c r="I393" s="26"/>
    </row>
    <row r="394" spans="1:9" ht="21" x14ac:dyDescent="0.3">
      <c r="A394" s="32"/>
      <c r="B394" s="33"/>
      <c r="C394" s="33"/>
      <c r="D394" s="33"/>
      <c r="E394" s="33"/>
      <c r="F394" s="33"/>
      <c r="G394" s="33"/>
      <c r="H394" s="33"/>
      <c r="I394" s="26"/>
    </row>
    <row r="395" spans="1:9" ht="21" x14ac:dyDescent="0.3">
      <c r="A395" s="32"/>
      <c r="B395" s="33"/>
      <c r="C395" s="33"/>
      <c r="D395" s="33"/>
      <c r="E395" s="33"/>
      <c r="F395" s="33"/>
      <c r="G395" s="33"/>
      <c r="H395" s="33"/>
      <c r="I395" s="26"/>
    </row>
    <row r="396" spans="1:9" ht="21" x14ac:dyDescent="0.3">
      <c r="A396" s="32"/>
      <c r="B396" s="33"/>
      <c r="C396" s="33"/>
      <c r="D396" s="33"/>
      <c r="E396" s="33"/>
      <c r="F396" s="33"/>
      <c r="G396" s="33"/>
      <c r="H396" s="33"/>
      <c r="I396" s="26"/>
    </row>
    <row r="397" spans="1:9" ht="21" x14ac:dyDescent="0.3">
      <c r="A397" s="32"/>
      <c r="B397" s="33"/>
      <c r="C397" s="33"/>
      <c r="D397" s="33"/>
      <c r="E397" s="33"/>
      <c r="F397" s="33"/>
      <c r="G397" s="33"/>
      <c r="H397" s="33"/>
      <c r="I397" s="26"/>
    </row>
    <row r="398" spans="1:9" ht="21" x14ac:dyDescent="0.3">
      <c r="A398" s="32"/>
      <c r="B398" s="33"/>
      <c r="C398" s="33"/>
      <c r="D398" s="33"/>
      <c r="E398" s="33"/>
      <c r="F398" s="33"/>
      <c r="G398" s="33"/>
      <c r="H398" s="33"/>
      <c r="I398" s="26"/>
    </row>
    <row r="399" spans="1:9" ht="21" x14ac:dyDescent="0.3">
      <c r="A399" s="32"/>
      <c r="B399" s="33"/>
      <c r="C399" s="33"/>
      <c r="D399" s="33"/>
      <c r="E399" s="33"/>
      <c r="F399" s="33"/>
      <c r="G399" s="33"/>
      <c r="H399" s="33"/>
      <c r="I399" s="26"/>
    </row>
    <row r="400" spans="1:9" ht="21" x14ac:dyDescent="0.3">
      <c r="A400" s="32"/>
      <c r="B400" s="33"/>
      <c r="C400" s="33"/>
      <c r="D400" s="33"/>
      <c r="E400" s="33"/>
      <c r="F400" s="33"/>
      <c r="G400" s="33"/>
      <c r="H400" s="33"/>
      <c r="I400" s="26"/>
    </row>
    <row r="401" spans="1:9" ht="21" x14ac:dyDescent="0.3">
      <c r="A401" s="32"/>
      <c r="B401" s="33"/>
      <c r="C401" s="33"/>
      <c r="D401" s="33"/>
      <c r="E401" s="33"/>
      <c r="F401" s="33"/>
      <c r="G401" s="33"/>
      <c r="H401" s="33"/>
      <c r="I401" s="26"/>
    </row>
    <row r="402" spans="1:9" ht="21" x14ac:dyDescent="0.3">
      <c r="A402" s="32"/>
      <c r="B402" s="33"/>
      <c r="C402" s="33"/>
      <c r="D402" s="33"/>
      <c r="E402" s="33"/>
      <c r="F402" s="33"/>
      <c r="G402" s="33"/>
      <c r="H402" s="33"/>
      <c r="I402" s="26"/>
    </row>
    <row r="403" spans="1:9" ht="21" x14ac:dyDescent="0.3">
      <c r="A403" s="32"/>
      <c r="B403" s="33"/>
      <c r="C403" s="33"/>
      <c r="D403" s="33"/>
      <c r="E403" s="33"/>
      <c r="F403" s="33"/>
      <c r="G403" s="33"/>
      <c r="H403" s="33"/>
      <c r="I403" s="26"/>
    </row>
    <row r="404" spans="1:9" ht="21" x14ac:dyDescent="0.3">
      <c r="A404" s="32"/>
      <c r="B404" s="33"/>
      <c r="C404" s="33"/>
      <c r="D404" s="33"/>
      <c r="E404" s="33"/>
      <c r="F404" s="33"/>
      <c r="G404" s="33"/>
      <c r="H404" s="33"/>
      <c r="I404" s="26"/>
    </row>
    <row r="405" spans="1:9" ht="21" x14ac:dyDescent="0.3">
      <c r="A405" s="32"/>
      <c r="B405" s="33"/>
      <c r="C405" s="33"/>
      <c r="D405" s="33"/>
      <c r="E405" s="33"/>
      <c r="F405" s="33"/>
      <c r="G405" s="33"/>
      <c r="H405" s="33"/>
      <c r="I405" s="26"/>
    </row>
    <row r="406" spans="1:9" ht="21" x14ac:dyDescent="0.3">
      <c r="A406" s="32"/>
      <c r="B406" s="33"/>
      <c r="C406" s="33"/>
      <c r="D406" s="33"/>
      <c r="E406" s="33"/>
      <c r="F406" s="33"/>
      <c r="G406" s="33"/>
      <c r="H406" s="33"/>
      <c r="I406" s="26"/>
    </row>
    <row r="407" spans="1:9" ht="21" x14ac:dyDescent="0.3">
      <c r="A407" s="32"/>
      <c r="B407" s="33"/>
      <c r="C407" s="33"/>
      <c r="D407" s="33"/>
      <c r="E407" s="33"/>
      <c r="F407" s="33"/>
      <c r="G407" s="33"/>
      <c r="H407" s="33"/>
      <c r="I407" s="26"/>
    </row>
    <row r="408" spans="1:9" ht="21" x14ac:dyDescent="0.3">
      <c r="A408" s="32"/>
      <c r="B408" s="33"/>
      <c r="C408" s="33"/>
      <c r="D408" s="33"/>
      <c r="E408" s="33"/>
      <c r="F408" s="33"/>
      <c r="G408" s="33"/>
      <c r="H408" s="33"/>
      <c r="I408" s="26"/>
    </row>
    <row r="409" spans="1:9" ht="21" hidden="1" x14ac:dyDescent="0.3">
      <c r="A409" s="32"/>
      <c r="B409" s="33"/>
      <c r="C409" s="33"/>
      <c r="D409" s="33"/>
      <c r="E409" s="33"/>
      <c r="F409" s="33"/>
      <c r="G409" s="33"/>
      <c r="H409" s="33"/>
      <c r="I409" s="26"/>
    </row>
    <row r="410" spans="1:9" ht="21" x14ac:dyDescent="0.3">
      <c r="A410" s="32"/>
      <c r="B410" s="33"/>
      <c r="C410" s="33"/>
      <c r="D410" s="33"/>
      <c r="E410" s="33"/>
      <c r="F410" s="33"/>
      <c r="G410" s="33"/>
      <c r="H410" s="33"/>
      <c r="I410" s="26"/>
    </row>
    <row r="411" spans="1:9" ht="21" x14ac:dyDescent="0.3">
      <c r="A411" s="32"/>
      <c r="B411" s="33"/>
      <c r="C411" s="33"/>
      <c r="D411" s="33"/>
      <c r="E411" s="33"/>
      <c r="F411" s="33"/>
      <c r="G411" s="33"/>
      <c r="H411" s="33"/>
      <c r="I411" s="26"/>
    </row>
    <row r="412" spans="1:9" ht="21" x14ac:dyDescent="0.3">
      <c r="A412" s="88" t="s">
        <v>27</v>
      </c>
      <c r="B412" s="88"/>
      <c r="C412" s="88"/>
      <c r="D412" s="88"/>
      <c r="E412" s="88"/>
      <c r="F412" s="88"/>
      <c r="G412" s="88"/>
      <c r="H412" s="88"/>
      <c r="I412" s="88"/>
    </row>
    <row r="413" spans="1:9" ht="21" x14ac:dyDescent="0.3">
      <c r="A413" s="159" t="s">
        <v>83</v>
      </c>
      <c r="B413" s="160"/>
      <c r="C413" s="160"/>
      <c r="D413" s="160"/>
      <c r="E413" s="160"/>
      <c r="F413" s="160"/>
      <c r="G413" s="160"/>
      <c r="H413" s="160"/>
      <c r="I413" s="161"/>
    </row>
    <row r="414" spans="1:9" ht="21" x14ac:dyDescent="0.3">
      <c r="A414" s="162" t="s">
        <v>84</v>
      </c>
      <c r="B414" s="163"/>
      <c r="C414" s="163"/>
      <c r="D414" s="163"/>
      <c r="E414" s="163"/>
      <c r="F414" s="163"/>
      <c r="G414" s="163"/>
      <c r="H414" s="163"/>
      <c r="I414" s="164"/>
    </row>
    <row r="415" spans="1:9" ht="45" customHeight="1" x14ac:dyDescent="0.3">
      <c r="A415" s="162" t="s">
        <v>85</v>
      </c>
      <c r="B415" s="163"/>
      <c r="C415" s="163"/>
      <c r="D415" s="163"/>
      <c r="E415" s="163"/>
      <c r="F415" s="163"/>
      <c r="G415" s="163"/>
      <c r="H415" s="163"/>
      <c r="I415" s="164"/>
    </row>
    <row r="416" spans="1:9" ht="42.75" customHeight="1" x14ac:dyDescent="0.3">
      <c r="A416" s="162" t="s">
        <v>86</v>
      </c>
      <c r="B416" s="163"/>
      <c r="C416" s="163"/>
      <c r="D416" s="163"/>
      <c r="E416" s="163"/>
      <c r="F416" s="163"/>
      <c r="G416" s="163"/>
      <c r="H416" s="163"/>
      <c r="I416" s="164"/>
    </row>
    <row r="417" spans="1:9" ht="21" x14ac:dyDescent="0.3">
      <c r="A417" s="162" t="s">
        <v>87</v>
      </c>
      <c r="B417" s="163"/>
      <c r="C417" s="163"/>
      <c r="D417" s="163"/>
      <c r="E417" s="163"/>
      <c r="F417" s="163"/>
      <c r="G417" s="163"/>
      <c r="H417" s="163"/>
      <c r="I417" s="164"/>
    </row>
    <row r="418" spans="1:9" ht="21" x14ac:dyDescent="0.3">
      <c r="A418" s="162" t="s">
        <v>88</v>
      </c>
      <c r="B418" s="163"/>
      <c r="C418" s="163"/>
      <c r="D418" s="163"/>
      <c r="E418" s="163"/>
      <c r="F418" s="163"/>
      <c r="G418" s="163"/>
      <c r="H418" s="163"/>
      <c r="I418" s="164"/>
    </row>
    <row r="419" spans="1:9" ht="45" customHeight="1" x14ac:dyDescent="0.3">
      <c r="A419" s="162" t="s">
        <v>89</v>
      </c>
      <c r="B419" s="163"/>
      <c r="C419" s="163"/>
      <c r="D419" s="163"/>
      <c r="E419" s="163"/>
      <c r="F419" s="163"/>
      <c r="G419" s="163"/>
      <c r="H419" s="163"/>
      <c r="I419" s="164"/>
    </row>
    <row r="420" spans="1:9" ht="45" customHeight="1" x14ac:dyDescent="0.3">
      <c r="A420" s="162" t="s">
        <v>90</v>
      </c>
      <c r="B420" s="163"/>
      <c r="C420" s="163"/>
      <c r="D420" s="163"/>
      <c r="E420" s="163"/>
      <c r="F420" s="163"/>
      <c r="G420" s="163"/>
      <c r="H420" s="163"/>
      <c r="I420" s="164"/>
    </row>
    <row r="421" spans="1:9" ht="21" x14ac:dyDescent="0.3">
      <c r="A421" s="165" t="s">
        <v>91</v>
      </c>
      <c r="B421" s="166"/>
      <c r="C421" s="166"/>
      <c r="D421" s="166"/>
      <c r="E421" s="166"/>
      <c r="F421" s="166"/>
      <c r="G421" s="166"/>
      <c r="H421" s="166"/>
      <c r="I421" s="167"/>
    </row>
    <row r="422" spans="1:9" ht="61.2" x14ac:dyDescent="0.3">
      <c r="A422" s="134" t="s">
        <v>33</v>
      </c>
      <c r="B422" s="134"/>
      <c r="C422" s="135"/>
      <c r="D422" s="2" t="s">
        <v>4</v>
      </c>
      <c r="E422" s="22" t="s">
        <v>318</v>
      </c>
      <c r="F422" s="13" t="s">
        <v>10</v>
      </c>
      <c r="G422" s="2" t="s">
        <v>4</v>
      </c>
      <c r="H422" s="136"/>
      <c r="I422" s="136"/>
    </row>
    <row r="423" spans="1:9" ht="17.100000000000001" customHeight="1" x14ac:dyDescent="0.3">
      <c r="A423" s="58"/>
      <c r="B423" s="58"/>
      <c r="C423" s="58"/>
    </row>
  </sheetData>
  <mergeCells count="596">
    <mergeCell ref="C165:D165"/>
    <mergeCell ref="E165:I165"/>
    <mergeCell ref="C171:D171"/>
    <mergeCell ref="E171:I171"/>
    <mergeCell ref="J132:K132"/>
    <mergeCell ref="A335:I335"/>
    <mergeCell ref="C56:I56"/>
    <mergeCell ref="C57:I57"/>
    <mergeCell ref="C156:D156"/>
    <mergeCell ref="F156:G156"/>
    <mergeCell ref="A152:B156"/>
    <mergeCell ref="A140:B144"/>
    <mergeCell ref="A134:B138"/>
    <mergeCell ref="E137:I137"/>
    <mergeCell ref="A146:B150"/>
    <mergeCell ref="C155:D155"/>
    <mergeCell ref="F155:G155"/>
    <mergeCell ref="A123:B123"/>
    <mergeCell ref="C123:D123"/>
    <mergeCell ref="F123:G123"/>
    <mergeCell ref="C138:D138"/>
    <mergeCell ref="F138:G138"/>
    <mergeCell ref="C144:D144"/>
    <mergeCell ref="F144:G144"/>
    <mergeCell ref="A145:I145"/>
    <mergeCell ref="A139:I139"/>
    <mergeCell ref="C140:D140"/>
    <mergeCell ref="F140:G140"/>
    <mergeCell ref="E143:I143"/>
    <mergeCell ref="E154:I154"/>
    <mergeCell ref="C55:I55"/>
    <mergeCell ref="C150:D150"/>
    <mergeCell ref="F150:G150"/>
    <mergeCell ref="A151:I151"/>
    <mergeCell ref="C152:D152"/>
    <mergeCell ref="F152:G152"/>
    <mergeCell ref="C153:D153"/>
    <mergeCell ref="F153:G153"/>
    <mergeCell ref="C154:D154"/>
    <mergeCell ref="C146:D146"/>
    <mergeCell ref="F146:G146"/>
    <mergeCell ref="C147:D147"/>
    <mergeCell ref="F147:G147"/>
    <mergeCell ref="C148:D148"/>
    <mergeCell ref="F148:G148"/>
    <mergeCell ref="C149:D149"/>
    <mergeCell ref="F149:G149"/>
    <mergeCell ref="F134:G134"/>
    <mergeCell ref="F125:G125"/>
    <mergeCell ref="F126:G126"/>
    <mergeCell ref="A122:B122"/>
    <mergeCell ref="C122:D122"/>
    <mergeCell ref="A90:I90"/>
    <mergeCell ref="C50:I50"/>
    <mergeCell ref="C51:I51"/>
    <mergeCell ref="C52:I52"/>
    <mergeCell ref="C54:I54"/>
    <mergeCell ref="C53:I53"/>
    <mergeCell ref="A69:B69"/>
    <mergeCell ref="C69:D69"/>
    <mergeCell ref="A70:B70"/>
    <mergeCell ref="C70:D70"/>
    <mergeCell ref="A71:B71"/>
    <mergeCell ref="C71:D71"/>
    <mergeCell ref="A72:B72"/>
    <mergeCell ref="C72:D72"/>
    <mergeCell ref="A73:B73"/>
    <mergeCell ref="C73:D73"/>
    <mergeCell ref="A58:I58"/>
    <mergeCell ref="A59:C60"/>
    <mergeCell ref="D59:D60"/>
    <mergeCell ref="F59:G59"/>
    <mergeCell ref="F60:G60"/>
    <mergeCell ref="A61:B61"/>
    <mergeCell ref="C61:D61"/>
    <mergeCell ref="F61:G61"/>
    <mergeCell ref="A62:B62"/>
    <mergeCell ref="C62:D62"/>
    <mergeCell ref="F62:G73"/>
    <mergeCell ref="H62:I73"/>
    <mergeCell ref="A63:B63"/>
    <mergeCell ref="C63:D63"/>
    <mergeCell ref="A64:B64"/>
    <mergeCell ref="C64:D64"/>
    <mergeCell ref="A65:B65"/>
    <mergeCell ref="C65:D65"/>
    <mergeCell ref="A66:B66"/>
    <mergeCell ref="C66:D66"/>
    <mergeCell ref="A67:B67"/>
    <mergeCell ref="C67:D67"/>
    <mergeCell ref="A68:B68"/>
    <mergeCell ref="C68:D68"/>
    <mergeCell ref="C205:D205"/>
    <mergeCell ref="F205:G205"/>
    <mergeCell ref="A196:B200"/>
    <mergeCell ref="A202:B206"/>
    <mergeCell ref="C203:D203"/>
    <mergeCell ref="E203:I203"/>
    <mergeCell ref="C206:D206"/>
    <mergeCell ref="F206:G206"/>
    <mergeCell ref="F177:G177"/>
    <mergeCell ref="A186:B186"/>
    <mergeCell ref="C186:D186"/>
    <mergeCell ref="F186:G186"/>
    <mergeCell ref="A187:B187"/>
    <mergeCell ref="C187:D187"/>
    <mergeCell ref="F187:G187"/>
    <mergeCell ref="A188:B188"/>
    <mergeCell ref="C188:D188"/>
    <mergeCell ref="F188:G188"/>
    <mergeCell ref="A179:B183"/>
    <mergeCell ref="A178:I178"/>
    <mergeCell ref="C179:D179"/>
    <mergeCell ref="F179:G179"/>
    <mergeCell ref="C200:D200"/>
    <mergeCell ref="F200:G200"/>
    <mergeCell ref="F217:G217"/>
    <mergeCell ref="C214:D214"/>
    <mergeCell ref="F214:G214"/>
    <mergeCell ref="C215:D215"/>
    <mergeCell ref="F215:G215"/>
    <mergeCell ref="C216:D216"/>
    <mergeCell ref="F216:G216"/>
    <mergeCell ref="A207:I207"/>
    <mergeCell ref="C208:D208"/>
    <mergeCell ref="F208:G208"/>
    <mergeCell ref="C209:D209"/>
    <mergeCell ref="E209:I209"/>
    <mergeCell ref="F174:G174"/>
    <mergeCell ref="E161:I161"/>
    <mergeCell ref="C174:D174"/>
    <mergeCell ref="A172:I172"/>
    <mergeCell ref="C173:D173"/>
    <mergeCell ref="F173:G173"/>
    <mergeCell ref="C164:D164"/>
    <mergeCell ref="F164:G164"/>
    <mergeCell ref="C170:D170"/>
    <mergeCell ref="F170:G170"/>
    <mergeCell ref="A173:B177"/>
    <mergeCell ref="A167:B170"/>
    <mergeCell ref="A161:B164"/>
    <mergeCell ref="C177:D177"/>
    <mergeCell ref="F163:G163"/>
    <mergeCell ref="C161:D161"/>
    <mergeCell ref="C162:D162"/>
    <mergeCell ref="F162:G162"/>
    <mergeCell ref="C163:D163"/>
    <mergeCell ref="C167:D167"/>
    <mergeCell ref="F167:G167"/>
    <mergeCell ref="C168:D168"/>
    <mergeCell ref="F168:G168"/>
    <mergeCell ref="F175:G175"/>
    <mergeCell ref="C14:E14"/>
    <mergeCell ref="C15:E15"/>
    <mergeCell ref="C16:E16"/>
    <mergeCell ref="C17:E17"/>
    <mergeCell ref="C18:E18"/>
    <mergeCell ref="C19:E19"/>
    <mergeCell ref="A119:F119"/>
    <mergeCell ref="A118:F118"/>
    <mergeCell ref="A117:I117"/>
    <mergeCell ref="A113:C113"/>
    <mergeCell ref="H113:I113"/>
    <mergeCell ref="A114:C114"/>
    <mergeCell ref="H114:I114"/>
    <mergeCell ref="A115:C115"/>
    <mergeCell ref="H115:I115"/>
    <mergeCell ref="A116:C116"/>
    <mergeCell ref="H116:I116"/>
    <mergeCell ref="A109:C109"/>
    <mergeCell ref="H109:I109"/>
    <mergeCell ref="A111:C111"/>
    <mergeCell ref="H111:I111"/>
    <mergeCell ref="A112:C112"/>
    <mergeCell ref="H18:I18"/>
    <mergeCell ref="H19:I19"/>
    <mergeCell ref="H31:I31"/>
    <mergeCell ref="H22:I22"/>
    <mergeCell ref="G39:H39"/>
    <mergeCell ref="C24:I24"/>
    <mergeCell ref="A34:C34"/>
    <mergeCell ref="H34:I34"/>
    <mergeCell ref="H35:I35"/>
    <mergeCell ref="H27:I27"/>
    <mergeCell ref="H28:I28"/>
    <mergeCell ref="A37:I37"/>
    <mergeCell ref="G38:H38"/>
    <mergeCell ref="A39:C39"/>
    <mergeCell ref="A35:C35"/>
    <mergeCell ref="A25:I25"/>
    <mergeCell ref="H26:I26"/>
    <mergeCell ref="C23:I23"/>
    <mergeCell ref="C27:E27"/>
    <mergeCell ref="A422:C422"/>
    <mergeCell ref="H422:I422"/>
    <mergeCell ref="A289:I289"/>
    <mergeCell ref="E291:I291"/>
    <mergeCell ref="A413:I413"/>
    <mergeCell ref="A419:I419"/>
    <mergeCell ref="A420:I420"/>
    <mergeCell ref="A421:I421"/>
    <mergeCell ref="A414:I414"/>
    <mergeCell ref="A415:I415"/>
    <mergeCell ref="A416:I416"/>
    <mergeCell ref="A417:I417"/>
    <mergeCell ref="A291:C291"/>
    <mergeCell ref="A412:I412"/>
    <mergeCell ref="A418:I418"/>
    <mergeCell ref="A379:I379"/>
    <mergeCell ref="E290:I290"/>
    <mergeCell ref="A292:C292"/>
    <mergeCell ref="E292:I292"/>
    <mergeCell ref="A290:C290"/>
    <mergeCell ref="C45:D45"/>
    <mergeCell ref="H46:I46"/>
    <mergeCell ref="A47:B47"/>
    <mergeCell ref="C47:D47"/>
    <mergeCell ref="E47:G47"/>
    <mergeCell ref="H47:I47"/>
    <mergeCell ref="A48:B48"/>
    <mergeCell ref="C48:D48"/>
    <mergeCell ref="A106:G106"/>
    <mergeCell ref="H106:I106"/>
    <mergeCell ref="C95:D95"/>
    <mergeCell ref="A96:B96"/>
    <mergeCell ref="C96:D96"/>
    <mergeCell ref="A97:B97"/>
    <mergeCell ref="C97:D97"/>
    <mergeCell ref="A98:B98"/>
    <mergeCell ref="C98:D98"/>
    <mergeCell ref="A99:B99"/>
    <mergeCell ref="C99:D99"/>
    <mergeCell ref="A105:B105"/>
    <mergeCell ref="C105:D105"/>
    <mergeCell ref="A100:B100"/>
    <mergeCell ref="C100:D100"/>
    <mergeCell ref="A101:B101"/>
    <mergeCell ref="H14:I14"/>
    <mergeCell ref="H16:I16"/>
    <mergeCell ref="H17:I17"/>
    <mergeCell ref="H15:I15"/>
    <mergeCell ref="F169:G169"/>
    <mergeCell ref="H110:I110"/>
    <mergeCell ref="A120:F120"/>
    <mergeCell ref="H120:I120"/>
    <mergeCell ref="H118:I118"/>
    <mergeCell ref="H112:I112"/>
    <mergeCell ref="A42:I42"/>
    <mergeCell ref="A49:I49"/>
    <mergeCell ref="A121:I121"/>
    <mergeCell ref="H119:I119"/>
    <mergeCell ref="A41:C41"/>
    <mergeCell ref="H41:I41"/>
    <mergeCell ref="A158:I158"/>
    <mergeCell ref="A110:C110"/>
    <mergeCell ref="H128:H129"/>
    <mergeCell ref="H45:I45"/>
    <mergeCell ref="H43:I43"/>
    <mergeCell ref="C46:D46"/>
    <mergeCell ref="C43:D43"/>
    <mergeCell ref="A160:I160"/>
    <mergeCell ref="A1:I1"/>
    <mergeCell ref="A4:C4"/>
    <mergeCell ref="A2:C2"/>
    <mergeCell ref="E2:F2"/>
    <mergeCell ref="E4:F4"/>
    <mergeCell ref="E12:I12"/>
    <mergeCell ref="A6:C6"/>
    <mergeCell ref="A7:C7"/>
    <mergeCell ref="A8:C8"/>
    <mergeCell ref="E8:I8"/>
    <mergeCell ref="H7:I7"/>
    <mergeCell ref="E9:I9"/>
    <mergeCell ref="G2:H2"/>
    <mergeCell ref="G3:H3"/>
    <mergeCell ref="G4:H4"/>
    <mergeCell ref="A3:C3"/>
    <mergeCell ref="E3:F3"/>
    <mergeCell ref="A5:I5"/>
    <mergeCell ref="A12:C12"/>
    <mergeCell ref="C288:I288"/>
    <mergeCell ref="A287:I287"/>
    <mergeCell ref="A107:I107"/>
    <mergeCell ref="A108:C108"/>
    <mergeCell ref="H108:I108"/>
    <mergeCell ref="H36:I36"/>
    <mergeCell ref="A36:C36"/>
    <mergeCell ref="F128:G129"/>
    <mergeCell ref="E128:E129"/>
    <mergeCell ref="C128:D129"/>
    <mergeCell ref="A128:B129"/>
    <mergeCell ref="A124:B124"/>
    <mergeCell ref="C124:D124"/>
    <mergeCell ref="A125:B125"/>
    <mergeCell ref="C125:D125"/>
    <mergeCell ref="A126:B126"/>
    <mergeCell ref="C126:D126"/>
    <mergeCell ref="A40:C40"/>
    <mergeCell ref="A38:C38"/>
    <mergeCell ref="F185:G185"/>
    <mergeCell ref="C176:D176"/>
    <mergeCell ref="F176:G176"/>
    <mergeCell ref="C175:D175"/>
    <mergeCell ref="C44:D44"/>
    <mergeCell ref="C20:E20"/>
    <mergeCell ref="C21:E21"/>
    <mergeCell ref="C22:E22"/>
    <mergeCell ref="A159:I159"/>
    <mergeCell ref="A157:I157"/>
    <mergeCell ref="A166:I166"/>
    <mergeCell ref="H44:I44"/>
    <mergeCell ref="C28:E28"/>
    <mergeCell ref="C29:E29"/>
    <mergeCell ref="C30:E30"/>
    <mergeCell ref="C31:E31"/>
    <mergeCell ref="C32:I32"/>
    <mergeCell ref="A43:B43"/>
    <mergeCell ref="A44:B44"/>
    <mergeCell ref="A45:B45"/>
    <mergeCell ref="E44:G44"/>
    <mergeCell ref="E43:G43"/>
    <mergeCell ref="E45:G45"/>
    <mergeCell ref="A46:B46"/>
    <mergeCell ref="E48:G48"/>
    <mergeCell ref="H48:I48"/>
    <mergeCell ref="A127:I127"/>
    <mergeCell ref="F122:G122"/>
    <mergeCell ref="F124:G124"/>
    <mergeCell ref="A91:C92"/>
    <mergeCell ref="D91:D92"/>
    <mergeCell ref="F91:G91"/>
    <mergeCell ref="F92:G92"/>
    <mergeCell ref="A93:B93"/>
    <mergeCell ref="C93:D93"/>
    <mergeCell ref="F93:G93"/>
    <mergeCell ref="A94:B94"/>
    <mergeCell ref="C94:D94"/>
    <mergeCell ref="F94:G105"/>
    <mergeCell ref="C104:D104"/>
    <mergeCell ref="H94:I105"/>
    <mergeCell ref="A95:B95"/>
    <mergeCell ref="C101:D101"/>
    <mergeCell ref="A102:B102"/>
    <mergeCell ref="C102:D102"/>
    <mergeCell ref="A103:B103"/>
    <mergeCell ref="C103:D103"/>
    <mergeCell ref="A104:B104"/>
    <mergeCell ref="C169:D169"/>
    <mergeCell ref="C141:D141"/>
    <mergeCell ref="F141:G141"/>
    <mergeCell ref="C142:D142"/>
    <mergeCell ref="F142:G142"/>
    <mergeCell ref="C143:D143"/>
    <mergeCell ref="A130:I130"/>
    <mergeCell ref="A131:I131"/>
    <mergeCell ref="A132:I132"/>
    <mergeCell ref="A133:I133"/>
    <mergeCell ref="C134:D134"/>
    <mergeCell ref="C135:D135"/>
    <mergeCell ref="F135:G135"/>
    <mergeCell ref="C136:D136"/>
    <mergeCell ref="F136:G136"/>
    <mergeCell ref="C137:D137"/>
    <mergeCell ref="C180:D180"/>
    <mergeCell ref="F180:G180"/>
    <mergeCell ref="C181:D181"/>
    <mergeCell ref="A201:I201"/>
    <mergeCell ref="C202:D202"/>
    <mergeCell ref="F202:G202"/>
    <mergeCell ref="C204:D204"/>
    <mergeCell ref="F204:G204"/>
    <mergeCell ref="A195:I195"/>
    <mergeCell ref="C196:D196"/>
    <mergeCell ref="F196:G196"/>
    <mergeCell ref="C197:D197"/>
    <mergeCell ref="C198:D198"/>
    <mergeCell ref="F198:G198"/>
    <mergeCell ref="C182:D182"/>
    <mergeCell ref="C183:D183"/>
    <mergeCell ref="F183:G183"/>
    <mergeCell ref="A189:B189"/>
    <mergeCell ref="C189:D189"/>
    <mergeCell ref="F189:G189"/>
    <mergeCell ref="A190:B190"/>
    <mergeCell ref="C190:D190"/>
    <mergeCell ref="E197:I197"/>
    <mergeCell ref="C199:D199"/>
    <mergeCell ref="C222:D222"/>
    <mergeCell ref="F222:G222"/>
    <mergeCell ref="C223:D223"/>
    <mergeCell ref="F223:G223"/>
    <mergeCell ref="C224:D224"/>
    <mergeCell ref="F224:G224"/>
    <mergeCell ref="C221:D221"/>
    <mergeCell ref="F221:G221"/>
    <mergeCell ref="C210:D210"/>
    <mergeCell ref="F210:G210"/>
    <mergeCell ref="C211:D211"/>
    <mergeCell ref="F211:G211"/>
    <mergeCell ref="C212:D212"/>
    <mergeCell ref="F212:G212"/>
    <mergeCell ref="A219:I219"/>
    <mergeCell ref="A213:I213"/>
    <mergeCell ref="C218:D218"/>
    <mergeCell ref="F218:G218"/>
    <mergeCell ref="C220:D220"/>
    <mergeCell ref="F220:G220"/>
    <mergeCell ref="A208:B212"/>
    <mergeCell ref="A214:B218"/>
    <mergeCell ref="A220:B224"/>
    <mergeCell ref="C217:D217"/>
    <mergeCell ref="C230:D230"/>
    <mergeCell ref="C231:D231"/>
    <mergeCell ref="C232:D232"/>
    <mergeCell ref="F232:G232"/>
    <mergeCell ref="E229:I231"/>
    <mergeCell ref="A229:B232"/>
    <mergeCell ref="A225:I225"/>
    <mergeCell ref="A226:I226"/>
    <mergeCell ref="A227:I227"/>
    <mergeCell ref="A228:I228"/>
    <mergeCell ref="C229:D229"/>
    <mergeCell ref="C237:D237"/>
    <mergeCell ref="F237:G237"/>
    <mergeCell ref="A238:I238"/>
    <mergeCell ref="C239:D239"/>
    <mergeCell ref="F239:G239"/>
    <mergeCell ref="C240:D240"/>
    <mergeCell ref="F240:G240"/>
    <mergeCell ref="A234:B237"/>
    <mergeCell ref="A233:I233"/>
    <mergeCell ref="C234:D234"/>
    <mergeCell ref="C235:D235"/>
    <mergeCell ref="C236:D236"/>
    <mergeCell ref="F236:G236"/>
    <mergeCell ref="E234:I235"/>
    <mergeCell ref="A245:I245"/>
    <mergeCell ref="C246:D246"/>
    <mergeCell ref="F246:G246"/>
    <mergeCell ref="C247:D247"/>
    <mergeCell ref="F247:G247"/>
    <mergeCell ref="C248:D248"/>
    <mergeCell ref="F248:G248"/>
    <mergeCell ref="A246:B251"/>
    <mergeCell ref="C241:D241"/>
    <mergeCell ref="F241:G241"/>
    <mergeCell ref="C242:D242"/>
    <mergeCell ref="F242:G242"/>
    <mergeCell ref="C243:D243"/>
    <mergeCell ref="F243:G243"/>
    <mergeCell ref="A239:B244"/>
    <mergeCell ref="C244:D244"/>
    <mergeCell ref="F244:G244"/>
    <mergeCell ref="A252:I252"/>
    <mergeCell ref="C253:D253"/>
    <mergeCell ref="F253:G253"/>
    <mergeCell ref="C254:D254"/>
    <mergeCell ref="E254:I254"/>
    <mergeCell ref="C255:D255"/>
    <mergeCell ref="F255:G255"/>
    <mergeCell ref="C249:D249"/>
    <mergeCell ref="F249:G249"/>
    <mergeCell ref="C250:D250"/>
    <mergeCell ref="F250:G250"/>
    <mergeCell ref="C251:D251"/>
    <mergeCell ref="F251:G251"/>
    <mergeCell ref="F269:G269"/>
    <mergeCell ref="C270:D270"/>
    <mergeCell ref="F270:G270"/>
    <mergeCell ref="C271:D271"/>
    <mergeCell ref="F271:G271"/>
    <mergeCell ref="C256:D256"/>
    <mergeCell ref="F256:G256"/>
    <mergeCell ref="C257:D257"/>
    <mergeCell ref="F257:G257"/>
    <mergeCell ref="A259:I259"/>
    <mergeCell ref="C260:D260"/>
    <mergeCell ref="F260:G260"/>
    <mergeCell ref="C258:D258"/>
    <mergeCell ref="F258:G258"/>
    <mergeCell ref="A253:B258"/>
    <mergeCell ref="C286:D286"/>
    <mergeCell ref="F286:G286"/>
    <mergeCell ref="C285:D285"/>
    <mergeCell ref="F285:G285"/>
    <mergeCell ref="C282:D282"/>
    <mergeCell ref="A267:B272"/>
    <mergeCell ref="C264:D264"/>
    <mergeCell ref="F264:G264"/>
    <mergeCell ref="A266:I266"/>
    <mergeCell ref="C267:D267"/>
    <mergeCell ref="F267:G267"/>
    <mergeCell ref="C268:D268"/>
    <mergeCell ref="E268:I268"/>
    <mergeCell ref="A260:B265"/>
    <mergeCell ref="C261:D261"/>
    <mergeCell ref="E261:I261"/>
    <mergeCell ref="C262:D262"/>
    <mergeCell ref="F262:G262"/>
    <mergeCell ref="C263:D263"/>
    <mergeCell ref="F263:G263"/>
    <mergeCell ref="C265:D265"/>
    <mergeCell ref="F265:G265"/>
    <mergeCell ref="C272:D272"/>
    <mergeCell ref="C269:D269"/>
    <mergeCell ref="F282:G282"/>
    <mergeCell ref="C283:D283"/>
    <mergeCell ref="F283:G283"/>
    <mergeCell ref="C284:D284"/>
    <mergeCell ref="F284:G284"/>
    <mergeCell ref="F272:G272"/>
    <mergeCell ref="C279:D279"/>
    <mergeCell ref="F279:G279"/>
    <mergeCell ref="C277:D277"/>
    <mergeCell ref="F277:G277"/>
    <mergeCell ref="C278:D278"/>
    <mergeCell ref="F278:G278"/>
    <mergeCell ref="A280:I280"/>
    <mergeCell ref="C281:D281"/>
    <mergeCell ref="F281:G281"/>
    <mergeCell ref="A274:B279"/>
    <mergeCell ref="A281:B286"/>
    <mergeCell ref="A273:I273"/>
    <mergeCell ref="C274:D274"/>
    <mergeCell ref="F274:G274"/>
    <mergeCell ref="C275:D275"/>
    <mergeCell ref="F275:G275"/>
    <mergeCell ref="C276:D276"/>
    <mergeCell ref="F276:G276"/>
    <mergeCell ref="F199:G199"/>
    <mergeCell ref="F181:G181"/>
    <mergeCell ref="F182:G182"/>
    <mergeCell ref="A184:I184"/>
    <mergeCell ref="A185:B185"/>
    <mergeCell ref="C185:D185"/>
    <mergeCell ref="F190:G190"/>
    <mergeCell ref="A191:B191"/>
    <mergeCell ref="C191:D191"/>
    <mergeCell ref="F191:G191"/>
    <mergeCell ref="A192:B192"/>
    <mergeCell ref="C192:D192"/>
    <mergeCell ref="F192:G192"/>
    <mergeCell ref="A193:B193"/>
    <mergeCell ref="C193:D193"/>
    <mergeCell ref="F193:G193"/>
    <mergeCell ref="A194:B194"/>
    <mergeCell ref="C194:D194"/>
    <mergeCell ref="F194:G194"/>
    <mergeCell ref="A89:B89"/>
    <mergeCell ref="C89:D89"/>
    <mergeCell ref="A74:I74"/>
    <mergeCell ref="A75:C76"/>
    <mergeCell ref="D75:D76"/>
    <mergeCell ref="F75:G75"/>
    <mergeCell ref="F76:G76"/>
    <mergeCell ref="A77:B77"/>
    <mergeCell ref="C77:D77"/>
    <mergeCell ref="F77:G77"/>
    <mergeCell ref="A78:B78"/>
    <mergeCell ref="C78:D78"/>
    <mergeCell ref="F78:G89"/>
    <mergeCell ref="H78:I89"/>
    <mergeCell ref="A79:B79"/>
    <mergeCell ref="C79:D79"/>
    <mergeCell ref="A80:B80"/>
    <mergeCell ref="C80:D80"/>
    <mergeCell ref="A81:B81"/>
    <mergeCell ref="C81:D81"/>
    <mergeCell ref="A82:B82"/>
    <mergeCell ref="C82:D82"/>
    <mergeCell ref="A83:B83"/>
    <mergeCell ref="C83:D83"/>
    <mergeCell ref="K6:P7"/>
    <mergeCell ref="A85:B85"/>
    <mergeCell ref="C85:D85"/>
    <mergeCell ref="A86:B86"/>
    <mergeCell ref="C86:D86"/>
    <mergeCell ref="A87:B87"/>
    <mergeCell ref="C87:D87"/>
    <mergeCell ref="A88:B88"/>
    <mergeCell ref="C88:D88"/>
    <mergeCell ref="A84:B84"/>
    <mergeCell ref="C84:D84"/>
    <mergeCell ref="E46:G46"/>
    <mergeCell ref="G40:H40"/>
    <mergeCell ref="H20:I20"/>
    <mergeCell ref="H21:I21"/>
    <mergeCell ref="A9:A11"/>
    <mergeCell ref="E10:I10"/>
    <mergeCell ref="E11:I11"/>
    <mergeCell ref="H6:I6"/>
    <mergeCell ref="A33:I33"/>
    <mergeCell ref="H30:I30"/>
    <mergeCell ref="H29:I29"/>
    <mergeCell ref="A13:I13"/>
    <mergeCell ref="C26:E26"/>
  </mergeCell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89" max="16383" man="1"/>
    <brk id="288" max="8" man="1"/>
    <brk id="334" max="16383" man="1"/>
    <brk id="37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F1:XFD248"/>
  <sheetViews>
    <sheetView workbookViewId="0">
      <selection activeCell="K3" sqref="K3"/>
    </sheetView>
  </sheetViews>
  <sheetFormatPr defaultRowHeight="14.4" x14ac:dyDescent="0.3"/>
  <cols>
    <col min="7" max="7" width="12.5546875" customWidth="1"/>
    <col min="8" max="8" width="9.33203125" bestFit="1" customWidth="1"/>
    <col min="9" max="9" width="10.5546875" hidden="1" customWidth="1"/>
    <col min="10" max="10" width="9.109375" style="60"/>
  </cols>
  <sheetData>
    <row r="1" spans="6:11" x14ac:dyDescent="0.3">
      <c r="J1"/>
    </row>
    <row r="2" spans="6:11" x14ac:dyDescent="0.3">
      <c r="F2" s="59" t="s">
        <v>175</v>
      </c>
      <c r="G2" s="59" t="s">
        <v>251</v>
      </c>
      <c r="H2" s="59" t="s">
        <v>252</v>
      </c>
      <c r="I2" s="59" t="s">
        <v>253</v>
      </c>
      <c r="J2" t="s">
        <v>253</v>
      </c>
    </row>
    <row r="3" spans="6:11" x14ac:dyDescent="0.3">
      <c r="F3">
        <v>102</v>
      </c>
      <c r="G3" s="60">
        <v>646.05527999999993</v>
      </c>
      <c r="H3" s="60">
        <v>52.474499999999999</v>
      </c>
      <c r="I3">
        <f>G3*1.6+H3</f>
        <v>1086.1629479999999</v>
      </c>
      <c r="J3" s="60">
        <v>1086.1629479999999</v>
      </c>
      <c r="K3">
        <f>23325849/J3</f>
        <v>21475.46005224255</v>
      </c>
    </row>
    <row r="4" spans="6:11" x14ac:dyDescent="0.3">
      <c r="F4">
        <v>103</v>
      </c>
      <c r="G4" s="60">
        <v>666.35618399999998</v>
      </c>
      <c r="H4" s="60">
        <v>54.412019999999991</v>
      </c>
      <c r="I4">
        <f t="shared" ref="I4:I67" si="0">G4*1.6+H4</f>
        <v>1120.5819144</v>
      </c>
      <c r="J4" s="60">
        <v>1120.5819144</v>
      </c>
    </row>
    <row r="5" spans="6:11" x14ac:dyDescent="0.3">
      <c r="F5">
        <v>104</v>
      </c>
      <c r="G5" s="60">
        <v>855.12445200000013</v>
      </c>
      <c r="H5" s="60">
        <v>47.227049999999991</v>
      </c>
      <c r="I5">
        <f t="shared" si="0"/>
        <v>1415.4261732000002</v>
      </c>
      <c r="J5" s="60">
        <v>1415.4261732000002</v>
      </c>
    </row>
    <row r="6" spans="6:11" x14ac:dyDescent="0.3">
      <c r="F6">
        <v>201</v>
      </c>
      <c r="G6" s="60">
        <v>644.98964399999988</v>
      </c>
      <c r="H6" s="60">
        <v>50.450868</v>
      </c>
      <c r="I6">
        <f t="shared" si="0"/>
        <v>1082.4342983999998</v>
      </c>
      <c r="J6" s="60">
        <v>1082.4342983999998</v>
      </c>
    </row>
    <row r="7" spans="6:11" x14ac:dyDescent="0.3">
      <c r="F7">
        <v>202</v>
      </c>
      <c r="G7" s="60">
        <v>646.05527999999993</v>
      </c>
      <c r="H7" s="60">
        <v>52.474499999999999</v>
      </c>
      <c r="I7">
        <f t="shared" si="0"/>
        <v>1086.1629479999999</v>
      </c>
      <c r="J7" s="60">
        <v>1086.1629479999999</v>
      </c>
    </row>
    <row r="8" spans="6:11" x14ac:dyDescent="0.3">
      <c r="F8">
        <v>203</v>
      </c>
      <c r="G8" s="60">
        <v>666.35618399999998</v>
      </c>
      <c r="H8" s="60">
        <v>54.412019999999991</v>
      </c>
      <c r="I8">
        <f t="shared" si="0"/>
        <v>1120.5819144</v>
      </c>
      <c r="J8" s="60">
        <v>1120.5819144</v>
      </c>
    </row>
    <row r="9" spans="6:11" x14ac:dyDescent="0.3">
      <c r="F9">
        <v>204</v>
      </c>
      <c r="G9" s="60">
        <v>855.12445200000013</v>
      </c>
      <c r="H9" s="60">
        <v>47.227049999999991</v>
      </c>
      <c r="I9">
        <f t="shared" si="0"/>
        <v>1415.4261732000002</v>
      </c>
      <c r="J9" s="60">
        <v>1415.4261732000002</v>
      </c>
    </row>
    <row r="10" spans="6:11" x14ac:dyDescent="0.3">
      <c r="F10">
        <v>301</v>
      </c>
      <c r="G10" s="60">
        <v>644.989644</v>
      </c>
      <c r="H10" s="60">
        <v>52.474499999999999</v>
      </c>
      <c r="I10">
        <f t="shared" si="0"/>
        <v>1084.4579304000001</v>
      </c>
      <c r="J10" s="60">
        <v>1084.4579304000001</v>
      </c>
    </row>
    <row r="11" spans="6:11" x14ac:dyDescent="0.3">
      <c r="F11">
        <v>302</v>
      </c>
      <c r="G11" s="60">
        <v>646.05527999999993</v>
      </c>
      <c r="H11" s="60">
        <v>52.474499999999999</v>
      </c>
      <c r="I11">
        <f t="shared" si="0"/>
        <v>1086.1629479999999</v>
      </c>
      <c r="J11" s="60">
        <v>1086.1629479999999</v>
      </c>
    </row>
    <row r="12" spans="6:11" x14ac:dyDescent="0.3">
      <c r="F12">
        <v>303</v>
      </c>
      <c r="G12" s="60">
        <v>653.60084399999994</v>
      </c>
      <c r="H12" s="60">
        <v>47.221667999999994</v>
      </c>
      <c r="I12">
        <f t="shared" si="0"/>
        <v>1092.9830183999998</v>
      </c>
      <c r="J12" s="60">
        <v>1092.9830183999998</v>
      </c>
    </row>
    <row r="13" spans="6:11" x14ac:dyDescent="0.3">
      <c r="F13">
        <v>304</v>
      </c>
      <c r="G13" s="60">
        <v>884.34871199999998</v>
      </c>
      <c r="H13" s="60">
        <v>52.474499999999999</v>
      </c>
      <c r="I13">
        <f t="shared" si="0"/>
        <v>1467.4324392000001</v>
      </c>
      <c r="J13" s="60">
        <v>1467.4324392000001</v>
      </c>
    </row>
    <row r="14" spans="6:11" x14ac:dyDescent="0.3">
      <c r="F14">
        <v>305</v>
      </c>
      <c r="G14" s="60">
        <v>884.34871199999998</v>
      </c>
      <c r="H14" s="60">
        <v>52.474499999999999</v>
      </c>
      <c r="I14">
        <f t="shared" si="0"/>
        <v>1467.4324392000001</v>
      </c>
      <c r="J14" s="60">
        <v>1467.4324392000001</v>
      </c>
    </row>
    <row r="15" spans="6:11" x14ac:dyDescent="0.3">
      <c r="F15">
        <v>401</v>
      </c>
      <c r="G15" s="60">
        <v>633.04160399999989</v>
      </c>
      <c r="H15" s="60">
        <v>50.450868</v>
      </c>
      <c r="I15">
        <f t="shared" si="0"/>
        <v>1063.3174343999999</v>
      </c>
      <c r="J15" s="60">
        <v>1063.3174343999999</v>
      </c>
    </row>
    <row r="16" spans="6:11" x14ac:dyDescent="0.3">
      <c r="F16">
        <v>402</v>
      </c>
      <c r="G16" s="60">
        <v>646.86257999999987</v>
      </c>
      <c r="H16" s="60">
        <v>50.450868</v>
      </c>
      <c r="I16">
        <f t="shared" si="0"/>
        <v>1085.4309959999998</v>
      </c>
      <c r="J16" s="60">
        <v>1085.4309959999998</v>
      </c>
    </row>
    <row r="17" spans="6:10" x14ac:dyDescent="0.3">
      <c r="F17">
        <v>403</v>
      </c>
      <c r="G17" s="60">
        <v>646.94869199999994</v>
      </c>
      <c r="H17" s="60">
        <v>52.474499999999999</v>
      </c>
      <c r="I17">
        <f t="shared" si="0"/>
        <v>1087.5924072</v>
      </c>
      <c r="J17" s="60">
        <v>1087.5924072</v>
      </c>
    </row>
    <row r="18" spans="6:10" x14ac:dyDescent="0.3">
      <c r="F18">
        <v>404</v>
      </c>
      <c r="G18" s="60">
        <v>867.00790799999993</v>
      </c>
      <c r="H18" s="60">
        <v>47.221667999999994</v>
      </c>
      <c r="I18">
        <f t="shared" si="0"/>
        <v>1434.4343207999998</v>
      </c>
      <c r="J18" s="60">
        <v>1434.4343207999998</v>
      </c>
    </row>
    <row r="19" spans="6:10" x14ac:dyDescent="0.3">
      <c r="F19">
        <v>405</v>
      </c>
      <c r="G19" s="60">
        <v>854.252568</v>
      </c>
      <c r="H19" s="60">
        <v>47.221667999999994</v>
      </c>
      <c r="I19">
        <f t="shared" si="0"/>
        <v>1414.0257767999999</v>
      </c>
      <c r="J19" s="60">
        <v>1414.0257767999999</v>
      </c>
    </row>
    <row r="20" spans="6:10" x14ac:dyDescent="0.3">
      <c r="F20">
        <v>501</v>
      </c>
      <c r="G20" s="60">
        <v>644.989644</v>
      </c>
      <c r="H20" s="60">
        <v>52.474499999999999</v>
      </c>
      <c r="I20">
        <f t="shared" si="0"/>
        <v>1084.4579304000001</v>
      </c>
      <c r="J20" s="60">
        <v>1084.4579304000001</v>
      </c>
    </row>
    <row r="21" spans="6:10" x14ac:dyDescent="0.3">
      <c r="F21">
        <v>502</v>
      </c>
      <c r="G21" s="60">
        <v>646.05527999999993</v>
      </c>
      <c r="H21" s="60">
        <v>52.474499999999999</v>
      </c>
      <c r="I21">
        <f t="shared" si="0"/>
        <v>1086.1629479999999</v>
      </c>
      <c r="J21" s="60">
        <v>1086.1629479999999</v>
      </c>
    </row>
    <row r="22" spans="6:10" x14ac:dyDescent="0.3">
      <c r="F22">
        <v>503</v>
      </c>
      <c r="G22" s="60">
        <v>653.60084399999994</v>
      </c>
      <c r="H22" s="60">
        <v>47.221667999999994</v>
      </c>
      <c r="I22">
        <f t="shared" si="0"/>
        <v>1092.9830183999998</v>
      </c>
      <c r="J22" s="60">
        <v>1092.9830183999998</v>
      </c>
    </row>
    <row r="23" spans="6:10" x14ac:dyDescent="0.3">
      <c r="F23">
        <v>504</v>
      </c>
      <c r="G23" s="60">
        <v>884.34871199999998</v>
      </c>
      <c r="H23" s="60">
        <v>52.474499999999999</v>
      </c>
      <c r="I23">
        <f t="shared" si="0"/>
        <v>1467.4324392000001</v>
      </c>
      <c r="J23" s="60">
        <v>1467.4324392000001</v>
      </c>
    </row>
    <row r="24" spans="6:10" x14ac:dyDescent="0.3">
      <c r="F24">
        <v>505</v>
      </c>
      <c r="G24" s="60">
        <v>884.34871199999998</v>
      </c>
      <c r="H24" s="60">
        <v>52.474499999999999</v>
      </c>
      <c r="I24">
        <f t="shared" si="0"/>
        <v>1467.4324392000001</v>
      </c>
      <c r="J24" s="60">
        <v>1467.4324392000001</v>
      </c>
    </row>
    <row r="25" spans="6:10" x14ac:dyDescent="0.3">
      <c r="F25">
        <v>601</v>
      </c>
      <c r="G25" s="60">
        <v>633.04160399999989</v>
      </c>
      <c r="H25" s="60">
        <v>50.450868</v>
      </c>
      <c r="I25">
        <f t="shared" si="0"/>
        <v>1063.3174343999999</v>
      </c>
      <c r="J25" s="60">
        <v>1063.3174343999999</v>
      </c>
    </row>
    <row r="26" spans="6:10" x14ac:dyDescent="0.3">
      <c r="F26">
        <v>602</v>
      </c>
      <c r="G26" s="60">
        <v>646.86257999999987</v>
      </c>
      <c r="H26" s="60">
        <v>50.450868</v>
      </c>
      <c r="I26">
        <f t="shared" si="0"/>
        <v>1085.4309959999998</v>
      </c>
      <c r="J26" s="60">
        <v>1085.4309959999998</v>
      </c>
    </row>
    <row r="27" spans="6:10" x14ac:dyDescent="0.3">
      <c r="F27">
        <v>603</v>
      </c>
      <c r="G27" s="60">
        <v>646.94869199999994</v>
      </c>
      <c r="H27" s="60">
        <v>52.474499999999999</v>
      </c>
      <c r="I27">
        <f t="shared" si="0"/>
        <v>1087.5924072</v>
      </c>
      <c r="J27" s="60">
        <v>1087.5924072</v>
      </c>
    </row>
    <row r="28" spans="6:10" x14ac:dyDescent="0.3">
      <c r="F28">
        <v>604</v>
      </c>
      <c r="G28" s="60">
        <v>867.00790799999993</v>
      </c>
      <c r="H28" s="60">
        <v>47.221667999999994</v>
      </c>
      <c r="I28">
        <f t="shared" si="0"/>
        <v>1434.4343207999998</v>
      </c>
      <c r="J28" s="60">
        <v>1434.4343207999998</v>
      </c>
    </row>
    <row r="29" spans="6:10" x14ac:dyDescent="0.3">
      <c r="F29">
        <v>605</v>
      </c>
      <c r="G29" s="60">
        <v>854.252568</v>
      </c>
      <c r="H29" s="60">
        <v>47.221667999999994</v>
      </c>
      <c r="I29">
        <f t="shared" si="0"/>
        <v>1414.0257767999999</v>
      </c>
      <c r="J29" s="60">
        <v>1414.0257767999999</v>
      </c>
    </row>
    <row r="30" spans="6:10" x14ac:dyDescent="0.3">
      <c r="F30">
        <v>701</v>
      </c>
      <c r="G30" s="60">
        <v>652.41680399999996</v>
      </c>
      <c r="H30" s="60">
        <v>50</v>
      </c>
      <c r="I30">
        <f t="shared" si="0"/>
        <v>1093.8668863999999</v>
      </c>
      <c r="J30" s="60">
        <v>1093.8668863999999</v>
      </c>
    </row>
    <row r="31" spans="6:10" x14ac:dyDescent="0.3">
      <c r="F31">
        <v>703</v>
      </c>
      <c r="G31" s="60">
        <v>654.37585200000001</v>
      </c>
      <c r="H31" s="60">
        <v>54</v>
      </c>
      <c r="I31">
        <f t="shared" si="0"/>
        <v>1101.0013632</v>
      </c>
      <c r="J31" s="60">
        <v>1101.0013632</v>
      </c>
    </row>
    <row r="32" spans="6:10" x14ac:dyDescent="0.3">
      <c r="F32">
        <v>704</v>
      </c>
      <c r="G32" s="60">
        <v>883.47682799999995</v>
      </c>
      <c r="H32" s="60">
        <v>52</v>
      </c>
      <c r="I32">
        <f t="shared" si="0"/>
        <v>1465.5629248</v>
      </c>
      <c r="J32" s="60">
        <v>1465.5629248</v>
      </c>
    </row>
    <row r="33" spans="6:10" x14ac:dyDescent="0.3">
      <c r="F33">
        <v>705</v>
      </c>
      <c r="G33" s="60">
        <v>883.47682799999995</v>
      </c>
      <c r="H33" s="60">
        <v>52</v>
      </c>
      <c r="I33">
        <f t="shared" si="0"/>
        <v>1465.5629248</v>
      </c>
      <c r="J33" s="60">
        <v>1465.5629248</v>
      </c>
    </row>
    <row r="34" spans="6:10" x14ac:dyDescent="0.3">
      <c r="F34">
        <v>801</v>
      </c>
      <c r="G34" s="60">
        <v>633.04160399999989</v>
      </c>
      <c r="H34" s="60">
        <v>50.450868</v>
      </c>
      <c r="I34">
        <f t="shared" si="0"/>
        <v>1063.3174343999999</v>
      </c>
      <c r="J34" s="60">
        <v>1063.3174343999999</v>
      </c>
    </row>
    <row r="35" spans="6:10" x14ac:dyDescent="0.3">
      <c r="F35">
        <v>802</v>
      </c>
      <c r="G35" s="60">
        <v>646.86257999999987</v>
      </c>
      <c r="H35" s="60">
        <v>50.450868</v>
      </c>
      <c r="I35">
        <f t="shared" si="0"/>
        <v>1085.4309959999998</v>
      </c>
      <c r="J35" s="60">
        <v>1085.4309959999998</v>
      </c>
    </row>
    <row r="36" spans="6:10" x14ac:dyDescent="0.3">
      <c r="F36">
        <v>803</v>
      </c>
      <c r="G36" s="60">
        <v>646.94869199999994</v>
      </c>
      <c r="H36" s="60">
        <v>52.474499999999999</v>
      </c>
      <c r="I36">
        <f t="shared" si="0"/>
        <v>1087.5924072</v>
      </c>
      <c r="J36" s="60">
        <v>1087.5924072</v>
      </c>
    </row>
    <row r="37" spans="6:10" x14ac:dyDescent="0.3">
      <c r="F37">
        <v>804</v>
      </c>
      <c r="G37" s="60">
        <v>867.00790799999993</v>
      </c>
      <c r="H37" s="60">
        <v>47.221667999999994</v>
      </c>
      <c r="I37">
        <f t="shared" si="0"/>
        <v>1434.4343207999998</v>
      </c>
      <c r="J37" s="60">
        <v>1434.4343207999998</v>
      </c>
    </row>
    <row r="38" spans="6:10" x14ac:dyDescent="0.3">
      <c r="F38">
        <v>805</v>
      </c>
      <c r="G38" s="60">
        <v>854.252568</v>
      </c>
      <c r="H38" s="60">
        <v>47.221667999999994</v>
      </c>
      <c r="I38">
        <f t="shared" si="0"/>
        <v>1414.0257767999999</v>
      </c>
      <c r="J38" s="60">
        <v>1414.0257767999999</v>
      </c>
    </row>
    <row r="39" spans="6:10" x14ac:dyDescent="0.3">
      <c r="F39">
        <v>901</v>
      </c>
      <c r="G39" s="60">
        <v>644.989644</v>
      </c>
      <c r="H39" s="60">
        <v>52.474499999999999</v>
      </c>
      <c r="I39">
        <f t="shared" si="0"/>
        <v>1084.4579304000001</v>
      </c>
      <c r="J39" s="60">
        <v>1084.4579304000001</v>
      </c>
    </row>
    <row r="40" spans="6:10" x14ac:dyDescent="0.3">
      <c r="F40">
        <v>902</v>
      </c>
      <c r="G40" s="60">
        <v>646.05527999999993</v>
      </c>
      <c r="H40" s="60">
        <v>52.474499999999999</v>
      </c>
      <c r="I40">
        <f t="shared" si="0"/>
        <v>1086.1629479999999</v>
      </c>
      <c r="J40" s="60">
        <v>1086.1629479999999</v>
      </c>
    </row>
    <row r="41" spans="6:10" x14ac:dyDescent="0.3">
      <c r="F41">
        <v>903</v>
      </c>
      <c r="G41" s="60">
        <v>653.60084399999994</v>
      </c>
      <c r="H41" s="60">
        <v>47.221667999999994</v>
      </c>
      <c r="I41">
        <f t="shared" si="0"/>
        <v>1092.9830183999998</v>
      </c>
      <c r="J41" s="60">
        <v>1092.9830183999998</v>
      </c>
    </row>
    <row r="42" spans="6:10" x14ac:dyDescent="0.3">
      <c r="F42">
        <v>904</v>
      </c>
      <c r="G42" s="60">
        <v>884.34871199999998</v>
      </c>
      <c r="H42" s="60">
        <v>52.474499999999999</v>
      </c>
      <c r="I42">
        <f t="shared" si="0"/>
        <v>1467.4324392000001</v>
      </c>
      <c r="J42" s="60">
        <v>1467.4324392000001</v>
      </c>
    </row>
    <row r="43" spans="6:10" x14ac:dyDescent="0.3">
      <c r="F43">
        <v>905</v>
      </c>
      <c r="G43" s="60">
        <v>884.34871199999998</v>
      </c>
      <c r="H43" s="60">
        <v>52.474499999999999</v>
      </c>
      <c r="I43">
        <f t="shared" si="0"/>
        <v>1467.4324392000001</v>
      </c>
      <c r="J43" s="60">
        <v>1467.4324392000001</v>
      </c>
    </row>
    <row r="44" spans="6:10" x14ac:dyDescent="0.3">
      <c r="F44">
        <v>1001</v>
      </c>
      <c r="G44" s="60">
        <v>633.04160399999989</v>
      </c>
      <c r="H44" s="60">
        <v>50.450868</v>
      </c>
      <c r="I44">
        <f t="shared" si="0"/>
        <v>1063.3174343999999</v>
      </c>
      <c r="J44" s="60">
        <v>1063.3174343999999</v>
      </c>
    </row>
    <row r="45" spans="6:10" x14ac:dyDescent="0.3">
      <c r="F45">
        <v>1002</v>
      </c>
      <c r="G45" s="60">
        <v>646.86257999999987</v>
      </c>
      <c r="H45" s="60">
        <v>50.450868</v>
      </c>
      <c r="I45">
        <f t="shared" si="0"/>
        <v>1085.4309959999998</v>
      </c>
      <c r="J45" s="60">
        <v>1085.4309959999998</v>
      </c>
    </row>
    <row r="46" spans="6:10" x14ac:dyDescent="0.3">
      <c r="F46">
        <v>1003</v>
      </c>
      <c r="G46" s="60">
        <v>646.94869199999994</v>
      </c>
      <c r="H46" s="60">
        <v>52.474499999999999</v>
      </c>
      <c r="I46">
        <f t="shared" si="0"/>
        <v>1087.5924072</v>
      </c>
      <c r="J46" s="60">
        <v>1087.5924072</v>
      </c>
    </row>
    <row r="47" spans="6:10" x14ac:dyDescent="0.3">
      <c r="F47">
        <v>1004</v>
      </c>
      <c r="G47" s="60">
        <v>867.00790799999993</v>
      </c>
      <c r="H47" s="60">
        <v>47.221667999999994</v>
      </c>
      <c r="I47">
        <f t="shared" si="0"/>
        <v>1434.4343207999998</v>
      </c>
      <c r="J47" s="60">
        <v>1434.4343207999998</v>
      </c>
    </row>
    <row r="48" spans="6:10" x14ac:dyDescent="0.3">
      <c r="F48">
        <v>1005</v>
      </c>
      <c r="G48" s="60">
        <v>854.252568</v>
      </c>
      <c r="H48" s="60">
        <v>47.221667999999994</v>
      </c>
      <c r="I48">
        <f t="shared" si="0"/>
        <v>1414.0257767999999</v>
      </c>
      <c r="J48" s="60">
        <v>1414.0257767999999</v>
      </c>
    </row>
    <row r="49" spans="6:10" x14ac:dyDescent="0.3">
      <c r="F49">
        <v>1101</v>
      </c>
      <c r="G49" s="60">
        <v>644.989644</v>
      </c>
      <c r="H49" s="60">
        <v>52.474499999999999</v>
      </c>
      <c r="I49">
        <f t="shared" si="0"/>
        <v>1084.4579304000001</v>
      </c>
      <c r="J49" s="60">
        <v>1084.4579304000001</v>
      </c>
    </row>
    <row r="50" spans="6:10" x14ac:dyDescent="0.3">
      <c r="F50">
        <v>1102</v>
      </c>
      <c r="G50" s="60">
        <v>646.05527999999993</v>
      </c>
      <c r="H50" s="60">
        <v>52.474499999999999</v>
      </c>
      <c r="I50">
        <f t="shared" si="0"/>
        <v>1086.1629479999999</v>
      </c>
      <c r="J50" s="60">
        <v>1086.1629479999999</v>
      </c>
    </row>
    <row r="51" spans="6:10" x14ac:dyDescent="0.3">
      <c r="F51">
        <v>1103</v>
      </c>
      <c r="G51" s="60">
        <v>653.60084399999994</v>
      </c>
      <c r="H51" s="60">
        <v>47.221667999999994</v>
      </c>
      <c r="I51">
        <f t="shared" si="0"/>
        <v>1092.9830183999998</v>
      </c>
      <c r="J51" s="60">
        <v>1092.9830183999998</v>
      </c>
    </row>
    <row r="52" spans="6:10" x14ac:dyDescent="0.3">
      <c r="F52">
        <v>1104</v>
      </c>
      <c r="G52" s="60">
        <v>884.34871199999998</v>
      </c>
      <c r="H52" s="60">
        <v>52.474499999999999</v>
      </c>
      <c r="I52">
        <f t="shared" si="0"/>
        <v>1467.4324392000001</v>
      </c>
      <c r="J52" s="60">
        <v>1467.4324392000001</v>
      </c>
    </row>
    <row r="53" spans="6:10" x14ac:dyDescent="0.3">
      <c r="F53">
        <v>1105</v>
      </c>
      <c r="G53" s="60">
        <v>884.34871199999998</v>
      </c>
      <c r="H53" s="60">
        <v>52.474499999999999</v>
      </c>
      <c r="I53">
        <f t="shared" si="0"/>
        <v>1467.4324392000001</v>
      </c>
      <c r="J53" s="60">
        <v>1467.4324392000001</v>
      </c>
    </row>
    <row r="54" spans="6:10" x14ac:dyDescent="0.3">
      <c r="F54">
        <v>1201</v>
      </c>
      <c r="G54" s="60">
        <v>652.41680399999996</v>
      </c>
      <c r="H54" s="60">
        <v>50</v>
      </c>
      <c r="I54">
        <f t="shared" si="0"/>
        <v>1093.8668863999999</v>
      </c>
      <c r="J54" s="60">
        <v>1093.8668863999999</v>
      </c>
    </row>
    <row r="55" spans="6:10" x14ac:dyDescent="0.3">
      <c r="F55">
        <v>1203</v>
      </c>
      <c r="G55" s="60">
        <v>654.37585200000001</v>
      </c>
      <c r="H55" s="60">
        <v>52</v>
      </c>
      <c r="I55">
        <f t="shared" si="0"/>
        <v>1099.0013632</v>
      </c>
      <c r="J55" s="60">
        <v>1099.0013632</v>
      </c>
    </row>
    <row r="56" spans="6:10" x14ac:dyDescent="0.3">
      <c r="F56">
        <v>1204</v>
      </c>
      <c r="G56" s="60">
        <v>883.47682799999995</v>
      </c>
      <c r="H56" s="60">
        <v>47</v>
      </c>
      <c r="I56">
        <f t="shared" si="0"/>
        <v>1460.5629248</v>
      </c>
      <c r="J56" s="60">
        <v>1460.5629248</v>
      </c>
    </row>
    <row r="57" spans="6:10" x14ac:dyDescent="0.3">
      <c r="F57">
        <v>1205</v>
      </c>
      <c r="G57" s="60">
        <v>883.47682799999995</v>
      </c>
      <c r="H57" s="60">
        <v>47</v>
      </c>
      <c r="I57">
        <f t="shared" si="0"/>
        <v>1460.5629248</v>
      </c>
      <c r="J57" s="60">
        <v>1460.5629248</v>
      </c>
    </row>
    <row r="58" spans="6:10" x14ac:dyDescent="0.3">
      <c r="F58">
        <v>1301</v>
      </c>
      <c r="G58" s="60">
        <v>644.989644</v>
      </c>
      <c r="H58" s="60">
        <v>52.474499999999999</v>
      </c>
      <c r="I58">
        <f t="shared" si="0"/>
        <v>1084.4579304000001</v>
      </c>
      <c r="J58" s="60">
        <v>1084.4579304000001</v>
      </c>
    </row>
    <row r="59" spans="6:10" x14ac:dyDescent="0.3">
      <c r="F59">
        <v>1302</v>
      </c>
      <c r="G59" s="60">
        <v>646.05527999999993</v>
      </c>
      <c r="H59" s="60">
        <v>52.474499999999999</v>
      </c>
      <c r="I59">
        <f t="shared" si="0"/>
        <v>1086.1629479999999</v>
      </c>
      <c r="J59" s="60">
        <v>1086.1629479999999</v>
      </c>
    </row>
    <row r="60" spans="6:10" x14ac:dyDescent="0.3">
      <c r="F60">
        <v>1303</v>
      </c>
      <c r="G60" s="60">
        <v>653.60084399999994</v>
      </c>
      <c r="H60" s="60">
        <v>47.221667999999994</v>
      </c>
      <c r="I60">
        <f t="shared" si="0"/>
        <v>1092.9830183999998</v>
      </c>
      <c r="J60" s="60">
        <v>1092.9830183999998</v>
      </c>
    </row>
    <row r="61" spans="6:10" x14ac:dyDescent="0.3">
      <c r="F61">
        <v>1304</v>
      </c>
      <c r="G61" s="60">
        <v>884.34871199999998</v>
      </c>
      <c r="H61" s="60">
        <v>52.474499999999999</v>
      </c>
      <c r="I61">
        <f t="shared" si="0"/>
        <v>1467.4324392000001</v>
      </c>
      <c r="J61" s="60">
        <v>1467.4324392000001</v>
      </c>
    </row>
    <row r="62" spans="6:10" x14ac:dyDescent="0.3">
      <c r="F62">
        <v>1305</v>
      </c>
      <c r="G62" s="60">
        <v>884.34871199999998</v>
      </c>
      <c r="H62" s="60">
        <v>52.474499999999999</v>
      </c>
      <c r="I62">
        <f t="shared" si="0"/>
        <v>1467.4324392000001</v>
      </c>
      <c r="J62" s="60">
        <v>1467.4324392000001</v>
      </c>
    </row>
    <row r="63" spans="6:10" x14ac:dyDescent="0.3">
      <c r="F63">
        <v>1401</v>
      </c>
      <c r="G63" s="60">
        <v>633.04160399999989</v>
      </c>
      <c r="H63" s="60">
        <v>50.450868</v>
      </c>
      <c r="I63">
        <f t="shared" si="0"/>
        <v>1063.3174343999999</v>
      </c>
      <c r="J63" s="60">
        <v>1063.3174343999999</v>
      </c>
    </row>
    <row r="64" spans="6:10" x14ac:dyDescent="0.3">
      <c r="F64">
        <v>1402</v>
      </c>
      <c r="G64" s="60">
        <v>646.86257999999987</v>
      </c>
      <c r="H64" s="60">
        <v>50.450868</v>
      </c>
      <c r="I64">
        <f t="shared" si="0"/>
        <v>1085.4309959999998</v>
      </c>
      <c r="J64" s="60">
        <v>1085.4309959999998</v>
      </c>
    </row>
    <row r="65" spans="6:10" x14ac:dyDescent="0.3">
      <c r="F65">
        <v>1403</v>
      </c>
      <c r="G65" s="60">
        <v>646.94869199999994</v>
      </c>
      <c r="H65" s="60">
        <v>52.474499999999999</v>
      </c>
      <c r="I65">
        <f t="shared" si="0"/>
        <v>1087.5924072</v>
      </c>
      <c r="J65" s="60">
        <v>1087.5924072</v>
      </c>
    </row>
    <row r="66" spans="6:10" x14ac:dyDescent="0.3">
      <c r="F66">
        <v>1404</v>
      </c>
      <c r="G66" s="60">
        <v>867.00790799999993</v>
      </c>
      <c r="H66" s="60">
        <v>47.221667999999994</v>
      </c>
      <c r="I66">
        <f t="shared" si="0"/>
        <v>1434.4343207999998</v>
      </c>
      <c r="J66" s="60">
        <v>1434.4343207999998</v>
      </c>
    </row>
    <row r="67" spans="6:10" x14ac:dyDescent="0.3">
      <c r="F67">
        <v>1405</v>
      </c>
      <c r="G67" s="60">
        <v>854.252568</v>
      </c>
      <c r="H67" s="60">
        <v>47.221667999999994</v>
      </c>
      <c r="I67">
        <f t="shared" si="0"/>
        <v>1414.0257767999999</v>
      </c>
      <c r="J67" s="60">
        <v>1414.0257767999999</v>
      </c>
    </row>
    <row r="68" spans="6:10" x14ac:dyDescent="0.3">
      <c r="F68">
        <v>1501</v>
      </c>
      <c r="G68" s="60">
        <v>644.989644</v>
      </c>
      <c r="H68" s="60">
        <v>52.474499999999999</v>
      </c>
      <c r="I68">
        <f t="shared" ref="I68:I131" si="1">G68*1.6+H68</f>
        <v>1084.4579304000001</v>
      </c>
      <c r="J68" s="60">
        <v>1084.4579304000001</v>
      </c>
    </row>
    <row r="69" spans="6:10" x14ac:dyDescent="0.3">
      <c r="F69">
        <v>1502</v>
      </c>
      <c r="G69" s="60">
        <v>646.05527999999993</v>
      </c>
      <c r="H69" s="60">
        <v>52.474499999999999</v>
      </c>
      <c r="I69">
        <f t="shared" si="1"/>
        <v>1086.1629479999999</v>
      </c>
      <c r="J69" s="60">
        <v>1086.1629479999999</v>
      </c>
    </row>
    <row r="70" spans="6:10" x14ac:dyDescent="0.3">
      <c r="F70">
        <v>1503</v>
      </c>
      <c r="G70" s="60">
        <v>653.60084399999994</v>
      </c>
      <c r="H70" s="60">
        <v>47.221667999999994</v>
      </c>
      <c r="I70">
        <f t="shared" si="1"/>
        <v>1092.9830183999998</v>
      </c>
      <c r="J70" s="60">
        <v>1092.9830183999998</v>
      </c>
    </row>
    <row r="71" spans="6:10" x14ac:dyDescent="0.3">
      <c r="F71">
        <v>1504</v>
      </c>
      <c r="G71" s="60">
        <v>884.34871199999998</v>
      </c>
      <c r="H71" s="60">
        <v>52.474499999999999</v>
      </c>
      <c r="I71">
        <f t="shared" si="1"/>
        <v>1467.4324392000001</v>
      </c>
      <c r="J71" s="60">
        <v>1467.4324392000001</v>
      </c>
    </row>
    <row r="72" spans="6:10" x14ac:dyDescent="0.3">
      <c r="F72">
        <v>1505</v>
      </c>
      <c r="G72" s="60">
        <v>884.34871199999998</v>
      </c>
      <c r="H72" s="60">
        <v>52.474499999999999</v>
      </c>
      <c r="I72">
        <f t="shared" si="1"/>
        <v>1467.4324392000001</v>
      </c>
      <c r="J72" s="60">
        <v>1467.4324392000001</v>
      </c>
    </row>
    <row r="73" spans="6:10" x14ac:dyDescent="0.3">
      <c r="F73">
        <v>1601</v>
      </c>
      <c r="G73" s="60">
        <v>633.04160399999989</v>
      </c>
      <c r="H73" s="60">
        <v>50.450868</v>
      </c>
      <c r="I73">
        <f t="shared" si="1"/>
        <v>1063.3174343999999</v>
      </c>
      <c r="J73" s="60">
        <v>1063.3174343999999</v>
      </c>
    </row>
    <row r="74" spans="6:10" x14ac:dyDescent="0.3">
      <c r="F74">
        <v>1602</v>
      </c>
      <c r="G74" s="60">
        <v>646.86257999999987</v>
      </c>
      <c r="H74" s="60">
        <v>50.450868</v>
      </c>
      <c r="I74">
        <f t="shared" si="1"/>
        <v>1085.4309959999998</v>
      </c>
      <c r="J74" s="60">
        <v>1085.4309959999998</v>
      </c>
    </row>
    <row r="75" spans="6:10" x14ac:dyDescent="0.3">
      <c r="F75">
        <v>1603</v>
      </c>
      <c r="G75" s="60">
        <v>646.94869199999994</v>
      </c>
      <c r="H75" s="60">
        <v>52.474499999999999</v>
      </c>
      <c r="I75">
        <f t="shared" si="1"/>
        <v>1087.5924072</v>
      </c>
      <c r="J75" s="60">
        <v>1087.5924072</v>
      </c>
    </row>
    <row r="76" spans="6:10" x14ac:dyDescent="0.3">
      <c r="F76">
        <v>1604</v>
      </c>
      <c r="G76" s="60">
        <v>867.00790799999993</v>
      </c>
      <c r="H76" s="60">
        <v>47.221667999999994</v>
      </c>
      <c r="I76">
        <f t="shared" si="1"/>
        <v>1434.4343207999998</v>
      </c>
      <c r="J76" s="60">
        <v>1434.4343207999998</v>
      </c>
    </row>
    <row r="77" spans="6:10" x14ac:dyDescent="0.3">
      <c r="F77">
        <v>1605</v>
      </c>
      <c r="G77" s="60">
        <v>854.252568</v>
      </c>
      <c r="H77" s="60">
        <v>47.221667999999994</v>
      </c>
      <c r="I77">
        <f t="shared" si="1"/>
        <v>1414.0257767999999</v>
      </c>
      <c r="J77" s="60">
        <v>1414.0257767999999</v>
      </c>
    </row>
    <row r="78" spans="6:10" x14ac:dyDescent="0.3">
      <c r="F78">
        <v>1701</v>
      </c>
      <c r="G78" s="60">
        <v>652.41680399999996</v>
      </c>
      <c r="H78" s="60">
        <v>50</v>
      </c>
      <c r="I78">
        <f t="shared" si="1"/>
        <v>1093.8668863999999</v>
      </c>
      <c r="J78" s="60">
        <v>1093.8668863999999</v>
      </c>
    </row>
    <row r="79" spans="6:10" x14ac:dyDescent="0.3">
      <c r="F79">
        <v>1703</v>
      </c>
      <c r="G79" s="60">
        <v>654.37585200000001</v>
      </c>
      <c r="H79" s="60">
        <v>54</v>
      </c>
      <c r="I79">
        <f t="shared" si="1"/>
        <v>1101.0013632</v>
      </c>
      <c r="J79" s="60">
        <v>1101.0013632</v>
      </c>
    </row>
    <row r="80" spans="6:10" x14ac:dyDescent="0.3">
      <c r="F80">
        <v>1704</v>
      </c>
      <c r="G80" s="60">
        <v>883.47682799999995</v>
      </c>
      <c r="H80" s="60">
        <v>52</v>
      </c>
      <c r="I80">
        <f t="shared" si="1"/>
        <v>1465.5629248</v>
      </c>
      <c r="J80" s="60">
        <v>1465.5629248</v>
      </c>
    </row>
    <row r="81" spans="6:10" x14ac:dyDescent="0.3">
      <c r="F81">
        <v>1705</v>
      </c>
      <c r="G81" s="60">
        <v>883.47682799999995</v>
      </c>
      <c r="H81" s="60">
        <v>52</v>
      </c>
      <c r="I81">
        <f t="shared" si="1"/>
        <v>1465.5629248</v>
      </c>
      <c r="J81" s="60">
        <v>1465.5629248</v>
      </c>
    </row>
    <row r="82" spans="6:10" x14ac:dyDescent="0.3">
      <c r="F82">
        <v>1801</v>
      </c>
      <c r="G82" s="60">
        <v>633.04160399999989</v>
      </c>
      <c r="H82" s="60">
        <v>50.450868</v>
      </c>
      <c r="I82">
        <f t="shared" si="1"/>
        <v>1063.3174343999999</v>
      </c>
      <c r="J82" s="60">
        <v>1063.3174343999999</v>
      </c>
    </row>
    <row r="83" spans="6:10" x14ac:dyDescent="0.3">
      <c r="F83">
        <v>1802</v>
      </c>
      <c r="G83" s="60">
        <v>646.86257999999987</v>
      </c>
      <c r="H83" s="60">
        <v>50.450868</v>
      </c>
      <c r="I83">
        <f t="shared" si="1"/>
        <v>1085.4309959999998</v>
      </c>
      <c r="J83" s="60">
        <v>1085.4309959999998</v>
      </c>
    </row>
    <row r="84" spans="6:10" x14ac:dyDescent="0.3">
      <c r="F84">
        <v>1803</v>
      </c>
      <c r="G84" s="60">
        <v>646.94869199999994</v>
      </c>
      <c r="H84" s="60">
        <v>52.474499999999999</v>
      </c>
      <c r="I84">
        <f t="shared" si="1"/>
        <v>1087.5924072</v>
      </c>
      <c r="J84" s="60">
        <v>1087.5924072</v>
      </c>
    </row>
    <row r="85" spans="6:10" x14ac:dyDescent="0.3">
      <c r="F85">
        <v>1804</v>
      </c>
      <c r="G85" s="60">
        <v>867.00790799999993</v>
      </c>
      <c r="H85" s="60">
        <v>47.221667999999994</v>
      </c>
      <c r="I85">
        <f t="shared" si="1"/>
        <v>1434.4343207999998</v>
      </c>
      <c r="J85" s="60">
        <v>1434.4343207999998</v>
      </c>
    </row>
    <row r="86" spans="6:10" x14ac:dyDescent="0.3">
      <c r="F86">
        <v>1805</v>
      </c>
      <c r="G86" s="60">
        <v>854.252568</v>
      </c>
      <c r="H86" s="60">
        <v>47.221667999999994</v>
      </c>
      <c r="I86">
        <f t="shared" si="1"/>
        <v>1414.0257767999999</v>
      </c>
      <c r="J86" s="60">
        <v>1414.0257767999999</v>
      </c>
    </row>
    <row r="87" spans="6:10" x14ac:dyDescent="0.3">
      <c r="F87">
        <v>1901</v>
      </c>
      <c r="G87" s="60">
        <v>644.989644</v>
      </c>
      <c r="H87" s="60">
        <v>52.474499999999999</v>
      </c>
      <c r="I87">
        <f t="shared" si="1"/>
        <v>1084.4579304000001</v>
      </c>
      <c r="J87" s="60">
        <v>1084.4579304000001</v>
      </c>
    </row>
    <row r="88" spans="6:10" x14ac:dyDescent="0.3">
      <c r="F88">
        <v>1902</v>
      </c>
      <c r="G88" s="60">
        <v>646.05527999999993</v>
      </c>
      <c r="H88" s="60">
        <v>52.474499999999999</v>
      </c>
      <c r="I88">
        <f t="shared" si="1"/>
        <v>1086.1629479999999</v>
      </c>
      <c r="J88" s="60">
        <v>1086.1629479999999</v>
      </c>
    </row>
    <row r="89" spans="6:10" x14ac:dyDescent="0.3">
      <c r="F89">
        <v>1903</v>
      </c>
      <c r="G89" s="60">
        <v>653.60084399999994</v>
      </c>
      <c r="H89" s="60">
        <v>47.221667999999994</v>
      </c>
      <c r="I89">
        <f t="shared" si="1"/>
        <v>1092.9830183999998</v>
      </c>
      <c r="J89" s="60">
        <v>1092.9830183999998</v>
      </c>
    </row>
    <row r="90" spans="6:10" x14ac:dyDescent="0.3">
      <c r="F90">
        <v>1904</v>
      </c>
      <c r="G90" s="60">
        <v>884.34871199999998</v>
      </c>
      <c r="H90" s="60">
        <v>52.474499999999999</v>
      </c>
      <c r="I90">
        <f t="shared" si="1"/>
        <v>1467.4324392000001</v>
      </c>
      <c r="J90" s="60">
        <v>1467.4324392000001</v>
      </c>
    </row>
    <row r="91" spans="6:10" x14ac:dyDescent="0.3">
      <c r="F91">
        <v>1905</v>
      </c>
      <c r="G91" s="60">
        <v>884.34871199999998</v>
      </c>
      <c r="H91" s="60">
        <v>52.474499999999999</v>
      </c>
      <c r="I91">
        <f t="shared" si="1"/>
        <v>1467.4324392000001</v>
      </c>
      <c r="J91" s="60">
        <v>1467.4324392000001</v>
      </c>
    </row>
    <row r="92" spans="6:10" x14ac:dyDescent="0.3">
      <c r="F92">
        <v>2001</v>
      </c>
      <c r="G92" s="60">
        <v>633.04160399999989</v>
      </c>
      <c r="H92" s="60">
        <v>50.450868</v>
      </c>
      <c r="I92">
        <f t="shared" si="1"/>
        <v>1063.3174343999999</v>
      </c>
      <c r="J92" s="60">
        <v>1063.3174343999999</v>
      </c>
    </row>
    <row r="93" spans="6:10" x14ac:dyDescent="0.3">
      <c r="F93">
        <v>2002</v>
      </c>
      <c r="G93" s="60">
        <v>646.86257999999987</v>
      </c>
      <c r="H93" s="60">
        <v>50.450868</v>
      </c>
      <c r="I93">
        <f t="shared" si="1"/>
        <v>1085.4309959999998</v>
      </c>
      <c r="J93" s="60">
        <v>1085.4309959999998</v>
      </c>
    </row>
    <row r="94" spans="6:10" x14ac:dyDescent="0.3">
      <c r="F94">
        <v>2003</v>
      </c>
      <c r="G94" s="60">
        <v>646.94869199999994</v>
      </c>
      <c r="H94" s="60">
        <v>52.474499999999999</v>
      </c>
      <c r="I94">
        <f t="shared" si="1"/>
        <v>1087.5924072</v>
      </c>
      <c r="J94" s="60">
        <v>1087.5924072</v>
      </c>
    </row>
    <row r="95" spans="6:10" x14ac:dyDescent="0.3">
      <c r="F95">
        <v>2004</v>
      </c>
      <c r="G95" s="60">
        <v>867.00790799999993</v>
      </c>
      <c r="H95" s="60">
        <v>47.221667999999994</v>
      </c>
      <c r="I95">
        <f t="shared" si="1"/>
        <v>1434.4343207999998</v>
      </c>
      <c r="J95" s="60">
        <v>1434.4343207999998</v>
      </c>
    </row>
    <row r="96" spans="6:10" x14ac:dyDescent="0.3">
      <c r="F96">
        <v>2005</v>
      </c>
      <c r="G96" s="60">
        <v>854.252568</v>
      </c>
      <c r="H96" s="60">
        <v>47.221667999999994</v>
      </c>
      <c r="I96">
        <f t="shared" si="1"/>
        <v>1414.0257767999999</v>
      </c>
      <c r="J96" s="60">
        <v>1414.0257767999999</v>
      </c>
    </row>
    <row r="97" spans="6:10" x14ac:dyDescent="0.3">
      <c r="F97">
        <v>2101</v>
      </c>
      <c r="G97" s="60">
        <v>644.989644</v>
      </c>
      <c r="H97" s="60">
        <v>52.474499999999999</v>
      </c>
      <c r="I97">
        <f t="shared" si="1"/>
        <v>1084.4579304000001</v>
      </c>
      <c r="J97" s="60">
        <v>1084.4579304000001</v>
      </c>
    </row>
    <row r="98" spans="6:10" x14ac:dyDescent="0.3">
      <c r="F98">
        <v>2102</v>
      </c>
      <c r="G98" s="60">
        <v>646.05527999999993</v>
      </c>
      <c r="H98" s="60">
        <v>52.474499999999999</v>
      </c>
      <c r="I98">
        <f t="shared" si="1"/>
        <v>1086.1629479999999</v>
      </c>
      <c r="J98" s="60">
        <v>1086.1629479999999</v>
      </c>
    </row>
    <row r="99" spans="6:10" x14ac:dyDescent="0.3">
      <c r="F99">
        <v>2103</v>
      </c>
      <c r="G99" s="60">
        <v>653.60084399999994</v>
      </c>
      <c r="H99" s="60">
        <v>47.221667999999994</v>
      </c>
      <c r="I99">
        <f t="shared" si="1"/>
        <v>1092.9830183999998</v>
      </c>
      <c r="J99" s="60">
        <v>1092.9830183999998</v>
      </c>
    </row>
    <row r="100" spans="6:10" x14ac:dyDescent="0.3">
      <c r="F100">
        <v>2104</v>
      </c>
      <c r="G100" s="60">
        <v>884.34871199999998</v>
      </c>
      <c r="H100" s="60">
        <v>52.474499999999999</v>
      </c>
      <c r="I100">
        <f t="shared" si="1"/>
        <v>1467.4324392000001</v>
      </c>
      <c r="J100" s="60">
        <v>1467.4324392000001</v>
      </c>
    </row>
    <row r="101" spans="6:10" x14ac:dyDescent="0.3">
      <c r="F101">
        <v>2105</v>
      </c>
      <c r="G101" s="60">
        <v>884.34871199999998</v>
      </c>
      <c r="H101" s="60">
        <v>52.474499999999999</v>
      </c>
      <c r="I101">
        <f t="shared" si="1"/>
        <v>1467.4324392000001</v>
      </c>
      <c r="J101" s="60">
        <v>1467.4324392000001</v>
      </c>
    </row>
    <row r="102" spans="6:10" x14ac:dyDescent="0.3">
      <c r="F102">
        <v>2201</v>
      </c>
      <c r="G102" s="60">
        <v>652.41680399999996</v>
      </c>
      <c r="H102" s="60">
        <v>50</v>
      </c>
      <c r="I102">
        <f t="shared" si="1"/>
        <v>1093.8668863999999</v>
      </c>
      <c r="J102" s="60">
        <v>1093.8668863999999</v>
      </c>
    </row>
    <row r="103" spans="6:10" x14ac:dyDescent="0.3">
      <c r="F103">
        <v>2203</v>
      </c>
      <c r="G103" s="60">
        <v>654.37585200000001</v>
      </c>
      <c r="H103" s="60">
        <v>52</v>
      </c>
      <c r="I103">
        <f t="shared" si="1"/>
        <v>1099.0013632</v>
      </c>
      <c r="J103" s="60">
        <v>1099.0013632</v>
      </c>
    </row>
    <row r="104" spans="6:10" x14ac:dyDescent="0.3">
      <c r="F104">
        <v>2204</v>
      </c>
      <c r="G104" s="60">
        <v>883.47682799999995</v>
      </c>
      <c r="H104" s="60">
        <v>47</v>
      </c>
      <c r="I104">
        <f t="shared" si="1"/>
        <v>1460.5629248</v>
      </c>
      <c r="J104" s="60">
        <v>1460.5629248</v>
      </c>
    </row>
    <row r="105" spans="6:10" x14ac:dyDescent="0.3">
      <c r="F105">
        <v>2205</v>
      </c>
      <c r="G105" s="60">
        <v>883.47682799999995</v>
      </c>
      <c r="H105" s="60">
        <v>47</v>
      </c>
      <c r="I105">
        <f t="shared" si="1"/>
        <v>1460.5629248</v>
      </c>
      <c r="J105" s="60">
        <v>1460.5629248</v>
      </c>
    </row>
    <row r="106" spans="6:10" x14ac:dyDescent="0.3">
      <c r="F106">
        <v>2301</v>
      </c>
      <c r="G106" s="60">
        <v>651.60950400000002</v>
      </c>
      <c r="H106" s="60">
        <v>52.474499999999999</v>
      </c>
      <c r="I106">
        <f t="shared" si="1"/>
        <v>1095.0497064000001</v>
      </c>
      <c r="J106" s="60">
        <v>1095.0497064000001</v>
      </c>
    </row>
    <row r="107" spans="6:10" x14ac:dyDescent="0.3">
      <c r="F107">
        <v>2302</v>
      </c>
      <c r="G107" s="60">
        <v>653.48244</v>
      </c>
      <c r="H107" s="60">
        <v>52.474499999999999</v>
      </c>
      <c r="I107">
        <f t="shared" si="1"/>
        <v>1098.0464040000002</v>
      </c>
      <c r="J107" s="60">
        <v>1098.0464040000002</v>
      </c>
    </row>
    <row r="108" spans="6:10" x14ac:dyDescent="0.3">
      <c r="F108">
        <v>2303</v>
      </c>
      <c r="G108" s="60">
        <v>653.60084399999994</v>
      </c>
      <c r="H108" s="60">
        <v>54.412019999999991</v>
      </c>
      <c r="I108">
        <f t="shared" si="1"/>
        <v>1100.1733703999998</v>
      </c>
      <c r="J108" s="60">
        <v>1100.1733703999998</v>
      </c>
    </row>
    <row r="109" spans="6:10" x14ac:dyDescent="0.3">
      <c r="F109">
        <v>2304</v>
      </c>
      <c r="G109" s="60">
        <v>884.34871199999998</v>
      </c>
      <c r="H109" s="60">
        <v>52.474499999999999</v>
      </c>
      <c r="I109">
        <f t="shared" si="1"/>
        <v>1467.4324392000001</v>
      </c>
      <c r="J109" s="60">
        <v>1467.4324392000001</v>
      </c>
    </row>
    <row r="110" spans="6:10" x14ac:dyDescent="0.3">
      <c r="F110">
        <v>2305</v>
      </c>
      <c r="G110" s="60">
        <v>884.34871199999998</v>
      </c>
      <c r="H110" s="60">
        <v>52.474499999999999</v>
      </c>
      <c r="I110">
        <f t="shared" si="1"/>
        <v>1467.4324392000001</v>
      </c>
      <c r="J110" s="60">
        <v>1467.4324392000001</v>
      </c>
    </row>
    <row r="111" spans="6:10" x14ac:dyDescent="0.3">
      <c r="F111">
        <v>2401</v>
      </c>
      <c r="G111" s="60">
        <v>655.32308399999988</v>
      </c>
      <c r="H111" s="60">
        <v>50.450868</v>
      </c>
      <c r="I111">
        <f t="shared" si="1"/>
        <v>1098.9678023999998</v>
      </c>
      <c r="J111" s="60">
        <v>1098.9678023999998</v>
      </c>
    </row>
    <row r="112" spans="6:10" x14ac:dyDescent="0.3">
      <c r="F112">
        <v>2402</v>
      </c>
      <c r="G112" s="60">
        <v>654.28973999999994</v>
      </c>
      <c r="H112" s="60">
        <v>50.450868</v>
      </c>
      <c r="I112">
        <f t="shared" si="1"/>
        <v>1097.3144519999998</v>
      </c>
      <c r="J112" s="60">
        <v>1097.3144519999998</v>
      </c>
    </row>
    <row r="113" spans="6:10" x14ac:dyDescent="0.3">
      <c r="F113">
        <v>2403</v>
      </c>
      <c r="G113" s="60">
        <v>654.37585200000001</v>
      </c>
      <c r="H113" s="60">
        <v>52.474499999999999</v>
      </c>
      <c r="I113">
        <f t="shared" si="1"/>
        <v>1099.4758632</v>
      </c>
      <c r="J113" s="60">
        <v>1099.4758632</v>
      </c>
    </row>
    <row r="114" spans="6:10" x14ac:dyDescent="0.3">
      <c r="F114">
        <v>2404</v>
      </c>
      <c r="G114" s="60">
        <v>883.47682799999995</v>
      </c>
      <c r="H114" s="60">
        <v>47.221667999999994</v>
      </c>
      <c r="I114">
        <f t="shared" si="1"/>
        <v>1460.7845927999999</v>
      </c>
      <c r="J114" s="60">
        <v>1460.7845927999999</v>
      </c>
    </row>
    <row r="115" spans="6:10" x14ac:dyDescent="0.3">
      <c r="F115">
        <v>2405</v>
      </c>
      <c r="G115" s="60">
        <v>883.47682799999995</v>
      </c>
      <c r="H115" s="60">
        <v>47.221667999999994</v>
      </c>
      <c r="I115">
        <f t="shared" si="1"/>
        <v>1460.7845927999999</v>
      </c>
      <c r="J115" s="60">
        <v>1460.7845927999999</v>
      </c>
    </row>
    <row r="116" spans="6:10" x14ac:dyDescent="0.3">
      <c r="I116">
        <f t="shared" si="1"/>
        <v>0</v>
      </c>
      <c r="J116" s="60">
        <v>0</v>
      </c>
    </row>
    <row r="117" spans="6:10" x14ac:dyDescent="0.3">
      <c r="F117" t="s">
        <v>254</v>
      </c>
      <c r="I117">
        <f t="shared" si="1"/>
        <v>0</v>
      </c>
      <c r="J117" s="60">
        <v>0</v>
      </c>
    </row>
    <row r="118" spans="6:10" x14ac:dyDescent="0.3">
      <c r="F118">
        <v>104</v>
      </c>
      <c r="G118" s="60">
        <v>878.41774800000007</v>
      </c>
      <c r="H118" s="60">
        <v>52.474499999999999</v>
      </c>
      <c r="I118" s="60">
        <f t="shared" si="1"/>
        <v>1457.9428968000002</v>
      </c>
      <c r="J118" s="60">
        <v>1457.9428968000002</v>
      </c>
    </row>
    <row r="119" spans="6:10" x14ac:dyDescent="0.3">
      <c r="F119">
        <v>203</v>
      </c>
      <c r="G119" s="60">
        <v>895.62938399999996</v>
      </c>
      <c r="H119" s="60">
        <v>47.221667999999994</v>
      </c>
      <c r="I119" s="60">
        <f t="shared" si="1"/>
        <v>1480.2286824</v>
      </c>
      <c r="J119" s="60">
        <v>1480.2286824</v>
      </c>
    </row>
    <row r="120" spans="6:10" x14ac:dyDescent="0.3">
      <c r="F120">
        <v>204</v>
      </c>
      <c r="G120" s="60">
        <v>895.62938399999996</v>
      </c>
      <c r="H120" s="60">
        <v>47.221667999999994</v>
      </c>
      <c r="I120" s="60">
        <f t="shared" si="1"/>
        <v>1480.2286824</v>
      </c>
      <c r="J120" s="60">
        <v>1480.2286824</v>
      </c>
    </row>
    <row r="121" spans="6:10" x14ac:dyDescent="0.3">
      <c r="F121">
        <v>301</v>
      </c>
      <c r="G121" s="60">
        <v>705.54790799999989</v>
      </c>
      <c r="H121" s="60">
        <v>49.2453</v>
      </c>
      <c r="I121" s="60">
        <f t="shared" si="1"/>
        <v>1178.1219527999999</v>
      </c>
      <c r="J121" s="60">
        <v>1178.1219527999999</v>
      </c>
    </row>
    <row r="122" spans="6:10" x14ac:dyDescent="0.3">
      <c r="F122">
        <v>302</v>
      </c>
      <c r="G122" s="60">
        <v>705.54790799999989</v>
      </c>
      <c r="H122" s="60">
        <v>49.2453</v>
      </c>
      <c r="I122" s="60">
        <f t="shared" si="1"/>
        <v>1178.1219527999999</v>
      </c>
      <c r="J122" s="60">
        <v>1178.1219527999999</v>
      </c>
    </row>
    <row r="123" spans="6:10" x14ac:dyDescent="0.3">
      <c r="F123">
        <v>303</v>
      </c>
      <c r="G123" s="60">
        <v>897.79294800000002</v>
      </c>
      <c r="H123" s="60">
        <v>52.474499999999999</v>
      </c>
      <c r="I123" s="60">
        <f t="shared" si="1"/>
        <v>1488.9432168000001</v>
      </c>
      <c r="J123" s="60">
        <v>1488.9432168000001</v>
      </c>
    </row>
    <row r="124" spans="6:10" x14ac:dyDescent="0.3">
      <c r="F124">
        <v>304</v>
      </c>
      <c r="G124" s="60">
        <v>897.79294800000002</v>
      </c>
      <c r="H124" s="60">
        <v>52.474499999999999</v>
      </c>
      <c r="I124" s="60">
        <f t="shared" si="1"/>
        <v>1488.9432168000001</v>
      </c>
      <c r="J124" s="60">
        <v>1488.9432168000001</v>
      </c>
    </row>
    <row r="125" spans="6:10" x14ac:dyDescent="0.3">
      <c r="F125">
        <v>305</v>
      </c>
      <c r="G125" s="60">
        <v>707.20556399999987</v>
      </c>
      <c r="H125" s="60">
        <v>49.2453</v>
      </c>
      <c r="I125" s="60">
        <f t="shared" si="1"/>
        <v>1180.7742023999999</v>
      </c>
      <c r="J125" s="60">
        <v>1180.7742023999999</v>
      </c>
    </row>
    <row r="126" spans="6:10" x14ac:dyDescent="0.3">
      <c r="F126">
        <v>306</v>
      </c>
      <c r="G126" s="60">
        <v>707.20556399999987</v>
      </c>
      <c r="H126" s="60">
        <v>49.2453</v>
      </c>
      <c r="I126" s="60">
        <f t="shared" si="1"/>
        <v>1180.7742023999999</v>
      </c>
      <c r="J126" s="60">
        <v>1180.7742023999999</v>
      </c>
    </row>
    <row r="127" spans="6:10" x14ac:dyDescent="0.3">
      <c r="F127">
        <v>401</v>
      </c>
      <c r="G127" s="60">
        <v>709.97191199999997</v>
      </c>
      <c r="H127" s="60">
        <v>50.450868</v>
      </c>
      <c r="I127" s="60">
        <f t="shared" si="1"/>
        <v>1186.4059272</v>
      </c>
      <c r="J127" s="60">
        <v>1186.4059272</v>
      </c>
    </row>
    <row r="128" spans="6:10" x14ac:dyDescent="0.3">
      <c r="F128">
        <v>402</v>
      </c>
      <c r="G128" s="60">
        <v>710.51011200000005</v>
      </c>
      <c r="H128" s="60">
        <v>50.450868</v>
      </c>
      <c r="I128" s="60">
        <f t="shared" si="1"/>
        <v>1187.2670472</v>
      </c>
      <c r="J128" s="60">
        <v>1187.2670472</v>
      </c>
    </row>
    <row r="129" spans="6:10 16384:16384" x14ac:dyDescent="0.3">
      <c r="F129">
        <v>403</v>
      </c>
      <c r="G129" s="60">
        <v>895.62938399999996</v>
      </c>
      <c r="H129" s="60">
        <v>47.221667999999994</v>
      </c>
      <c r="I129" s="60">
        <f t="shared" si="1"/>
        <v>1480.2286824</v>
      </c>
      <c r="J129" s="60">
        <v>1480.2286824</v>
      </c>
    </row>
    <row r="130" spans="6:10 16384:16384" x14ac:dyDescent="0.3">
      <c r="F130">
        <v>404</v>
      </c>
      <c r="G130" s="60">
        <v>889.17098399999986</v>
      </c>
      <c r="H130" s="60">
        <v>47.221667999999994</v>
      </c>
      <c r="I130" s="60">
        <f t="shared" si="1"/>
        <v>1469.8952423999997</v>
      </c>
      <c r="J130" s="60">
        <v>1469.8952423999997</v>
      </c>
    </row>
    <row r="131" spans="6:10 16384:16384" x14ac:dyDescent="0.3">
      <c r="F131">
        <v>405</v>
      </c>
      <c r="G131" s="60">
        <v>711.62956799999995</v>
      </c>
      <c r="H131" s="60">
        <v>50.450868</v>
      </c>
      <c r="I131" s="60">
        <f t="shared" si="1"/>
        <v>1189.0581768</v>
      </c>
      <c r="J131" s="60">
        <v>1189.0581768</v>
      </c>
    </row>
    <row r="132" spans="6:10 16384:16384" x14ac:dyDescent="0.3">
      <c r="F132">
        <v>406</v>
      </c>
      <c r="G132" s="60">
        <v>711.37123199999985</v>
      </c>
      <c r="H132" s="60">
        <v>50.450868</v>
      </c>
      <c r="I132" s="60">
        <f t="shared" ref="I132:I195" si="2">G132*1.6+H132</f>
        <v>1188.6448391999998</v>
      </c>
      <c r="J132" s="60">
        <v>1188.6448391999998</v>
      </c>
    </row>
    <row r="133" spans="6:10 16384:16384" x14ac:dyDescent="0.3">
      <c r="F133">
        <v>501</v>
      </c>
      <c r="G133" s="60">
        <v>705.54790799999989</v>
      </c>
      <c r="H133" s="60">
        <v>49.2453</v>
      </c>
      <c r="I133" s="60">
        <f t="shared" si="2"/>
        <v>1178.1219527999999</v>
      </c>
      <c r="J133" s="60">
        <v>1178.1219527999999</v>
      </c>
    </row>
    <row r="134" spans="6:10 16384:16384" x14ac:dyDescent="0.3">
      <c r="F134">
        <v>502</v>
      </c>
      <c r="G134" s="60">
        <v>705.54790799999989</v>
      </c>
      <c r="H134" s="60">
        <v>49.2453</v>
      </c>
      <c r="I134" s="60">
        <f t="shared" si="2"/>
        <v>1178.1219527999999</v>
      </c>
      <c r="J134" s="60">
        <v>1178.1219527999999</v>
      </c>
    </row>
    <row r="135" spans="6:10 16384:16384" x14ac:dyDescent="0.3">
      <c r="F135">
        <v>503</v>
      </c>
      <c r="G135" s="60">
        <v>897.79294800000002</v>
      </c>
      <c r="H135" s="60">
        <v>52.474499999999999</v>
      </c>
      <c r="I135" s="60">
        <f t="shared" si="2"/>
        <v>1488.9432168000001</v>
      </c>
      <c r="J135" s="60">
        <v>1488.9432168000001</v>
      </c>
    </row>
    <row r="136" spans="6:10 16384:16384" x14ac:dyDescent="0.3">
      <c r="F136">
        <v>504</v>
      </c>
      <c r="G136" s="60">
        <v>897.79294800000002</v>
      </c>
      <c r="H136" s="60">
        <v>52.474499999999999</v>
      </c>
      <c r="I136" s="60">
        <f t="shared" si="2"/>
        <v>1488.9432168000001</v>
      </c>
      <c r="J136" s="60">
        <v>1488.9432168000001</v>
      </c>
    </row>
    <row r="137" spans="6:10 16384:16384" x14ac:dyDescent="0.3">
      <c r="F137">
        <v>505</v>
      </c>
      <c r="G137" s="60">
        <v>707.20556399999987</v>
      </c>
      <c r="H137" s="60">
        <v>49.2453</v>
      </c>
      <c r="I137" s="60">
        <f t="shared" si="2"/>
        <v>1180.7742023999999</v>
      </c>
      <c r="J137" s="60">
        <v>1180.7742023999999</v>
      </c>
    </row>
    <row r="138" spans="6:10 16384:16384" x14ac:dyDescent="0.3">
      <c r="F138">
        <v>506</v>
      </c>
      <c r="G138" s="60">
        <v>707.20556399999987</v>
      </c>
      <c r="H138" s="60">
        <v>49.2453</v>
      </c>
      <c r="I138" s="60">
        <f t="shared" si="2"/>
        <v>1180.7742023999999</v>
      </c>
      <c r="J138" s="60">
        <v>1180.7742023999999</v>
      </c>
      <c r="XFD138">
        <f>SUM(A138:XFC138)</f>
        <v>3623.9992687999998</v>
      </c>
    </row>
    <row r="139" spans="6:10 16384:16384" x14ac:dyDescent="0.3">
      <c r="F139">
        <v>601</v>
      </c>
      <c r="G139" s="60">
        <v>709.97191199999997</v>
      </c>
      <c r="H139" s="60">
        <v>50.450868</v>
      </c>
      <c r="I139" s="60">
        <f t="shared" si="2"/>
        <v>1186.4059272</v>
      </c>
      <c r="J139" s="60">
        <v>1186.4059272</v>
      </c>
    </row>
    <row r="140" spans="6:10 16384:16384" x14ac:dyDescent="0.3">
      <c r="F140">
        <v>602</v>
      </c>
      <c r="G140" s="60">
        <v>710.51011200000005</v>
      </c>
      <c r="H140" s="60">
        <v>50.450868</v>
      </c>
      <c r="I140" s="60">
        <f t="shared" si="2"/>
        <v>1187.2670472</v>
      </c>
      <c r="J140" s="60">
        <v>1187.2670472</v>
      </c>
    </row>
    <row r="141" spans="6:10 16384:16384" x14ac:dyDescent="0.3">
      <c r="F141">
        <v>603</v>
      </c>
      <c r="G141" s="60">
        <v>895.62938399999996</v>
      </c>
      <c r="H141" s="60">
        <v>47.221667999999994</v>
      </c>
      <c r="I141" s="60">
        <f t="shared" si="2"/>
        <v>1480.2286824</v>
      </c>
      <c r="J141" s="60">
        <v>1480.2286824</v>
      </c>
    </row>
    <row r="142" spans="6:10 16384:16384" x14ac:dyDescent="0.3">
      <c r="F142">
        <v>604</v>
      </c>
      <c r="G142" s="60">
        <v>889.17098399999986</v>
      </c>
      <c r="H142" s="60">
        <v>47.221667999999994</v>
      </c>
      <c r="I142" s="60">
        <f t="shared" si="2"/>
        <v>1469.8952423999997</v>
      </c>
      <c r="J142" s="60">
        <v>1469.8952423999997</v>
      </c>
    </row>
    <row r="143" spans="6:10 16384:16384" x14ac:dyDescent="0.3">
      <c r="F143">
        <v>605</v>
      </c>
      <c r="G143" s="60">
        <v>711.62956799999995</v>
      </c>
      <c r="H143" s="60">
        <v>50.450868</v>
      </c>
      <c r="I143" s="60">
        <f t="shared" si="2"/>
        <v>1189.0581768</v>
      </c>
      <c r="J143" s="60">
        <v>1189.0581768</v>
      </c>
    </row>
    <row r="144" spans="6:10 16384:16384" x14ac:dyDescent="0.3">
      <c r="F144">
        <v>606</v>
      </c>
      <c r="G144" s="60">
        <v>711.37123199999985</v>
      </c>
      <c r="H144" s="60">
        <v>50.450868</v>
      </c>
      <c r="I144" s="60">
        <f t="shared" si="2"/>
        <v>1188.6448391999998</v>
      </c>
      <c r="J144" s="60">
        <v>1188.6448391999998</v>
      </c>
    </row>
    <row r="145" spans="6:10" x14ac:dyDescent="0.3">
      <c r="F145">
        <v>701</v>
      </c>
      <c r="G145" s="60">
        <v>705.54790799999989</v>
      </c>
      <c r="H145" s="60">
        <v>49.2453</v>
      </c>
      <c r="I145" s="60">
        <f t="shared" si="2"/>
        <v>1178.1219527999999</v>
      </c>
      <c r="J145" s="60">
        <v>1178.1219527999999</v>
      </c>
    </row>
    <row r="146" spans="6:10" x14ac:dyDescent="0.3">
      <c r="F146">
        <v>703</v>
      </c>
      <c r="G146" s="60">
        <v>897.79294800000002</v>
      </c>
      <c r="H146" s="60">
        <v>52.474499999999999</v>
      </c>
      <c r="I146" s="60">
        <f t="shared" si="2"/>
        <v>1488.9432168000001</v>
      </c>
      <c r="J146" s="60">
        <v>1488.9432168000001</v>
      </c>
    </row>
    <row r="147" spans="6:10" x14ac:dyDescent="0.3">
      <c r="F147">
        <v>704</v>
      </c>
      <c r="G147" s="60">
        <v>897.79294800000002</v>
      </c>
      <c r="H147" s="60">
        <v>52.474499999999999</v>
      </c>
      <c r="I147" s="60">
        <f t="shared" si="2"/>
        <v>1488.9432168000001</v>
      </c>
      <c r="J147" s="60">
        <v>1488.9432168000001</v>
      </c>
    </row>
    <row r="148" spans="6:10" x14ac:dyDescent="0.3">
      <c r="F148">
        <v>705</v>
      </c>
      <c r="G148" s="60">
        <v>707.20556399999987</v>
      </c>
      <c r="H148" s="60">
        <v>49.2453</v>
      </c>
      <c r="I148" s="60">
        <f t="shared" si="2"/>
        <v>1180.7742023999999</v>
      </c>
      <c r="J148" s="60">
        <v>1180.7742023999999</v>
      </c>
    </row>
    <row r="149" spans="6:10" x14ac:dyDescent="0.3">
      <c r="F149">
        <v>706</v>
      </c>
      <c r="G149" s="60">
        <v>707.20556399999987</v>
      </c>
      <c r="H149" s="60">
        <v>49.2453</v>
      </c>
      <c r="I149" s="60">
        <f t="shared" si="2"/>
        <v>1180.7742023999999</v>
      </c>
      <c r="J149" s="60">
        <v>1180.7742023999999</v>
      </c>
    </row>
    <row r="150" spans="6:10" x14ac:dyDescent="0.3">
      <c r="F150">
        <v>801</v>
      </c>
      <c r="G150" s="60">
        <v>709.97191199999997</v>
      </c>
      <c r="H150" s="60">
        <v>50.450868</v>
      </c>
      <c r="I150" s="60">
        <f t="shared" si="2"/>
        <v>1186.4059272</v>
      </c>
      <c r="J150" s="60">
        <v>1186.4059272</v>
      </c>
    </row>
    <row r="151" spans="6:10" x14ac:dyDescent="0.3">
      <c r="F151">
        <v>802</v>
      </c>
      <c r="G151" s="60">
        <v>710.51011200000005</v>
      </c>
      <c r="H151" s="60">
        <v>50.450868</v>
      </c>
      <c r="I151" s="60">
        <f t="shared" si="2"/>
        <v>1187.2670472</v>
      </c>
      <c r="J151" s="60">
        <v>1187.2670472</v>
      </c>
    </row>
    <row r="152" spans="6:10" x14ac:dyDescent="0.3">
      <c r="F152">
        <v>803</v>
      </c>
      <c r="G152" s="60">
        <v>895.62938399999996</v>
      </c>
      <c r="H152" s="60">
        <v>47.221667999999994</v>
      </c>
      <c r="I152" s="60">
        <f t="shared" si="2"/>
        <v>1480.2286824</v>
      </c>
      <c r="J152" s="60">
        <v>1480.2286824</v>
      </c>
    </row>
    <row r="153" spans="6:10" x14ac:dyDescent="0.3">
      <c r="F153">
        <v>804</v>
      </c>
      <c r="G153" s="60">
        <v>889.17098399999986</v>
      </c>
      <c r="H153" s="60">
        <v>47.221667999999994</v>
      </c>
      <c r="I153" s="60">
        <f t="shared" si="2"/>
        <v>1469.8952423999997</v>
      </c>
      <c r="J153" s="60">
        <v>1469.8952423999997</v>
      </c>
    </row>
    <row r="154" spans="6:10" x14ac:dyDescent="0.3">
      <c r="F154">
        <v>805</v>
      </c>
      <c r="G154" s="60">
        <v>711.62956799999995</v>
      </c>
      <c r="H154" s="60">
        <v>50.450868</v>
      </c>
      <c r="I154" s="60">
        <f t="shared" si="2"/>
        <v>1189.0581768</v>
      </c>
      <c r="J154" s="60">
        <v>1189.0581768</v>
      </c>
    </row>
    <row r="155" spans="6:10" x14ac:dyDescent="0.3">
      <c r="F155">
        <v>806</v>
      </c>
      <c r="G155" s="60">
        <v>711.37123199999985</v>
      </c>
      <c r="H155" s="60">
        <v>50.450868</v>
      </c>
      <c r="I155" s="60">
        <f t="shared" si="2"/>
        <v>1188.6448391999998</v>
      </c>
      <c r="J155" s="60">
        <v>1188.6448391999998</v>
      </c>
    </row>
    <row r="156" spans="6:10" x14ac:dyDescent="0.3">
      <c r="F156">
        <v>901</v>
      </c>
      <c r="G156" s="60">
        <v>705.54790799999989</v>
      </c>
      <c r="H156" s="60">
        <v>49.2453</v>
      </c>
      <c r="I156" s="60">
        <f t="shared" si="2"/>
        <v>1178.1219527999999</v>
      </c>
      <c r="J156" s="60">
        <v>1178.1219527999999</v>
      </c>
    </row>
    <row r="157" spans="6:10" x14ac:dyDescent="0.3">
      <c r="F157">
        <v>902</v>
      </c>
      <c r="G157" s="60">
        <v>705.54790799999989</v>
      </c>
      <c r="H157" s="60">
        <v>49.2453</v>
      </c>
      <c r="I157" s="60">
        <f t="shared" si="2"/>
        <v>1178.1219527999999</v>
      </c>
      <c r="J157" s="60">
        <v>1178.1219527999999</v>
      </c>
    </row>
    <row r="158" spans="6:10" x14ac:dyDescent="0.3">
      <c r="F158">
        <v>903</v>
      </c>
      <c r="G158" s="60">
        <v>897.79294800000002</v>
      </c>
      <c r="H158" s="60">
        <v>52.474499999999999</v>
      </c>
      <c r="I158" s="60">
        <f t="shared" si="2"/>
        <v>1488.9432168000001</v>
      </c>
      <c r="J158" s="60">
        <v>1488.9432168000001</v>
      </c>
    </row>
    <row r="159" spans="6:10" x14ac:dyDescent="0.3">
      <c r="F159">
        <v>904</v>
      </c>
      <c r="G159" s="60">
        <v>897.79294800000002</v>
      </c>
      <c r="H159" s="60">
        <v>52.474499999999999</v>
      </c>
      <c r="I159" s="60">
        <f t="shared" si="2"/>
        <v>1488.9432168000001</v>
      </c>
      <c r="J159" s="60">
        <v>1488.9432168000001</v>
      </c>
    </row>
    <row r="160" spans="6:10" x14ac:dyDescent="0.3">
      <c r="F160">
        <v>905</v>
      </c>
      <c r="G160" s="60">
        <v>707.20556399999987</v>
      </c>
      <c r="H160" s="60">
        <v>49.2453</v>
      </c>
      <c r="I160" s="60">
        <f t="shared" si="2"/>
        <v>1180.7742023999999</v>
      </c>
      <c r="J160" s="60">
        <v>1180.7742023999999</v>
      </c>
    </row>
    <row r="161" spans="6:10" x14ac:dyDescent="0.3">
      <c r="F161">
        <v>906</v>
      </c>
      <c r="G161" s="60">
        <v>707.20556399999987</v>
      </c>
      <c r="H161" s="60">
        <v>49.2453</v>
      </c>
      <c r="I161" s="60">
        <f t="shared" si="2"/>
        <v>1180.7742023999999</v>
      </c>
      <c r="J161" s="60">
        <v>1180.7742023999999</v>
      </c>
    </row>
    <row r="162" spans="6:10" x14ac:dyDescent="0.3">
      <c r="F162">
        <v>1001</v>
      </c>
      <c r="G162" s="60">
        <v>709.97191199999997</v>
      </c>
      <c r="H162" s="60">
        <v>50.450868</v>
      </c>
      <c r="I162" s="60">
        <f t="shared" si="2"/>
        <v>1186.4059272</v>
      </c>
      <c r="J162" s="60">
        <v>1186.4059272</v>
      </c>
    </row>
    <row r="163" spans="6:10" x14ac:dyDescent="0.3">
      <c r="F163">
        <v>1002</v>
      </c>
      <c r="G163" s="60">
        <v>710.51011200000005</v>
      </c>
      <c r="H163" s="60">
        <v>50.450868</v>
      </c>
      <c r="I163" s="60">
        <f t="shared" si="2"/>
        <v>1187.2670472</v>
      </c>
      <c r="J163" s="60">
        <v>1187.2670472</v>
      </c>
    </row>
    <row r="164" spans="6:10" x14ac:dyDescent="0.3">
      <c r="F164">
        <v>1003</v>
      </c>
      <c r="G164" s="60">
        <v>895.62938399999996</v>
      </c>
      <c r="H164" s="60">
        <v>47.221667999999994</v>
      </c>
      <c r="I164" s="60">
        <f t="shared" si="2"/>
        <v>1480.2286824</v>
      </c>
      <c r="J164" s="60">
        <v>1480.2286824</v>
      </c>
    </row>
    <row r="165" spans="6:10" x14ac:dyDescent="0.3">
      <c r="F165">
        <v>1004</v>
      </c>
      <c r="G165" s="60">
        <v>889.17098399999986</v>
      </c>
      <c r="H165" s="60">
        <v>47.221667999999994</v>
      </c>
      <c r="I165" s="60">
        <f t="shared" si="2"/>
        <v>1469.8952423999997</v>
      </c>
      <c r="J165" s="60">
        <v>1469.8952423999997</v>
      </c>
    </row>
    <row r="166" spans="6:10" x14ac:dyDescent="0.3">
      <c r="F166">
        <v>1005</v>
      </c>
      <c r="G166" s="60">
        <v>711.62956799999995</v>
      </c>
      <c r="H166" s="60">
        <v>50.450868</v>
      </c>
      <c r="I166" s="60">
        <f t="shared" si="2"/>
        <v>1189.0581768</v>
      </c>
      <c r="J166" s="60">
        <v>1189.0581768</v>
      </c>
    </row>
    <row r="167" spans="6:10" x14ac:dyDescent="0.3">
      <c r="F167">
        <v>1006</v>
      </c>
      <c r="G167" s="60">
        <v>711.37123199999985</v>
      </c>
      <c r="H167" s="60">
        <v>50.450868</v>
      </c>
      <c r="I167" s="60">
        <f t="shared" si="2"/>
        <v>1188.6448391999998</v>
      </c>
      <c r="J167" s="60">
        <v>1188.6448391999998</v>
      </c>
    </row>
    <row r="168" spans="6:10" x14ac:dyDescent="0.3">
      <c r="F168">
        <v>1101</v>
      </c>
      <c r="G168" s="60">
        <v>705.54790799999989</v>
      </c>
      <c r="H168" s="60">
        <v>49.2453</v>
      </c>
      <c r="I168" s="60">
        <f t="shared" si="2"/>
        <v>1178.1219527999999</v>
      </c>
      <c r="J168" s="60">
        <v>1178.1219527999999</v>
      </c>
    </row>
    <row r="169" spans="6:10" x14ac:dyDescent="0.3">
      <c r="F169">
        <v>1102</v>
      </c>
      <c r="G169" s="60">
        <v>705.54790799999989</v>
      </c>
      <c r="H169" s="60">
        <v>49.2453</v>
      </c>
      <c r="I169" s="60">
        <f t="shared" si="2"/>
        <v>1178.1219527999999</v>
      </c>
      <c r="J169" s="60">
        <v>1178.1219527999999</v>
      </c>
    </row>
    <row r="170" spans="6:10" x14ac:dyDescent="0.3">
      <c r="F170">
        <v>1103</v>
      </c>
      <c r="G170" s="60">
        <v>897.79294800000002</v>
      </c>
      <c r="H170" s="60">
        <v>52.474499999999999</v>
      </c>
      <c r="I170" s="60">
        <f t="shared" si="2"/>
        <v>1488.9432168000001</v>
      </c>
      <c r="J170" s="60">
        <v>1488.9432168000001</v>
      </c>
    </row>
    <row r="171" spans="6:10" x14ac:dyDescent="0.3">
      <c r="F171">
        <v>1104</v>
      </c>
      <c r="G171" s="60">
        <v>897.79294800000002</v>
      </c>
      <c r="H171" s="60">
        <v>52.474499999999999</v>
      </c>
      <c r="I171" s="60">
        <f t="shared" si="2"/>
        <v>1488.9432168000001</v>
      </c>
      <c r="J171" s="60">
        <v>1488.9432168000001</v>
      </c>
    </row>
    <row r="172" spans="6:10" x14ac:dyDescent="0.3">
      <c r="F172">
        <v>1105</v>
      </c>
      <c r="G172" s="60">
        <v>707.20556399999987</v>
      </c>
      <c r="H172" s="60">
        <v>49.2453</v>
      </c>
      <c r="I172" s="60">
        <f t="shared" si="2"/>
        <v>1180.7742023999999</v>
      </c>
      <c r="J172" s="60">
        <v>1180.7742023999999</v>
      </c>
    </row>
    <row r="173" spans="6:10" x14ac:dyDescent="0.3">
      <c r="F173">
        <v>1106</v>
      </c>
      <c r="G173" s="60">
        <v>707.20556399999987</v>
      </c>
      <c r="H173" s="60">
        <v>49.2453</v>
      </c>
      <c r="I173" s="60">
        <f t="shared" si="2"/>
        <v>1180.7742023999999</v>
      </c>
      <c r="J173" s="60">
        <v>1180.7742023999999</v>
      </c>
    </row>
    <row r="174" spans="6:10" x14ac:dyDescent="0.3">
      <c r="F174">
        <v>1201</v>
      </c>
      <c r="G174" s="60">
        <v>709.97191199999997</v>
      </c>
      <c r="H174" s="60">
        <v>50.450868</v>
      </c>
      <c r="I174" s="60">
        <f t="shared" si="2"/>
        <v>1186.4059272</v>
      </c>
      <c r="J174" s="60">
        <v>1186.4059272</v>
      </c>
    </row>
    <row r="175" spans="6:10" x14ac:dyDescent="0.3">
      <c r="F175">
        <v>1203</v>
      </c>
      <c r="G175" s="60">
        <v>895.62938399999996</v>
      </c>
      <c r="H175" s="60">
        <v>47.221667999999994</v>
      </c>
      <c r="I175" s="60">
        <f t="shared" si="2"/>
        <v>1480.2286824</v>
      </c>
      <c r="J175" s="60">
        <v>1480.2286824</v>
      </c>
    </row>
    <row r="176" spans="6:10" x14ac:dyDescent="0.3">
      <c r="F176">
        <v>1204</v>
      </c>
      <c r="G176" s="60">
        <v>889.17098399999986</v>
      </c>
      <c r="H176" s="60">
        <v>47.221667999999994</v>
      </c>
      <c r="I176" s="60">
        <f t="shared" si="2"/>
        <v>1469.8952423999997</v>
      </c>
      <c r="J176" s="60">
        <v>1469.8952423999997</v>
      </c>
    </row>
    <row r="177" spans="6:10" x14ac:dyDescent="0.3">
      <c r="F177">
        <v>1205</v>
      </c>
      <c r="G177" s="60">
        <v>711.62956799999995</v>
      </c>
      <c r="H177" s="60">
        <v>50.450868</v>
      </c>
      <c r="I177" s="60">
        <f t="shared" si="2"/>
        <v>1189.0581768</v>
      </c>
      <c r="J177" s="60">
        <v>1189.0581768</v>
      </c>
    </row>
    <row r="178" spans="6:10" x14ac:dyDescent="0.3">
      <c r="F178">
        <v>1206</v>
      </c>
      <c r="G178" s="60">
        <v>711.37123199999985</v>
      </c>
      <c r="H178" s="60">
        <v>50.450868</v>
      </c>
      <c r="I178" s="60">
        <f t="shared" si="2"/>
        <v>1188.6448391999998</v>
      </c>
      <c r="J178" s="60">
        <v>1188.6448391999998</v>
      </c>
    </row>
    <row r="179" spans="6:10" x14ac:dyDescent="0.3">
      <c r="F179">
        <v>1301</v>
      </c>
      <c r="G179" s="60">
        <v>705.54790799999989</v>
      </c>
      <c r="H179" s="60">
        <v>49.2453</v>
      </c>
      <c r="I179" s="60">
        <f t="shared" si="2"/>
        <v>1178.1219527999999</v>
      </c>
      <c r="J179" s="60">
        <v>1178.1219527999999</v>
      </c>
    </row>
    <row r="180" spans="6:10" x14ac:dyDescent="0.3">
      <c r="F180">
        <v>1302</v>
      </c>
      <c r="G180" s="60">
        <v>705.54790799999989</v>
      </c>
      <c r="H180" s="60">
        <v>49.2453</v>
      </c>
      <c r="I180" s="60">
        <f t="shared" si="2"/>
        <v>1178.1219527999999</v>
      </c>
      <c r="J180" s="60">
        <v>1178.1219527999999</v>
      </c>
    </row>
    <row r="181" spans="6:10" x14ac:dyDescent="0.3">
      <c r="F181">
        <v>1303</v>
      </c>
      <c r="G181" s="60">
        <v>897.79294800000002</v>
      </c>
      <c r="H181" s="60">
        <v>52.474499999999999</v>
      </c>
      <c r="I181" s="60">
        <f t="shared" si="2"/>
        <v>1488.9432168000001</v>
      </c>
      <c r="J181" s="60">
        <v>1488.9432168000001</v>
      </c>
    </row>
    <row r="182" spans="6:10" x14ac:dyDescent="0.3">
      <c r="F182">
        <v>1304</v>
      </c>
      <c r="G182" s="60">
        <v>897.79294800000002</v>
      </c>
      <c r="H182" s="60">
        <v>52.474499999999999</v>
      </c>
      <c r="I182" s="60">
        <f t="shared" si="2"/>
        <v>1488.9432168000001</v>
      </c>
      <c r="J182" s="60">
        <v>1488.9432168000001</v>
      </c>
    </row>
    <row r="183" spans="6:10" x14ac:dyDescent="0.3">
      <c r="F183">
        <v>1305</v>
      </c>
      <c r="G183" s="60">
        <v>707.20556399999987</v>
      </c>
      <c r="H183" s="60">
        <v>49.2453</v>
      </c>
      <c r="I183" s="60">
        <f t="shared" si="2"/>
        <v>1180.7742023999999</v>
      </c>
      <c r="J183" s="60">
        <v>1180.7742023999999</v>
      </c>
    </row>
    <row r="184" spans="6:10" x14ac:dyDescent="0.3">
      <c r="F184">
        <v>1306</v>
      </c>
      <c r="G184" s="60">
        <v>707.20556399999987</v>
      </c>
      <c r="H184" s="60">
        <v>49.2453</v>
      </c>
      <c r="I184" s="60">
        <f t="shared" si="2"/>
        <v>1180.7742023999999</v>
      </c>
      <c r="J184" s="60">
        <v>1180.7742023999999</v>
      </c>
    </row>
    <row r="185" spans="6:10" x14ac:dyDescent="0.3">
      <c r="F185">
        <v>1401</v>
      </c>
      <c r="G185" s="60">
        <v>709.97191199999997</v>
      </c>
      <c r="H185" s="60">
        <v>50.450868</v>
      </c>
      <c r="I185" s="60">
        <f t="shared" si="2"/>
        <v>1186.4059272</v>
      </c>
      <c r="J185" s="60">
        <v>1186.4059272</v>
      </c>
    </row>
    <row r="186" spans="6:10" x14ac:dyDescent="0.3">
      <c r="F186">
        <v>1402</v>
      </c>
      <c r="G186" s="60">
        <v>710.51011200000005</v>
      </c>
      <c r="H186" s="60">
        <v>50.450868</v>
      </c>
      <c r="I186" s="60">
        <f t="shared" si="2"/>
        <v>1187.2670472</v>
      </c>
      <c r="J186" s="60">
        <v>1187.2670472</v>
      </c>
    </row>
    <row r="187" spans="6:10" x14ac:dyDescent="0.3">
      <c r="F187">
        <v>1403</v>
      </c>
      <c r="G187" s="60">
        <v>895.62938399999996</v>
      </c>
      <c r="H187" s="60">
        <v>47.221667999999994</v>
      </c>
      <c r="I187" s="60">
        <f t="shared" si="2"/>
        <v>1480.2286824</v>
      </c>
      <c r="J187" s="60">
        <v>1480.2286824</v>
      </c>
    </row>
    <row r="188" spans="6:10" x14ac:dyDescent="0.3">
      <c r="F188">
        <v>1404</v>
      </c>
      <c r="G188" s="60">
        <v>889.17098399999986</v>
      </c>
      <c r="H188" s="60">
        <v>47.221667999999994</v>
      </c>
      <c r="I188" s="60">
        <f t="shared" si="2"/>
        <v>1469.8952423999997</v>
      </c>
      <c r="J188" s="60">
        <v>1469.8952423999997</v>
      </c>
    </row>
    <row r="189" spans="6:10" x14ac:dyDescent="0.3">
      <c r="F189">
        <v>1405</v>
      </c>
      <c r="G189" s="60">
        <v>711.62956799999995</v>
      </c>
      <c r="H189" s="60">
        <v>50.450868</v>
      </c>
      <c r="I189" s="60">
        <f t="shared" si="2"/>
        <v>1189.0581768</v>
      </c>
      <c r="J189" s="60">
        <v>1189.0581768</v>
      </c>
    </row>
    <row r="190" spans="6:10" x14ac:dyDescent="0.3">
      <c r="F190">
        <v>1406</v>
      </c>
      <c r="G190" s="60">
        <v>711.37123199999985</v>
      </c>
      <c r="H190" s="60">
        <v>50.450868</v>
      </c>
      <c r="I190" s="60">
        <f t="shared" si="2"/>
        <v>1188.6448391999998</v>
      </c>
      <c r="J190" s="60">
        <v>1188.6448391999998</v>
      </c>
    </row>
    <row r="191" spans="6:10" x14ac:dyDescent="0.3">
      <c r="F191">
        <v>1501</v>
      </c>
      <c r="G191" s="60">
        <v>705.54790799999989</v>
      </c>
      <c r="H191" s="60">
        <v>49.2453</v>
      </c>
      <c r="I191" s="60">
        <f t="shared" si="2"/>
        <v>1178.1219527999999</v>
      </c>
      <c r="J191" s="60">
        <v>1178.1219527999999</v>
      </c>
    </row>
    <row r="192" spans="6:10" x14ac:dyDescent="0.3">
      <c r="F192">
        <v>1502</v>
      </c>
      <c r="G192" s="60">
        <v>705.54790799999989</v>
      </c>
      <c r="H192" s="60">
        <v>49.2453</v>
      </c>
      <c r="I192" s="60">
        <f t="shared" si="2"/>
        <v>1178.1219527999999</v>
      </c>
      <c r="J192" s="60">
        <v>1178.1219527999999</v>
      </c>
    </row>
    <row r="193" spans="6:10" x14ac:dyDescent="0.3">
      <c r="F193">
        <v>1503</v>
      </c>
      <c r="G193" s="60">
        <v>897.79294800000002</v>
      </c>
      <c r="H193" s="60">
        <v>52.474499999999999</v>
      </c>
      <c r="I193" s="60">
        <f t="shared" si="2"/>
        <v>1488.9432168000001</v>
      </c>
      <c r="J193" s="60">
        <v>1488.9432168000001</v>
      </c>
    </row>
    <row r="194" spans="6:10" x14ac:dyDescent="0.3">
      <c r="F194">
        <v>1504</v>
      </c>
      <c r="G194" s="60">
        <v>897.79294800000002</v>
      </c>
      <c r="H194" s="60">
        <v>52.474499999999999</v>
      </c>
      <c r="I194" s="60">
        <f t="shared" si="2"/>
        <v>1488.9432168000001</v>
      </c>
      <c r="J194" s="60">
        <v>1488.9432168000001</v>
      </c>
    </row>
    <row r="195" spans="6:10" x14ac:dyDescent="0.3">
      <c r="F195">
        <v>1505</v>
      </c>
      <c r="G195" s="60">
        <v>707.20556399999987</v>
      </c>
      <c r="H195" s="60">
        <v>49.2453</v>
      </c>
      <c r="I195" s="60">
        <f t="shared" si="2"/>
        <v>1180.7742023999999</v>
      </c>
      <c r="J195" s="60">
        <v>1180.7742023999999</v>
      </c>
    </row>
    <row r="196" spans="6:10" x14ac:dyDescent="0.3">
      <c r="F196">
        <v>1506</v>
      </c>
      <c r="G196" s="60">
        <v>707.20556399999987</v>
      </c>
      <c r="H196" s="60">
        <v>49.2453</v>
      </c>
      <c r="I196" s="60">
        <f t="shared" ref="I196:I248" si="3">G196*1.6+H196</f>
        <v>1180.7742023999999</v>
      </c>
      <c r="J196" s="60">
        <v>1180.7742023999999</v>
      </c>
    </row>
    <row r="197" spans="6:10" x14ac:dyDescent="0.3">
      <c r="F197">
        <v>1601</v>
      </c>
      <c r="G197" s="60">
        <v>709.97191199999997</v>
      </c>
      <c r="H197" s="60">
        <v>50.450868</v>
      </c>
      <c r="I197" s="60">
        <f t="shared" si="3"/>
        <v>1186.4059272</v>
      </c>
      <c r="J197" s="60">
        <v>1186.4059272</v>
      </c>
    </row>
    <row r="198" spans="6:10" x14ac:dyDescent="0.3">
      <c r="F198">
        <v>1602</v>
      </c>
      <c r="G198" s="60">
        <v>710.51011200000005</v>
      </c>
      <c r="H198" s="60">
        <v>50.450868</v>
      </c>
      <c r="I198" s="60">
        <f t="shared" si="3"/>
        <v>1187.2670472</v>
      </c>
      <c r="J198" s="60">
        <v>1187.2670472</v>
      </c>
    </row>
    <row r="199" spans="6:10" x14ac:dyDescent="0.3">
      <c r="F199">
        <v>1603</v>
      </c>
      <c r="G199" s="60">
        <v>895.62938399999996</v>
      </c>
      <c r="H199" s="60">
        <v>47.221667999999994</v>
      </c>
      <c r="I199" s="60">
        <f t="shared" si="3"/>
        <v>1480.2286824</v>
      </c>
      <c r="J199" s="60">
        <v>1480.2286824</v>
      </c>
    </row>
    <row r="200" spans="6:10" x14ac:dyDescent="0.3">
      <c r="F200">
        <v>1604</v>
      </c>
      <c r="G200" s="60">
        <v>889.17098399999986</v>
      </c>
      <c r="H200" s="60">
        <v>47.221667999999994</v>
      </c>
      <c r="I200" s="60">
        <f t="shared" si="3"/>
        <v>1469.8952423999997</v>
      </c>
      <c r="J200" s="60">
        <v>1469.8952423999997</v>
      </c>
    </row>
    <row r="201" spans="6:10" x14ac:dyDescent="0.3">
      <c r="F201">
        <v>1605</v>
      </c>
      <c r="G201" s="60">
        <v>711.62956799999995</v>
      </c>
      <c r="H201" s="60">
        <v>50.450868</v>
      </c>
      <c r="I201" s="60">
        <f t="shared" si="3"/>
        <v>1189.0581768</v>
      </c>
      <c r="J201" s="60">
        <v>1189.0581768</v>
      </c>
    </row>
    <row r="202" spans="6:10" x14ac:dyDescent="0.3">
      <c r="F202">
        <v>1606</v>
      </c>
      <c r="G202" s="60">
        <v>711.37123199999985</v>
      </c>
      <c r="H202" s="60">
        <v>50.450868</v>
      </c>
      <c r="I202" s="60">
        <f t="shared" si="3"/>
        <v>1188.6448391999998</v>
      </c>
      <c r="J202" s="60">
        <v>1188.6448391999998</v>
      </c>
    </row>
    <row r="203" spans="6:10" x14ac:dyDescent="0.3">
      <c r="F203">
        <v>1701</v>
      </c>
      <c r="G203" s="60">
        <v>705.54790799999989</v>
      </c>
      <c r="H203" s="60">
        <v>49.2453</v>
      </c>
      <c r="I203" s="60">
        <f t="shared" si="3"/>
        <v>1178.1219527999999</v>
      </c>
      <c r="J203" s="60">
        <v>1178.1219527999999</v>
      </c>
    </row>
    <row r="204" spans="6:10" x14ac:dyDescent="0.3">
      <c r="F204">
        <v>1703</v>
      </c>
      <c r="G204" s="60">
        <v>897.79294800000002</v>
      </c>
      <c r="H204" s="60">
        <v>52.474499999999999</v>
      </c>
      <c r="I204" s="60">
        <f t="shared" si="3"/>
        <v>1488.9432168000001</v>
      </c>
      <c r="J204" s="60">
        <v>1488.9432168000001</v>
      </c>
    </row>
    <row r="205" spans="6:10" x14ac:dyDescent="0.3">
      <c r="F205">
        <v>1704</v>
      </c>
      <c r="G205" s="60">
        <v>897.79294800000002</v>
      </c>
      <c r="H205" s="60">
        <v>52.474499999999999</v>
      </c>
      <c r="I205" s="60">
        <f t="shared" si="3"/>
        <v>1488.9432168000001</v>
      </c>
      <c r="J205" s="60">
        <v>1488.9432168000001</v>
      </c>
    </row>
    <row r="206" spans="6:10" x14ac:dyDescent="0.3">
      <c r="F206">
        <v>1705</v>
      </c>
      <c r="G206" s="60">
        <v>707.20556399999987</v>
      </c>
      <c r="H206" s="60">
        <v>49.2453</v>
      </c>
      <c r="I206" s="60">
        <f t="shared" si="3"/>
        <v>1180.7742023999999</v>
      </c>
      <c r="J206" s="60">
        <v>1180.7742023999999</v>
      </c>
    </row>
    <row r="207" spans="6:10" x14ac:dyDescent="0.3">
      <c r="F207">
        <v>1706</v>
      </c>
      <c r="G207" s="60">
        <v>707.20556399999987</v>
      </c>
      <c r="H207" s="60">
        <v>49.2453</v>
      </c>
      <c r="I207" s="60">
        <f t="shared" si="3"/>
        <v>1180.7742023999999</v>
      </c>
      <c r="J207" s="60">
        <v>1180.7742023999999</v>
      </c>
    </row>
    <row r="208" spans="6:10" x14ac:dyDescent="0.3">
      <c r="F208">
        <v>1801</v>
      </c>
      <c r="G208" s="60">
        <v>709.97191199999997</v>
      </c>
      <c r="H208" s="60">
        <v>50.450868</v>
      </c>
      <c r="I208" s="60">
        <f t="shared" si="3"/>
        <v>1186.4059272</v>
      </c>
      <c r="J208" s="60">
        <v>1186.4059272</v>
      </c>
    </row>
    <row r="209" spans="6:10" x14ac:dyDescent="0.3">
      <c r="F209">
        <v>1802</v>
      </c>
      <c r="G209" s="60">
        <v>710.51011200000005</v>
      </c>
      <c r="H209" s="60">
        <v>50.450868</v>
      </c>
      <c r="I209" s="60">
        <f t="shared" si="3"/>
        <v>1187.2670472</v>
      </c>
      <c r="J209" s="60">
        <v>1187.2670472</v>
      </c>
    </row>
    <row r="210" spans="6:10" x14ac:dyDescent="0.3">
      <c r="F210">
        <v>1803</v>
      </c>
      <c r="G210" s="60">
        <v>895.62938399999996</v>
      </c>
      <c r="H210" s="60">
        <v>47.221667999999994</v>
      </c>
      <c r="I210" s="60">
        <f t="shared" si="3"/>
        <v>1480.2286824</v>
      </c>
      <c r="J210" s="60">
        <v>1480.2286824</v>
      </c>
    </row>
    <row r="211" spans="6:10" x14ac:dyDescent="0.3">
      <c r="F211">
        <v>1804</v>
      </c>
      <c r="G211" s="60">
        <v>889.17098399999986</v>
      </c>
      <c r="H211" s="60">
        <v>47.221667999999994</v>
      </c>
      <c r="I211" s="60">
        <f t="shared" si="3"/>
        <v>1469.8952423999997</v>
      </c>
      <c r="J211" s="60">
        <v>1469.8952423999997</v>
      </c>
    </row>
    <row r="212" spans="6:10" x14ac:dyDescent="0.3">
      <c r="F212">
        <v>1805</v>
      </c>
      <c r="G212" s="60">
        <v>711.62956799999995</v>
      </c>
      <c r="H212" s="60">
        <v>50.450868</v>
      </c>
      <c r="I212" s="60">
        <f t="shared" si="3"/>
        <v>1189.0581768</v>
      </c>
      <c r="J212" s="60">
        <v>1189.0581768</v>
      </c>
    </row>
    <row r="213" spans="6:10" x14ac:dyDescent="0.3">
      <c r="F213">
        <v>1806</v>
      </c>
      <c r="G213" s="60">
        <v>711.37123199999985</v>
      </c>
      <c r="H213" s="60">
        <v>50.450868</v>
      </c>
      <c r="I213" s="60">
        <f t="shared" si="3"/>
        <v>1188.6448391999998</v>
      </c>
      <c r="J213" s="60">
        <v>1188.6448391999998</v>
      </c>
    </row>
    <row r="214" spans="6:10" x14ac:dyDescent="0.3">
      <c r="F214">
        <v>1901</v>
      </c>
      <c r="G214" s="60">
        <v>705.54790799999989</v>
      </c>
      <c r="H214" s="60">
        <v>49.2453</v>
      </c>
      <c r="I214" s="60">
        <f t="shared" si="3"/>
        <v>1178.1219527999999</v>
      </c>
      <c r="J214" s="60">
        <v>1178.1219527999999</v>
      </c>
    </row>
    <row r="215" spans="6:10" x14ac:dyDescent="0.3">
      <c r="F215">
        <v>1902</v>
      </c>
      <c r="G215" s="60">
        <v>705.54790799999989</v>
      </c>
      <c r="H215" s="60">
        <v>49.2453</v>
      </c>
      <c r="I215" s="60">
        <f t="shared" si="3"/>
        <v>1178.1219527999999</v>
      </c>
      <c r="J215" s="60">
        <v>1178.1219527999999</v>
      </c>
    </row>
    <row r="216" spans="6:10" x14ac:dyDescent="0.3">
      <c r="F216">
        <v>1903</v>
      </c>
      <c r="G216" s="60">
        <v>897.79294800000002</v>
      </c>
      <c r="H216" s="60">
        <v>52.474499999999999</v>
      </c>
      <c r="I216" s="60">
        <f t="shared" si="3"/>
        <v>1488.9432168000001</v>
      </c>
      <c r="J216" s="60">
        <v>1488.9432168000001</v>
      </c>
    </row>
    <row r="217" spans="6:10" x14ac:dyDescent="0.3">
      <c r="F217">
        <v>1904</v>
      </c>
      <c r="G217" s="60">
        <v>897.79294800000002</v>
      </c>
      <c r="H217" s="60">
        <v>52.474499999999999</v>
      </c>
      <c r="I217" s="60">
        <f t="shared" si="3"/>
        <v>1488.9432168000001</v>
      </c>
      <c r="J217" s="60">
        <v>1488.9432168000001</v>
      </c>
    </row>
    <row r="218" spans="6:10" x14ac:dyDescent="0.3">
      <c r="F218">
        <v>1905</v>
      </c>
      <c r="G218" s="60">
        <v>707.20556399999987</v>
      </c>
      <c r="H218" s="60">
        <v>49.2453</v>
      </c>
      <c r="I218" s="60">
        <f t="shared" si="3"/>
        <v>1180.7742023999999</v>
      </c>
      <c r="J218" s="60">
        <v>1180.7742023999999</v>
      </c>
    </row>
    <row r="219" spans="6:10" x14ac:dyDescent="0.3">
      <c r="F219">
        <v>1906</v>
      </c>
      <c r="G219" s="60">
        <v>707.20556399999987</v>
      </c>
      <c r="H219" s="60">
        <v>49.2453</v>
      </c>
      <c r="I219" s="60">
        <f t="shared" si="3"/>
        <v>1180.7742023999999</v>
      </c>
      <c r="J219" s="60">
        <v>1180.7742023999999</v>
      </c>
    </row>
    <row r="220" spans="6:10" x14ac:dyDescent="0.3">
      <c r="F220">
        <v>2001</v>
      </c>
      <c r="G220" s="60">
        <v>709.97191199999997</v>
      </c>
      <c r="H220" s="60">
        <v>50.450868</v>
      </c>
      <c r="I220" s="60">
        <f t="shared" si="3"/>
        <v>1186.4059272</v>
      </c>
      <c r="J220" s="60">
        <v>1186.4059272</v>
      </c>
    </row>
    <row r="221" spans="6:10" x14ac:dyDescent="0.3">
      <c r="F221">
        <v>2002</v>
      </c>
      <c r="G221" s="60">
        <v>710.51011200000005</v>
      </c>
      <c r="H221" s="60">
        <v>50.450868</v>
      </c>
      <c r="I221" s="60">
        <f t="shared" si="3"/>
        <v>1187.2670472</v>
      </c>
      <c r="J221" s="60">
        <v>1187.2670472</v>
      </c>
    </row>
    <row r="222" spans="6:10" x14ac:dyDescent="0.3">
      <c r="F222">
        <v>2003</v>
      </c>
      <c r="G222" s="60">
        <v>895.62938399999996</v>
      </c>
      <c r="H222" s="60">
        <v>47.221667999999994</v>
      </c>
      <c r="I222" s="60">
        <f t="shared" si="3"/>
        <v>1480.2286824</v>
      </c>
      <c r="J222" s="60">
        <v>1480.2286824</v>
      </c>
    </row>
    <row r="223" spans="6:10" x14ac:dyDescent="0.3">
      <c r="F223">
        <v>2004</v>
      </c>
      <c r="G223" s="60">
        <v>889.17098399999986</v>
      </c>
      <c r="H223" s="60">
        <v>47.221667999999994</v>
      </c>
      <c r="I223" s="60">
        <f t="shared" si="3"/>
        <v>1469.8952423999997</v>
      </c>
      <c r="J223" s="60">
        <v>1469.8952423999997</v>
      </c>
    </row>
    <row r="224" spans="6:10" x14ac:dyDescent="0.3">
      <c r="F224">
        <v>2005</v>
      </c>
      <c r="G224" s="60">
        <v>711.62956799999995</v>
      </c>
      <c r="H224" s="60">
        <v>50.450868</v>
      </c>
      <c r="I224" s="60">
        <f t="shared" si="3"/>
        <v>1189.0581768</v>
      </c>
      <c r="J224" s="60">
        <v>1189.0581768</v>
      </c>
    </row>
    <row r="225" spans="6:10" x14ac:dyDescent="0.3">
      <c r="F225">
        <v>2006</v>
      </c>
      <c r="G225" s="60">
        <v>711.37123199999985</v>
      </c>
      <c r="H225" s="60">
        <v>50.450868</v>
      </c>
      <c r="I225" s="60">
        <f t="shared" si="3"/>
        <v>1188.6448391999998</v>
      </c>
      <c r="J225" s="60">
        <v>1188.6448391999998</v>
      </c>
    </row>
    <row r="226" spans="6:10" x14ac:dyDescent="0.3">
      <c r="F226">
        <v>2101</v>
      </c>
      <c r="G226" s="60">
        <v>705.54790799999989</v>
      </c>
      <c r="H226" s="60">
        <v>49.2453</v>
      </c>
      <c r="I226" s="60">
        <f t="shared" si="3"/>
        <v>1178.1219527999999</v>
      </c>
      <c r="J226" s="60">
        <v>1178.1219527999999</v>
      </c>
    </row>
    <row r="227" spans="6:10" x14ac:dyDescent="0.3">
      <c r="F227">
        <v>2102</v>
      </c>
      <c r="G227" s="60">
        <v>705.54790799999989</v>
      </c>
      <c r="H227" s="60">
        <v>49.2453</v>
      </c>
      <c r="I227" s="60">
        <f t="shared" si="3"/>
        <v>1178.1219527999999</v>
      </c>
      <c r="J227" s="60">
        <v>1178.1219527999999</v>
      </c>
    </row>
    <row r="228" spans="6:10" x14ac:dyDescent="0.3">
      <c r="F228">
        <v>2103</v>
      </c>
      <c r="G228" s="60">
        <v>897.79294800000002</v>
      </c>
      <c r="H228" s="60">
        <v>52.474499999999999</v>
      </c>
      <c r="I228" s="60">
        <f t="shared" si="3"/>
        <v>1488.9432168000001</v>
      </c>
      <c r="J228" s="60">
        <v>1488.9432168000001</v>
      </c>
    </row>
    <row r="229" spans="6:10" x14ac:dyDescent="0.3">
      <c r="F229">
        <v>2104</v>
      </c>
      <c r="G229" s="60">
        <v>897.79294800000002</v>
      </c>
      <c r="H229" s="60">
        <v>52.474499999999999</v>
      </c>
      <c r="I229" s="60">
        <f t="shared" si="3"/>
        <v>1488.9432168000001</v>
      </c>
      <c r="J229" s="60">
        <v>1488.9432168000001</v>
      </c>
    </row>
    <row r="230" spans="6:10" x14ac:dyDescent="0.3">
      <c r="F230">
        <v>2105</v>
      </c>
      <c r="G230" s="60">
        <v>707.20556399999987</v>
      </c>
      <c r="H230" s="60">
        <v>49.2453</v>
      </c>
      <c r="I230" s="60">
        <f t="shared" si="3"/>
        <v>1180.7742023999999</v>
      </c>
      <c r="J230" s="60">
        <v>1180.7742023999999</v>
      </c>
    </row>
    <row r="231" spans="6:10" x14ac:dyDescent="0.3">
      <c r="F231">
        <v>2106</v>
      </c>
      <c r="G231" s="60">
        <v>707.20556399999987</v>
      </c>
      <c r="H231" s="60">
        <v>49.2453</v>
      </c>
      <c r="I231" s="60">
        <f t="shared" si="3"/>
        <v>1180.7742023999999</v>
      </c>
      <c r="J231" s="60">
        <v>1180.7742023999999</v>
      </c>
    </row>
    <row r="232" spans="6:10" x14ac:dyDescent="0.3">
      <c r="F232">
        <v>2201</v>
      </c>
      <c r="G232" s="60">
        <v>709.97191199999997</v>
      </c>
      <c r="H232" s="60">
        <v>50.450868</v>
      </c>
      <c r="I232" s="60">
        <f t="shared" si="3"/>
        <v>1186.4059272</v>
      </c>
      <c r="J232" s="60">
        <v>1186.4059272</v>
      </c>
    </row>
    <row r="233" spans="6:10" x14ac:dyDescent="0.3">
      <c r="F233">
        <v>2203</v>
      </c>
      <c r="G233" s="60">
        <v>895.62938399999996</v>
      </c>
      <c r="H233" s="60">
        <v>47.221667999999994</v>
      </c>
      <c r="I233" s="60">
        <f t="shared" si="3"/>
        <v>1480.2286824</v>
      </c>
      <c r="J233" s="60">
        <v>1480.2286824</v>
      </c>
    </row>
    <row r="234" spans="6:10" x14ac:dyDescent="0.3">
      <c r="F234">
        <v>2204</v>
      </c>
      <c r="G234" s="60">
        <v>889.17098399999986</v>
      </c>
      <c r="H234" s="60">
        <v>47.221667999999994</v>
      </c>
      <c r="I234" s="60">
        <f t="shared" si="3"/>
        <v>1469.8952423999997</v>
      </c>
      <c r="J234" s="60">
        <v>1469.8952423999997</v>
      </c>
    </row>
    <row r="235" spans="6:10" x14ac:dyDescent="0.3">
      <c r="F235">
        <v>2205</v>
      </c>
      <c r="G235" s="60">
        <v>711.62956799999995</v>
      </c>
      <c r="H235" s="60">
        <v>50.450868</v>
      </c>
      <c r="I235" s="60">
        <f t="shared" si="3"/>
        <v>1189.0581768</v>
      </c>
      <c r="J235" s="60">
        <v>1189.0581768</v>
      </c>
    </row>
    <row r="236" spans="6:10" x14ac:dyDescent="0.3">
      <c r="F236">
        <v>2206</v>
      </c>
      <c r="G236" s="60">
        <v>711.37123199999985</v>
      </c>
      <c r="H236" s="60">
        <v>50.450868</v>
      </c>
      <c r="I236" s="60">
        <f t="shared" si="3"/>
        <v>1188.6448391999998</v>
      </c>
      <c r="J236" s="60">
        <v>1188.6448391999998</v>
      </c>
    </row>
    <row r="237" spans="6:10" x14ac:dyDescent="0.3">
      <c r="F237">
        <v>2301</v>
      </c>
      <c r="G237" s="60">
        <v>709.97191199999997</v>
      </c>
      <c r="H237" s="60">
        <v>49.2453</v>
      </c>
      <c r="I237" s="60">
        <f t="shared" si="3"/>
        <v>1185.2003592000001</v>
      </c>
      <c r="J237" s="60">
        <v>1185.2003592000001</v>
      </c>
    </row>
    <row r="238" spans="6:10" x14ac:dyDescent="0.3">
      <c r="F238">
        <v>2302</v>
      </c>
      <c r="G238" s="60">
        <v>710.51011200000005</v>
      </c>
      <c r="H238" s="60">
        <v>49.2453</v>
      </c>
      <c r="I238" s="60">
        <f t="shared" si="3"/>
        <v>1186.0614792000001</v>
      </c>
      <c r="J238" s="60">
        <v>1186.0614792000001</v>
      </c>
    </row>
    <row r="239" spans="6:10" x14ac:dyDescent="0.3">
      <c r="F239">
        <v>2303</v>
      </c>
      <c r="G239" s="60">
        <v>895.62938399999996</v>
      </c>
      <c r="H239" s="60">
        <v>52.474499999999999</v>
      </c>
      <c r="I239" s="60">
        <f t="shared" si="3"/>
        <v>1485.4815144000002</v>
      </c>
      <c r="J239" s="60">
        <v>1485.4815144000002</v>
      </c>
    </row>
    <row r="240" spans="6:10" x14ac:dyDescent="0.3">
      <c r="F240">
        <v>2304</v>
      </c>
      <c r="G240" s="60">
        <v>895.62938399999996</v>
      </c>
      <c r="H240" s="60">
        <v>52.474499999999999</v>
      </c>
      <c r="I240" s="60">
        <f t="shared" si="3"/>
        <v>1485.4815144000002</v>
      </c>
      <c r="J240" s="60">
        <v>1485.4815144000002</v>
      </c>
    </row>
    <row r="241" spans="6:10" x14ac:dyDescent="0.3">
      <c r="F241">
        <v>2305</v>
      </c>
      <c r="G241" s="60">
        <v>711.62956799999995</v>
      </c>
      <c r="H241" s="60">
        <v>49.2453</v>
      </c>
      <c r="I241" s="60">
        <f t="shared" si="3"/>
        <v>1187.8526088000001</v>
      </c>
      <c r="J241" s="60">
        <v>1187.8526088000001</v>
      </c>
    </row>
    <row r="242" spans="6:10" x14ac:dyDescent="0.3">
      <c r="F242">
        <v>2306</v>
      </c>
      <c r="G242" s="60">
        <v>711.37123199999985</v>
      </c>
      <c r="H242" s="60">
        <v>49.2453</v>
      </c>
      <c r="I242" s="60">
        <f t="shared" si="3"/>
        <v>1187.4392711999999</v>
      </c>
      <c r="J242" s="60">
        <v>1187.4392711999999</v>
      </c>
    </row>
    <row r="243" spans="6:10" x14ac:dyDescent="0.3">
      <c r="F243">
        <v>2401</v>
      </c>
      <c r="G243" s="60">
        <v>709.97191199999997</v>
      </c>
      <c r="H243" s="60">
        <v>50.450868</v>
      </c>
      <c r="I243" s="60">
        <f t="shared" si="3"/>
        <v>1186.4059272</v>
      </c>
      <c r="J243" s="60">
        <v>1186.4059272</v>
      </c>
    </row>
    <row r="244" spans="6:10" x14ac:dyDescent="0.3">
      <c r="F244">
        <v>2402</v>
      </c>
      <c r="G244" s="60">
        <v>710.51011200000005</v>
      </c>
      <c r="H244" s="60">
        <v>50.450868</v>
      </c>
      <c r="I244" s="60">
        <f t="shared" si="3"/>
        <v>1187.2670472</v>
      </c>
      <c r="J244" s="60">
        <v>1187.2670472</v>
      </c>
    </row>
    <row r="245" spans="6:10" x14ac:dyDescent="0.3">
      <c r="F245">
        <v>2403</v>
      </c>
      <c r="G245" s="60">
        <v>895.62938399999996</v>
      </c>
      <c r="H245" s="60">
        <v>47.221667999999994</v>
      </c>
      <c r="I245" s="60">
        <f t="shared" si="3"/>
        <v>1480.2286824</v>
      </c>
      <c r="J245" s="60">
        <v>1480.2286824</v>
      </c>
    </row>
    <row r="246" spans="6:10" x14ac:dyDescent="0.3">
      <c r="F246">
        <v>2404</v>
      </c>
      <c r="G246" s="60">
        <v>895.62938399999996</v>
      </c>
      <c r="H246" s="60">
        <v>47.221667999999994</v>
      </c>
      <c r="I246" s="60">
        <f t="shared" si="3"/>
        <v>1480.2286824</v>
      </c>
      <c r="J246" s="60">
        <v>1480.2286824</v>
      </c>
    </row>
    <row r="247" spans="6:10" x14ac:dyDescent="0.3">
      <c r="F247">
        <v>2405</v>
      </c>
      <c r="G247" s="60">
        <v>711.62956799999995</v>
      </c>
      <c r="H247" s="60">
        <v>50.450868</v>
      </c>
      <c r="I247" s="60">
        <f t="shared" si="3"/>
        <v>1189.0581768</v>
      </c>
      <c r="J247" s="60">
        <v>1189.0581768</v>
      </c>
    </row>
    <row r="248" spans="6:10" x14ac:dyDescent="0.3">
      <c r="F248">
        <v>2406</v>
      </c>
      <c r="G248" s="60">
        <v>711.37123199999985</v>
      </c>
      <c r="H248" s="60">
        <v>50.450868</v>
      </c>
      <c r="I248" s="60">
        <f t="shared" si="3"/>
        <v>1188.6448391999998</v>
      </c>
      <c r="J248" s="60">
        <v>1188.6448391999998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Kunal Kadam</cp:lastModifiedBy>
  <cp:lastPrinted>2025-07-11T08:57:48Z</cp:lastPrinted>
  <dcterms:created xsi:type="dcterms:W3CDTF">2010-11-23T11:42:48Z</dcterms:created>
  <dcterms:modified xsi:type="dcterms:W3CDTF">2025-07-11T08:57:48Z</dcterms:modified>
</cp:coreProperties>
</file>