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defaultThemeVersion="124226"/>
  <mc:AlternateContent xmlns:mc="http://schemas.openxmlformats.org/markup-compatibility/2006">
    <mc:Choice Requires="x15">
      <x15ac:absPath xmlns:x15ac="http://schemas.microsoft.com/office/spreadsheetml/2010/11/ac" url="K:\VSJ Work\July 25\Godrej Old\"/>
    </mc:Choice>
  </mc:AlternateContent>
  <xr:revisionPtr revIDLastSave="0" documentId="13_ncr:1_{AC9913A4-9955-4511-BBAB-DC3723EEFA9E}" xr6:coauthVersionLast="47" xr6:coauthVersionMax="47" xr10:uidLastSave="{00000000-0000-0000-0000-000000000000}"/>
  <bookViews>
    <workbookView xWindow="-108" yWindow="-108" windowWidth="23256" windowHeight="12456" xr2:uid="{00000000-000D-0000-FFFF-FFFF00000000}"/>
  </bookViews>
  <sheets>
    <sheet name="Report" sheetId="3" r:id="rId1"/>
  </sheets>
  <definedNames>
    <definedName name="_xlnm.Print_Area" localSheetId="0">Report!$A$1:$I$371</definedName>
  </definedNames>
  <calcPr calcId="191029"/>
</workbook>
</file>

<file path=xl/calcChain.xml><?xml version="1.0" encoding="utf-8"?>
<calcChain xmlns="http://schemas.openxmlformats.org/spreadsheetml/2006/main">
  <c r="L4" i="3" l="1"/>
  <c r="C78" i="3"/>
  <c r="M98" i="3"/>
  <c r="K96" i="3"/>
  <c r="K95" i="3"/>
  <c r="K94" i="3"/>
  <c r="M82" i="3"/>
  <c r="K80" i="3"/>
  <c r="K79" i="3"/>
  <c r="K78" i="3"/>
  <c r="M66" i="3"/>
  <c r="K64" i="3"/>
  <c r="K63" i="3"/>
  <c r="K62" i="3"/>
  <c r="I87" i="3"/>
  <c r="I71" i="3"/>
  <c r="I55" i="3"/>
  <c r="K90" i="3" l="1"/>
  <c r="C89" i="3" s="1"/>
  <c r="E89" i="3" s="1"/>
  <c r="K89" i="3"/>
  <c r="E96" i="3"/>
  <c r="E92" i="3"/>
  <c r="K91" i="3"/>
  <c r="K92" i="3" s="1"/>
  <c r="K97" i="3" s="1"/>
  <c r="E97" i="3"/>
  <c r="E93" i="3"/>
  <c r="E100" i="3"/>
  <c r="E99" i="3"/>
  <c r="E95" i="3"/>
  <c r="E91" i="3"/>
  <c r="K88" i="3"/>
  <c r="E98" i="3"/>
  <c r="E94" i="3"/>
  <c r="K74" i="3"/>
  <c r="K73" i="3"/>
  <c r="E84" i="3"/>
  <c r="E76" i="3"/>
  <c r="E81" i="3"/>
  <c r="E77" i="3"/>
  <c r="E80" i="3"/>
  <c r="E83" i="3"/>
  <c r="K75" i="3"/>
  <c r="K76" i="3" s="1"/>
  <c r="K81" i="3" s="1"/>
  <c r="E79" i="3"/>
  <c r="E75" i="3"/>
  <c r="K72" i="3"/>
  <c r="E82" i="3"/>
  <c r="E78" i="3"/>
  <c r="E68" i="3"/>
  <c r="E64" i="3"/>
  <c r="E60" i="3"/>
  <c r="E67" i="3"/>
  <c r="K59" i="3"/>
  <c r="K60" i="3" s="1"/>
  <c r="K65" i="3" s="1"/>
  <c r="E59" i="3"/>
  <c r="E63" i="3"/>
  <c r="E66" i="3"/>
  <c r="E62" i="3"/>
  <c r="K57" i="3"/>
  <c r="K56" i="3"/>
  <c r="E65" i="3"/>
  <c r="E61" i="3"/>
  <c r="K58" i="3"/>
  <c r="C57" i="3" s="1"/>
  <c r="K93" i="3" l="1"/>
  <c r="K98" i="3" s="1"/>
  <c r="C90" i="3" s="1"/>
  <c r="E90" i="3" s="1"/>
  <c r="C73" i="3"/>
  <c r="E73" i="3" s="1"/>
  <c r="K77" i="3"/>
  <c r="K82" i="3" s="1"/>
  <c r="C74" i="3" s="1"/>
  <c r="E74" i="3" s="1"/>
  <c r="K61" i="3"/>
  <c r="K66" i="3" s="1"/>
  <c r="C58" i="3" s="1"/>
  <c r="E58" i="3" s="1"/>
  <c r="E57" i="3"/>
  <c r="F89" i="3" l="1"/>
  <c r="J86" i="3" s="1"/>
  <c r="H89" i="3" s="1"/>
  <c r="F73" i="3"/>
  <c r="J70" i="3" s="1"/>
  <c r="H73" i="3" s="1"/>
  <c r="F57" i="3"/>
  <c r="H101" i="3" s="1"/>
  <c r="F234" i="3"/>
  <c r="I234" i="3" s="1"/>
  <c r="F233" i="3"/>
  <c r="I233" i="3" s="1"/>
  <c r="F232" i="3"/>
  <c r="I232" i="3" s="1"/>
  <c r="F231" i="3"/>
  <c r="I231" i="3" s="1"/>
  <c r="F230" i="3"/>
  <c r="I230" i="3" s="1"/>
  <c r="F229" i="3"/>
  <c r="I229" i="3" s="1"/>
  <c r="F228" i="3"/>
  <c r="I228" i="3" s="1"/>
  <c r="A227" i="3"/>
  <c r="F225" i="3"/>
  <c r="F224" i="3"/>
  <c r="F223" i="3"/>
  <c r="I223" i="3" s="1"/>
  <c r="F222" i="3"/>
  <c r="I222" i="3" s="1"/>
  <c r="F221" i="3"/>
  <c r="I221" i="3" s="1"/>
  <c r="F220" i="3"/>
  <c r="I220" i="3" s="1"/>
  <c r="F219" i="3"/>
  <c r="I219" i="3" s="1"/>
  <c r="F218" i="3"/>
  <c r="I218" i="3" s="1"/>
  <c r="I225" i="3"/>
  <c r="I224" i="3"/>
  <c r="A218" i="3"/>
  <c r="F216" i="3"/>
  <c r="I216" i="3" s="1"/>
  <c r="F215" i="3"/>
  <c r="I215" i="3" s="1"/>
  <c r="F214" i="3"/>
  <c r="I214" i="3" s="1"/>
  <c r="F213" i="3"/>
  <c r="I213" i="3" s="1"/>
  <c r="F212" i="3"/>
  <c r="I212" i="3" s="1"/>
  <c r="F211" i="3"/>
  <c r="I211" i="3" s="1"/>
  <c r="A209" i="3"/>
  <c r="F207" i="3"/>
  <c r="I207" i="3" s="1"/>
  <c r="F206" i="3"/>
  <c r="I206" i="3" s="1"/>
  <c r="F205" i="3"/>
  <c r="I205" i="3" s="1"/>
  <c r="F204" i="3"/>
  <c r="I204" i="3" s="1"/>
  <c r="F198" i="3"/>
  <c r="I198" i="3" s="1"/>
  <c r="F197" i="3"/>
  <c r="I197" i="3" s="1"/>
  <c r="F196" i="3"/>
  <c r="I196" i="3" s="1"/>
  <c r="F195" i="3"/>
  <c r="I195" i="3" s="1"/>
  <c r="F203" i="3"/>
  <c r="I203" i="3" s="1"/>
  <c r="F202" i="3"/>
  <c r="I202" i="3" s="1"/>
  <c r="F201" i="3"/>
  <c r="I201" i="3" s="1"/>
  <c r="F200" i="3"/>
  <c r="I200" i="3" s="1"/>
  <c r="A200" i="3"/>
  <c r="F194" i="3"/>
  <c r="I194" i="3" s="1"/>
  <c r="F193" i="3"/>
  <c r="I193" i="3" s="1"/>
  <c r="F192" i="3"/>
  <c r="I192" i="3" s="1"/>
  <c r="F191" i="3"/>
  <c r="I191" i="3" s="1"/>
  <c r="A191" i="3"/>
  <c r="F189" i="3"/>
  <c r="I189" i="3" s="1"/>
  <c r="F188" i="3"/>
  <c r="I188" i="3" s="1"/>
  <c r="F187" i="3"/>
  <c r="I187" i="3" s="1"/>
  <c r="F186" i="3"/>
  <c r="I186" i="3" s="1"/>
  <c r="A186" i="3"/>
  <c r="F172" i="3"/>
  <c r="I172" i="3" s="1"/>
  <c r="F171" i="3"/>
  <c r="I171" i="3" s="1"/>
  <c r="F170" i="3"/>
  <c r="I170" i="3" s="1"/>
  <c r="F169" i="3"/>
  <c r="I169" i="3" s="1"/>
  <c r="F168" i="3"/>
  <c r="I168" i="3" s="1"/>
  <c r="F167" i="3"/>
  <c r="I167" i="3" s="1"/>
  <c r="K176" i="3"/>
  <c r="A167" i="3"/>
  <c r="J54" i="3" l="1"/>
  <c r="H57" i="3" s="1"/>
  <c r="H113" i="3"/>
  <c r="H114" i="3"/>
  <c r="L19" i="3"/>
  <c r="H48" i="3" l="1"/>
  <c r="F184" i="3"/>
  <c r="I184" i="3" s="1"/>
  <c r="F183" i="3"/>
  <c r="I183" i="3" s="1"/>
  <c r="F182" i="3"/>
  <c r="I182" i="3" s="1"/>
  <c r="F181" i="3"/>
  <c r="I181" i="3" s="1"/>
  <c r="F179" i="3"/>
  <c r="I179" i="3" s="1"/>
  <c r="F178" i="3"/>
  <c r="I178" i="3" s="1"/>
  <c r="F177" i="3"/>
  <c r="I177" i="3" s="1"/>
  <c r="F176" i="3"/>
  <c r="A181" i="3"/>
  <c r="A176" i="3"/>
  <c r="A177" i="3" s="1"/>
  <c r="A178" i="3" s="1"/>
  <c r="A179" i="3" s="1"/>
  <c r="F165" i="3"/>
  <c r="I165" i="3" s="1"/>
  <c r="F164" i="3"/>
  <c r="I164" i="3" s="1"/>
  <c r="F163" i="3"/>
  <c r="I163" i="3" s="1"/>
  <c r="F161" i="3"/>
  <c r="I161" i="3" s="1"/>
  <c r="F160" i="3"/>
  <c r="I160" i="3" s="1"/>
  <c r="A160" i="3"/>
  <c r="F158" i="3"/>
  <c r="I158" i="3" s="1"/>
  <c r="F157" i="3"/>
  <c r="I157" i="3" s="1"/>
  <c r="F156" i="3"/>
  <c r="I156" i="3" s="1"/>
  <c r="F155" i="3"/>
  <c r="I155" i="3" s="1"/>
  <c r="F154" i="3"/>
  <c r="I154" i="3" s="1"/>
  <c r="F153" i="3"/>
  <c r="I153" i="3" s="1"/>
  <c r="A153" i="3"/>
  <c r="F151" i="3"/>
  <c r="I151" i="3" s="1"/>
  <c r="F150" i="3"/>
  <c r="I150" i="3" s="1"/>
  <c r="F149" i="3"/>
  <c r="I149" i="3" s="1"/>
  <c r="F147" i="3"/>
  <c r="I147" i="3" s="1"/>
  <c r="F146" i="3"/>
  <c r="I146" i="3" s="1"/>
  <c r="A146" i="3"/>
  <c r="F144" i="3"/>
  <c r="K144" i="3" s="1"/>
  <c r="F143" i="3"/>
  <c r="K143" i="3" s="1"/>
  <c r="F142" i="3"/>
  <c r="K142" i="3" s="1"/>
  <c r="F141" i="3"/>
  <c r="K141" i="3" s="1"/>
  <c r="F140" i="3"/>
  <c r="K140" i="3" s="1"/>
  <c r="F139" i="3"/>
  <c r="K139" i="3" s="1"/>
  <c r="A139" i="3"/>
  <c r="I176" i="3" l="1"/>
  <c r="I119" i="3" s="1"/>
  <c r="F119" i="3"/>
  <c r="H119" i="3"/>
  <c r="F137" i="3"/>
  <c r="I137" i="3" s="1"/>
  <c r="F136" i="3"/>
  <c r="I136" i="3" s="1"/>
  <c r="F135" i="3"/>
  <c r="I135" i="3" s="1"/>
  <c r="A135" i="3"/>
  <c r="F133" i="3"/>
  <c r="I133" i="3" s="1"/>
  <c r="F132" i="3"/>
  <c r="I132" i="3" s="1"/>
  <c r="F131" i="3"/>
  <c r="I131" i="3" s="1"/>
  <c r="A131" i="3"/>
  <c r="F129" i="3"/>
  <c r="I129" i="3" s="1"/>
  <c r="F128" i="3"/>
  <c r="I128" i="3" s="1"/>
  <c r="F127" i="3"/>
  <c r="A127" i="3"/>
  <c r="A128" i="3" s="1"/>
  <c r="A129" i="3" s="1"/>
  <c r="F118" i="3" l="1"/>
  <c r="F120" i="3" s="1"/>
  <c r="H118" i="3"/>
  <c r="I127" i="3"/>
  <c r="E10" i="3"/>
  <c r="E240" i="3" l="1"/>
  <c r="I4" i="3" l="1"/>
  <c r="H120" i="3" l="1"/>
  <c r="E239" i="3" l="1"/>
  <c r="E238" i="3"/>
  <c r="H115" i="3"/>
  <c r="I140" i="3" l="1"/>
  <c r="I141" i="3"/>
  <c r="I142" i="3"/>
  <c r="I143" i="3"/>
  <c r="I144" i="3"/>
  <c r="I139" i="3"/>
  <c r="I118" i="3" l="1"/>
  <c r="I120" i="3" s="1"/>
</calcChain>
</file>

<file path=xl/sharedStrings.xml><?xml version="1.0" encoding="utf-8"?>
<sst xmlns="http://schemas.openxmlformats.org/spreadsheetml/2006/main" count="541" uniqueCount="259">
  <si>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</si>
  <si>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</si>
  <si>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</si>
  <si>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</si>
  <si>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</si>
  <si>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</si>
  <si>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</si>
  <si>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</si>
  <si>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</si>
  <si>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</si>
  <si>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</si>
  <si>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</si>
  <si>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</si>
  <si>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</si>
  <si>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</si>
  <si>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</si>
  <si>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</si>
  <si>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</si>
  <si>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</si>
  <si>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</si>
  <si>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</si>
  <si>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</si>
  <si>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</si>
  <si>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</si>
  <si>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</si>
  <si>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</si>
  <si>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</si>
  <si>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</si>
  <si>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</si>
  <si>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</si>
  <si>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</si>
  <si>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</si>
  <si>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</si>
  <si>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</si>
  <si>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</si>
  <si>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</si>
  <si>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</si>
  <si>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</si>
  <si>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</si>
  <si>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</si>
  <si>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</si>
  <si>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</si>
  <si>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</si>
  <si>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</si>
  <si>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</si>
  <si>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</si>
  <si>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</si>
  <si>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</si>
  <si>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</si>
  <si>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</si>
  <si>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</si>
  <si>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</si>
  <si>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</si>
  <si>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</si>
  <si>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</si>
  <si>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</si>
  <si>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</si>
  <si>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</si>
  <si>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</si>
  <si>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</si>
  <si>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</si>
  <si>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</si>
  <si>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</si>
  <si>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</si>
  <si>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</si>
  <si>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</si>
  <si>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</si>
  <si>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</si>
  <si>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</si>
  <si>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</si>
  <si>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</si>
  <si>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</si>
  <si>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</si>
  <si>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</si>
  <si>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</si>
  <si>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</si>
  <si>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</si>
  <si>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</si>
  <si>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</si>
  <si>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</si>
  <si>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</si>
  <si>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</si>
  <si>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</si>
  <si>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</si>
  <si>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</si>
  <si>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</si>
  <si>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</si>
  <si>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</si>
  <si>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</si>
  <si>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</si>
  <si>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</si>
  <si>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</si>
  <si>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</si>
  <si>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</si>
  <si>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</si>
  <si>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</si>
  <si>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</si>
  <si>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</si>
  <si>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</si>
  <si>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</si>
  <si>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</si>
  <si>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</si>
  <si>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</si>
  <si>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</si>
  <si>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</si>
  <si>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</si>
  <si>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</si>
  <si>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</si>
  <si>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</si>
  <si>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</si>
  <si>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</si>
  <si>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</si>
  <si>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</si>
  <si>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</si>
  <si>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Middle</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</si>
  <si>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</si>
  <si>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</si>
  <si>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</si>
  <si>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</si>
  <si>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</si>
  <si>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</si>
  <si>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</si>
  <si>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</si>
  <si>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</si>
  <si>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</si>
  <si>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</si>
  <si>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</si>
  <si>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</si>
  <si>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</si>
  <si>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</si>
  <si>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</si>
  <si>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</si>
  <si>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</si>
  <si>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</si>
  <si>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</si>
  <si>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1. Approx. 2KM from Village Market.
2. Approx. 10KM from Panvel Main Market.</t>
  </si>
  <si>
    <t>Project Site Address</t>
  </si>
  <si>
    <t>Distance from the nearest School (Km)</t>
  </si>
  <si>
    <t>About 4KM from School</t>
  </si>
  <si>
    <t>Distance from Hospital (Km)</t>
  </si>
  <si>
    <t>About 4K form Hospital</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</si>
  <si>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</si>
  <si>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</si>
  <si>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</si>
  <si>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</si>
  <si>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</si>
  <si>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</si>
  <si>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</si>
  <si>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</si>
  <si>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</si>
  <si>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</si>
  <si>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</si>
  <si>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</si>
  <si>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</si>
  <si>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</si>
  <si>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</si>
  <si>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</si>
  <si>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</si>
  <si>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</si>
  <si>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</si>
  <si>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</si>
  <si>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</si>
  <si>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</si>
  <si>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</si>
  <si>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</si>
  <si>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</si>
  <si>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</si>
  <si>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</si>
  <si>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</si>
  <si>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</si>
  <si>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</si>
  <si>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</si>
  <si>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</si>
  <si>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</si>
  <si>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</si>
  <si>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</si>
  <si>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</si>
  <si>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</si>
  <si>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</si>
  <si>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</si>
  <si>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</si>
  <si>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</si>
  <si>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</si>
  <si>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</si>
  <si>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</si>
  <si>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</si>
  <si>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</si>
  <si>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</si>
  <si>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</si>
  <si>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</si>
  <si>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</si>
  <si>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</si>
  <si>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On Carpet area</t>
  </si>
  <si>
    <t>Godrej Emerald</t>
  </si>
  <si>
    <t xml:space="preserve">Miss. Shikha - 8657526891.
</t>
  </si>
  <si>
    <t>M/s.Godrej Properties Ltd.</t>
  </si>
  <si>
    <t>P51700000120</t>
  </si>
  <si>
    <t xml:space="preserve">: 14.6 Km from Thane
Railway Station
</t>
  </si>
  <si>
    <t>Rumah Bali</t>
  </si>
  <si>
    <t>Sitaram mandir</t>
  </si>
  <si>
    <t>Golibar Road</t>
  </si>
  <si>
    <t>Agri Koli Maidan</t>
  </si>
  <si>
    <t>Tower 1 &amp; 2</t>
  </si>
  <si>
    <t>Tower 3 to 7</t>
  </si>
  <si>
    <t>2B + G + 1P + 1st to 27th Floor</t>
  </si>
  <si>
    <t xml:space="preserve">Building No. 3 to 7 = 2B + G + 1P + 1st to 27th Floor 
</t>
  </si>
  <si>
    <t>Mr. Ajay</t>
  </si>
  <si>
    <t>17,000/-</t>
  </si>
  <si>
    <t>500000/-</t>
  </si>
  <si>
    <t>Date  of Site Visit</t>
  </si>
  <si>
    <t>V.P.No.S06/0084/10/TMC/TDD/1902/16
Date: 24/08/2016
Valid Upto: Building No. 3 to 7 = 2B + G + 1P + 1st to 27th Floor</t>
  </si>
  <si>
    <t>V.P.No.S06/0084/10/TMC/TDDP/TPS/2502/18
Date: 02/02/2018
Valid Upto: Building No. 1 &amp; 2 = 2B + G + 1P + 1st to 27th Floor</t>
  </si>
  <si>
    <t>S06/0084/10/TMC/TDD/4447/23
Date: 21/07/2023
Valid Upto: Building No. 1 &amp; 2 = 28th to 30th Floor</t>
  </si>
  <si>
    <t>Approved Plan Details
Building No. 1 &amp; 2</t>
  </si>
  <si>
    <t>S06/0084/10/TMC/TD-DP/TPS/4447/23
Date: 21/07/2023</t>
  </si>
  <si>
    <t>LG1 + LG2 + UG + 1P + Upper Stilt + 1st to 30th Floor</t>
  </si>
  <si>
    <t>Residential</t>
  </si>
  <si>
    <t xml:space="preserve">Godrej Emerald,near Lodha Splendora / Rumah Bali, Ghodbunder Road, Thane, Thane (W), Thane, Thane - 400615.
</t>
  </si>
  <si>
    <t>Approved Layout &amp; Floor Plans, CC</t>
  </si>
  <si>
    <t>Location Link</t>
  </si>
  <si>
    <t>https://goo.gl/maps/hi4steFvPBgbhcH88</t>
  </si>
  <si>
    <t>Road</t>
  </si>
  <si>
    <t>5th Floor, Building Name - Godrej One, Street - Pirojshanagar, Locality - Vikhroli East - 400079.</t>
  </si>
  <si>
    <t>Building no 1</t>
  </si>
  <si>
    <t>3BHK</t>
  </si>
  <si>
    <t>Upper Ground Floor For Parking &amp; Residential</t>
  </si>
  <si>
    <t>1st Podium Floor For Parking &amp; Residential</t>
  </si>
  <si>
    <t>Upper stilt Floor For Kids Play area, Entrance Lobby &amp; Residential</t>
  </si>
  <si>
    <t>1st to 4th, 6th to 8th, 10th to 13th, 15th to 18th, 20th to 23rd, 25th to 27th Floor</t>
  </si>
  <si>
    <t>Refuge Area</t>
  </si>
  <si>
    <t>5th, 9th, 14th, 19th &amp; 24th Floor (Part Refuge Area)</t>
  </si>
  <si>
    <t>28th Floor</t>
  </si>
  <si>
    <t>29th Floor (Part Refuge Area)</t>
  </si>
  <si>
    <t>Building no 2</t>
  </si>
  <si>
    <t>2BHK</t>
  </si>
  <si>
    <t>Building No.1</t>
  </si>
  <si>
    <t>Building No.2</t>
  </si>
  <si>
    <t>Flats</t>
  </si>
  <si>
    <t>Lower Ground Floor For Parking</t>
  </si>
  <si>
    <t>Building No. 2  = LG1 + LG2 + UG + 1P + Upper Stilt + 1st to 30th Floor</t>
  </si>
  <si>
    <t>Flats =  1208</t>
  </si>
  <si>
    <t>Shop = NA</t>
  </si>
  <si>
    <t xml:space="preserve">Godrej Emerald, Survey No.91/1/1A, 1/2B, 1/3C, 2A, 2B, 2C, 3A, 3B, 103/1, 2, 3A, 3B, 4, 5/B/1, 5/B/2, 107/7A,7B, 7C, 8A, 8B, 8C, 8D, 11A, 11B &amp; 11C &amp; others, near Lodha Splendora / Rumah Bali, Village - Bhayandarpada, Ghodbunder Road, Thane, Thane (W), Thane, Thane - 400615.
</t>
  </si>
  <si>
    <t>30th Floor (Part Terrace Area)</t>
  </si>
  <si>
    <t>1st floor For Residential</t>
  </si>
  <si>
    <t>2nd to 4th, 6th to 8th, 10th to 13th, 15th to 18th, 20th to 23rd, 25th to 27th Floor</t>
  </si>
  <si>
    <t>5th, 9th, 14th, 19th &amp; 24 floor For Residential (Part Refuge Area)</t>
  </si>
  <si>
    <t>28th &amp; 30th Floor</t>
  </si>
  <si>
    <t>Flats = 424</t>
  </si>
  <si>
    <t>Layout Plan</t>
  </si>
  <si>
    <t>External Plaster</t>
  </si>
  <si>
    <t>External Plumbing, Elevation and Waterproofing</t>
  </si>
  <si>
    <t>Wooden Work</t>
  </si>
  <si>
    <t>Electrical &amp; Sanitary fittings</t>
  </si>
  <si>
    <t xml:space="preserve">Building No. 1 &amp; 2 = LG1 + LG2 + UG + 1P + Upper Stilt + 1st to 30th Floor
</t>
  </si>
  <si>
    <t>Building No. 1 &amp; 2 = LG1 + LG2 + UG + 1P + Upper Stilt + 1st to 30th Floor</t>
  </si>
  <si>
    <t>04/07/2025 @ 
12:29 PM</t>
  </si>
  <si>
    <t>Mr Suraj Khare</t>
  </si>
  <si>
    <t xml:space="preserve">1.Building No. 1 &amp; 2 = Finishing work is in process at the time of Visit.  Internal visit was not allowed.
   Building No. 3 to 7 =  All work completed. Please provide OC.
2. We have considered rate by verifying it from market inquire.
3. Car parking is subjected to authentic documentation.
4. We have updated revised approved floor plan &amp; C.C For Building No. 1 &amp; Building No. 2  (on 25/08/2023).
4. On Site, we meet Mr. Shikha - 8657526891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</si>
</sst>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u/>
      <sz val="11"/>
      <color theme="10"/>
      <name val="Calibri"/>
      <family val="2"/>
    </font>
  </fonts>
  <fills count="6">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6"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1" fillId="0" borderId="0" applyNumberFormat="0" applyFill="0" applyBorder="0" applyAlignment="0" applyProtection="0"/>
  </cellStyleXfs>
  <cellXfs count="178">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0" fontId="9" fillId="0" borderId="18" xfId="0" applyFont="1" applyBorder="1" applyProtection="1">
      <protection hidden="1"/>
    </xf>
    <xf numFmtId="0" fontId="9" fillId="0" borderId="17" xfId="0" applyFont="1" applyBorder="1" applyProtection="1">
      <protection hidden="1"/>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0" fontId="3" fillId="0" borderId="2" xfId="0" applyFont="1" applyBorder="1" applyAlignment="1">
      <alignment vertical="top" wrapText="1"/>
    </xf>
    <xf numFmtId="0" fontId="3" fillId="0" borderId="1" xfId="0" applyFont="1" applyBorder="1" applyAlignment="1">
      <alignment horizontal="center" vertical="top" wrapText="1"/>
    </xf>
    <xf numFmtId="0" fontId="3" fillId="0" borderId="1" xfId="0" applyFont="1" applyBorder="1" applyAlignment="1">
      <alignment vertical="top" wrapText="1"/>
    </xf>
    <xf numFmtId="14" fontId="4" fillId="4" borderId="14" xfId="0" applyNumberFormat="1" applyFont="1" applyFill="1" applyBorder="1" applyAlignment="1">
      <alignment vertical="top" wrapText="1"/>
    </xf>
    <xf numFmtId="14" fontId="4" fillId="4" borderId="15" xfId="0" applyNumberFormat="1" applyFont="1" applyFill="1" applyBorder="1" applyAlignment="1">
      <alignment vertical="top" wrapText="1"/>
    </xf>
    <xf numFmtId="1" fontId="3" fillId="0" borderId="0" xfId="0" applyNumberFormat="1" applyFont="1" applyAlignment="1">
      <alignment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0" fontId="4" fillId="4" borderId="2" xfId="0" applyFont="1" applyFill="1" applyBorder="1" applyAlignment="1">
      <alignment horizontal="left" vertical="top"/>
    </xf>
    <xf numFmtId="0" fontId="4" fillId="4" borderId="3" xfId="0" applyFont="1" applyFill="1" applyBorder="1" applyAlignment="1">
      <alignment horizontal="left" vertical="top"/>
    </xf>
    <xf numFmtId="0" fontId="4" fillId="4" borderId="5" xfId="0" applyFont="1" applyFill="1" applyBorder="1" applyAlignment="1">
      <alignment horizontal="left"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0" borderId="1" xfId="0" applyFont="1" applyBorder="1" applyAlignment="1">
      <alignment horizontal="left" vertical="top"/>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2" fontId="4" fillId="4" borderId="1" xfId="0" applyNumberFormat="1"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5" borderId="2" xfId="1" applyNumberFormat="1" applyFont="1" applyFill="1" applyBorder="1" applyAlignment="1">
      <alignment horizontal="center" vertical="center" wrapText="1"/>
    </xf>
    <xf numFmtId="1" fontId="5" fillId="5" borderId="3" xfId="1" applyNumberFormat="1" applyFont="1" applyFill="1" applyBorder="1" applyAlignment="1">
      <alignment horizontal="center" vertical="center" wrapText="1"/>
    </xf>
    <xf numFmtId="1" fontId="5" fillId="5" borderId="1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1"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xf>
    <xf numFmtId="14" fontId="4" fillId="4" borderId="3" xfId="0" applyNumberFormat="1" applyFont="1" applyFill="1" applyBorder="1" applyAlignment="1">
      <alignment horizontal="left" vertical="top"/>
    </xf>
    <xf numFmtId="14" fontId="4" fillId="4" borderId="5" xfId="0" applyNumberFormat="1" applyFont="1" applyFill="1" applyBorder="1" applyAlignment="1">
      <alignment horizontal="left" vertical="top"/>
    </xf>
    <xf numFmtId="0" fontId="3" fillId="4"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4" fontId="4" fillId="4" borderId="7" xfId="0" applyNumberFormat="1" applyFont="1" applyFill="1" applyBorder="1" applyAlignment="1">
      <alignment horizontal="left" vertical="top" wrapText="1"/>
    </xf>
    <xf numFmtId="14" fontId="4" fillId="4" borderId="11" xfId="0" applyNumberFormat="1" applyFont="1" applyFill="1" applyBorder="1" applyAlignment="1">
      <alignment horizontal="left" vertical="top" wrapText="1"/>
    </xf>
    <xf numFmtId="14" fontId="4" fillId="4" borderId="12" xfId="0" applyNumberFormat="1" applyFont="1" applyFill="1" applyBorder="1" applyAlignment="1">
      <alignment horizontal="left" vertical="top" wrapText="1"/>
    </xf>
    <xf numFmtId="14" fontId="4" fillId="4" borderId="13" xfId="0" applyNumberFormat="1" applyFont="1" applyFill="1" applyBorder="1" applyAlignment="1">
      <alignment horizontal="left" vertical="top" wrapText="1"/>
    </xf>
    <xf numFmtId="0" fontId="4" fillId="0" borderId="10" xfId="0" applyFont="1" applyBorder="1" applyAlignment="1">
      <alignment horizontal="left" vertical="top" wrapText="1"/>
    </xf>
    <xf numFmtId="0" fontId="4" fillId="0" borderId="8" xfId="0" applyFont="1" applyBorder="1" applyAlignment="1">
      <alignment horizontal="left" vertical="top" wrapText="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2" fillId="2" borderId="5" xfId="0" applyFont="1" applyFill="1" applyBorder="1" applyAlignment="1">
      <alignment horizontal="center" vertical="top" wrapText="1"/>
    </xf>
    <xf numFmtId="0" fontId="8" fillId="4" borderId="1" xfId="0" applyFont="1" applyFill="1" applyBorder="1" applyAlignment="1">
      <alignment horizontal="left" vertical="top" wrapText="1"/>
    </xf>
    <xf numFmtId="0" fontId="8" fillId="4" borderId="2" xfId="0" applyFont="1" applyFill="1" applyBorder="1" applyAlignment="1">
      <alignment horizontal="left" vertical="top" wrapText="1"/>
    </xf>
    <xf numFmtId="0" fontId="8" fillId="4" borderId="5" xfId="0" applyFont="1" applyFill="1" applyBorder="1" applyAlignment="1">
      <alignment horizontal="left" vertical="top" wrapText="1"/>
    </xf>
    <xf numFmtId="0" fontId="2" fillId="0" borderId="1" xfId="0" applyFont="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2" xfId="0" applyNumberFormat="1" applyFont="1" applyFill="1" applyBorder="1" applyAlignment="1">
      <alignment horizontal="left" vertical="top" wrapText="1"/>
    </xf>
    <xf numFmtId="0" fontId="11" fillId="4" borderId="2" xfId="2" applyFill="1" applyBorder="1" applyAlignment="1">
      <alignment horizontal="left"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0" fontId="7" fillId="2" borderId="2" xfId="0" applyFont="1" applyFill="1" applyBorder="1" applyAlignment="1">
      <alignment horizontal="center" vertical="top"/>
    </xf>
    <xf numFmtId="0" fontId="7" fillId="2" borderId="3" xfId="0" applyFont="1" applyFill="1" applyBorder="1" applyAlignment="1">
      <alignment horizontal="center" vertical="top"/>
    </xf>
    <xf numFmtId="0" fontId="7" fillId="2" borderId="5" xfId="0" applyFont="1" applyFill="1" applyBorder="1" applyAlignment="1">
      <alignment horizontal="center" vertical="top"/>
    </xf>
    <xf numFmtId="0" fontId="4" fillId="4" borderId="1" xfId="0" applyFont="1" applyFill="1" applyBorder="1" applyAlignment="1">
      <alignment horizontal="left" vertical="top"/>
    </xf>
    <xf numFmtId="1" fontId="6" fillId="4" borderId="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4" fontId="3" fillId="0" borderId="0" xfId="0" applyNumberFormat="1"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1988461</xdr:colOff>
      <xdr:row>331</xdr:row>
      <xdr:rowOff>215225</xdr:rowOff>
    </xdr:from>
    <xdr:to>
      <xdr:col>7</xdr:col>
      <xdr:colOff>600635</xdr:colOff>
      <xdr:row>357</xdr:row>
      <xdr:rowOff>170329</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1988461" y="94927343"/>
          <a:ext cx="5936339" cy="6947574"/>
          <a:chOff x="1898814" y="95725201"/>
          <a:chExt cx="6071008" cy="7721420"/>
        </a:xfrm>
      </xdr:grpSpPr>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898814" y="95725201"/>
            <a:ext cx="6064820" cy="3745677"/>
          </a:xfrm>
          <a:prstGeom prst="rect">
            <a:avLst/>
          </a:prstGeom>
          <a:ln>
            <a:solidFill>
              <a:schemeClr val="tx1"/>
            </a:solidFill>
          </a:ln>
        </xdr:spPr>
      </xdr:pic>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905000" y="99700946"/>
            <a:ext cx="6064822" cy="3745675"/>
          </a:xfrm>
          <a:prstGeom prst="rect">
            <a:avLst/>
          </a:prstGeom>
          <a:ln>
            <a:solidFill>
              <a:schemeClr val="tx1"/>
            </a:solidFill>
          </a:ln>
        </xdr:spPr>
      </xdr:pic>
    </xdr:grpSp>
    <xdr:clientData/>
  </xdr:twoCellAnchor>
  <xdr:twoCellAnchor editAs="oneCell">
    <xdr:from>
      <xdr:col>11</xdr:col>
      <xdr:colOff>0</xdr:colOff>
      <xdr:row>101</xdr:row>
      <xdr:rowOff>0</xdr:rowOff>
    </xdr:from>
    <xdr:to>
      <xdr:col>34</xdr:col>
      <xdr:colOff>570379</xdr:colOff>
      <xdr:row>132</xdr:row>
      <xdr:rowOff>233082</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2763500" y="33998647"/>
          <a:ext cx="13011150" cy="7315200"/>
        </a:xfrm>
        <a:prstGeom prst="rect">
          <a:avLst/>
        </a:prstGeom>
      </xdr:spPr>
    </xdr:pic>
    <xdr:clientData/>
  </xdr:twoCellAnchor>
  <xdr:twoCellAnchor editAs="oneCell">
    <xdr:from>
      <xdr:col>0</xdr:col>
      <xdr:colOff>1613646</xdr:colOff>
      <xdr:row>284</xdr:row>
      <xdr:rowOff>156882</xdr:rowOff>
    </xdr:from>
    <xdr:to>
      <xdr:col>7</xdr:col>
      <xdr:colOff>1600809</xdr:colOff>
      <xdr:row>306</xdr:row>
      <xdr:rowOff>246705</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4"/>
        <a:srcRect l="8794" t="22170" r="41348" b="6367"/>
        <a:stretch/>
      </xdr:blipFill>
      <xdr:spPr>
        <a:xfrm>
          <a:off x="1613646" y="83517441"/>
          <a:ext cx="7147722" cy="5760000"/>
        </a:xfrm>
        <a:prstGeom prst="rect">
          <a:avLst/>
        </a:prstGeom>
        <a:ln>
          <a:solidFill>
            <a:schemeClr val="tx1"/>
          </a:solidFill>
        </a:ln>
      </xdr:spPr>
    </xdr:pic>
    <xdr:clientData/>
  </xdr:twoCellAnchor>
  <xdr:twoCellAnchor>
    <xdr:from>
      <xdr:col>9</xdr:col>
      <xdr:colOff>439270</xdr:colOff>
      <xdr:row>241</xdr:row>
      <xdr:rowOff>17929</xdr:rowOff>
    </xdr:from>
    <xdr:to>
      <xdr:col>19</xdr:col>
      <xdr:colOff>519953</xdr:colOff>
      <xdr:row>270</xdr:row>
      <xdr:rowOff>0</xdr:rowOff>
    </xdr:to>
    <xdr:grpSp>
      <xdr:nvGrpSpPr>
        <xdr:cNvPr id="10" name="Group 9">
          <a:extLst>
            <a:ext uri="{FF2B5EF4-FFF2-40B4-BE49-F238E27FC236}">
              <a16:creationId xmlns:a16="http://schemas.microsoft.com/office/drawing/2014/main" id="{D494FDBB-2CEE-6351-512D-7CF1C2A6AAF2}"/>
            </a:ext>
          </a:extLst>
        </xdr:cNvPr>
        <xdr:cNvGrpSpPr/>
      </xdr:nvGrpSpPr>
      <xdr:grpSpPr>
        <a:xfrm>
          <a:off x="11116235" y="70525341"/>
          <a:ext cx="8507506" cy="7781365"/>
          <a:chOff x="261258" y="116815"/>
          <a:chExt cx="6210807" cy="5563646"/>
        </a:xfrm>
      </xdr:grpSpPr>
      <xdr:pic>
        <xdr:nvPicPr>
          <xdr:cNvPr id="11" name="Picture 10">
            <a:extLst>
              <a:ext uri="{FF2B5EF4-FFF2-40B4-BE49-F238E27FC236}">
                <a16:creationId xmlns:a16="http://schemas.microsoft.com/office/drawing/2014/main" id="{B751285A-65B6-9609-55BE-1A593791913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96749" y="3147398"/>
            <a:ext cx="1888031" cy="2520000"/>
          </a:xfrm>
          <a:prstGeom prst="rect">
            <a:avLst/>
          </a:prstGeom>
          <a:ln>
            <a:solidFill>
              <a:schemeClr val="tx1"/>
            </a:solidFill>
          </a:ln>
        </xdr:spPr>
      </xdr:pic>
      <xdr:pic>
        <xdr:nvPicPr>
          <xdr:cNvPr id="12" name="Picture 11">
            <a:extLst>
              <a:ext uri="{FF2B5EF4-FFF2-40B4-BE49-F238E27FC236}">
                <a16:creationId xmlns:a16="http://schemas.microsoft.com/office/drawing/2014/main" id="{02125092-2E7B-427A-F50F-E689E3B5D9C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14315" y="116815"/>
            <a:ext cx="2157750" cy="2880000"/>
          </a:xfrm>
          <a:prstGeom prst="rect">
            <a:avLst/>
          </a:prstGeom>
          <a:ln>
            <a:solidFill>
              <a:schemeClr val="tx1"/>
            </a:solidFill>
          </a:ln>
        </xdr:spPr>
      </xdr:pic>
      <xdr:pic>
        <xdr:nvPicPr>
          <xdr:cNvPr id="13" name="Picture 12">
            <a:extLst>
              <a:ext uri="{FF2B5EF4-FFF2-40B4-BE49-F238E27FC236}">
                <a16:creationId xmlns:a16="http://schemas.microsoft.com/office/drawing/2014/main" id="{229CC4DC-DD73-C2F5-F1AC-553762B8D87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3248" y="3160461"/>
            <a:ext cx="3356889" cy="2520000"/>
          </a:xfrm>
          <a:prstGeom prst="rect">
            <a:avLst/>
          </a:prstGeom>
          <a:ln>
            <a:solidFill>
              <a:schemeClr val="tx1"/>
            </a:solidFill>
          </a:ln>
        </xdr:spPr>
      </xdr:pic>
      <xdr:pic>
        <xdr:nvPicPr>
          <xdr:cNvPr id="14" name="Picture 13">
            <a:extLst>
              <a:ext uri="{FF2B5EF4-FFF2-40B4-BE49-F238E27FC236}">
                <a16:creationId xmlns:a16="http://schemas.microsoft.com/office/drawing/2014/main" id="{9F65DE22-4617-55A2-869B-856EE210F85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61258" y="116815"/>
            <a:ext cx="3836445" cy="2880000"/>
          </a:xfrm>
          <a:prstGeom prst="rect">
            <a:avLst/>
          </a:prstGeom>
          <a:ln>
            <a:solidFill>
              <a:schemeClr val="tx1"/>
            </a:solidFill>
          </a:ln>
        </xdr:spPr>
      </xdr:pic>
    </xdr:grpSp>
    <xdr:clientData/>
  </xdr:twoCellAnchor>
  <xdr:twoCellAnchor>
    <xdr:from>
      <xdr:col>0</xdr:col>
      <xdr:colOff>537883</xdr:colOff>
      <xdr:row>241</xdr:row>
      <xdr:rowOff>62752</xdr:rowOff>
    </xdr:from>
    <xdr:to>
      <xdr:col>8</xdr:col>
      <xdr:colOff>923364</xdr:colOff>
      <xdr:row>273</xdr:row>
      <xdr:rowOff>53789</xdr:rowOff>
    </xdr:to>
    <xdr:grpSp>
      <xdr:nvGrpSpPr>
        <xdr:cNvPr id="17" name="Group 16">
          <a:extLst>
            <a:ext uri="{FF2B5EF4-FFF2-40B4-BE49-F238E27FC236}">
              <a16:creationId xmlns:a16="http://schemas.microsoft.com/office/drawing/2014/main" id="{A4741EE2-CE3A-D171-0AB6-9374B12AF506}"/>
            </a:ext>
          </a:extLst>
        </xdr:cNvPr>
        <xdr:cNvGrpSpPr/>
      </xdr:nvGrpSpPr>
      <xdr:grpSpPr>
        <a:xfrm>
          <a:off x="537883" y="70570164"/>
          <a:ext cx="9386046" cy="8597154"/>
          <a:chOff x="382395" y="255899"/>
          <a:chExt cx="6207005" cy="5216101"/>
        </a:xfrm>
      </xdr:grpSpPr>
      <xdr:pic>
        <xdr:nvPicPr>
          <xdr:cNvPr id="18" name="Picture 17">
            <a:extLst>
              <a:ext uri="{FF2B5EF4-FFF2-40B4-BE49-F238E27FC236}">
                <a16:creationId xmlns:a16="http://schemas.microsoft.com/office/drawing/2014/main" id="{D4266C16-EAA5-02FE-2970-692AE2111B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21813" y="3312000"/>
            <a:ext cx="1618312" cy="2160000"/>
          </a:xfrm>
          <a:prstGeom prst="rect">
            <a:avLst/>
          </a:prstGeom>
          <a:ln>
            <a:solidFill>
              <a:schemeClr val="tx1"/>
            </a:solidFill>
          </a:ln>
        </xdr:spPr>
      </xdr:pic>
      <xdr:pic>
        <xdr:nvPicPr>
          <xdr:cNvPr id="19" name="Picture 18">
            <a:extLst>
              <a:ext uri="{FF2B5EF4-FFF2-40B4-BE49-F238E27FC236}">
                <a16:creationId xmlns:a16="http://schemas.microsoft.com/office/drawing/2014/main" id="{EE9FDB9F-C457-D17F-2C93-BC012E24D2A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31670" y="3312000"/>
            <a:ext cx="2877333" cy="2160000"/>
          </a:xfrm>
          <a:prstGeom prst="rect">
            <a:avLst/>
          </a:prstGeom>
          <a:ln>
            <a:solidFill>
              <a:schemeClr val="tx1"/>
            </a:solidFill>
          </a:ln>
        </xdr:spPr>
      </xdr:pic>
      <xdr:pic>
        <xdr:nvPicPr>
          <xdr:cNvPr id="20" name="Picture 19">
            <a:extLst>
              <a:ext uri="{FF2B5EF4-FFF2-40B4-BE49-F238E27FC236}">
                <a16:creationId xmlns:a16="http://schemas.microsoft.com/office/drawing/2014/main" id="{8CAE19E6-EFD5-67C1-A1BC-C38AC6DE2CD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82395" y="286630"/>
            <a:ext cx="2157750" cy="2880000"/>
          </a:xfrm>
          <a:prstGeom prst="rect">
            <a:avLst/>
          </a:prstGeom>
          <a:ln>
            <a:solidFill>
              <a:schemeClr val="tx1"/>
            </a:solidFill>
          </a:ln>
        </xdr:spPr>
      </xdr:pic>
      <xdr:pic>
        <xdr:nvPicPr>
          <xdr:cNvPr id="21" name="Picture 20">
            <a:extLst>
              <a:ext uri="{FF2B5EF4-FFF2-40B4-BE49-F238E27FC236}">
                <a16:creationId xmlns:a16="http://schemas.microsoft.com/office/drawing/2014/main" id="{F637F411-4274-A840-B96A-8A01D4BF833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752955" y="286630"/>
            <a:ext cx="3836445" cy="2880000"/>
          </a:xfrm>
          <a:prstGeom prst="rect">
            <a:avLst/>
          </a:prstGeom>
          <a:ln>
            <a:solidFill>
              <a:schemeClr val="tx1"/>
            </a:solidFill>
          </a:ln>
        </xdr:spPr>
      </xdr:pic>
      <xdr:sp macro="" textlink="">
        <xdr:nvSpPr>
          <xdr:cNvPr id="22" name="TextBox 12">
            <a:extLst>
              <a:ext uri="{FF2B5EF4-FFF2-40B4-BE49-F238E27FC236}">
                <a16:creationId xmlns:a16="http://schemas.microsoft.com/office/drawing/2014/main" id="{110C9089-E78E-1160-0A9E-95D696A48530}"/>
              </a:ext>
            </a:extLst>
          </xdr:cNvPr>
          <xdr:cNvSpPr txBox="1"/>
        </xdr:nvSpPr>
        <xdr:spPr>
          <a:xfrm>
            <a:off x="1217091" y="286630"/>
            <a:ext cx="132305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Tower 1 &amp; 2</a:t>
            </a:r>
          </a:p>
        </xdr:txBody>
      </xdr:sp>
      <xdr:sp macro="" textlink="">
        <xdr:nvSpPr>
          <xdr:cNvPr id="23" name="TextBox 13">
            <a:extLst>
              <a:ext uri="{FF2B5EF4-FFF2-40B4-BE49-F238E27FC236}">
                <a16:creationId xmlns:a16="http://schemas.microsoft.com/office/drawing/2014/main" id="{6115565C-40F2-766D-0239-C8FD16A5FF83}"/>
              </a:ext>
            </a:extLst>
          </xdr:cNvPr>
          <xdr:cNvSpPr txBox="1"/>
        </xdr:nvSpPr>
        <xdr:spPr>
          <a:xfrm>
            <a:off x="2765573" y="534042"/>
            <a:ext cx="155228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Tower 3, 4 &amp; 5</a:t>
            </a:r>
          </a:p>
        </xdr:txBody>
      </xdr:sp>
      <xdr:sp macro="" textlink="">
        <xdr:nvSpPr>
          <xdr:cNvPr id="25" name="TextBox 14">
            <a:extLst>
              <a:ext uri="{FF2B5EF4-FFF2-40B4-BE49-F238E27FC236}">
                <a16:creationId xmlns:a16="http://schemas.microsoft.com/office/drawing/2014/main" id="{3C288F27-029B-DD31-3894-D97FA88DAE48}"/>
              </a:ext>
            </a:extLst>
          </xdr:cNvPr>
          <xdr:cNvSpPr txBox="1"/>
        </xdr:nvSpPr>
        <xdr:spPr>
          <a:xfrm>
            <a:off x="4671177" y="255899"/>
            <a:ext cx="821315" cy="64633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Tower </a:t>
            </a:r>
          </a:p>
          <a:p>
            <a:r>
              <a:rPr lang="en-IN" b="1"/>
              <a:t>6 &amp; 7</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hi4steFvPBgbhcH88"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371"/>
  <sheetViews>
    <sheetView tabSelected="1" view="pageBreakPreview" topLeftCell="A25" zoomScale="85" zoomScaleNormal="85" zoomScaleSheetLayoutView="85" zoomScalePageLayoutView="55" workbookViewId="0">
      <selection activeCell="L28" sqref="L28"/>
    </sheetView>
  </sheetViews>
  <sheetFormatPr defaultColWidth="9.109375" defaultRowHeight="17.100000000000001" customHeight="1" x14ac:dyDescent="0.3"/>
  <cols>
    <col min="1" max="1" width="31.109375" style="1" customWidth="1"/>
    <col min="2" max="2" width="1.33203125" style="1" customWidth="1"/>
    <col min="3" max="3" width="17.44140625" style="1" customWidth="1"/>
    <col min="4" max="4" width="1.44140625" style="14" customWidth="1"/>
    <col min="5" max="6" width="27.109375" style="1" customWidth="1"/>
    <col min="7" max="7" width="1.44140625" style="1" customWidth="1"/>
    <col min="8" max="8" width="24.44140625" style="1" customWidth="1"/>
    <col min="9" max="9" width="24.44140625" style="14" customWidth="1"/>
    <col min="10" max="10" width="26.109375" style="1" customWidth="1"/>
    <col min="11" max="11" width="17.109375" style="1" bestFit="1" customWidth="1"/>
    <col min="12" max="12" width="15.5546875" style="1" bestFit="1" customWidth="1"/>
    <col min="13" max="20" width="9.109375" style="1"/>
    <col min="21" max="23" width="0" style="1" hidden="1" customWidth="1"/>
    <col min="24" max="26" width="9.109375" style="1"/>
    <col min="27" max="27" width="7.88671875" style="1" customWidth="1"/>
    <col min="28" max="16384" width="9.109375" style="1"/>
  </cols>
  <sheetData>
    <row r="1" spans="1:12" ht="21" x14ac:dyDescent="0.3">
      <c r="A1" s="121" t="s">
        <v>42</v>
      </c>
      <c r="B1" s="122"/>
      <c r="C1" s="122"/>
      <c r="D1" s="122"/>
      <c r="E1" s="122"/>
      <c r="F1" s="122"/>
      <c r="G1" s="122"/>
      <c r="H1" s="122"/>
      <c r="I1" s="123"/>
    </row>
    <row r="2" spans="1:12" ht="42" customHeight="1" x14ac:dyDescent="0.3">
      <c r="A2" s="151" t="s">
        <v>11</v>
      </c>
      <c r="B2" s="151"/>
      <c r="C2" s="151"/>
      <c r="D2" s="4" t="s">
        <v>4</v>
      </c>
      <c r="E2" s="152" t="s">
        <v>94</v>
      </c>
      <c r="F2" s="152"/>
      <c r="G2" s="120" t="s">
        <v>15</v>
      </c>
      <c r="H2" s="120"/>
      <c r="I2" s="53">
        <v>45840</v>
      </c>
    </row>
    <row r="3" spans="1:12" ht="42.75" customHeight="1" x14ac:dyDescent="0.3">
      <c r="A3" s="85" t="s">
        <v>43</v>
      </c>
      <c r="B3" s="86"/>
      <c r="C3" s="87"/>
      <c r="D3" s="21" t="s">
        <v>4</v>
      </c>
      <c r="E3" s="155" t="s">
        <v>193</v>
      </c>
      <c r="F3" s="156"/>
      <c r="G3" s="120" t="s">
        <v>209</v>
      </c>
      <c r="H3" s="120"/>
      <c r="I3" s="53" t="s">
        <v>256</v>
      </c>
      <c r="K3" s="177">
        <v>45773</v>
      </c>
      <c r="L3" s="177">
        <v>45842</v>
      </c>
    </row>
    <row r="4" spans="1:12" ht="43.5" customHeight="1" x14ac:dyDescent="0.3">
      <c r="A4" s="85" t="s">
        <v>40</v>
      </c>
      <c r="B4" s="86"/>
      <c r="C4" s="87"/>
      <c r="D4" s="28" t="s">
        <v>4</v>
      </c>
      <c r="E4" s="108" t="s">
        <v>194</v>
      </c>
      <c r="F4" s="110"/>
      <c r="G4" s="120" t="s">
        <v>37</v>
      </c>
      <c r="H4" s="120"/>
      <c r="I4" s="53" t="str">
        <f ca="1">TEXT(TODAY(),"DD/MM/YYYY")</f>
        <v>07/07/2025</v>
      </c>
      <c r="L4" s="1">
        <f>L3-K3</f>
        <v>69</v>
      </c>
    </row>
    <row r="5" spans="1:12" ht="21" x14ac:dyDescent="0.3">
      <c r="A5" s="67" t="s">
        <v>44</v>
      </c>
      <c r="B5" s="67"/>
      <c r="C5" s="67"/>
      <c r="D5" s="67"/>
      <c r="E5" s="67"/>
      <c r="F5" s="67"/>
      <c r="G5" s="67"/>
      <c r="H5" s="67"/>
      <c r="I5" s="157"/>
    </row>
    <row r="6" spans="1:12" ht="44.25" customHeight="1" x14ac:dyDescent="0.3">
      <c r="A6" s="153" t="s">
        <v>33</v>
      </c>
      <c r="B6" s="153"/>
      <c r="C6" s="153"/>
      <c r="D6" s="2" t="s">
        <v>4</v>
      </c>
      <c r="E6" s="22" t="s">
        <v>107</v>
      </c>
      <c r="F6" s="21" t="s">
        <v>39</v>
      </c>
      <c r="G6" s="2" t="s">
        <v>4</v>
      </c>
      <c r="H6" s="129" t="s">
        <v>257</v>
      </c>
      <c r="I6" s="129"/>
    </row>
    <row r="7" spans="1:12" ht="45" customHeight="1" x14ac:dyDescent="0.3">
      <c r="A7" s="153" t="s">
        <v>46</v>
      </c>
      <c r="B7" s="153"/>
      <c r="C7" s="153"/>
      <c r="D7" s="2" t="s">
        <v>4</v>
      </c>
      <c r="E7" s="5" t="s">
        <v>195</v>
      </c>
      <c r="F7" s="21" t="s">
        <v>47</v>
      </c>
      <c r="G7" s="2" t="s">
        <v>4</v>
      </c>
      <c r="H7" s="108" t="s">
        <v>195</v>
      </c>
      <c r="I7" s="110"/>
    </row>
    <row r="8" spans="1:12" ht="40.5" customHeight="1" x14ac:dyDescent="0.3">
      <c r="A8" s="153" t="s">
        <v>48</v>
      </c>
      <c r="B8" s="153"/>
      <c r="C8" s="153"/>
      <c r="D8" s="2" t="s">
        <v>4</v>
      </c>
      <c r="E8" s="154" t="s">
        <v>222</v>
      </c>
      <c r="F8" s="154"/>
      <c r="G8" s="154"/>
      <c r="H8" s="154"/>
      <c r="I8" s="154"/>
    </row>
    <row r="9" spans="1:12" ht="88.5" customHeight="1" x14ac:dyDescent="0.3">
      <c r="A9" s="120" t="s">
        <v>181</v>
      </c>
      <c r="B9" s="21" t="s">
        <v>4</v>
      </c>
      <c r="C9" s="21" t="s">
        <v>45</v>
      </c>
      <c r="D9" s="2" t="s">
        <v>4</v>
      </c>
      <c r="E9" s="108" t="s">
        <v>242</v>
      </c>
      <c r="F9" s="109"/>
      <c r="G9" s="109"/>
      <c r="H9" s="109"/>
      <c r="I9" s="110"/>
    </row>
    <row r="10" spans="1:12" ht="84" customHeight="1" x14ac:dyDescent="0.3">
      <c r="A10" s="120"/>
      <c r="B10" s="21" t="s">
        <v>4</v>
      </c>
      <c r="C10" s="21" t="s">
        <v>14</v>
      </c>
      <c r="D10" s="2" t="s">
        <v>4</v>
      </c>
      <c r="E10" s="108" t="str">
        <f>E9</f>
        <v xml:space="preserve">Godrej Emerald, Survey No.91/1/1A, 1/2B, 1/3C, 2A, 2B, 2C, 3A, 3B, 103/1, 2, 3A, 3B, 4, 5/B/1, 5/B/2, 107/7A,7B, 7C, 8A, 8B, 8C, 8D, 11A, 11B &amp; 11C &amp; others, near Lodha Splendora / Rumah Bali, Village - Bhayandarpada, Ghodbunder Road, Thane, Thane (W), Thane, Thane - 400615.
</v>
      </c>
      <c r="F10" s="109"/>
      <c r="G10" s="109"/>
      <c r="H10" s="109"/>
      <c r="I10" s="110"/>
    </row>
    <row r="11" spans="1:12" ht="42" customHeight="1" x14ac:dyDescent="0.3">
      <c r="A11" s="120"/>
      <c r="B11" s="21" t="s">
        <v>4</v>
      </c>
      <c r="C11" s="21" t="s">
        <v>5</v>
      </c>
      <c r="D11" s="2" t="s">
        <v>4</v>
      </c>
      <c r="E11" s="108" t="s">
        <v>217</v>
      </c>
      <c r="F11" s="109"/>
      <c r="G11" s="109"/>
      <c r="H11" s="109"/>
      <c r="I11" s="110"/>
    </row>
    <row r="12" spans="1:12" ht="21" x14ac:dyDescent="0.3">
      <c r="A12" s="120" t="s">
        <v>38</v>
      </c>
      <c r="B12" s="120"/>
      <c r="C12" s="120"/>
      <c r="D12" s="2" t="s">
        <v>4</v>
      </c>
      <c r="E12" s="129" t="s">
        <v>218</v>
      </c>
      <c r="F12" s="129"/>
      <c r="G12" s="129"/>
      <c r="H12" s="129"/>
      <c r="I12" s="129"/>
    </row>
    <row r="13" spans="1:12" ht="20.100000000000001" customHeight="1" x14ac:dyDescent="0.3">
      <c r="A13" s="67" t="s">
        <v>49</v>
      </c>
      <c r="B13" s="67"/>
      <c r="C13" s="67"/>
      <c r="D13" s="67"/>
      <c r="E13" s="67"/>
      <c r="F13" s="67"/>
      <c r="G13" s="67"/>
      <c r="H13" s="67"/>
      <c r="I13" s="67"/>
    </row>
    <row r="14" spans="1:12" ht="63" hidden="1" x14ac:dyDescent="0.3">
      <c r="A14" s="21" t="s">
        <v>31</v>
      </c>
      <c r="B14" s="2" t="s">
        <v>4</v>
      </c>
      <c r="C14" s="160" t="s">
        <v>95</v>
      </c>
      <c r="D14" s="161"/>
      <c r="E14" s="162"/>
      <c r="F14" s="17" t="s">
        <v>50</v>
      </c>
      <c r="G14" s="2" t="s">
        <v>4</v>
      </c>
      <c r="H14" s="129"/>
      <c r="I14" s="129"/>
    </row>
    <row r="15" spans="1:12" ht="42" x14ac:dyDescent="0.3">
      <c r="A15" s="21" t="s">
        <v>51</v>
      </c>
      <c r="B15" s="2" t="s">
        <v>4</v>
      </c>
      <c r="C15" s="160" t="s">
        <v>196</v>
      </c>
      <c r="D15" s="161"/>
      <c r="E15" s="162"/>
      <c r="F15" s="21" t="s">
        <v>52</v>
      </c>
      <c r="G15" s="2" t="s">
        <v>4</v>
      </c>
      <c r="H15" s="166">
        <v>46203</v>
      </c>
      <c r="I15" s="129"/>
    </row>
    <row r="16" spans="1:12" ht="42" x14ac:dyDescent="0.3">
      <c r="A16" s="50" t="s">
        <v>53</v>
      </c>
      <c r="B16" s="2" t="s">
        <v>4</v>
      </c>
      <c r="C16" s="134">
        <v>42921</v>
      </c>
      <c r="D16" s="161"/>
      <c r="E16" s="162"/>
      <c r="F16" s="21" t="s">
        <v>54</v>
      </c>
      <c r="G16" s="2" t="s">
        <v>4</v>
      </c>
      <c r="H16" s="165">
        <v>42921</v>
      </c>
      <c r="I16" s="110"/>
    </row>
    <row r="17" spans="1:12" ht="63" x14ac:dyDescent="0.3">
      <c r="A17" s="50" t="s">
        <v>55</v>
      </c>
      <c r="B17" s="2" t="s">
        <v>4</v>
      </c>
      <c r="C17" s="163">
        <v>46203</v>
      </c>
      <c r="D17" s="109"/>
      <c r="E17" s="109"/>
      <c r="F17" s="109"/>
      <c r="G17" s="109"/>
      <c r="H17" s="109"/>
      <c r="I17" s="109"/>
    </row>
    <row r="18" spans="1:12" ht="42" x14ac:dyDescent="0.3">
      <c r="A18" s="50" t="s">
        <v>56</v>
      </c>
      <c r="B18" s="2" t="s">
        <v>4</v>
      </c>
      <c r="C18" s="160" t="s">
        <v>216</v>
      </c>
      <c r="D18" s="161"/>
      <c r="E18" s="162"/>
      <c r="F18" s="21" t="s">
        <v>110</v>
      </c>
      <c r="G18" s="2" t="s">
        <v>4</v>
      </c>
      <c r="H18" s="129">
        <v>43621.52</v>
      </c>
      <c r="I18" s="129"/>
    </row>
    <row r="19" spans="1:12" ht="42" x14ac:dyDescent="0.3">
      <c r="A19" s="21" t="s">
        <v>57</v>
      </c>
      <c r="B19" s="2" t="s">
        <v>4</v>
      </c>
      <c r="C19" s="160">
        <v>1.1000000000000001</v>
      </c>
      <c r="D19" s="161"/>
      <c r="E19" s="162"/>
      <c r="F19" s="21" t="s">
        <v>109</v>
      </c>
      <c r="G19" s="2" t="s">
        <v>4</v>
      </c>
      <c r="H19" s="129">
        <v>10250.94</v>
      </c>
      <c r="I19" s="129"/>
      <c r="L19" s="1">
        <f>2+2+3+58+3+23+29+30+3+30+3+24+30+30+3+6+54+60+30+27+130+54+27+49+27+54+27+49+27+27+27+54+49+54+22+27+54</f>
        <v>1208</v>
      </c>
    </row>
    <row r="20" spans="1:12" ht="42" x14ac:dyDescent="0.3">
      <c r="A20" s="21" t="s">
        <v>108</v>
      </c>
      <c r="B20" s="2" t="s">
        <v>4</v>
      </c>
      <c r="C20" s="160">
        <v>128119.91</v>
      </c>
      <c r="D20" s="161"/>
      <c r="E20" s="162"/>
      <c r="F20" s="6" t="s">
        <v>58</v>
      </c>
      <c r="G20" s="2" t="s">
        <v>4</v>
      </c>
      <c r="H20" s="108" t="s">
        <v>240</v>
      </c>
      <c r="I20" s="110"/>
    </row>
    <row r="21" spans="1:12" ht="42" x14ac:dyDescent="0.3">
      <c r="A21" s="21" t="s">
        <v>59</v>
      </c>
      <c r="B21" s="2" t="s">
        <v>4</v>
      </c>
      <c r="C21" s="160" t="s">
        <v>248</v>
      </c>
      <c r="D21" s="161"/>
      <c r="E21" s="162"/>
      <c r="F21" s="21" t="s">
        <v>60</v>
      </c>
      <c r="G21" s="2" t="s">
        <v>4</v>
      </c>
      <c r="H21" s="129" t="s">
        <v>241</v>
      </c>
      <c r="I21" s="129"/>
    </row>
    <row r="22" spans="1:12" ht="21" x14ac:dyDescent="0.3">
      <c r="A22" s="50" t="s">
        <v>26</v>
      </c>
      <c r="B22" s="2" t="s">
        <v>4</v>
      </c>
      <c r="C22" s="160">
        <v>19.281153499999999</v>
      </c>
      <c r="D22" s="161"/>
      <c r="E22" s="162"/>
      <c r="F22" s="29" t="s">
        <v>27</v>
      </c>
      <c r="G22" s="29" t="s">
        <v>4</v>
      </c>
      <c r="H22" s="160">
        <v>72.951306799999998</v>
      </c>
      <c r="I22" s="162"/>
    </row>
    <row r="23" spans="1:12" ht="21" x14ac:dyDescent="0.3">
      <c r="A23" s="50" t="s">
        <v>219</v>
      </c>
      <c r="B23" s="2" t="s">
        <v>4</v>
      </c>
      <c r="C23" s="164" t="s">
        <v>220</v>
      </c>
      <c r="D23" s="109"/>
      <c r="E23" s="109"/>
      <c r="F23" s="109"/>
      <c r="G23" s="109"/>
      <c r="H23" s="109"/>
      <c r="I23" s="110"/>
    </row>
    <row r="24" spans="1:12" ht="132.75" customHeight="1" x14ac:dyDescent="0.3">
      <c r="A24" s="54" t="s">
        <v>29</v>
      </c>
      <c r="B24" s="55" t="s">
        <v>4</v>
      </c>
      <c r="C24" s="128" t="s">
        <v>111</v>
      </c>
      <c r="D24" s="128"/>
      <c r="E24" s="128"/>
      <c r="F24" s="128"/>
      <c r="G24" s="128"/>
      <c r="H24" s="128"/>
      <c r="I24" s="128"/>
    </row>
    <row r="25" spans="1:12" ht="24" customHeight="1" x14ac:dyDescent="0.3">
      <c r="A25" s="171" t="s">
        <v>23</v>
      </c>
      <c r="B25" s="172"/>
      <c r="C25" s="172"/>
      <c r="D25" s="172"/>
      <c r="E25" s="172"/>
      <c r="F25" s="172"/>
      <c r="G25" s="172"/>
      <c r="H25" s="172"/>
      <c r="I25" s="173"/>
    </row>
    <row r="26" spans="1:12" ht="20.25" customHeight="1" x14ac:dyDescent="0.3">
      <c r="A26" s="56" t="s">
        <v>30</v>
      </c>
      <c r="B26" s="55" t="s">
        <v>4</v>
      </c>
      <c r="C26" s="128" t="s">
        <v>96</v>
      </c>
      <c r="D26" s="128"/>
      <c r="E26" s="128"/>
      <c r="F26" s="56" t="s">
        <v>16</v>
      </c>
      <c r="G26" s="55" t="s">
        <v>4</v>
      </c>
      <c r="H26" s="128" t="s">
        <v>114</v>
      </c>
      <c r="I26" s="128"/>
    </row>
    <row r="27" spans="1:12" ht="21" x14ac:dyDescent="0.3">
      <c r="A27" s="56" t="s">
        <v>17</v>
      </c>
      <c r="B27" s="55" t="s">
        <v>4</v>
      </c>
      <c r="C27" s="128" t="s">
        <v>115</v>
      </c>
      <c r="D27" s="128"/>
      <c r="E27" s="128"/>
      <c r="F27" s="56" t="s">
        <v>182</v>
      </c>
      <c r="G27" s="55" t="s">
        <v>4</v>
      </c>
      <c r="H27" s="128" t="s">
        <v>180</v>
      </c>
      <c r="I27" s="128"/>
    </row>
    <row r="28" spans="1:12" ht="42" x14ac:dyDescent="0.3">
      <c r="A28" s="21" t="s">
        <v>18</v>
      </c>
      <c r="B28" s="2" t="s">
        <v>4</v>
      </c>
      <c r="C28" s="129" t="s">
        <v>197</v>
      </c>
      <c r="D28" s="129"/>
      <c r="E28" s="129"/>
      <c r="F28" s="21" t="s">
        <v>19</v>
      </c>
      <c r="G28" s="2" t="s">
        <v>4</v>
      </c>
      <c r="H28" s="128" t="s">
        <v>197</v>
      </c>
      <c r="I28" s="128"/>
    </row>
    <row r="29" spans="1:12" ht="42" hidden="1" x14ac:dyDescent="0.3">
      <c r="A29" s="50" t="s">
        <v>137</v>
      </c>
      <c r="B29" s="2" t="s">
        <v>4</v>
      </c>
      <c r="C29" s="147" t="s">
        <v>138</v>
      </c>
      <c r="D29" s="147"/>
      <c r="E29" s="147"/>
      <c r="F29" s="21" t="s">
        <v>139</v>
      </c>
      <c r="G29" s="2" t="s">
        <v>4</v>
      </c>
      <c r="H29" s="148" t="s">
        <v>140</v>
      </c>
      <c r="I29" s="149"/>
    </row>
    <row r="30" spans="1:12" ht="84" hidden="1" customHeight="1" x14ac:dyDescent="0.3">
      <c r="A30" s="21" t="s">
        <v>20</v>
      </c>
      <c r="B30" s="2" t="s">
        <v>4</v>
      </c>
      <c r="C30" s="147" t="s">
        <v>135</v>
      </c>
      <c r="D30" s="147"/>
      <c r="E30" s="147"/>
      <c r="F30" s="21"/>
      <c r="G30" s="2" t="s">
        <v>4</v>
      </c>
      <c r="H30" s="147"/>
      <c r="I30" s="147"/>
    </row>
    <row r="31" spans="1:12" ht="21.75" hidden="1" customHeight="1" x14ac:dyDescent="0.3">
      <c r="A31" s="50" t="s">
        <v>145</v>
      </c>
      <c r="B31" s="2" t="s">
        <v>4</v>
      </c>
      <c r="C31" s="129" t="s">
        <v>146</v>
      </c>
      <c r="D31" s="129"/>
      <c r="E31" s="129"/>
      <c r="F31" s="21" t="s">
        <v>147</v>
      </c>
      <c r="G31" s="2" t="s">
        <v>4</v>
      </c>
      <c r="H31" s="108" t="s">
        <v>146</v>
      </c>
      <c r="I31" s="110"/>
    </row>
    <row r="32" spans="1:12" ht="21.75" hidden="1" customHeight="1" x14ac:dyDescent="0.3">
      <c r="A32" s="50" t="s">
        <v>148</v>
      </c>
      <c r="B32" s="2" t="s">
        <v>4</v>
      </c>
      <c r="C32" s="108" t="s">
        <v>146</v>
      </c>
      <c r="D32" s="109"/>
      <c r="E32" s="109"/>
      <c r="F32" s="109"/>
      <c r="G32" s="109"/>
      <c r="H32" s="109"/>
      <c r="I32" s="110"/>
    </row>
    <row r="33" spans="1:9" ht="21" hidden="1" x14ac:dyDescent="0.3">
      <c r="A33" s="76" t="s">
        <v>41</v>
      </c>
      <c r="B33" s="77"/>
      <c r="C33" s="77"/>
      <c r="D33" s="77"/>
      <c r="E33" s="77"/>
      <c r="F33" s="77"/>
      <c r="G33" s="77"/>
      <c r="H33" s="77"/>
      <c r="I33" s="146"/>
    </row>
    <row r="34" spans="1:9" ht="42" hidden="1" x14ac:dyDescent="0.3">
      <c r="A34" s="85" t="s">
        <v>21</v>
      </c>
      <c r="B34" s="86"/>
      <c r="C34" s="87"/>
      <c r="D34" s="2" t="s">
        <v>4</v>
      </c>
      <c r="E34" s="22" t="s">
        <v>116</v>
      </c>
      <c r="F34" s="21" t="s">
        <v>22</v>
      </c>
      <c r="G34" s="7" t="s">
        <v>4</v>
      </c>
      <c r="H34" s="108" t="s">
        <v>117</v>
      </c>
      <c r="I34" s="110"/>
    </row>
    <row r="35" spans="1:9" ht="42" hidden="1" x14ac:dyDescent="0.3">
      <c r="A35" s="85" t="s">
        <v>25</v>
      </c>
      <c r="B35" s="86"/>
      <c r="C35" s="87"/>
      <c r="D35" s="2" t="s">
        <v>4</v>
      </c>
      <c r="E35" s="22" t="s">
        <v>117</v>
      </c>
      <c r="F35" s="8" t="s">
        <v>36</v>
      </c>
      <c r="G35" s="2" t="s">
        <v>4</v>
      </c>
      <c r="H35" s="108" t="s">
        <v>117</v>
      </c>
      <c r="I35" s="110"/>
    </row>
    <row r="36" spans="1:9" ht="42" hidden="1" x14ac:dyDescent="0.3">
      <c r="A36" s="85" t="s">
        <v>35</v>
      </c>
      <c r="B36" s="86"/>
      <c r="C36" s="87"/>
      <c r="D36" s="2" t="s">
        <v>4</v>
      </c>
      <c r="E36" s="5" t="s">
        <v>118</v>
      </c>
      <c r="F36" s="21" t="s">
        <v>24</v>
      </c>
      <c r="G36" s="24" t="s">
        <v>4</v>
      </c>
      <c r="H36" s="108" t="s">
        <v>119</v>
      </c>
      <c r="I36" s="110"/>
    </row>
    <row r="37" spans="1:9" ht="21" x14ac:dyDescent="0.3">
      <c r="A37" s="121" t="s">
        <v>0</v>
      </c>
      <c r="B37" s="122"/>
      <c r="C37" s="122"/>
      <c r="D37" s="122"/>
      <c r="E37" s="122"/>
      <c r="F37" s="122"/>
      <c r="G37" s="122"/>
      <c r="H37" s="122"/>
      <c r="I37" s="123"/>
    </row>
    <row r="38" spans="1:9" ht="21" x14ac:dyDescent="0.3">
      <c r="A38" s="168" t="s">
        <v>0</v>
      </c>
      <c r="B38" s="170"/>
      <c r="C38" s="169"/>
      <c r="D38" s="2" t="s">
        <v>4</v>
      </c>
      <c r="E38" s="9" t="s">
        <v>1</v>
      </c>
      <c r="F38" s="9" t="s">
        <v>6</v>
      </c>
      <c r="G38" s="168" t="s">
        <v>2</v>
      </c>
      <c r="H38" s="169"/>
      <c r="I38" s="9" t="s">
        <v>3</v>
      </c>
    </row>
    <row r="39" spans="1:9" ht="21" x14ac:dyDescent="0.3">
      <c r="A39" s="85" t="s">
        <v>7</v>
      </c>
      <c r="B39" s="86"/>
      <c r="C39" s="87"/>
      <c r="D39" s="2" t="s">
        <v>4</v>
      </c>
      <c r="E39" s="23" t="s">
        <v>200</v>
      </c>
      <c r="F39" s="23" t="s">
        <v>221</v>
      </c>
      <c r="G39" s="158" t="s">
        <v>198</v>
      </c>
      <c r="H39" s="159"/>
      <c r="I39" s="23" t="s">
        <v>221</v>
      </c>
    </row>
    <row r="40" spans="1:9" ht="20.25" customHeight="1" x14ac:dyDescent="0.3">
      <c r="A40" s="85" t="s">
        <v>8</v>
      </c>
      <c r="B40" s="86"/>
      <c r="C40" s="87"/>
      <c r="D40" s="2" t="s">
        <v>4</v>
      </c>
      <c r="E40" s="23" t="s">
        <v>200</v>
      </c>
      <c r="F40" s="23" t="s">
        <v>201</v>
      </c>
      <c r="G40" s="158" t="s">
        <v>198</v>
      </c>
      <c r="H40" s="159"/>
      <c r="I40" s="23" t="s">
        <v>199</v>
      </c>
    </row>
    <row r="41" spans="1:9" ht="20.25" customHeight="1" x14ac:dyDescent="0.3">
      <c r="A41" s="85" t="s">
        <v>12</v>
      </c>
      <c r="B41" s="86"/>
      <c r="C41" s="87"/>
      <c r="D41" s="2" t="s">
        <v>4</v>
      </c>
      <c r="E41" s="18" t="s">
        <v>113</v>
      </c>
      <c r="F41" s="21" t="s">
        <v>13</v>
      </c>
      <c r="G41" s="2" t="s">
        <v>4</v>
      </c>
      <c r="H41" s="108" t="s">
        <v>112</v>
      </c>
      <c r="I41" s="110"/>
    </row>
    <row r="42" spans="1:9" ht="21" x14ac:dyDescent="0.3">
      <c r="A42" s="121" t="s">
        <v>61</v>
      </c>
      <c r="B42" s="122"/>
      <c r="C42" s="122"/>
      <c r="D42" s="122"/>
      <c r="E42" s="122"/>
      <c r="F42" s="122"/>
      <c r="G42" s="122"/>
      <c r="H42" s="122"/>
      <c r="I42" s="123"/>
    </row>
    <row r="43" spans="1:9" ht="21" customHeight="1" x14ac:dyDescent="0.3">
      <c r="A43" s="150" t="s">
        <v>62</v>
      </c>
      <c r="B43" s="150"/>
      <c r="C43" s="150" t="s">
        <v>63</v>
      </c>
      <c r="D43" s="150"/>
      <c r="E43" s="150" t="s">
        <v>179</v>
      </c>
      <c r="F43" s="150"/>
      <c r="G43" s="150"/>
      <c r="H43" s="150" t="s">
        <v>64</v>
      </c>
      <c r="I43" s="150"/>
    </row>
    <row r="44" spans="1:9" ht="44.25" customHeight="1" x14ac:dyDescent="0.3">
      <c r="A44" s="167" t="s">
        <v>202</v>
      </c>
      <c r="B44" s="167"/>
      <c r="C44" s="106" t="s">
        <v>97</v>
      </c>
      <c r="D44" s="106"/>
      <c r="E44" s="106" t="s">
        <v>215</v>
      </c>
      <c r="F44" s="106"/>
      <c r="G44" s="106"/>
      <c r="H44" s="106" t="s">
        <v>215</v>
      </c>
      <c r="I44" s="106"/>
    </row>
    <row r="45" spans="1:9" ht="21" x14ac:dyDescent="0.3">
      <c r="A45" s="167" t="s">
        <v>203</v>
      </c>
      <c r="B45" s="167"/>
      <c r="C45" s="106" t="s">
        <v>97</v>
      </c>
      <c r="D45" s="106"/>
      <c r="E45" s="106" t="s">
        <v>204</v>
      </c>
      <c r="F45" s="106"/>
      <c r="G45" s="106"/>
      <c r="H45" s="106" t="s">
        <v>204</v>
      </c>
      <c r="I45" s="106"/>
    </row>
    <row r="46" spans="1:9" ht="21" x14ac:dyDescent="0.3">
      <c r="A46" s="67" t="s">
        <v>65</v>
      </c>
      <c r="B46" s="67"/>
      <c r="C46" s="67"/>
      <c r="D46" s="67"/>
      <c r="E46" s="67"/>
      <c r="F46" s="67"/>
      <c r="G46" s="67"/>
      <c r="H46" s="67"/>
      <c r="I46" s="67"/>
    </row>
    <row r="47" spans="1:9" ht="71.25" customHeight="1" x14ac:dyDescent="0.3">
      <c r="A47" s="17" t="s">
        <v>66</v>
      </c>
      <c r="B47" s="17" t="s">
        <v>4</v>
      </c>
      <c r="C47" s="129" t="s">
        <v>113</v>
      </c>
      <c r="D47" s="129"/>
      <c r="E47" s="129"/>
      <c r="F47" s="17" t="s">
        <v>67</v>
      </c>
      <c r="G47" s="17" t="s">
        <v>4</v>
      </c>
      <c r="H47" s="129" t="s">
        <v>214</v>
      </c>
      <c r="I47" s="129"/>
    </row>
    <row r="48" spans="1:9" ht="108" customHeight="1" x14ac:dyDescent="0.3">
      <c r="A48" s="124" t="s">
        <v>98</v>
      </c>
      <c r="B48" s="17" t="s">
        <v>4</v>
      </c>
      <c r="C48" s="129" t="s">
        <v>210</v>
      </c>
      <c r="D48" s="129"/>
      <c r="E48" s="129"/>
      <c r="F48" s="124" t="s">
        <v>213</v>
      </c>
      <c r="G48" s="17" t="s">
        <v>4</v>
      </c>
      <c r="H48" s="134" t="str">
        <f>H47</f>
        <v>S06/0084/10/TMC/TD-DP/TPS/4447/23
Date: 21/07/2023</v>
      </c>
      <c r="I48" s="135"/>
    </row>
    <row r="49" spans="1:11" ht="110.4" customHeight="1" x14ac:dyDescent="0.3">
      <c r="A49" s="138"/>
      <c r="B49" s="17" t="s">
        <v>4</v>
      </c>
      <c r="C49" s="129" t="s">
        <v>211</v>
      </c>
      <c r="D49" s="129"/>
      <c r="E49" s="129"/>
      <c r="F49" s="138"/>
      <c r="G49" s="17" t="s">
        <v>4</v>
      </c>
      <c r="H49" s="136" t="s">
        <v>254</v>
      </c>
      <c r="I49" s="137"/>
    </row>
    <row r="50" spans="1:11" ht="86.25" customHeight="1" x14ac:dyDescent="0.3">
      <c r="A50" s="139"/>
      <c r="B50" s="17" t="s">
        <v>4</v>
      </c>
      <c r="C50" s="129" t="s">
        <v>212</v>
      </c>
      <c r="D50" s="129"/>
      <c r="E50" s="129"/>
      <c r="F50" s="139"/>
      <c r="G50" s="17" t="s">
        <v>4</v>
      </c>
      <c r="H50" s="57"/>
      <c r="I50" s="58"/>
    </row>
    <row r="51" spans="1:11" ht="46.5" hidden="1" customHeight="1" x14ac:dyDescent="0.3">
      <c r="A51" s="17" t="s">
        <v>68</v>
      </c>
      <c r="B51" s="17" t="s">
        <v>4</v>
      </c>
      <c r="C51" s="129"/>
      <c r="D51" s="129"/>
      <c r="E51" s="129"/>
      <c r="F51" s="17" t="s">
        <v>69</v>
      </c>
      <c r="G51" s="17" t="s">
        <v>4</v>
      </c>
      <c r="H51" s="129"/>
      <c r="I51" s="129"/>
    </row>
    <row r="52" spans="1:11" ht="45" hidden="1" customHeight="1" x14ac:dyDescent="0.3">
      <c r="A52" s="17" t="s">
        <v>70</v>
      </c>
      <c r="B52" s="17" t="s">
        <v>4</v>
      </c>
      <c r="C52" s="129" t="s">
        <v>112</v>
      </c>
      <c r="D52" s="129"/>
      <c r="E52" s="129"/>
      <c r="F52" s="17" t="s">
        <v>71</v>
      </c>
      <c r="G52" s="17" t="s">
        <v>4</v>
      </c>
      <c r="H52" s="129"/>
      <c r="I52" s="129"/>
    </row>
    <row r="53" spans="1:11" ht="21.6" thickBot="1" x14ac:dyDescent="0.35">
      <c r="A53" s="67" t="s">
        <v>72</v>
      </c>
      <c r="B53" s="67"/>
      <c r="C53" s="67"/>
      <c r="D53" s="67"/>
      <c r="E53" s="67"/>
      <c r="F53" s="67"/>
      <c r="G53" s="67"/>
      <c r="H53" s="67"/>
      <c r="I53" s="67"/>
    </row>
    <row r="54" spans="1:11" ht="20.25" customHeight="1" x14ac:dyDescent="0.4">
      <c r="A54" s="68" t="s">
        <v>255</v>
      </c>
      <c r="B54" s="68"/>
      <c r="C54" s="68"/>
      <c r="D54" s="69" t="s">
        <v>4</v>
      </c>
      <c r="E54" s="60" t="s">
        <v>149</v>
      </c>
      <c r="F54" s="64" t="s">
        <v>132</v>
      </c>
      <c r="G54" s="64"/>
      <c r="H54" s="60" t="s">
        <v>150</v>
      </c>
      <c r="I54" s="60" t="s">
        <v>151</v>
      </c>
      <c r="J54" s="38" t="str">
        <f ca="1">(IF(F57&gt;99%,"All work completed. Please provide OC.",IF(F57&gt;89.8%,"Plinth, RCC, Brick, Plaster, Flooring, Wooden, Plumbing, Electrification, etc., work Completed. Finishing work is in process.",IF(F57&lt;94%,(IF(C57=0,"Work not yet Started.",IF(E57=25%,"Piling work in process",IF(E57=50%,"Excavation work in process",IF(E57=100%,"Excavation work Completed. ","0")))&amp;(IF(C58=0%,"",IF(C58=K59,"Footing work is process",IF(C58=K60,"Footing work Completed",IF(C58=K61,"1st Basement Completed",IF(C58=K62,"1st &amp; 2nd Basement Completed",IF(C58=K63,"1st to 3rd Basement Completed",IF(C58=K64,"1st to 4th Basement Completed",IF(C58=K65,"Plinth work is process",IF(C58=K66,"Plinth work completed","0")))))))))))&amp;(IF(C59=(F55+H55+I55),", RCC Slab",IF(C59&gt;0,", RCC upto "&amp;C59&amp;" Slab",""))&amp;(IF(C60=I55,", Brickwork",IF(C60&gt;0,", Brickwork upto "&amp;C60&amp;" Floor",""))&amp;(IF(C61=I55,", Internal Plaster",IF(C61&gt;0,", Internal Plaster upto "&amp;C61&amp;" Floor",""))&amp;(IF(C62=I55,", External Plaster",IF(C62&gt;0,", External Plaster upto "&amp;C62&amp;" Floor",""))&amp;(IF(C63=I55,", External Plumbing, Elevation and Waterproofing",IF(C63&gt;0,", External Plumbing, Elevation and Waterproofing upto "&amp;C63&amp;" Floor",""))&amp;(IF(C64=I55,", Flooring &amp; Fitting",IF(C64&gt;0,", Flooring &amp; Fitting upto "&amp;C64&amp;" Floor",""))&amp;(IF(C65=I55,", Wooden Work",IF(C65&gt;0,", Wooden Work upto "&amp;C65&amp;" Floor",""))&amp;(IF(C66=I55,", Electrical &amp; Sanitary fittings",IF(C66&gt;0,", Electrical &amp; Sanitary fittings upto "&amp;C66&amp;" Floor",""))&amp;(IF(C67&gt;0,", Finishing upto "&amp;C67&amp;" Floor","")&amp;(IF(C59&gt;0.5," Completed",""))))))))))))))))</f>
        <v>Excavation work Completed. Plinth work completed, RCC Slab, Brickwork, Internal Plaster, External Plaster, External Plumbing, Elevation and Waterproofing, Flooring &amp; Fitting upto 29 Floor, Wooden Work upto 28 Floor, Electrical &amp; Sanitary fittings upto 28 Floor, Finishing upto 25 Floor Completed</v>
      </c>
      <c r="K54" s="40"/>
    </row>
    <row r="55" spans="1:11" ht="46.8" customHeight="1" x14ac:dyDescent="0.4">
      <c r="A55" s="68"/>
      <c r="B55" s="68"/>
      <c r="C55" s="68"/>
      <c r="D55" s="69"/>
      <c r="E55" s="60">
        <v>2</v>
      </c>
      <c r="F55" s="64">
        <v>1</v>
      </c>
      <c r="G55" s="64"/>
      <c r="H55" s="60">
        <v>2</v>
      </c>
      <c r="I55" s="60">
        <f ca="1">--TRIM(RIGHT(SUBSTITUTE(LEFT(A54,_xlfn.AGGREGATE(16,6,FIND({0,1,2,3,4,5,6,7,8,9},A54,ROW(INDIRECT("1:"&amp;LEN(A54)))),1))," ",REPT(" ",LEN(A54))),LEN(A54)))</f>
        <v>30</v>
      </c>
      <c r="J55" s="39" t="s">
        <v>155</v>
      </c>
      <c r="K55" s="40"/>
    </row>
    <row r="56" spans="1:11" ht="20.25" customHeight="1" x14ac:dyDescent="0.4">
      <c r="A56" s="70" t="s">
        <v>153</v>
      </c>
      <c r="B56" s="70"/>
      <c r="C56" s="70" t="s">
        <v>164</v>
      </c>
      <c r="D56" s="70"/>
      <c r="E56" s="62" t="s">
        <v>165</v>
      </c>
      <c r="F56" s="70" t="s">
        <v>154</v>
      </c>
      <c r="G56" s="70"/>
      <c r="H56" s="49" t="s">
        <v>152</v>
      </c>
      <c r="I56" s="49"/>
      <c r="J56" s="42" t="s">
        <v>166</v>
      </c>
      <c r="K56" s="41">
        <f ca="1">I55*25%</f>
        <v>7.5</v>
      </c>
    </row>
    <row r="57" spans="1:11" ht="20.25" customHeight="1" x14ac:dyDescent="0.4">
      <c r="A57" s="63" t="s">
        <v>167</v>
      </c>
      <c r="B57" s="63"/>
      <c r="C57" s="64">
        <f ca="1">K58</f>
        <v>30</v>
      </c>
      <c r="D57" s="64"/>
      <c r="E57" s="61">
        <f ca="1">((100/I55)*C57)/100</f>
        <v>1</v>
      </c>
      <c r="F57" s="63">
        <f ca="1">(((C57/I55*5)+(C58/I55*20)+(25/(F55+H55+I55)*C59)+(5/(I55)*C60)+(2.5/(I55)*C61)+(2.5/(I55)*C62)+(5/I55*C63)+(10/I55*C64)+(2.5/I55*C65)+(2.5/I55*C66)+(10/I55*C67)+(10/I55*C68))/100)</f>
        <v>0.87666666666666659</v>
      </c>
      <c r="G57" s="63"/>
      <c r="H57" s="63" t="str">
        <f ca="1">J54</f>
        <v>Excavation work Completed. Plinth work completed, RCC Slab, Brickwork, Internal Plaster, External Plaster, External Plumbing, Elevation and Waterproofing, Flooring &amp; Fitting upto 29 Floor, Wooden Work upto 28 Floor, Electrical &amp; Sanitary fittings upto 28 Floor, Finishing upto 25 Floor Completed</v>
      </c>
      <c r="I57" s="63"/>
      <c r="J57" s="42" t="s">
        <v>156</v>
      </c>
      <c r="K57" s="45">
        <f ca="1">I55*50%</f>
        <v>15</v>
      </c>
    </row>
    <row r="58" spans="1:11" ht="21" x14ac:dyDescent="0.4">
      <c r="A58" s="63" t="s">
        <v>133</v>
      </c>
      <c r="B58" s="63"/>
      <c r="C58" s="71">
        <f ca="1">K66</f>
        <v>30</v>
      </c>
      <c r="D58" s="64"/>
      <c r="E58" s="61">
        <f ca="1">((100/I55)*C58)/100</f>
        <v>1</v>
      </c>
      <c r="F58" s="63"/>
      <c r="G58" s="63"/>
      <c r="H58" s="63"/>
      <c r="I58" s="63"/>
      <c r="J58" s="42" t="s">
        <v>157</v>
      </c>
      <c r="K58" s="45">
        <f ca="1">I55</f>
        <v>30</v>
      </c>
    </row>
    <row r="59" spans="1:11" ht="21" customHeight="1" x14ac:dyDescent="0.4">
      <c r="A59" s="63" t="s">
        <v>168</v>
      </c>
      <c r="B59" s="63"/>
      <c r="C59" s="64">
        <v>33</v>
      </c>
      <c r="D59" s="64"/>
      <c r="E59" s="61">
        <f ca="1">((100/(F55+H55+I55))*C59)/100</f>
        <v>1</v>
      </c>
      <c r="F59" s="63"/>
      <c r="G59" s="63"/>
      <c r="H59" s="63"/>
      <c r="I59" s="63"/>
      <c r="J59" s="42" t="s">
        <v>158</v>
      </c>
      <c r="K59" s="46">
        <f ca="1">(IF(E55&gt;1,(I55/(E55+2)),I55/4))</f>
        <v>7.5</v>
      </c>
    </row>
    <row r="60" spans="1:11" ht="21" customHeight="1" x14ac:dyDescent="0.4">
      <c r="A60" s="63" t="s">
        <v>169</v>
      </c>
      <c r="B60" s="63"/>
      <c r="C60" s="64">
        <v>30</v>
      </c>
      <c r="D60" s="64"/>
      <c r="E60" s="61">
        <f ca="1">((100/I55)*C60)/100</f>
        <v>1</v>
      </c>
      <c r="F60" s="63"/>
      <c r="G60" s="63"/>
      <c r="H60" s="63"/>
      <c r="I60" s="63"/>
      <c r="J60" s="42" t="s">
        <v>159</v>
      </c>
      <c r="K60" s="46">
        <f ca="1">(IF(E55&gt;1,(I55/(E55+2)+K59),I55/4+K59))</f>
        <v>15</v>
      </c>
    </row>
    <row r="61" spans="1:11" ht="21" customHeight="1" x14ac:dyDescent="0.4">
      <c r="A61" s="65" t="s">
        <v>170</v>
      </c>
      <c r="B61" s="66"/>
      <c r="C61" s="71">
        <v>30</v>
      </c>
      <c r="D61" s="71"/>
      <c r="E61" s="61">
        <f ca="1">((100/I55)*C61)/100</f>
        <v>1</v>
      </c>
      <c r="F61" s="63"/>
      <c r="G61" s="63"/>
      <c r="H61" s="63"/>
      <c r="I61" s="63"/>
      <c r="J61" s="42" t="s">
        <v>171</v>
      </c>
      <c r="K61" s="46">
        <f ca="1">(IF(E55&gt;1,(I55/(E55+2)+K60),0))</f>
        <v>22.5</v>
      </c>
    </row>
    <row r="62" spans="1:11" ht="21" customHeight="1" x14ac:dyDescent="0.4">
      <c r="A62" s="65" t="s">
        <v>250</v>
      </c>
      <c r="B62" s="66"/>
      <c r="C62" s="71">
        <v>30</v>
      </c>
      <c r="D62" s="71"/>
      <c r="E62" s="61">
        <f ca="1">((100/I55)*C62)/100</f>
        <v>1</v>
      </c>
      <c r="F62" s="63"/>
      <c r="G62" s="63"/>
      <c r="H62" s="63"/>
      <c r="I62" s="63"/>
      <c r="J62" s="42" t="s">
        <v>172</v>
      </c>
      <c r="K62" s="46">
        <f>(IF(E55&gt;2,(I55/(E55+2)+K61),0))</f>
        <v>0</v>
      </c>
    </row>
    <row r="63" spans="1:11" ht="57.75" customHeight="1" x14ac:dyDescent="0.4">
      <c r="A63" s="65" t="s">
        <v>251</v>
      </c>
      <c r="B63" s="66"/>
      <c r="C63" s="64">
        <v>30</v>
      </c>
      <c r="D63" s="64"/>
      <c r="E63" s="61">
        <f ca="1">((100/(I55))*C63)/100</f>
        <v>1</v>
      </c>
      <c r="F63" s="63"/>
      <c r="G63" s="63"/>
      <c r="H63" s="63"/>
      <c r="I63" s="63"/>
      <c r="J63" s="42" t="s">
        <v>174</v>
      </c>
      <c r="K63" s="47">
        <f>(IF(E55&gt;3,(I55/(E55+2)+K62),0))</f>
        <v>0</v>
      </c>
    </row>
    <row r="64" spans="1:11" ht="21" x14ac:dyDescent="0.4">
      <c r="A64" s="63" t="s">
        <v>173</v>
      </c>
      <c r="B64" s="63"/>
      <c r="C64" s="64">
        <v>29</v>
      </c>
      <c r="D64" s="64"/>
      <c r="E64" s="61">
        <f ca="1">((100/(I55))*C64)/100</f>
        <v>0.96666666666666667</v>
      </c>
      <c r="F64" s="63"/>
      <c r="G64" s="63"/>
      <c r="H64" s="63"/>
      <c r="I64" s="63"/>
      <c r="J64" s="42" t="s">
        <v>175</v>
      </c>
      <c r="K64" s="46">
        <f>(IF(E55&gt;4,(I55/(E55+2)+K63),0))</f>
        <v>0</v>
      </c>
    </row>
    <row r="65" spans="1:13" ht="21" customHeight="1" x14ac:dyDescent="0.4">
      <c r="A65" s="63" t="s">
        <v>252</v>
      </c>
      <c r="B65" s="63"/>
      <c r="C65" s="64">
        <v>28</v>
      </c>
      <c r="D65" s="64"/>
      <c r="E65" s="61">
        <f ca="1">((100/I55)*C65)/100</f>
        <v>0.93333333333333346</v>
      </c>
      <c r="F65" s="63"/>
      <c r="G65" s="63"/>
      <c r="H65" s="63"/>
      <c r="I65" s="63"/>
      <c r="J65" s="42" t="s">
        <v>160</v>
      </c>
      <c r="K65" s="46">
        <f>(IF(E55=1,(I55/(E55+3)+K60),IF(E55=0,(I55/4+K60),IF(E55&gt;1,0))))</f>
        <v>0</v>
      </c>
    </row>
    <row r="66" spans="1:13" ht="42" customHeight="1" thickBot="1" x14ac:dyDescent="0.45">
      <c r="A66" s="63" t="s">
        <v>253</v>
      </c>
      <c r="B66" s="63"/>
      <c r="C66" s="64">
        <v>28</v>
      </c>
      <c r="D66" s="64"/>
      <c r="E66" s="61">
        <f ca="1">((100/I55)*C66)/100</f>
        <v>0.93333333333333346</v>
      </c>
      <c r="F66" s="63"/>
      <c r="G66" s="63"/>
      <c r="H66" s="63"/>
      <c r="I66" s="63"/>
      <c r="J66" s="44" t="s">
        <v>161</v>
      </c>
      <c r="K66" s="48">
        <f ca="1">(IF(E55&gt;1.5,(I55/(E55+2)+K59+MAX(0,K60-K59)+MAX(0,K61-K60)+MAX(0,K62-K61)+MAX(0,K63-K62)+MAX(0,K64-K63)),IF(E55=1,(I55/(E55+3)+K65),IF(E55=0,I55/4+K65))))</f>
        <v>30</v>
      </c>
      <c r="M66" s="1" t="e">
        <f>(IF(D54&gt;1.5,(H54/(D54+2)+J59+MAX(0,J60-J59)+MAX(0,J61-J60)+MAX(0,J62-J61)+MAX(0,J63-J62)+MAX(0,J64-J63)),IF(D54=1,(H54/(D54+3)+J64),IF(D54=0,H54*0.3+J64))))</f>
        <v>#VALUE!</v>
      </c>
    </row>
    <row r="67" spans="1:13" ht="21" x14ac:dyDescent="0.3">
      <c r="A67" s="63" t="s">
        <v>176</v>
      </c>
      <c r="B67" s="63"/>
      <c r="C67" s="64">
        <v>25</v>
      </c>
      <c r="D67" s="64"/>
      <c r="E67" s="61">
        <f ca="1">((100/(I55))*C67)/100</f>
        <v>0.83333333333333348</v>
      </c>
      <c r="F67" s="63"/>
      <c r="G67" s="63"/>
      <c r="H67" s="63"/>
      <c r="I67" s="63"/>
    </row>
    <row r="68" spans="1:13" ht="21" x14ac:dyDescent="0.3">
      <c r="A68" s="63" t="s">
        <v>177</v>
      </c>
      <c r="B68" s="63"/>
      <c r="C68" s="64">
        <v>0</v>
      </c>
      <c r="D68" s="64"/>
      <c r="E68" s="61">
        <f ca="1">((100/(I55))*C68)/100</f>
        <v>0</v>
      </c>
      <c r="F68" s="63"/>
      <c r="G68" s="63"/>
      <c r="H68" s="63"/>
      <c r="I68" s="63"/>
    </row>
    <row r="69" spans="1:13" ht="21.6" hidden="1" thickBot="1" x14ac:dyDescent="0.35">
      <c r="A69" s="67" t="s">
        <v>72</v>
      </c>
      <c r="B69" s="67"/>
      <c r="C69" s="67"/>
      <c r="D69" s="67"/>
      <c r="E69" s="67"/>
      <c r="F69" s="67"/>
      <c r="G69" s="67"/>
      <c r="H69" s="67"/>
      <c r="I69" s="67"/>
    </row>
    <row r="70" spans="1:13" ht="20.25" hidden="1" customHeight="1" x14ac:dyDescent="0.4">
      <c r="A70" s="68" t="s">
        <v>239</v>
      </c>
      <c r="B70" s="68"/>
      <c r="C70" s="68"/>
      <c r="D70" s="69" t="s">
        <v>4</v>
      </c>
      <c r="E70" s="60" t="s">
        <v>149</v>
      </c>
      <c r="F70" s="64" t="s">
        <v>132</v>
      </c>
      <c r="G70" s="64"/>
      <c r="H70" s="60" t="s">
        <v>150</v>
      </c>
      <c r="I70" s="60" t="s">
        <v>151</v>
      </c>
      <c r="J70" s="38" t="str">
        <f ca="1">(IF(F73&gt;99%,"All work completed. Please provide OC.",IF(F73&gt;89.8%,"Plinth, RCC, Brick, Plaster, Flooring, Wooden, Plumbing, Electrification, etc., work Completed. Finishing work is in process.",IF(F73&lt;94%,(IF(C73=0,"Work not yet Started.",IF(E73=25%,"Piling work in process",IF(E73=50%,"Excavation work in process",IF(E73=100%,"Excavation work Completed. ","0")))&amp;(IF(C74=0%,"",IF(C74=K75,"Footing work is process",IF(C74=K76,"Footing work Completed",IF(C74=K77,"1st Basement Completed",IF(C74=K78,"1st &amp; 2nd Basement Completed",IF(C74=K79,"1st to 3rd Basement Completed",IF(C74=K80,"1st to 4th Basement Completed",IF(C74=K81,"Plinth work is process",IF(C74=K82,"Plinth work completed","0")))))))))))&amp;(IF(C75=(F71+H71+I71),", RCC Slab",IF(C75&gt;0,", RCC upto "&amp;C75&amp;" Slab",""))&amp;(IF(C76=I71,", Brickwork",IF(C76&gt;0,", Brickwork upto "&amp;C76&amp;" Floor",""))&amp;(IF(C77=I71,", Internal Plaster",IF(C77&gt;0,", Internal Plaster upto "&amp;C77&amp;" Floor",""))&amp;(IF(C78=I71,", External Plaster",IF(C78&gt;0,", External Plaster upto "&amp;C78&amp;" Floor",""))&amp;(IF(C79=I71,", External Plumbing, Elevation and Waterproofing",IF(C79&gt;0,", External Plumbing, Elevation and Waterproofing upto "&amp;C79&amp;" Floor",""))&amp;(IF(C80=I71,", Flooring &amp; Fitting",IF(C80&gt;0,", Flooring &amp; Fitting upto "&amp;C80&amp;" Floor",""))&amp;(IF(C81=I71,", Wooden Work",IF(C81&gt;0,", Wooden Work upto "&amp;C81&amp;" Floor",""))&amp;(IF(C82=I71,", Electrical &amp; Sanitary fittings",IF(C82&gt;0,", Electrical &amp; Sanitary fittings upto "&amp;C82&amp;" Floor",""))&amp;(IF(C83&gt;0,", Finishing upto "&amp;C83&amp;" Floor","")&amp;(IF(C75&gt;0.5," Completed",""))))))))))))))))</f>
        <v>Excavation work Completed. Plinth work completed, RCC Slab, Brickwork, Internal Plaster, External Plaster, External Plumbing, Elevation and Waterproofing upto 15 Floor, Flooring &amp; Fitting upto 10 Floor, Wooden Work upto 10 Floor, Electrical &amp; Sanitary fittings upto 10 Floor Completed</v>
      </c>
      <c r="K70" s="40"/>
    </row>
    <row r="71" spans="1:13" ht="21" hidden="1" x14ac:dyDescent="0.4">
      <c r="A71" s="68"/>
      <c r="B71" s="68"/>
      <c r="C71" s="68"/>
      <c r="D71" s="69"/>
      <c r="E71" s="60">
        <v>2</v>
      </c>
      <c r="F71" s="64">
        <v>1</v>
      </c>
      <c r="G71" s="64"/>
      <c r="H71" s="60">
        <v>2</v>
      </c>
      <c r="I71" s="60">
        <f ca="1">--TRIM(RIGHT(SUBSTITUTE(LEFT(A70,_xlfn.AGGREGATE(16,6,FIND({0,1,2,3,4,5,6,7,8,9},A70,ROW(INDIRECT("1:"&amp;LEN(A70)))),1))," ",REPT(" ",LEN(A70))),LEN(A70)))</f>
        <v>30</v>
      </c>
      <c r="J71" s="39" t="s">
        <v>155</v>
      </c>
      <c r="K71" s="40"/>
    </row>
    <row r="72" spans="1:13" ht="20.25" hidden="1" customHeight="1" x14ac:dyDescent="0.4">
      <c r="A72" s="70" t="s">
        <v>153</v>
      </c>
      <c r="B72" s="70"/>
      <c r="C72" s="70" t="s">
        <v>164</v>
      </c>
      <c r="D72" s="70"/>
      <c r="E72" s="62" t="s">
        <v>165</v>
      </c>
      <c r="F72" s="70" t="s">
        <v>154</v>
      </c>
      <c r="G72" s="70"/>
      <c r="H72" s="49" t="s">
        <v>152</v>
      </c>
      <c r="I72" s="49"/>
      <c r="J72" s="42" t="s">
        <v>166</v>
      </c>
      <c r="K72" s="41">
        <f ca="1">I71*25%</f>
        <v>7.5</v>
      </c>
    </row>
    <row r="73" spans="1:13" ht="20.25" hidden="1" customHeight="1" x14ac:dyDescent="0.4">
      <c r="A73" s="63" t="s">
        <v>167</v>
      </c>
      <c r="B73" s="63"/>
      <c r="C73" s="64">
        <f ca="1">K74</f>
        <v>30</v>
      </c>
      <c r="D73" s="64"/>
      <c r="E73" s="61">
        <f ca="1">((100/I71)*C73)/100</f>
        <v>1</v>
      </c>
      <c r="F73" s="63">
        <f ca="1">(((C73/I71*5)+(C74/I71*20)+(25/(F71+H71+I71)*C75)+(5/(I71)*C76)+(2.5/(I71)*C77)+(2.5/(I71)*C78)+(5/I71*C79)+(10/I71*C80)+(2.5/I71*C81)+(2.5/I71*C82)+(10/I71*C83)+(10/I71*C84))/100)</f>
        <v>0.67499999999999982</v>
      </c>
      <c r="G73" s="63"/>
      <c r="H73" s="63" t="str">
        <f ca="1">J70</f>
        <v>Excavation work Completed. Plinth work completed, RCC Slab, Brickwork, Internal Plaster, External Plaster, External Plumbing, Elevation and Waterproofing upto 15 Floor, Flooring &amp; Fitting upto 10 Floor, Wooden Work upto 10 Floor, Electrical &amp; Sanitary fittings upto 10 Floor Completed</v>
      </c>
      <c r="I73" s="63"/>
      <c r="J73" s="42" t="s">
        <v>156</v>
      </c>
      <c r="K73" s="45">
        <f ca="1">I71*50%</f>
        <v>15</v>
      </c>
    </row>
    <row r="74" spans="1:13" ht="21" hidden="1" x14ac:dyDescent="0.4">
      <c r="A74" s="63" t="s">
        <v>133</v>
      </c>
      <c r="B74" s="63"/>
      <c r="C74" s="71">
        <f ca="1">K82</f>
        <v>30</v>
      </c>
      <c r="D74" s="64"/>
      <c r="E74" s="61">
        <f ca="1">((100/I71)*C74)/100</f>
        <v>1</v>
      </c>
      <c r="F74" s="63"/>
      <c r="G74" s="63"/>
      <c r="H74" s="63"/>
      <c r="I74" s="63"/>
      <c r="J74" s="42" t="s">
        <v>157</v>
      </c>
      <c r="K74" s="45">
        <f ca="1">I71</f>
        <v>30</v>
      </c>
    </row>
    <row r="75" spans="1:13" ht="21" hidden="1" customHeight="1" x14ac:dyDescent="0.4">
      <c r="A75" s="63" t="s">
        <v>168</v>
      </c>
      <c r="B75" s="63"/>
      <c r="C75" s="64">
        <v>33</v>
      </c>
      <c r="D75" s="64"/>
      <c r="E75" s="61">
        <f ca="1">((100/(F71+H71+I71))*C75)/100</f>
        <v>1</v>
      </c>
      <c r="F75" s="63"/>
      <c r="G75" s="63"/>
      <c r="H75" s="63"/>
      <c r="I75" s="63"/>
      <c r="J75" s="42" t="s">
        <v>158</v>
      </c>
      <c r="K75" s="46">
        <f ca="1">(IF(E71&gt;1,(I71/(E71+2)),I71/4))</f>
        <v>7.5</v>
      </c>
    </row>
    <row r="76" spans="1:13" ht="21" hidden="1" customHeight="1" x14ac:dyDescent="0.4">
      <c r="A76" s="63" t="s">
        <v>169</v>
      </c>
      <c r="B76" s="63"/>
      <c r="C76" s="64">
        <v>30</v>
      </c>
      <c r="D76" s="64"/>
      <c r="E76" s="61">
        <f ca="1">((100/I71)*C76)/100</f>
        <v>1</v>
      </c>
      <c r="F76" s="63"/>
      <c r="G76" s="63"/>
      <c r="H76" s="63"/>
      <c r="I76" s="63"/>
      <c r="J76" s="42" t="s">
        <v>159</v>
      </c>
      <c r="K76" s="46">
        <f ca="1">(IF(E71&gt;1,(I71/(E71+2)+K75),I71/4+K75))</f>
        <v>15</v>
      </c>
    </row>
    <row r="77" spans="1:13" ht="21" hidden="1" customHeight="1" x14ac:dyDescent="0.4">
      <c r="A77" s="65" t="s">
        <v>170</v>
      </c>
      <c r="B77" s="66"/>
      <c r="C77" s="71">
        <v>30</v>
      </c>
      <c r="D77" s="71"/>
      <c r="E77" s="61">
        <f ca="1">((100/I71)*C77)/100</f>
        <v>1</v>
      </c>
      <c r="F77" s="63"/>
      <c r="G77" s="63"/>
      <c r="H77" s="63"/>
      <c r="I77" s="63"/>
      <c r="J77" s="42" t="s">
        <v>171</v>
      </c>
      <c r="K77" s="46">
        <f ca="1">(IF(E71&gt;1,(I71/(E71+2)+K76),0))</f>
        <v>22.5</v>
      </c>
    </row>
    <row r="78" spans="1:13" ht="21" hidden="1" customHeight="1" x14ac:dyDescent="0.4">
      <c r="A78" s="65" t="s">
        <v>250</v>
      </c>
      <c r="B78" s="66"/>
      <c r="C78" s="71">
        <f>C77</f>
        <v>30</v>
      </c>
      <c r="D78" s="71"/>
      <c r="E78" s="61">
        <f ca="1">((100/I71)*C78)/100</f>
        <v>1</v>
      </c>
      <c r="F78" s="63"/>
      <c r="G78" s="63"/>
      <c r="H78" s="63"/>
      <c r="I78" s="63"/>
      <c r="J78" s="42" t="s">
        <v>172</v>
      </c>
      <c r="K78" s="46">
        <f>(IF(E71&gt;2,(I71/(E71+2)+K77),0))</f>
        <v>0</v>
      </c>
    </row>
    <row r="79" spans="1:13" ht="57.75" hidden="1" customHeight="1" x14ac:dyDescent="0.4">
      <c r="A79" s="65" t="s">
        <v>251</v>
      </c>
      <c r="B79" s="66"/>
      <c r="C79" s="64">
        <v>15</v>
      </c>
      <c r="D79" s="64"/>
      <c r="E79" s="61">
        <f ca="1">((100/(I71))*C79)/100</f>
        <v>0.5</v>
      </c>
      <c r="F79" s="63"/>
      <c r="G79" s="63"/>
      <c r="H79" s="63"/>
      <c r="I79" s="63"/>
      <c r="J79" s="42" t="s">
        <v>174</v>
      </c>
      <c r="K79" s="47">
        <f>(IF(E71&gt;3,(I71/(E71+2)+K78),0))</f>
        <v>0</v>
      </c>
    </row>
    <row r="80" spans="1:13" ht="21" hidden="1" x14ac:dyDescent="0.4">
      <c r="A80" s="63" t="s">
        <v>173</v>
      </c>
      <c r="B80" s="63"/>
      <c r="C80" s="64">
        <v>10</v>
      </c>
      <c r="D80" s="64"/>
      <c r="E80" s="61">
        <f ca="1">((100/(I71))*C80)/100</f>
        <v>0.33333333333333337</v>
      </c>
      <c r="F80" s="63"/>
      <c r="G80" s="63"/>
      <c r="H80" s="63"/>
      <c r="I80" s="63"/>
      <c r="J80" s="42" t="s">
        <v>175</v>
      </c>
      <c r="K80" s="46">
        <f>(IF(E71&gt;4,(I71/(E71+2)+K79),0))</f>
        <v>0</v>
      </c>
    </row>
    <row r="81" spans="1:13" ht="21" hidden="1" customHeight="1" x14ac:dyDescent="0.4">
      <c r="A81" s="63" t="s">
        <v>252</v>
      </c>
      <c r="B81" s="63"/>
      <c r="C81" s="64">
        <v>10</v>
      </c>
      <c r="D81" s="64"/>
      <c r="E81" s="61">
        <f ca="1">((100/I71)*C81)/100</f>
        <v>0.33333333333333337</v>
      </c>
      <c r="F81" s="63"/>
      <c r="G81" s="63"/>
      <c r="H81" s="63"/>
      <c r="I81" s="63"/>
      <c r="J81" s="42" t="s">
        <v>160</v>
      </c>
      <c r="K81" s="46">
        <f>(IF(E71=1,(I71/(E71+3)+K76),IF(E71=0,(I71/4+K76),IF(E71&gt;1,0))))</f>
        <v>0</v>
      </c>
    </row>
    <row r="82" spans="1:13" ht="42" hidden="1" customHeight="1" thickBot="1" x14ac:dyDescent="0.45">
      <c r="A82" s="63" t="s">
        <v>253</v>
      </c>
      <c r="B82" s="63"/>
      <c r="C82" s="64">
        <v>10</v>
      </c>
      <c r="D82" s="64"/>
      <c r="E82" s="61">
        <f ca="1">((100/I71)*C82)/100</f>
        <v>0.33333333333333337</v>
      </c>
      <c r="F82" s="63"/>
      <c r="G82" s="63"/>
      <c r="H82" s="63"/>
      <c r="I82" s="63"/>
      <c r="J82" s="44" t="s">
        <v>161</v>
      </c>
      <c r="K82" s="48">
        <f ca="1">(IF(E71&gt;1.5,(I71/(E71+2)+K75+MAX(0,K76-K75)+MAX(0,K77-K76)+MAX(0,K78-K77)+MAX(0,K79-K78)+MAX(0,K80-K79)),IF(E71=1,(I71/(E71+3)+K81),IF(E71=0,I71/4+K81))))</f>
        <v>30</v>
      </c>
      <c r="M82" s="1" t="e">
        <f>(IF(D70&gt;1.5,(H70/(D70+2)+J75+MAX(0,J76-J75)+MAX(0,J77-J76)+MAX(0,J78-J77)+MAX(0,J79-J78)+MAX(0,J80-J79)),IF(D70=1,(H70/(D70+3)+J80),IF(D70=0,H70*0.3+J80))))</f>
        <v>#VALUE!</v>
      </c>
    </row>
    <row r="83" spans="1:13" ht="21" hidden="1" x14ac:dyDescent="0.3">
      <c r="A83" s="63" t="s">
        <v>176</v>
      </c>
      <c r="B83" s="63"/>
      <c r="C83" s="64">
        <v>0</v>
      </c>
      <c r="D83" s="64"/>
      <c r="E83" s="61">
        <f ca="1">((100/(I71))*C83)/100</f>
        <v>0</v>
      </c>
      <c r="F83" s="63"/>
      <c r="G83" s="63"/>
      <c r="H83" s="63"/>
      <c r="I83" s="63"/>
    </row>
    <row r="84" spans="1:13" ht="21" hidden="1" x14ac:dyDescent="0.3">
      <c r="A84" s="63" t="s">
        <v>177</v>
      </c>
      <c r="B84" s="63"/>
      <c r="C84" s="64">
        <v>0</v>
      </c>
      <c r="D84" s="64"/>
      <c r="E84" s="61">
        <f ca="1">((100/(I71))*C84)/100</f>
        <v>0</v>
      </c>
      <c r="F84" s="63"/>
      <c r="G84" s="63"/>
      <c r="H84" s="63"/>
      <c r="I84" s="63"/>
    </row>
    <row r="85" spans="1:13" ht="21.6" thickBot="1" x14ac:dyDescent="0.35">
      <c r="A85" s="67" t="s">
        <v>72</v>
      </c>
      <c r="B85" s="67"/>
      <c r="C85" s="67"/>
      <c r="D85" s="67"/>
      <c r="E85" s="67"/>
      <c r="F85" s="67"/>
      <c r="G85" s="67"/>
      <c r="H85" s="67"/>
      <c r="I85" s="67"/>
    </row>
    <row r="86" spans="1:13" ht="20.25" customHeight="1" x14ac:dyDescent="0.4">
      <c r="A86" s="68" t="s">
        <v>205</v>
      </c>
      <c r="B86" s="68"/>
      <c r="C86" s="68"/>
      <c r="D86" s="69" t="s">
        <v>4</v>
      </c>
      <c r="E86" s="60" t="s">
        <v>149</v>
      </c>
      <c r="F86" s="64" t="s">
        <v>132</v>
      </c>
      <c r="G86" s="64"/>
      <c r="H86" s="60" t="s">
        <v>150</v>
      </c>
      <c r="I86" s="60" t="s">
        <v>151</v>
      </c>
      <c r="J86" s="38" t="str">
        <f ca="1">(IF(F89&gt;99%,"All work completed. Please provide OC.",IF(F89&gt;89.8%,"Plinth, RCC, Brick, Plaster, Flooring, Wooden, Plumbing, Electrification, etc., work Completed. Finishing work is in process.",IF(F89&lt;94%,(IF(C89=0,"Work not yet Started.",IF(E89=25%,"Piling work in process",IF(E89=50%,"Excavation work in process",IF(E89=100%,"Excavation work Completed. ","0")))&amp;(IF(C90=0%,"",IF(C90=K91,"Footing work is process",IF(C90=K92,"Footing work Completed",IF(C90=K93,"1st Basement Completed",IF(C90=K94,"1st &amp; 2nd Basement Completed",IF(C90=K95,"1st to 3rd Basement Completed",IF(C90=K96,"1st to 4th Basement Completed",IF(C90=K97,"Plinth work is process",IF(C90=K98,"Plinth work completed","0")))))))))))&amp;(IF(C91=(F87+H87+I87),", RCC Slab",IF(C91&gt;0,", RCC upto "&amp;C91&amp;" Slab",""))&amp;(IF(C92=I87,", Brickwork",IF(C92&gt;0,", Brickwork upto "&amp;C92&amp;" Floor",""))&amp;(IF(C93=I87,", Internal Plaster",IF(C93&gt;0,", Internal Plaster upto "&amp;C93&amp;" Floor",""))&amp;(IF(C94=I87,", External Plaster",IF(C94&gt;0,", External Plaster upto "&amp;C94&amp;" Floor",""))&amp;(IF(C95=I87,", External Plumbing, Elevation and Waterproofing",IF(C95&gt;0,", External Plumbing, Elevation and Waterproofing upto "&amp;C95&amp;" Floor",""))&amp;(IF(C96=I87,", Flooring &amp; Fitting",IF(C96&gt;0,", Flooring &amp; Fitting upto "&amp;C96&amp;" Floor",""))&amp;(IF(C97=I87,", Wooden Work",IF(C97&gt;0,", Wooden Work upto "&amp;C97&amp;" Floor",""))&amp;(IF(C98=I87,", Electrical &amp; Sanitary fittings",IF(C98&gt;0,", Electrical &amp; Sanitary fittings upto "&amp;C98&amp;" Floor",""))&amp;(IF(C99&gt;0,", Finishing upto "&amp;C99&amp;" Floor","")&amp;(IF(C91&gt;0.5," Completed",""))))))))))))))))</f>
        <v>All work completed. Please provide OC.</v>
      </c>
      <c r="K86" s="40"/>
    </row>
    <row r="87" spans="1:13" ht="21" x14ac:dyDescent="0.4">
      <c r="A87" s="68"/>
      <c r="B87" s="68"/>
      <c r="C87" s="68"/>
      <c r="D87" s="69"/>
      <c r="E87" s="60">
        <v>2</v>
      </c>
      <c r="F87" s="64">
        <v>1</v>
      </c>
      <c r="G87" s="64"/>
      <c r="H87" s="60">
        <v>1</v>
      </c>
      <c r="I87" s="60">
        <f ca="1">--TRIM(RIGHT(SUBSTITUTE(LEFT(A86,_xlfn.AGGREGATE(16,6,FIND({0,1,2,3,4,5,6,7,8,9},A86,ROW(INDIRECT("1:"&amp;LEN(A86)))),1))," ",REPT(" ",LEN(A86))),LEN(A86)))</f>
        <v>27</v>
      </c>
      <c r="J87" s="39" t="s">
        <v>155</v>
      </c>
      <c r="K87" s="40"/>
    </row>
    <row r="88" spans="1:13" ht="20.25" customHeight="1" x14ac:dyDescent="0.4">
      <c r="A88" s="70" t="s">
        <v>153</v>
      </c>
      <c r="B88" s="70"/>
      <c r="C88" s="70" t="s">
        <v>164</v>
      </c>
      <c r="D88" s="70"/>
      <c r="E88" s="62" t="s">
        <v>165</v>
      </c>
      <c r="F88" s="70" t="s">
        <v>154</v>
      </c>
      <c r="G88" s="70"/>
      <c r="H88" s="49" t="s">
        <v>152</v>
      </c>
      <c r="I88" s="49"/>
      <c r="J88" s="42" t="s">
        <v>166</v>
      </c>
      <c r="K88" s="41">
        <f ca="1">I87*25%</f>
        <v>6.75</v>
      </c>
    </row>
    <row r="89" spans="1:13" ht="20.25" customHeight="1" x14ac:dyDescent="0.4">
      <c r="A89" s="63" t="s">
        <v>167</v>
      </c>
      <c r="B89" s="63"/>
      <c r="C89" s="64">
        <f ca="1">K90</f>
        <v>27</v>
      </c>
      <c r="D89" s="64"/>
      <c r="E89" s="61">
        <f ca="1">((100/I87)*C89)/100</f>
        <v>1</v>
      </c>
      <c r="F89" s="63">
        <f ca="1">(((C89/I87*5)+(C90/I87*20)+(25/(F87+H87+I87)*C91)+(5/(I87)*C92)+(2.5/(I87)*C93)+(2.5/(I87)*C94)+(5/I87*C95)+(10/I87*C96)+(2.5/I87*C97)+(2.5/I87*C98)+(10/I87*C99)+(10/I87*C100))/100)</f>
        <v>1</v>
      </c>
      <c r="G89" s="63"/>
      <c r="H89" s="63" t="str">
        <f ca="1">J86</f>
        <v>All work completed. Please provide OC.</v>
      </c>
      <c r="I89" s="63"/>
      <c r="J89" s="42" t="s">
        <v>156</v>
      </c>
      <c r="K89" s="45">
        <f ca="1">I87*50%</f>
        <v>13.5</v>
      </c>
    </row>
    <row r="90" spans="1:13" ht="21" x14ac:dyDescent="0.4">
      <c r="A90" s="63" t="s">
        <v>133</v>
      </c>
      <c r="B90" s="63"/>
      <c r="C90" s="71">
        <f ca="1">K98</f>
        <v>27</v>
      </c>
      <c r="D90" s="64"/>
      <c r="E90" s="61">
        <f ca="1">((100/I87)*C90)/100</f>
        <v>1</v>
      </c>
      <c r="F90" s="63"/>
      <c r="G90" s="63"/>
      <c r="H90" s="63"/>
      <c r="I90" s="63"/>
      <c r="J90" s="42" t="s">
        <v>157</v>
      </c>
      <c r="K90" s="45">
        <f ca="1">I87</f>
        <v>27</v>
      </c>
    </row>
    <row r="91" spans="1:13" ht="21" customHeight="1" x14ac:dyDescent="0.4">
      <c r="A91" s="63" t="s">
        <v>168</v>
      </c>
      <c r="B91" s="63"/>
      <c r="C91" s="64">
        <v>29</v>
      </c>
      <c r="D91" s="64"/>
      <c r="E91" s="61">
        <f ca="1">((100/(F87+H87+I87))*C91)/100</f>
        <v>1</v>
      </c>
      <c r="F91" s="63"/>
      <c r="G91" s="63"/>
      <c r="H91" s="63"/>
      <c r="I91" s="63"/>
      <c r="J91" s="42" t="s">
        <v>158</v>
      </c>
      <c r="K91" s="46">
        <f ca="1">(IF(E87&gt;1,(I87/(E87+2)),I87/4))</f>
        <v>6.75</v>
      </c>
    </row>
    <row r="92" spans="1:13" ht="21" customHeight="1" x14ac:dyDescent="0.4">
      <c r="A92" s="63" t="s">
        <v>169</v>
      </c>
      <c r="B92" s="63"/>
      <c r="C92" s="64">
        <v>27</v>
      </c>
      <c r="D92" s="64"/>
      <c r="E92" s="61">
        <f ca="1">((100/I87)*C92)/100</f>
        <v>1</v>
      </c>
      <c r="F92" s="63"/>
      <c r="G92" s="63"/>
      <c r="H92" s="63"/>
      <c r="I92" s="63"/>
      <c r="J92" s="42" t="s">
        <v>159</v>
      </c>
      <c r="K92" s="46">
        <f ca="1">(IF(E87&gt;1,(I87/(E87+2)+K91),I87/4+K91))</f>
        <v>13.5</v>
      </c>
    </row>
    <row r="93" spans="1:13" ht="21" customHeight="1" x14ac:dyDescent="0.4">
      <c r="A93" s="65" t="s">
        <v>170</v>
      </c>
      <c r="B93" s="66"/>
      <c r="C93" s="64">
        <v>27</v>
      </c>
      <c r="D93" s="64"/>
      <c r="E93" s="61">
        <f ca="1">((100/I87)*C93)/100</f>
        <v>1</v>
      </c>
      <c r="F93" s="63"/>
      <c r="G93" s="63"/>
      <c r="H93" s="63"/>
      <c r="I93" s="63"/>
      <c r="J93" s="42" t="s">
        <v>171</v>
      </c>
      <c r="K93" s="46">
        <f ca="1">(IF(E87&gt;1,(I87/(E87+2)+K92),0))</f>
        <v>20.25</v>
      </c>
    </row>
    <row r="94" spans="1:13" ht="21" customHeight="1" x14ac:dyDescent="0.4">
      <c r="A94" s="65" t="s">
        <v>250</v>
      </c>
      <c r="B94" s="66"/>
      <c r="C94" s="64">
        <v>27</v>
      </c>
      <c r="D94" s="64"/>
      <c r="E94" s="61">
        <f ca="1">((100/I87)*C94)/100</f>
        <v>1</v>
      </c>
      <c r="F94" s="63"/>
      <c r="G94" s="63"/>
      <c r="H94" s="63"/>
      <c r="I94" s="63"/>
      <c r="J94" s="42" t="s">
        <v>172</v>
      </c>
      <c r="K94" s="46">
        <f>(IF(E87&gt;2,(I87/(E87+2)+K93),0))</f>
        <v>0</v>
      </c>
    </row>
    <row r="95" spans="1:13" ht="57.75" customHeight="1" x14ac:dyDescent="0.4">
      <c r="A95" s="65" t="s">
        <v>251</v>
      </c>
      <c r="B95" s="66"/>
      <c r="C95" s="64">
        <v>27</v>
      </c>
      <c r="D95" s="64"/>
      <c r="E95" s="61">
        <f ca="1">((100/(I87))*C95)/100</f>
        <v>1</v>
      </c>
      <c r="F95" s="63"/>
      <c r="G95" s="63"/>
      <c r="H95" s="63"/>
      <c r="I95" s="63"/>
      <c r="J95" s="42" t="s">
        <v>174</v>
      </c>
      <c r="K95" s="47">
        <f>(IF(E87&gt;3,(I87/(E87+2)+K94),0))</f>
        <v>0</v>
      </c>
    </row>
    <row r="96" spans="1:13" ht="21" x14ac:dyDescent="0.4">
      <c r="A96" s="63" t="s">
        <v>173</v>
      </c>
      <c r="B96" s="63"/>
      <c r="C96" s="64">
        <v>27</v>
      </c>
      <c r="D96" s="64"/>
      <c r="E96" s="61">
        <f ca="1">((100/(I87))*C96)/100</f>
        <v>1</v>
      </c>
      <c r="F96" s="63"/>
      <c r="G96" s="63"/>
      <c r="H96" s="63"/>
      <c r="I96" s="63"/>
      <c r="J96" s="42" t="s">
        <v>175</v>
      </c>
      <c r="K96" s="46">
        <f>(IF(E87&gt;4,(I87/(E87+2)+K95),0))</f>
        <v>0</v>
      </c>
    </row>
    <row r="97" spans="1:13" ht="21" customHeight="1" x14ac:dyDescent="0.4">
      <c r="A97" s="63" t="s">
        <v>252</v>
      </c>
      <c r="B97" s="63"/>
      <c r="C97" s="64">
        <v>27</v>
      </c>
      <c r="D97" s="64"/>
      <c r="E97" s="61">
        <f ca="1">((100/I87)*C97)/100</f>
        <v>1</v>
      </c>
      <c r="F97" s="63"/>
      <c r="G97" s="63"/>
      <c r="H97" s="63"/>
      <c r="I97" s="63"/>
      <c r="J97" s="42" t="s">
        <v>160</v>
      </c>
      <c r="K97" s="46">
        <f>(IF(E87=1,(I87/(E87+3)+K92),IF(E87=0,(I87/4+K92),IF(E87&gt;1,0))))</f>
        <v>0</v>
      </c>
    </row>
    <row r="98" spans="1:13" ht="42" customHeight="1" thickBot="1" x14ac:dyDescent="0.45">
      <c r="A98" s="63" t="s">
        <v>253</v>
      </c>
      <c r="B98" s="63"/>
      <c r="C98" s="64">
        <v>27</v>
      </c>
      <c r="D98" s="64"/>
      <c r="E98" s="61">
        <f ca="1">((100/I87)*C98)/100</f>
        <v>1</v>
      </c>
      <c r="F98" s="63"/>
      <c r="G98" s="63"/>
      <c r="H98" s="63"/>
      <c r="I98" s="63"/>
      <c r="J98" s="44" t="s">
        <v>161</v>
      </c>
      <c r="K98" s="48">
        <f ca="1">(IF(E87&gt;1.5,(I87/(E87+2)+K91+MAX(0,K92-K91)+MAX(0,K93-K92)+MAX(0,K94-K93)+MAX(0,K95-K94)+MAX(0,K96-K95)),IF(E87=1,(I87/(E87+3)+K97),IF(E87=0,I87/4+K97))))</f>
        <v>27</v>
      </c>
      <c r="M98" s="1" t="e">
        <f>(IF(D86&gt;1.5,(H86/(D86+2)+J91+MAX(0,J92-J91)+MAX(0,J93-J92)+MAX(0,J94-J93)+MAX(0,J95-J94)+MAX(0,J96-J95)),IF(D86=1,(H86/(D86+3)+J96),IF(D86=0,H86*0.3+J96))))</f>
        <v>#VALUE!</v>
      </c>
    </row>
    <row r="99" spans="1:13" ht="21" x14ac:dyDescent="0.3">
      <c r="A99" s="63" t="s">
        <v>176</v>
      </c>
      <c r="B99" s="63"/>
      <c r="C99" s="64">
        <v>27</v>
      </c>
      <c r="D99" s="64"/>
      <c r="E99" s="61">
        <f ca="1">((100/(I87))*C99)/100</f>
        <v>1</v>
      </c>
      <c r="F99" s="63"/>
      <c r="G99" s="63"/>
      <c r="H99" s="63"/>
      <c r="I99" s="63"/>
    </row>
    <row r="100" spans="1:13" ht="21" x14ac:dyDescent="0.3">
      <c r="A100" s="63" t="s">
        <v>177</v>
      </c>
      <c r="B100" s="63"/>
      <c r="C100" s="64">
        <v>27</v>
      </c>
      <c r="D100" s="64"/>
      <c r="E100" s="61">
        <f ca="1">((100/(I87))*C100)/100</f>
        <v>1</v>
      </c>
      <c r="F100" s="63"/>
      <c r="G100" s="63"/>
      <c r="H100" s="63"/>
      <c r="I100" s="63"/>
    </row>
    <row r="101" spans="1:13" ht="36.75" customHeight="1" x14ac:dyDescent="0.4">
      <c r="A101" s="140" t="s">
        <v>162</v>
      </c>
      <c r="B101" s="141"/>
      <c r="C101" s="141"/>
      <c r="D101" s="141"/>
      <c r="E101" s="141"/>
      <c r="F101" s="141"/>
      <c r="G101" s="141"/>
      <c r="H101" s="142">
        <f ca="1">AVERAGE(F57,F57,F89,F89,F89,F89,F89)</f>
        <v>0.96476190476190471</v>
      </c>
      <c r="I101" s="143"/>
      <c r="J101" s="42"/>
      <c r="K101" s="43"/>
      <c r="L101" s="43"/>
    </row>
    <row r="102" spans="1:13" ht="21" x14ac:dyDescent="0.3">
      <c r="A102" s="121" t="s">
        <v>76</v>
      </c>
      <c r="B102" s="122"/>
      <c r="C102" s="122"/>
      <c r="D102" s="122"/>
      <c r="E102" s="122"/>
      <c r="F102" s="122"/>
      <c r="G102" s="122"/>
      <c r="H102" s="122"/>
      <c r="I102" s="123"/>
    </row>
    <row r="103" spans="1:13" ht="63" hidden="1" x14ac:dyDescent="0.3">
      <c r="A103" s="120" t="s">
        <v>77</v>
      </c>
      <c r="B103" s="120"/>
      <c r="C103" s="120"/>
      <c r="D103" s="3" t="s">
        <v>4</v>
      </c>
      <c r="E103" s="15" t="s">
        <v>141</v>
      </c>
      <c r="F103" s="21" t="s">
        <v>178</v>
      </c>
      <c r="G103" s="3" t="s">
        <v>4</v>
      </c>
      <c r="H103" s="174" t="s">
        <v>192</v>
      </c>
      <c r="I103" s="174"/>
    </row>
    <row r="104" spans="1:13" ht="40.5" customHeight="1" x14ac:dyDescent="0.3">
      <c r="A104" s="120" t="s">
        <v>191</v>
      </c>
      <c r="B104" s="120"/>
      <c r="C104" s="120"/>
      <c r="D104" s="2" t="s">
        <v>134</v>
      </c>
      <c r="E104" s="73" t="s">
        <v>207</v>
      </c>
      <c r="F104" s="74"/>
      <c r="G104" s="74"/>
      <c r="H104" s="74"/>
      <c r="I104" s="75"/>
    </row>
    <row r="105" spans="1:13" ht="26.25" customHeight="1" x14ac:dyDescent="0.3">
      <c r="A105" s="81" t="s">
        <v>80</v>
      </c>
      <c r="B105" s="81"/>
      <c r="C105" s="81"/>
      <c r="D105" s="3" t="s">
        <v>4</v>
      </c>
      <c r="E105" s="18" t="s">
        <v>208</v>
      </c>
      <c r="F105" s="3" t="s">
        <v>131</v>
      </c>
      <c r="G105" s="3" t="s">
        <v>4</v>
      </c>
      <c r="H105" s="73" t="s">
        <v>142</v>
      </c>
      <c r="I105" s="75"/>
    </row>
    <row r="106" spans="1:13" ht="21" hidden="1" x14ac:dyDescent="0.3">
      <c r="A106" s="120" t="s">
        <v>121</v>
      </c>
      <c r="B106" s="120"/>
      <c r="C106" s="120"/>
      <c r="D106" s="2" t="s">
        <v>4</v>
      </c>
      <c r="E106" s="18" t="s">
        <v>122</v>
      </c>
      <c r="F106" s="21" t="s">
        <v>123</v>
      </c>
      <c r="G106" s="2" t="s">
        <v>4</v>
      </c>
      <c r="H106" s="129" t="s">
        <v>99</v>
      </c>
      <c r="I106" s="129"/>
    </row>
    <row r="107" spans="1:13" ht="63" hidden="1" x14ac:dyDescent="0.3">
      <c r="A107" s="120" t="s">
        <v>124</v>
      </c>
      <c r="B107" s="120"/>
      <c r="C107" s="120"/>
      <c r="D107" s="2" t="s">
        <v>4</v>
      </c>
      <c r="E107" s="18" t="s">
        <v>125</v>
      </c>
      <c r="F107" s="21" t="s">
        <v>126</v>
      </c>
      <c r="G107" s="2" t="s">
        <v>4</v>
      </c>
      <c r="H107" s="129" t="s">
        <v>127</v>
      </c>
      <c r="I107" s="129"/>
    </row>
    <row r="108" spans="1:13" ht="21" hidden="1" x14ac:dyDescent="0.3">
      <c r="A108" s="120" t="s">
        <v>79</v>
      </c>
      <c r="B108" s="120"/>
      <c r="C108" s="120"/>
      <c r="D108" s="2" t="s">
        <v>4</v>
      </c>
      <c r="E108" s="18" t="s">
        <v>101</v>
      </c>
      <c r="F108" s="21" t="s">
        <v>78</v>
      </c>
      <c r="G108" s="2" t="s">
        <v>4</v>
      </c>
      <c r="H108" s="108" t="s">
        <v>101</v>
      </c>
      <c r="I108" s="110"/>
    </row>
    <row r="109" spans="1:13" ht="21" hidden="1" x14ac:dyDescent="0.3">
      <c r="A109" s="120" t="s">
        <v>128</v>
      </c>
      <c r="B109" s="120"/>
      <c r="C109" s="120"/>
      <c r="D109" s="2" t="s">
        <v>4</v>
      </c>
      <c r="E109" s="18" t="s">
        <v>100</v>
      </c>
      <c r="F109" s="21" t="s">
        <v>80</v>
      </c>
      <c r="G109" s="2" t="s">
        <v>4</v>
      </c>
      <c r="H109" s="129" t="s">
        <v>120</v>
      </c>
      <c r="I109" s="129"/>
    </row>
    <row r="110" spans="1:13" ht="21" hidden="1" x14ac:dyDescent="0.3">
      <c r="A110" s="120" t="s">
        <v>129</v>
      </c>
      <c r="B110" s="120"/>
      <c r="C110" s="120"/>
      <c r="D110" s="2" t="s">
        <v>4</v>
      </c>
      <c r="E110" s="19" t="s">
        <v>112</v>
      </c>
      <c r="F110" s="21" t="s">
        <v>130</v>
      </c>
      <c r="G110" s="2" t="s">
        <v>4</v>
      </c>
      <c r="H110" s="84" t="s">
        <v>112</v>
      </c>
      <c r="I110" s="84"/>
    </row>
    <row r="111" spans="1:13" ht="18" hidden="1" customHeight="1" x14ac:dyDescent="0.3">
      <c r="A111" s="81" t="s">
        <v>131</v>
      </c>
      <c r="B111" s="81"/>
      <c r="C111" s="81"/>
      <c r="D111" s="3" t="s">
        <v>4</v>
      </c>
      <c r="E111" s="10"/>
      <c r="F111" s="3" t="s">
        <v>131</v>
      </c>
      <c r="G111" s="3" t="s">
        <v>4</v>
      </c>
      <c r="H111" s="144" t="s">
        <v>112</v>
      </c>
      <c r="I111" s="145"/>
    </row>
    <row r="112" spans="1:13" ht="21" x14ac:dyDescent="0.3">
      <c r="A112" s="121" t="s">
        <v>75</v>
      </c>
      <c r="B112" s="122"/>
      <c r="C112" s="122"/>
      <c r="D112" s="122"/>
      <c r="E112" s="122"/>
      <c r="F112" s="122"/>
      <c r="G112" s="122"/>
      <c r="H112" s="122"/>
      <c r="I112" s="123"/>
    </row>
    <row r="113" spans="1:151 16227:16384" ht="21" x14ac:dyDescent="0.3">
      <c r="A113" s="85" t="s">
        <v>9</v>
      </c>
      <c r="B113" s="86"/>
      <c r="C113" s="86"/>
      <c r="D113" s="86"/>
      <c r="E113" s="86"/>
      <c r="F113" s="87"/>
      <c r="G113" s="2" t="s">
        <v>4</v>
      </c>
      <c r="H113" s="132">
        <f>22400/10.764</f>
        <v>2081.0107766629508</v>
      </c>
      <c r="I113" s="133"/>
    </row>
    <row r="114" spans="1:151 16227:16384" ht="21" x14ac:dyDescent="0.3">
      <c r="A114" s="85" t="s">
        <v>32</v>
      </c>
      <c r="B114" s="86"/>
      <c r="C114" s="86"/>
      <c r="D114" s="86"/>
      <c r="E114" s="86"/>
      <c r="F114" s="87"/>
      <c r="G114" s="2" t="s">
        <v>4</v>
      </c>
      <c r="H114" s="132">
        <f>84400/10.764</f>
        <v>7840.9513192121894</v>
      </c>
      <c r="I114" s="133"/>
    </row>
    <row r="115" spans="1:151 16227:16384" ht="21" x14ac:dyDescent="0.3">
      <c r="A115" s="85" t="s">
        <v>143</v>
      </c>
      <c r="B115" s="86"/>
      <c r="C115" s="86"/>
      <c r="D115" s="86"/>
      <c r="E115" s="86"/>
      <c r="F115" s="87"/>
      <c r="G115" s="2" t="s">
        <v>4</v>
      </c>
      <c r="H115" s="88">
        <f>H113*0.8</f>
        <v>1664.8086213303607</v>
      </c>
      <c r="I115" s="88"/>
    </row>
    <row r="116" spans="1:151 16227:16384" ht="21" x14ac:dyDescent="0.3">
      <c r="A116" s="130" t="s">
        <v>84</v>
      </c>
      <c r="B116" s="131"/>
      <c r="C116" s="131"/>
      <c r="D116" s="131"/>
      <c r="E116" s="131"/>
      <c r="F116" s="131"/>
      <c r="G116" s="131"/>
      <c r="H116" s="131"/>
      <c r="I116" s="78"/>
    </row>
    <row r="117" spans="1:151 16227:16384" s="11" customFormat="1" ht="40.799999999999997" x14ac:dyDescent="0.3">
      <c r="A117" s="79" t="s">
        <v>187</v>
      </c>
      <c r="B117" s="80"/>
      <c r="C117" s="79" t="s">
        <v>188</v>
      </c>
      <c r="D117" s="80"/>
      <c r="E117" s="51" t="s">
        <v>189</v>
      </c>
      <c r="F117" s="79" t="s">
        <v>186</v>
      </c>
      <c r="G117" s="80"/>
      <c r="H117" s="51" t="s">
        <v>185</v>
      </c>
      <c r="I117" s="51" t="s">
        <v>184</v>
      </c>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1" x14ac:dyDescent="0.3">
      <c r="A118" s="82" t="s">
        <v>235</v>
      </c>
      <c r="B118" s="83"/>
      <c r="C118" s="82" t="s">
        <v>97</v>
      </c>
      <c r="D118" s="83"/>
      <c r="E118" s="52" t="s">
        <v>237</v>
      </c>
      <c r="F118" s="82">
        <f>COUNT(F127:G129)+COUNT(F131:G133)+COUNT(F135:G137)+COUNT(F139:G144)*22+COUNT(F146:G147,F149:G151)*5+COUNT(F153:G158)+COUNT(F160:G161,F163:G165)+COUNT(F167:G172)</f>
        <v>183</v>
      </c>
      <c r="G118" s="83"/>
      <c r="H118" s="52">
        <f>SUM(F127:G129)+SUM(F131:G133)+SUM(F135:G137)+SUM(F139:G144)*22+SUM(F146:G147,F149:G151)*5+SUM(F153:G158)+SUM(F160:G161,F163:G165)+SUM(F167:G172)</f>
        <v>162198.32825039999</v>
      </c>
      <c r="I118" s="52">
        <f>SUM(I127:I129)+SUM(I131:I133)+SUM(I135:I137)+SUM(I139:I144)*22+SUM(I146:I147,I149:I151)*5+SUM(I153:I158)+SUM(I160:I161,I163:I165)+SUM(I167:I172)</f>
        <v>243297.49237560001</v>
      </c>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1" x14ac:dyDescent="0.3">
      <c r="A119" s="82" t="s">
        <v>236</v>
      </c>
      <c r="B119" s="83"/>
      <c r="C119" s="82" t="s">
        <v>97</v>
      </c>
      <c r="D119" s="83"/>
      <c r="E119" s="52" t="s">
        <v>237</v>
      </c>
      <c r="F119" s="82">
        <f>COUNT(F176:G179)+COUNT(F181:G184)+COUNT(F186:G189)+COUNT(F191:G198)+COUNT(F200:G207)*21+COUNT(F211:G216)*5+COUNT(F218:G225)*2+COUNT(F228:G234)</f>
        <v>241</v>
      </c>
      <c r="G119" s="83"/>
      <c r="H119" s="52">
        <f>SUM(F176:G179)+SUM(F181:G184)+SUM(F186:G189)+SUM(F191:G198)+SUM(F200:G207)*21+SUM(F211:G216)*5+SUM(F218:G225)*2+SUM(F228:G234)</f>
        <v>168594.89048999999</v>
      </c>
      <c r="I119" s="52">
        <f>SUM(I176:I179)+SUM(I181:I184)+SUM(I186:I189)+SUM(I191:I198)+SUM(I200:I207)*21+SUM(I211:I216)*5+SUM(I218:I225)*2+SUM(I228:I234)</f>
        <v>252892.33573499997</v>
      </c>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1" x14ac:dyDescent="0.3">
      <c r="A120" s="79" t="s">
        <v>190</v>
      </c>
      <c r="B120" s="80"/>
      <c r="C120" s="79"/>
      <c r="D120" s="80"/>
      <c r="E120" s="51"/>
      <c r="F120" s="79">
        <f>SUM(F118:G119)</f>
        <v>424</v>
      </c>
      <c r="G120" s="80"/>
      <c r="H120" s="51">
        <f>SUM(H118:H119)</f>
        <v>330793.21874039999</v>
      </c>
      <c r="I120" s="51">
        <f>SUM(I118:I119)</f>
        <v>496189.82811060001</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ht="21" x14ac:dyDescent="0.3">
      <c r="A121" s="76" t="s">
        <v>183</v>
      </c>
      <c r="B121" s="77"/>
      <c r="C121" s="77"/>
      <c r="D121" s="77"/>
      <c r="E121" s="77"/>
      <c r="F121" s="77"/>
      <c r="G121" s="77"/>
      <c r="H121" s="77"/>
      <c r="I121" s="78"/>
    </row>
    <row r="122" spans="1:151 16227:16384" ht="44.25" customHeight="1" x14ac:dyDescent="0.3">
      <c r="A122" s="72" t="s">
        <v>106</v>
      </c>
      <c r="B122" s="72"/>
      <c r="C122" s="72" t="s">
        <v>102</v>
      </c>
      <c r="D122" s="72"/>
      <c r="E122" s="72" t="s">
        <v>103</v>
      </c>
      <c r="F122" s="72" t="s">
        <v>104</v>
      </c>
      <c r="G122" s="72"/>
      <c r="H122" s="72" t="s">
        <v>105</v>
      </c>
      <c r="I122" s="36" t="s">
        <v>163</v>
      </c>
    </row>
    <row r="123" spans="1:151 16227:16384" s="11" customFormat="1" ht="21" x14ac:dyDescent="0.3">
      <c r="A123" s="72"/>
      <c r="B123" s="72"/>
      <c r="C123" s="72"/>
      <c r="D123" s="72"/>
      <c r="E123" s="72"/>
      <c r="F123" s="72"/>
      <c r="G123" s="72"/>
      <c r="H123" s="72"/>
      <c r="I123" s="37">
        <v>0.5</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1" x14ac:dyDescent="0.3">
      <c r="A124" s="101" t="s">
        <v>223</v>
      </c>
      <c r="B124" s="102"/>
      <c r="C124" s="102"/>
      <c r="D124" s="102"/>
      <c r="E124" s="102"/>
      <c r="F124" s="102"/>
      <c r="G124" s="102"/>
      <c r="H124" s="102"/>
      <c r="I124" s="103"/>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1" x14ac:dyDescent="0.3">
      <c r="A125" s="89" t="s">
        <v>238</v>
      </c>
      <c r="B125" s="90"/>
      <c r="C125" s="90"/>
      <c r="D125" s="90"/>
      <c r="E125" s="90"/>
      <c r="F125" s="90"/>
      <c r="G125" s="90"/>
      <c r="H125" s="90"/>
      <c r="I125" s="9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1" x14ac:dyDescent="0.3">
      <c r="A126" s="89" t="s">
        <v>225</v>
      </c>
      <c r="B126" s="90"/>
      <c r="C126" s="90"/>
      <c r="D126" s="90"/>
      <c r="E126" s="90"/>
      <c r="F126" s="90"/>
      <c r="G126" s="90"/>
      <c r="H126" s="90"/>
      <c r="I126" s="9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1" x14ac:dyDescent="0.3">
      <c r="A127" s="104" t="str">
        <f>A126</f>
        <v>Upper Ground Floor For Parking &amp; Residential</v>
      </c>
      <c r="B127" s="104"/>
      <c r="C127" s="92">
        <v>1</v>
      </c>
      <c r="D127" s="93"/>
      <c r="E127" s="20" t="s">
        <v>224</v>
      </c>
      <c r="F127" s="92">
        <f>(1.43*2.1+3.25*5.5+0.93*3.52+2.33*3.1+3.05*3.1+3.05*3.43+3.65*3.25+1.2*2.2+2.18*1.43+1.35*2.37+1*3.05+1*1.35+(0.6*1.88+0.6*1.65+0.6*1.2+0.75*1.8+1.16*3.28+3.17*1.12))*10.764</f>
        <v>947.81002679999983</v>
      </c>
      <c r="G127" s="93"/>
      <c r="H127" s="20">
        <v>0</v>
      </c>
      <c r="I127" s="20">
        <f>F127*(($I$123)+1)+H127</f>
        <v>1421.7150401999997</v>
      </c>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21" x14ac:dyDescent="0.3">
      <c r="A128" s="104" t="str">
        <f t="shared" ref="A128:A129" si="0">A127</f>
        <v>Upper Ground Floor For Parking &amp; Residential</v>
      </c>
      <c r="B128" s="104"/>
      <c r="C128" s="92">
        <v>2</v>
      </c>
      <c r="D128" s="93"/>
      <c r="E128" s="20" t="s">
        <v>224</v>
      </c>
      <c r="F128" s="92">
        <f>(1.43*1.35+3.2*5.5+1.35*2.45+2.45*1.35+3.2*3.6+2.53*3.1+2.25*3.1+1*0.83+1*2.45+1.35*1+2.12*1.22+3.02*3.05+1.22*0.6+0.75*2.25+0.75*1.2+(3.2*1.12+1.22*0.6+1.1*2.28+0.6*1.13))*10.764</f>
        <v>858.23955359999991</v>
      </c>
      <c r="G128" s="93"/>
      <c r="H128" s="20">
        <v>0</v>
      </c>
      <c r="I128" s="20">
        <f t="shared" ref="I128:I129" si="1">F128*(($I$123)+1)+H128</f>
        <v>1287.3593303999999</v>
      </c>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1" x14ac:dyDescent="0.3">
      <c r="A129" s="104" t="str">
        <f t="shared" si="0"/>
        <v>Upper Ground Floor For Parking &amp; Residential</v>
      </c>
      <c r="B129" s="104"/>
      <c r="C129" s="92">
        <v>3</v>
      </c>
      <c r="D129" s="93"/>
      <c r="E129" s="20" t="s">
        <v>224</v>
      </c>
      <c r="F129" s="92">
        <f>(1.5*1.35+3.2*5.5+1.35*2.45+2.45*1.35+3.2*3.6+2.53*3.1+2.25*3.1+1*0.83+1*2.45+1.35*1+2.12*1.22+3.02*3.05+1.22*0.6+0.75*2.25+0.75*1.2+(2.1*0.6+3.2*1.12+1.22*0.6+1.1*2.28+0.6*1.13))*10.764</f>
        <v>872.81939160000013</v>
      </c>
      <c r="G129" s="93"/>
      <c r="H129" s="20">
        <v>0</v>
      </c>
      <c r="I129" s="20">
        <f t="shared" si="1"/>
        <v>1309.2290874000003</v>
      </c>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21" x14ac:dyDescent="0.3">
      <c r="A130" s="89" t="s">
        <v>226</v>
      </c>
      <c r="B130" s="90"/>
      <c r="C130" s="90"/>
      <c r="D130" s="90"/>
      <c r="E130" s="90"/>
      <c r="F130" s="90"/>
      <c r="G130" s="90"/>
      <c r="H130" s="90"/>
      <c r="I130" s="9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0.25" customHeight="1" x14ac:dyDescent="0.3">
      <c r="A131" s="94" t="str">
        <f>A130</f>
        <v>1st Podium Floor For Parking &amp; Residential</v>
      </c>
      <c r="B131" s="95"/>
      <c r="C131" s="92">
        <v>1</v>
      </c>
      <c r="D131" s="93"/>
      <c r="E131" s="20" t="s">
        <v>224</v>
      </c>
      <c r="F131" s="92">
        <f>(1.43*2.1+3.25*5.5+0.93*3.52+2.33*3.1+3.05*3.1+3.05*3.43+3.65*3.25+1.2*2.2+2.18*1.43+1.35*2.37+1*3.05+1*1.35+(0.6*1.88+0.6*1.65+0.6*1.2+0.75*1.8+1.16*3.28+3.17*1.12))*10.764</f>
        <v>947.81002679999983</v>
      </c>
      <c r="G131" s="93"/>
      <c r="H131" s="20">
        <v>0</v>
      </c>
      <c r="I131" s="20">
        <f>F131*(($I$123)+1)+H131</f>
        <v>1421.7150401999997</v>
      </c>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0.25" customHeight="1" x14ac:dyDescent="0.3">
      <c r="A132" s="96"/>
      <c r="B132" s="97"/>
      <c r="C132" s="92">
        <v>2</v>
      </c>
      <c r="D132" s="93"/>
      <c r="E132" s="20" t="s">
        <v>224</v>
      </c>
      <c r="F132" s="92">
        <f>(1.43*1.35+3.2*5.5+1.35*2.45+2.45*1.35+3.2*3.6+2.53*3.1+2.25*3.1+1*0.83+1*2.45+1.35*1+2.12*1.22+3.02*3.05+1.22*0.6+0.75*2.25+0.75*1.2+(3.2*1.12+1.22*0.6+1.1*2.28+0.6*1.13))*10.764</f>
        <v>858.23955359999991</v>
      </c>
      <c r="G132" s="93"/>
      <c r="H132" s="20">
        <v>0</v>
      </c>
      <c r="I132" s="20">
        <f t="shared" ref="I132:I133" si="2">F132*(($I$123)+1)+H132</f>
        <v>1287.3593303999999</v>
      </c>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0.25" customHeight="1" x14ac:dyDescent="0.3">
      <c r="A133" s="98"/>
      <c r="B133" s="99"/>
      <c r="C133" s="92">
        <v>3</v>
      </c>
      <c r="D133" s="93"/>
      <c r="E133" s="20" t="s">
        <v>224</v>
      </c>
      <c r="F133" s="92">
        <f>(1.5*1.35+3.2*5.5+1.35*2.45+2.45*1.35+3.2*3.6+2.53*3.1+2.25*3.1+1*0.83+1*2.45+1.35*1+2.12*1.22+3.02*3.05+1.22*0.6+0.75*2.25+0.75*1.2+(2.1*0.6+3.2*1.12+1.22*0.6+1.1*2.28+0.6*1.13))*10.764</f>
        <v>872.81939160000013</v>
      </c>
      <c r="G133" s="93"/>
      <c r="H133" s="20">
        <v>0</v>
      </c>
      <c r="I133" s="20">
        <f t="shared" si="2"/>
        <v>1309.2290874000003</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0.25" customHeight="1" x14ac:dyDescent="0.3">
      <c r="A134" s="89" t="s">
        <v>227</v>
      </c>
      <c r="B134" s="90"/>
      <c r="C134" s="90"/>
      <c r="D134" s="90"/>
      <c r="E134" s="90"/>
      <c r="F134" s="90"/>
      <c r="G134" s="90"/>
      <c r="H134" s="90"/>
      <c r="I134" s="9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customHeight="1" x14ac:dyDescent="0.3">
      <c r="A135" s="94" t="str">
        <f>A134</f>
        <v>Upper stilt Floor For Kids Play area, Entrance Lobby &amp; Residential</v>
      </c>
      <c r="B135" s="95"/>
      <c r="C135" s="92">
        <v>1</v>
      </c>
      <c r="D135" s="93"/>
      <c r="E135" s="20" t="s">
        <v>224</v>
      </c>
      <c r="F135" s="92">
        <f>(1.43*2.1+3.25*5.5+0.93*3.52+2.33*3.1+3.05*3.1+3.05*3.43+3.65*3.25+1.2*2.2+2.18*1.43+1.35*2.37+1*3.05+1*1.35+(0.6*1.88+0.6*1.65+0.6*1.2+0.75*1.8+1.16*3.28+3.17*1.12))*10.764</f>
        <v>947.81002679999983</v>
      </c>
      <c r="G135" s="93"/>
      <c r="H135" s="20">
        <v>0</v>
      </c>
      <c r="I135" s="20">
        <f>F135*(($I$123)+1)+H135</f>
        <v>1421.7150401999997</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customHeight="1" x14ac:dyDescent="0.3">
      <c r="A136" s="96"/>
      <c r="B136" s="97"/>
      <c r="C136" s="92">
        <v>2</v>
      </c>
      <c r="D136" s="93"/>
      <c r="E136" s="20" t="s">
        <v>224</v>
      </c>
      <c r="F136" s="92">
        <f>(1.43*1.35+3.2*5.5+1.35*2.45+2.45*1.35+3.2*3.6+2.53*3.1+2.25*3.1+1*0.83+1*2.45+1.35*1+2.12*1.22+3.02*3.05+1.22*0.6+0.75*2.25+0.75*1.2+(3.2*1.12+1.22*0.6+1.1*2.28+0.6*1.13))*10.764</f>
        <v>858.23955359999991</v>
      </c>
      <c r="G136" s="93"/>
      <c r="H136" s="20">
        <v>0</v>
      </c>
      <c r="I136" s="20">
        <f t="shared" ref="I136:I137" si="3">F136*(($I$123)+1)+H136</f>
        <v>1287.3593303999999</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customHeight="1" x14ac:dyDescent="0.3">
      <c r="A137" s="98"/>
      <c r="B137" s="99"/>
      <c r="C137" s="92">
        <v>3</v>
      </c>
      <c r="D137" s="93"/>
      <c r="E137" s="20" t="s">
        <v>224</v>
      </c>
      <c r="F137" s="92">
        <f>(1.5*1.35+3.2*5.5+1.35*2.45+2.45*1.35+3.2*3.6+2.53*3.1+2.25*3.1+1*0.83+1*2.45+1.35*1+2.12*1.22+3.02*3.05+1.22*0.6+0.75*2.25+0.75*1.2+(2.1*0.6+3.2*1.12+1.22*0.6+1.1*2.28+0.6*1.13))*10.764</f>
        <v>872.81939160000013</v>
      </c>
      <c r="G137" s="93"/>
      <c r="H137" s="20">
        <v>0</v>
      </c>
      <c r="I137" s="20">
        <f t="shared" si="3"/>
        <v>1309.2290874000003</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1" x14ac:dyDescent="0.3">
      <c r="A138" s="89" t="s">
        <v>228</v>
      </c>
      <c r="B138" s="90"/>
      <c r="C138" s="90"/>
      <c r="D138" s="90"/>
      <c r="E138" s="90"/>
      <c r="F138" s="90"/>
      <c r="G138" s="90"/>
      <c r="H138" s="90"/>
      <c r="I138" s="9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customHeight="1" x14ac:dyDescent="0.3">
      <c r="A139" s="94" t="str">
        <f>A138</f>
        <v>1st to 4th, 6th to 8th, 10th to 13th, 15th to 18th, 20th to 23rd, 25th to 27th Floor</v>
      </c>
      <c r="B139" s="95"/>
      <c r="C139" s="92">
        <v>1</v>
      </c>
      <c r="D139" s="93"/>
      <c r="E139" s="20" t="s">
        <v>224</v>
      </c>
      <c r="F139" s="92">
        <f>(1.43*2.1+3.25*5.5+0.93*3.52+2.33*3.1+3.05*3.1+3.05*3.43+3.65*3.25+1.2*2.2+2.18*1.43+1.35*2.37+1*3.05+1*1.35+(0.6*1.88+0.6*1.65+0.6*1.2+0.75*1.8+1.16*3.28+3.17*1.12))*10.764</f>
        <v>947.81002679999983</v>
      </c>
      <c r="G139" s="93"/>
      <c r="H139" s="20">
        <v>0</v>
      </c>
      <c r="I139" s="20">
        <f t="shared" ref="I139:I144" si="4">F139*(($I$123)+1)+H139</f>
        <v>1421.7150401999997</v>
      </c>
      <c r="J139" s="1"/>
      <c r="K139" s="59">
        <f>17000*F139</f>
        <v>16112770.455599997</v>
      </c>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1" x14ac:dyDescent="0.3">
      <c r="A140" s="96"/>
      <c r="B140" s="97"/>
      <c r="C140" s="92">
        <v>2</v>
      </c>
      <c r="D140" s="93"/>
      <c r="E140" s="20" t="s">
        <v>224</v>
      </c>
      <c r="F140" s="92">
        <f>(1.43*1.35+3.2*5.5+1.35*2.45+2.45*1.35+3.2*3.6+2.53*3.1+2.25*3.1+1*0.83+1*2.45+1.35*1+2.12*1.22+3.02*3.05+1.22*0.6+0.75*2.25+0.75*1.2+(3.2*1.12+1.22*0.6+1.1*2.28+0.6*1.13))*10.764</f>
        <v>858.23955359999991</v>
      </c>
      <c r="G140" s="93"/>
      <c r="H140" s="20">
        <v>0</v>
      </c>
      <c r="I140" s="20">
        <f t="shared" si="4"/>
        <v>1287.3593303999999</v>
      </c>
      <c r="J140" s="1"/>
      <c r="K140" s="59">
        <f t="shared" ref="K140:K144" si="5">17000*F140</f>
        <v>14590072.411199998</v>
      </c>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1" x14ac:dyDescent="0.3">
      <c r="A141" s="96"/>
      <c r="B141" s="97"/>
      <c r="C141" s="92">
        <v>3</v>
      </c>
      <c r="D141" s="93"/>
      <c r="E141" s="20" t="s">
        <v>224</v>
      </c>
      <c r="F141" s="92">
        <f>(1.5*1.35+3.2*5.5+1.35*2.45+2.45*1.35+3.2*3.6+2.53*3.1+2.25*3.1+1*0.83+1*2.45+1.35*1+2.12*1.22+3.02*3.05+1.22*0.6+0.75*2.25+0.75*1.2+(2.1*0.6+3.2*1.12+1.22*0.6+1.1*2.28+0.6*1.13))*10.764</f>
        <v>872.81939160000013</v>
      </c>
      <c r="G141" s="93"/>
      <c r="H141" s="20">
        <v>0</v>
      </c>
      <c r="I141" s="20">
        <f t="shared" si="4"/>
        <v>1309.2290874000003</v>
      </c>
      <c r="J141" s="1"/>
      <c r="K141" s="59">
        <f t="shared" si="5"/>
        <v>14837929.657200003</v>
      </c>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customHeight="1" x14ac:dyDescent="0.3">
      <c r="A142" s="96"/>
      <c r="B142" s="97"/>
      <c r="C142" s="92">
        <v>4</v>
      </c>
      <c r="D142" s="93"/>
      <c r="E142" s="20" t="s">
        <v>224</v>
      </c>
      <c r="F142" s="92">
        <f>(1.5*0.95+3.2*5.5+1.35*2.45+2.45*1.35+3.2*3.6+2.56*3.1+2.26*3.1+1*0.83+1*2.45+1.35*1+2.12*1.22+3.02*3.05+1.22*0.6+0.75*2.25+0.75*1.2+(2.1*0.6+3.2*1.12+1.22*0.6+1.1*2.28+0.6*1.13))*10.764</f>
        <v>867.69572760000005</v>
      </c>
      <c r="G142" s="93"/>
      <c r="H142" s="20">
        <v>0</v>
      </c>
      <c r="I142" s="20">
        <f t="shared" si="4"/>
        <v>1301.5435914</v>
      </c>
      <c r="J142" s="1"/>
      <c r="K142" s="59">
        <f t="shared" si="5"/>
        <v>14750827.369200001</v>
      </c>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25" customHeight="1" x14ac:dyDescent="0.3">
      <c r="A143" s="96"/>
      <c r="B143" s="97"/>
      <c r="C143" s="92">
        <v>5</v>
      </c>
      <c r="D143" s="93"/>
      <c r="E143" s="20" t="s">
        <v>224</v>
      </c>
      <c r="F143" s="92">
        <f>(1.5*1.35+3.2*5.5+1.35*2.45+2.45*1.35+3.2*3.6+2.53*3.1+2.25*3.1+1*0.83+1*2.45+1.35*1+2.12*1.22+3.02*3.05+1.22*0.6+0.75*2.25+0.75*1.2+(3.2*1.12+1.22*0.6+1.1*2.28+0.6*1.13))*10.764</f>
        <v>859.25675160000003</v>
      </c>
      <c r="G143" s="93"/>
      <c r="H143" s="20">
        <v>0</v>
      </c>
      <c r="I143" s="20">
        <f t="shared" si="4"/>
        <v>1288.8851274000001</v>
      </c>
      <c r="J143" s="1"/>
      <c r="K143" s="59">
        <f t="shared" si="5"/>
        <v>14607364.7772</v>
      </c>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customHeight="1" x14ac:dyDescent="0.3">
      <c r="A144" s="96"/>
      <c r="B144" s="97"/>
      <c r="C144" s="92">
        <v>6</v>
      </c>
      <c r="D144" s="93"/>
      <c r="E144" s="20" t="s">
        <v>224</v>
      </c>
      <c r="F144" s="92">
        <f>(1.5*0.95+3.25*5.5+0.93*3.52+2.33*3.1+3.05*3.1+3.05*3.43+3.65*3.25+1.2*2.2+2.18*1.43+1.35*2.37+1*3.05+1*1.35+(0.6*1.88+0.6*1.65+0.6*1.2+0.75*1.8+1.16*3.28+3.17*1.12))*10.764</f>
        <v>930.82443479999984</v>
      </c>
      <c r="G144" s="93"/>
      <c r="H144" s="20">
        <v>0</v>
      </c>
      <c r="I144" s="20">
        <f t="shared" si="4"/>
        <v>1396.2366521999998</v>
      </c>
      <c r="J144" s="1"/>
      <c r="K144" s="59">
        <f t="shared" si="5"/>
        <v>15824015.391599998</v>
      </c>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1" x14ac:dyDescent="0.3">
      <c r="A145" s="89" t="s">
        <v>230</v>
      </c>
      <c r="B145" s="90"/>
      <c r="C145" s="90"/>
      <c r="D145" s="90"/>
      <c r="E145" s="90"/>
      <c r="F145" s="90"/>
      <c r="G145" s="90"/>
      <c r="H145" s="90"/>
      <c r="I145" s="9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customHeight="1" x14ac:dyDescent="0.3">
      <c r="A146" s="94" t="str">
        <f>A145</f>
        <v>5th, 9th, 14th, 19th &amp; 24th Floor (Part Refuge Area)</v>
      </c>
      <c r="B146" s="95"/>
      <c r="C146" s="92">
        <v>1</v>
      </c>
      <c r="D146" s="93"/>
      <c r="E146" s="20" t="s">
        <v>224</v>
      </c>
      <c r="F146" s="92">
        <f>(1.43*2.1+3.25*5.5+0.93*3.52+2.33*3.1+3.05*3.1+3.05*3.43+3.65*3.25+1.2*2.2+2.18*1.43+1.35*2.37+1*3.05+1*1.35+(0.6*1.88+0.6*1.65+0.6*1.2+0.75*1.8+1.16*3.28+3.17*1.12))*10.764</f>
        <v>947.81002679999983</v>
      </c>
      <c r="G146" s="93"/>
      <c r="H146" s="20">
        <v>0</v>
      </c>
      <c r="I146" s="20">
        <f>F146*(($I$123)+1)+H146</f>
        <v>1421.7150401999997</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1" x14ac:dyDescent="0.3">
      <c r="A147" s="96"/>
      <c r="B147" s="97"/>
      <c r="C147" s="92">
        <v>2</v>
      </c>
      <c r="D147" s="93"/>
      <c r="E147" s="20" t="s">
        <v>224</v>
      </c>
      <c r="F147" s="92">
        <f>(1.43*1.35+3.2*5.5+1.35*2.45+2.45*1.35+3.2*3.6+2.53*3.1+2.25*3.1+1*0.83+1*2.45+1.35*1+2.12*1.22+3.02*3.05+1.22*0.6+0.75*2.25+0.75*1.2+(3.2*1.12+1.22*0.6+1.1*2.28+0.6*1.13))*10.764</f>
        <v>858.23955359999991</v>
      </c>
      <c r="G147" s="93"/>
      <c r="H147" s="20">
        <v>0</v>
      </c>
      <c r="I147" s="20">
        <f>F147*(($I$123)+1)+H147</f>
        <v>1287.3593303999999</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1" x14ac:dyDescent="0.3">
      <c r="A148" s="96"/>
      <c r="B148" s="97"/>
      <c r="C148" s="92">
        <v>3</v>
      </c>
      <c r="D148" s="93"/>
      <c r="E148" s="92" t="s">
        <v>229</v>
      </c>
      <c r="F148" s="100"/>
      <c r="G148" s="100"/>
      <c r="H148" s="100"/>
      <c r="I148" s="93"/>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customHeight="1" x14ac:dyDescent="0.3">
      <c r="A149" s="96"/>
      <c r="B149" s="97"/>
      <c r="C149" s="92">
        <v>4</v>
      </c>
      <c r="D149" s="93"/>
      <c r="E149" s="20" t="s">
        <v>224</v>
      </c>
      <c r="F149" s="92">
        <f>(1.5*0.95+3.2*5.5+1.35*2.45+2.45*1.35+3.2*3.6+2.56*3.1+2.26*3.1+1*0.83+1*2.45+1.35*1+2.12*1.22+3.02*3.05+1.22*0.6+0.75*2.25+0.75*1.2+(2.1*0.6+3.2*1.12+1.22*0.6+1.1*2.28+0.6*1.13))*10.764</f>
        <v>867.69572760000005</v>
      </c>
      <c r="G149" s="93"/>
      <c r="H149" s="20">
        <v>0</v>
      </c>
      <c r="I149" s="20">
        <f>F149*(($I$123)+1)+H149</f>
        <v>1301.5435914</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customHeight="1" x14ac:dyDescent="0.3">
      <c r="A150" s="96"/>
      <c r="B150" s="97"/>
      <c r="C150" s="92">
        <v>5</v>
      </c>
      <c r="D150" s="93"/>
      <c r="E150" s="20" t="s">
        <v>224</v>
      </c>
      <c r="F150" s="92">
        <f>(1.5*1.35+3.2*5.5+1.35*2.45+2.45*1.35+3.2*3.6+2.53*3.1+2.25*3.1+1*0.83+1*2.45+1.35*1+2.12*1.22+3.02*3.05+1.22*0.6+0.75*2.25+0.75*1.2+(3.2*1.12+1.22*0.6+1.1*2.28+0.6*1.13))*10.764</f>
        <v>859.25675160000003</v>
      </c>
      <c r="G150" s="93"/>
      <c r="H150" s="20">
        <v>0</v>
      </c>
      <c r="I150" s="20">
        <f>F150*(($I$123)+1)+H150</f>
        <v>1288.8851274000001</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customHeight="1" x14ac:dyDescent="0.3">
      <c r="A151" s="96"/>
      <c r="B151" s="97"/>
      <c r="C151" s="92">
        <v>6</v>
      </c>
      <c r="D151" s="93"/>
      <c r="E151" s="20" t="s">
        <v>224</v>
      </c>
      <c r="F151" s="92">
        <f>(1.5*0.95+3.25*5.5+0.93*3.52+2.33*3.1+3.05*3.1+3.05*3.43+3.65*3.25+1.2*2.2+2.18*1.43+1.35*2.37+1*3.05+1*1.35+(0.6*1.88+0.6*1.65+0.6*1.2+0.75*1.8+1.16*3.28+3.17*1.12))*10.764</f>
        <v>930.82443479999984</v>
      </c>
      <c r="G151" s="93"/>
      <c r="H151" s="20">
        <v>0</v>
      </c>
      <c r="I151" s="20">
        <f>F151*(($I$123)+1)+H151</f>
        <v>1396.2366521999998</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1" x14ac:dyDescent="0.3">
      <c r="A152" s="89" t="s">
        <v>231</v>
      </c>
      <c r="B152" s="90"/>
      <c r="C152" s="90"/>
      <c r="D152" s="90"/>
      <c r="E152" s="90"/>
      <c r="F152" s="90"/>
      <c r="G152" s="90"/>
      <c r="H152" s="90"/>
      <c r="I152" s="9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customHeight="1" x14ac:dyDescent="0.3">
      <c r="A153" s="94" t="str">
        <f>A152</f>
        <v>28th Floor</v>
      </c>
      <c r="B153" s="95"/>
      <c r="C153" s="92">
        <v>1</v>
      </c>
      <c r="D153" s="93"/>
      <c r="E153" s="20" t="s">
        <v>224</v>
      </c>
      <c r="F153" s="92">
        <f>(1.43*2.1+3.25*5.5+0.93*3.52+2.33*3.1+3.05*3.1+3.05*3.43+3.65*3.25+1.2*2.2+2.18*1.43+1.35*2.37+1*3.05+1*1.35+(0.6*1.88+0.6*1.65+0.6*1.2+0.75*1.8+1.16*3.28+3.17*1.12))*10.764</f>
        <v>947.81002679999983</v>
      </c>
      <c r="G153" s="93"/>
      <c r="H153" s="20">
        <v>0</v>
      </c>
      <c r="I153" s="20">
        <f>F153*(($I$123)+1)+H153</f>
        <v>1421.7150401999997</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1" x14ac:dyDescent="0.3">
      <c r="A154" s="96"/>
      <c r="B154" s="97"/>
      <c r="C154" s="92">
        <v>2</v>
      </c>
      <c r="D154" s="93"/>
      <c r="E154" s="20" t="s">
        <v>224</v>
      </c>
      <c r="F154" s="92">
        <f>(1.43*1.35+3.2*5.5+1.35*2.45+2.45*1.35+3.2*3.6+2.53*3.1+2.25*3.1+1*0.83+1*2.45+1.35*1+2.12*1.22+3.02*3.05+1.22*0.6+0.75*2.25+0.75*1.2+(3.2*1.12+1.22*0.6+1.1*2.28+0.6*1.13))*10.764</f>
        <v>858.23955359999991</v>
      </c>
      <c r="G154" s="93"/>
      <c r="H154" s="20">
        <v>0</v>
      </c>
      <c r="I154" s="20">
        <f t="shared" ref="I154:I158" si="6">F154*(($I$123)+1)+H154</f>
        <v>1287.3593303999999</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1" x14ac:dyDescent="0.3">
      <c r="A155" s="96"/>
      <c r="B155" s="97"/>
      <c r="C155" s="92">
        <v>3</v>
      </c>
      <c r="D155" s="93"/>
      <c r="E155" s="20" t="s">
        <v>224</v>
      </c>
      <c r="F155" s="92">
        <f>(1.5*1.35+3.2*5.5+1.35*2.45+2.45*1.35+3.2*3.6+2.53*3.1+2.25*3.1+1*0.83+1*2.45+1.35*1+2.12*1.22+3.02*3.05+1.22*0.6+0.75*2.25+0.75*1.2+(2.1*0.6+3.2*1.12+1.22*0.6+1.1*2.28+0.6*1.13))*10.764</f>
        <v>872.81939160000013</v>
      </c>
      <c r="G155" s="93"/>
      <c r="H155" s="20">
        <v>0</v>
      </c>
      <c r="I155" s="20">
        <f t="shared" si="6"/>
        <v>1309.2290874000003</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customHeight="1" x14ac:dyDescent="0.3">
      <c r="A156" s="96"/>
      <c r="B156" s="97"/>
      <c r="C156" s="92">
        <v>4</v>
      </c>
      <c r="D156" s="93"/>
      <c r="E156" s="20" t="s">
        <v>224</v>
      </c>
      <c r="F156" s="92">
        <f>(1.5*0.95+3.2*5.5+1.35*2.45+2.45*1.35+3.2*3.6+2.56*3.1+2.26*3.1+1*0.83+1*2.45+1.35*1+2.12*1.22+3.02*3.05+1.22*0.6+0.75*2.25+0.75*1.2+(2.1*0.6+3.2*1.12+1.22*0.6+1.1*2.28+0.6*1.13))*10.764</f>
        <v>867.69572760000005</v>
      </c>
      <c r="G156" s="93"/>
      <c r="H156" s="20">
        <v>0</v>
      </c>
      <c r="I156" s="20">
        <f t="shared" si="6"/>
        <v>1301.5435914</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customHeight="1" x14ac:dyDescent="0.3">
      <c r="A157" s="96"/>
      <c r="B157" s="97"/>
      <c r="C157" s="92">
        <v>5</v>
      </c>
      <c r="D157" s="93"/>
      <c r="E157" s="20" t="s">
        <v>224</v>
      </c>
      <c r="F157" s="92">
        <f>(1.5*1.35+3.2*5.5+1.35*2.45+2.45*1.35+3.2*3.6+2.53*3.1+2.25*3.1+1*0.83+1*2.45+1.35*1+2.12*1.22+3.02*3.05+1.22*0.6+0.75*2.25+0.75*1.2+(3.2*1.12+1.22*0.6+1.1*2.28+0.6*1.13))*10.764</f>
        <v>859.25675160000003</v>
      </c>
      <c r="G157" s="93"/>
      <c r="H157" s="20">
        <v>0</v>
      </c>
      <c r="I157" s="20">
        <f t="shared" si="6"/>
        <v>1288.8851274000001</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customHeight="1" x14ac:dyDescent="0.3">
      <c r="A158" s="96"/>
      <c r="B158" s="97"/>
      <c r="C158" s="92">
        <v>6</v>
      </c>
      <c r="D158" s="93"/>
      <c r="E158" s="20" t="s">
        <v>224</v>
      </c>
      <c r="F158" s="92">
        <f>(1.5*0.95+3.25*5.5+0.93*3.52+2.33*3.1+3.05*3.1+3.05*3.43+3.65*3.25+1.2*2.2+2.18*1.43+1.35*2.37+1*3.05+1*1.35+(0.6*1.88+0.6*1.65+0.6*1.2+0.75*1.8+1.16*3.28+3.17*1.12))*10.764</f>
        <v>930.82443479999984</v>
      </c>
      <c r="G158" s="93"/>
      <c r="H158" s="20">
        <v>0</v>
      </c>
      <c r="I158" s="20">
        <f t="shared" si="6"/>
        <v>1396.2366521999998</v>
      </c>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1" x14ac:dyDescent="0.3">
      <c r="A159" s="89" t="s">
        <v>232</v>
      </c>
      <c r="B159" s="90"/>
      <c r="C159" s="90"/>
      <c r="D159" s="90"/>
      <c r="E159" s="90"/>
      <c r="F159" s="90"/>
      <c r="G159" s="90"/>
      <c r="H159" s="90"/>
      <c r="I159" s="9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customHeight="1" x14ac:dyDescent="0.3">
      <c r="A160" s="94" t="str">
        <f>A159</f>
        <v>29th Floor (Part Refuge Area)</v>
      </c>
      <c r="B160" s="95"/>
      <c r="C160" s="92">
        <v>1</v>
      </c>
      <c r="D160" s="93"/>
      <c r="E160" s="20" t="s">
        <v>224</v>
      </c>
      <c r="F160" s="92">
        <f>(1.43*2.1+3.25*5.5+0.93*3.52+2.33*3.1+3.05*3.1+3.05*3.43+3.65*3.25+1.2*2.2+2.18*1.43+1.35*2.37+1*3.05+1*1.35+(0.6*1.88+0.6*1.65+0.6*1.2+0.75*1.8+1.16*3.28+3.17*1.12))*10.764</f>
        <v>947.81002679999983</v>
      </c>
      <c r="G160" s="93"/>
      <c r="H160" s="20">
        <v>0</v>
      </c>
      <c r="I160" s="20">
        <f>F160*(($I$123)+1)+H160</f>
        <v>1421.7150401999997</v>
      </c>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1" x14ac:dyDescent="0.3">
      <c r="A161" s="96"/>
      <c r="B161" s="97"/>
      <c r="C161" s="92">
        <v>2</v>
      </c>
      <c r="D161" s="93"/>
      <c r="E161" s="20" t="s">
        <v>224</v>
      </c>
      <c r="F161" s="92">
        <f>(1.43*1.35+3.2*5.5+1.35*2.45+2.45*1.35+3.2*3.6+2.53*3.1+2.25*3.1+1*0.83+1*2.45+1.35*1+2.12*1.22+3.02*3.05+1.22*0.6+0.75*2.25+0.75*1.2+(3.2*1.12+1.22*0.6+1.1*2.28+0.6*1.13))*10.764</f>
        <v>858.23955359999991</v>
      </c>
      <c r="G161" s="93"/>
      <c r="H161" s="20">
        <v>0</v>
      </c>
      <c r="I161" s="20">
        <f t="shared" ref="I161" si="7">F161*(($I$123)+1)+H161</f>
        <v>1287.3593303999999</v>
      </c>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1" x14ac:dyDescent="0.3">
      <c r="A162" s="96"/>
      <c r="B162" s="97"/>
      <c r="C162" s="92">
        <v>3</v>
      </c>
      <c r="D162" s="93"/>
      <c r="E162" s="92" t="s">
        <v>229</v>
      </c>
      <c r="F162" s="100"/>
      <c r="G162" s="100"/>
      <c r="H162" s="100"/>
      <c r="I162" s="93"/>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customHeight="1" x14ac:dyDescent="0.3">
      <c r="A163" s="96"/>
      <c r="B163" s="97"/>
      <c r="C163" s="92">
        <v>4</v>
      </c>
      <c r="D163" s="93"/>
      <c r="E163" s="20" t="s">
        <v>224</v>
      </c>
      <c r="F163" s="92">
        <f>(1.5*0.95+3.2*5.5+1.35*2.45+2.45*1.35+3.2*3.6+2.56*3.1+2.26*3.1+1*0.83+1*2.45+1.35*1+2.12*1.22+3.02*3.05+1.22*0.6+0.75*2.25+0.75*1.2+(2.1*0.6+3.2*1.12+1.22*0.6+1.1*2.28+0.6*1.13))*10.764</f>
        <v>867.69572760000005</v>
      </c>
      <c r="G163" s="93"/>
      <c r="H163" s="20">
        <v>0</v>
      </c>
      <c r="I163" s="20">
        <f t="shared" ref="I163:I165" si="8">F163*(($I$123)+1)+H163</f>
        <v>1301.5435914</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customHeight="1" x14ac:dyDescent="0.3">
      <c r="A164" s="96"/>
      <c r="B164" s="97"/>
      <c r="C164" s="92">
        <v>5</v>
      </c>
      <c r="D164" s="93"/>
      <c r="E164" s="20" t="s">
        <v>224</v>
      </c>
      <c r="F164" s="92">
        <f>(1.5*1.35+3.2*5.5+1.35*2.45+2.45*1.35+3.2*3.6+2.53*3.1+2.25*3.1+1*0.83+1*2.45+1.35*1+2.12*1.22+3.02*3.05+1.22*0.6+0.75*2.25+0.75*1.2+(3.2*1.12+1.22*0.6+1.1*2.28+0.6*1.13))*10.764</f>
        <v>859.25675160000003</v>
      </c>
      <c r="G164" s="93"/>
      <c r="H164" s="20">
        <v>0</v>
      </c>
      <c r="I164" s="20">
        <f t="shared" si="8"/>
        <v>1288.8851274000001</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customHeight="1" x14ac:dyDescent="0.3">
      <c r="A165" s="96"/>
      <c r="B165" s="97"/>
      <c r="C165" s="92">
        <v>6</v>
      </c>
      <c r="D165" s="93"/>
      <c r="E165" s="20" t="s">
        <v>224</v>
      </c>
      <c r="F165" s="92">
        <f>(1.5*0.95+3.25*5.5+0.93*3.52+2.33*3.1+3.05*3.1+3.05*3.43+3.65*3.25+1.2*2.2+2.18*1.43+1.35*2.37+1*3.05+1*1.35+(0.6*1.88+0.6*1.65+0.6*1.2+0.75*1.8+1.16*3.28+3.17*1.12))*10.764</f>
        <v>930.82443479999984</v>
      </c>
      <c r="G165" s="93"/>
      <c r="H165" s="20">
        <v>0</v>
      </c>
      <c r="I165" s="20">
        <f t="shared" si="8"/>
        <v>1396.2366521999998</v>
      </c>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1" x14ac:dyDescent="0.3">
      <c r="A166" s="89" t="s">
        <v>243</v>
      </c>
      <c r="B166" s="90"/>
      <c r="C166" s="90"/>
      <c r="D166" s="90"/>
      <c r="E166" s="90"/>
      <c r="F166" s="90"/>
      <c r="G166" s="90"/>
      <c r="H166" s="90"/>
      <c r="I166" s="9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customHeight="1" x14ac:dyDescent="0.3">
      <c r="A167" s="94" t="str">
        <f>A166</f>
        <v>30th Floor (Part Terrace Area)</v>
      </c>
      <c r="B167" s="95"/>
      <c r="C167" s="92">
        <v>1</v>
      </c>
      <c r="D167" s="93"/>
      <c r="E167" s="20" t="s">
        <v>224</v>
      </c>
      <c r="F167" s="92">
        <f>86.88*10.764</f>
        <v>935.17631999999992</v>
      </c>
      <c r="G167" s="93"/>
      <c r="H167" s="20">
        <v>0</v>
      </c>
      <c r="I167" s="20">
        <f>F167*(($I$123)+1)+H167</f>
        <v>1402.7644799999998</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1" x14ac:dyDescent="0.3">
      <c r="A168" s="96"/>
      <c r="B168" s="97"/>
      <c r="C168" s="92">
        <v>2</v>
      </c>
      <c r="D168" s="93"/>
      <c r="E168" s="20" t="s">
        <v>234</v>
      </c>
      <c r="F168" s="92">
        <f>63.91*10.764</f>
        <v>687.92723999999987</v>
      </c>
      <c r="G168" s="93"/>
      <c r="H168" s="20">
        <v>0</v>
      </c>
      <c r="I168" s="20">
        <f t="shared" ref="I168:I172" si="9">F168*(($I$123)+1)+H168</f>
        <v>1031.8908599999997</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1" x14ac:dyDescent="0.3">
      <c r="A169" s="96"/>
      <c r="B169" s="97"/>
      <c r="C169" s="92">
        <v>3</v>
      </c>
      <c r="D169" s="93"/>
      <c r="E169" s="20" t="s">
        <v>234</v>
      </c>
      <c r="F169" s="92">
        <f>65.17*10.764</f>
        <v>701.48987999999997</v>
      </c>
      <c r="G169" s="93"/>
      <c r="H169" s="20">
        <v>0</v>
      </c>
      <c r="I169" s="20">
        <f t="shared" si="9"/>
        <v>1052.2348199999999</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customHeight="1" x14ac:dyDescent="0.3">
      <c r="A170" s="96"/>
      <c r="B170" s="97"/>
      <c r="C170" s="92">
        <v>4</v>
      </c>
      <c r="D170" s="93"/>
      <c r="E170" s="20" t="s">
        <v>234</v>
      </c>
      <c r="F170" s="92">
        <f>65.57*10.764</f>
        <v>705.79547999999988</v>
      </c>
      <c r="G170" s="93"/>
      <c r="H170" s="20">
        <v>0</v>
      </c>
      <c r="I170" s="20">
        <f t="shared" si="9"/>
        <v>1058.6932199999999</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customHeight="1" x14ac:dyDescent="0.3">
      <c r="A171" s="96"/>
      <c r="B171" s="97"/>
      <c r="C171" s="92">
        <v>5</v>
      </c>
      <c r="D171" s="93"/>
      <c r="E171" s="20" t="s">
        <v>234</v>
      </c>
      <c r="F171" s="92">
        <f>64.03*10.764</f>
        <v>689.21892000000003</v>
      </c>
      <c r="G171" s="93"/>
      <c r="H171" s="20">
        <v>0</v>
      </c>
      <c r="I171" s="20">
        <f t="shared" si="9"/>
        <v>1033.8283799999999</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3">
      <c r="A172" s="96"/>
      <c r="B172" s="97"/>
      <c r="C172" s="92">
        <v>6</v>
      </c>
      <c r="D172" s="93"/>
      <c r="E172" s="20" t="s">
        <v>224</v>
      </c>
      <c r="F172" s="92">
        <f>85.15*10.761</f>
        <v>916.29914999999994</v>
      </c>
      <c r="G172" s="93"/>
      <c r="H172" s="20">
        <v>0</v>
      </c>
      <c r="I172" s="20">
        <f t="shared" si="9"/>
        <v>1374.448725</v>
      </c>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1" x14ac:dyDescent="0.3">
      <c r="A173" s="101" t="s">
        <v>233</v>
      </c>
      <c r="B173" s="102"/>
      <c r="C173" s="102"/>
      <c r="D173" s="102"/>
      <c r="E173" s="102"/>
      <c r="F173" s="102"/>
      <c r="G173" s="102"/>
      <c r="H173" s="102"/>
      <c r="I173" s="103"/>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1" x14ac:dyDescent="0.3">
      <c r="A174" s="89" t="s">
        <v>238</v>
      </c>
      <c r="B174" s="90"/>
      <c r="C174" s="90"/>
      <c r="D174" s="90"/>
      <c r="E174" s="90"/>
      <c r="F174" s="90"/>
      <c r="G174" s="90"/>
      <c r="H174" s="90"/>
      <c r="I174" s="9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1" x14ac:dyDescent="0.3">
      <c r="A175" s="89" t="s">
        <v>225</v>
      </c>
      <c r="B175" s="90"/>
      <c r="C175" s="90"/>
      <c r="D175" s="90"/>
      <c r="E175" s="90"/>
      <c r="F175" s="90"/>
      <c r="G175" s="90"/>
      <c r="H175" s="90"/>
      <c r="I175" s="9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3">
      <c r="A176" s="94" t="str">
        <f>A175</f>
        <v>Upper Ground Floor For Parking &amp; Residential</v>
      </c>
      <c r="B176" s="95"/>
      <c r="C176" s="92">
        <v>1</v>
      </c>
      <c r="D176" s="93"/>
      <c r="E176" s="20" t="s">
        <v>234</v>
      </c>
      <c r="F176" s="92">
        <f>(1.05*1.6+3.2*5.1+0.92*3.6+2.32*3.1+3.05*3.1+3.17*3.6+1*2.39+1.35+1.35*2.45+2.39*1.35+(0.6*1.4+0.75*2.3+3.2*1.13+2.43*1.1+0.6*2.07))*10.764</f>
        <v>750.69212399999992</v>
      </c>
      <c r="G176" s="93"/>
      <c r="H176" s="20">
        <v>0</v>
      </c>
      <c r="I176" s="20">
        <f>F176*(($I$123)+1)+H176</f>
        <v>1126.0381859999998</v>
      </c>
      <c r="J176" s="1"/>
      <c r="K176" s="1">
        <f>66.96*10.764</f>
        <v>720.75743999999986</v>
      </c>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3">
      <c r="A177" s="96" t="str">
        <f t="shared" ref="A177:A178" si="10">A176</f>
        <v>Upper Ground Floor For Parking &amp; Residential</v>
      </c>
      <c r="B177" s="97"/>
      <c r="C177" s="92">
        <v>2</v>
      </c>
      <c r="D177" s="93"/>
      <c r="E177" s="20" t="s">
        <v>234</v>
      </c>
      <c r="F177" s="92">
        <f>(1.05*1.6+3.2*5.1+2.18*3.1+3.05*3.1+3.17*3.37+1*2.4+1.38*1+1.25*2.45+2.22*1.38+(0.6*1.6+0.75*2+3.05*1.13))*10.764</f>
        <v>653.46629399999995</v>
      </c>
      <c r="G177" s="93"/>
      <c r="H177" s="20">
        <v>0</v>
      </c>
      <c r="I177" s="20">
        <f t="shared" ref="I177:I178" si="11">F177*(($I$123)+1)+H177</f>
        <v>980.19944099999998</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3">
      <c r="A178" s="96" t="str">
        <f t="shared" si="10"/>
        <v>Upper Ground Floor For Parking &amp; Residential</v>
      </c>
      <c r="B178" s="97"/>
      <c r="C178" s="92">
        <v>3</v>
      </c>
      <c r="D178" s="93"/>
      <c r="E178" s="20" t="s">
        <v>234</v>
      </c>
      <c r="F178" s="92">
        <f>(1.05*1.6+3.2*5.1+2.18*3.1+3.05*3.1+3.17*3.37+1*2.4+1.38*1+1.25*2.45+2.22*1.38+(0.6*1.6+0.75*2+3.05*1.13))*10.764</f>
        <v>653.46629399999995</v>
      </c>
      <c r="G178" s="93"/>
      <c r="H178" s="20">
        <v>0</v>
      </c>
      <c r="I178" s="20">
        <f t="shared" si="11"/>
        <v>980.19944099999998</v>
      </c>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3">
      <c r="A179" s="98" t="str">
        <f t="shared" ref="A179" si="12">A178</f>
        <v>Upper Ground Floor For Parking &amp; Residential</v>
      </c>
      <c r="B179" s="99"/>
      <c r="C179" s="92">
        <v>4</v>
      </c>
      <c r="D179" s="93"/>
      <c r="E179" s="20" t="s">
        <v>234</v>
      </c>
      <c r="F179" s="92">
        <f>(1.05*1.6+3.2*5.1+0.92*3.6+2.32*3.1+3.05*3.1+3.17*3.6+1*2.39+1.35+1.35*2.45+2.39*1.35+(0.6*1.4+0.75*2.3+3.2*1.13+2.43*1.1+0.6*2.07))*10.764</f>
        <v>750.69212399999992</v>
      </c>
      <c r="G179" s="93"/>
      <c r="H179" s="20">
        <v>0</v>
      </c>
      <c r="I179" s="20">
        <f t="shared" ref="I179" si="13">F179*(($I$123)+1)+H179</f>
        <v>1126.0381859999998</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1" x14ac:dyDescent="0.3">
      <c r="A180" s="89" t="s">
        <v>226</v>
      </c>
      <c r="B180" s="90"/>
      <c r="C180" s="90"/>
      <c r="D180" s="90"/>
      <c r="E180" s="90"/>
      <c r="F180" s="90"/>
      <c r="G180" s="90"/>
      <c r="H180" s="90"/>
      <c r="I180" s="9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3">
      <c r="A181" s="94" t="str">
        <f>A180</f>
        <v>1st Podium Floor For Parking &amp; Residential</v>
      </c>
      <c r="B181" s="95"/>
      <c r="C181" s="92">
        <v>1</v>
      </c>
      <c r="D181" s="93"/>
      <c r="E181" s="20" t="s">
        <v>234</v>
      </c>
      <c r="F181" s="92">
        <f>(1.05*1.6+3.2*5.1+0.92*3.6+2.32*3.1+3.05*3.1+3.17*3.6+1*2.39+1.35+1.35*2.45+2.39*1.35+(0.6*1.4+0.75*2.3+3.2*1.13+2.43*1.1+0.6*2.07))*10.764</f>
        <v>750.69212399999992</v>
      </c>
      <c r="G181" s="93"/>
      <c r="H181" s="20">
        <v>0</v>
      </c>
      <c r="I181" s="20">
        <f>F181*(($I$123)+1)+H181</f>
        <v>1126.0381859999998</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3">
      <c r="A182" s="96"/>
      <c r="B182" s="97"/>
      <c r="C182" s="92">
        <v>2</v>
      </c>
      <c r="D182" s="93"/>
      <c r="E182" s="20" t="s">
        <v>234</v>
      </c>
      <c r="F182" s="92">
        <f>(1.05*1.6+3.2*5.1+2.18*3.1+3.05*3.1+3.17*3.37+1*2.4+1.38*1+1.25*2.45+2.22*1.38+(0.6*1.6+0.75*2+3.05*1.13))*10.764</f>
        <v>653.46629399999995</v>
      </c>
      <c r="G182" s="93"/>
      <c r="H182" s="20">
        <v>0</v>
      </c>
      <c r="I182" s="20">
        <f t="shared" ref="I182:I183" si="14">F182*(($I$123)+1)+H182</f>
        <v>980.19944099999998</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3">
      <c r="A183" s="96"/>
      <c r="B183" s="97"/>
      <c r="C183" s="92">
        <v>3</v>
      </c>
      <c r="D183" s="93"/>
      <c r="E183" s="20" t="s">
        <v>234</v>
      </c>
      <c r="F183" s="92">
        <f>(1.05*1.6+3.2*5.1+2.18*3.1+3.05*3.1+3.17*3.37+1*2.4+1.38*1+1.25*2.45+2.22*1.38+(0.6*1.6+0.75*2+3.05*1.13))*10.764</f>
        <v>653.46629399999995</v>
      </c>
      <c r="G183" s="93"/>
      <c r="H183" s="20">
        <v>0</v>
      </c>
      <c r="I183" s="20">
        <f t="shared" si="14"/>
        <v>980.19944099999998</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3">
      <c r="A184" s="98"/>
      <c r="B184" s="99"/>
      <c r="C184" s="92">
        <v>4</v>
      </c>
      <c r="D184" s="93"/>
      <c r="E184" s="20" t="s">
        <v>234</v>
      </c>
      <c r="F184" s="92">
        <f>(1.05*1.6+3.2*5.1+0.92*3.6+2.32*3.1+3.05*3.1+3.17*3.6+1*2.39+1.35+1.35*2.45+2.39*1.35+(0.6*1.4+0.75*2.3+3.2*1.13+2.43*1.1+0.6*2.07))*10.764</f>
        <v>750.69212399999992</v>
      </c>
      <c r="G184" s="93"/>
      <c r="H184" s="20">
        <v>0</v>
      </c>
      <c r="I184" s="20">
        <f t="shared" ref="I184" si="15">F184*(($I$123)+1)+H184</f>
        <v>1126.0381859999998</v>
      </c>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1" x14ac:dyDescent="0.3">
      <c r="A185" s="89" t="s">
        <v>227</v>
      </c>
      <c r="B185" s="90"/>
      <c r="C185" s="90"/>
      <c r="D185" s="90"/>
      <c r="E185" s="90"/>
      <c r="F185" s="90"/>
      <c r="G185" s="90"/>
      <c r="H185" s="90"/>
      <c r="I185" s="9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3">
      <c r="A186" s="94" t="str">
        <f>A185</f>
        <v>Upper stilt Floor For Kids Play area, Entrance Lobby &amp; Residential</v>
      </c>
      <c r="B186" s="95"/>
      <c r="C186" s="92">
        <v>1</v>
      </c>
      <c r="D186" s="93"/>
      <c r="E186" s="20" t="s">
        <v>234</v>
      </c>
      <c r="F186" s="92">
        <f>(1.05*1.6+3.2*5.1+0.92*3.6+2.32*3.1+3.05*3.1+3.17*3.6+1*2.39+1.35+1.35*2.45+2.39*1.35+(0.6*1.4+0.75*2.3+3.2*1.13+2.43*1.1+0.6*2.07))*10.764</f>
        <v>750.69212399999992</v>
      </c>
      <c r="G186" s="93"/>
      <c r="H186" s="20">
        <v>0</v>
      </c>
      <c r="I186" s="20">
        <f>F186*(($I$123)+1)+H186</f>
        <v>1126.0381859999998</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customHeight="1" x14ac:dyDescent="0.3">
      <c r="A187" s="96"/>
      <c r="B187" s="97"/>
      <c r="C187" s="92">
        <v>2</v>
      </c>
      <c r="D187" s="93"/>
      <c r="E187" s="20" t="s">
        <v>234</v>
      </c>
      <c r="F187" s="92">
        <f>(1.05*1.6+3.2*5.1+2.18*3.1+3.05*3.1+3.17*3.37+1*2.4+1.38*1+1.25*2.45+2.22*1.38+(0.6*1.6+0.75*2+3.05*1.13))*10.764</f>
        <v>653.46629399999995</v>
      </c>
      <c r="G187" s="93"/>
      <c r="H187" s="20">
        <v>0</v>
      </c>
      <c r="I187" s="20">
        <f t="shared" ref="I187:I189" si="16">F187*(($I$123)+1)+H187</f>
        <v>980.19944099999998</v>
      </c>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customHeight="1" x14ac:dyDescent="0.3">
      <c r="A188" s="96"/>
      <c r="B188" s="97"/>
      <c r="C188" s="92">
        <v>3</v>
      </c>
      <c r="D188" s="93"/>
      <c r="E188" s="20" t="s">
        <v>234</v>
      </c>
      <c r="F188" s="92">
        <f>(1.05*1.6+3.2*5.1+2.18*3.1+3.05*3.1+3.17*3.37+1*2.4+1.38*1+1.25*2.45+2.22*1.38+(0.6*1.6+0.75*2+3.05*1.13))*10.764</f>
        <v>653.46629399999995</v>
      </c>
      <c r="G188" s="93"/>
      <c r="H188" s="20">
        <v>0</v>
      </c>
      <c r="I188" s="20">
        <f t="shared" si="16"/>
        <v>980.19944099999998</v>
      </c>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customHeight="1" x14ac:dyDescent="0.3">
      <c r="A189" s="98"/>
      <c r="B189" s="99"/>
      <c r="C189" s="92">
        <v>4</v>
      </c>
      <c r="D189" s="93"/>
      <c r="E189" s="20" t="s">
        <v>234</v>
      </c>
      <c r="F189" s="92">
        <f>(1.05*1.6+3.2*5.1+0.92*3.6+2.32*3.1+3.05*3.1+3.17*3.6+1*2.39+1.35+1.35*2.45+2.39*1.35+(0.6*1.4+0.75*2.3+3.2*1.13+2.43*1.1+0.6*2.07))*10.764</f>
        <v>750.69212399999992</v>
      </c>
      <c r="G189" s="93"/>
      <c r="H189" s="20">
        <v>0</v>
      </c>
      <c r="I189" s="20">
        <f t="shared" si="16"/>
        <v>1126.0381859999998</v>
      </c>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1" x14ac:dyDescent="0.3">
      <c r="A190" s="89" t="s">
        <v>244</v>
      </c>
      <c r="B190" s="90"/>
      <c r="C190" s="90"/>
      <c r="D190" s="90"/>
      <c r="E190" s="90"/>
      <c r="F190" s="90"/>
      <c r="G190" s="90"/>
      <c r="H190" s="90"/>
      <c r="I190" s="9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3">
      <c r="A191" s="94" t="str">
        <f>A190</f>
        <v>1st floor For Residential</v>
      </c>
      <c r="B191" s="95"/>
      <c r="C191" s="92">
        <v>1</v>
      </c>
      <c r="D191" s="93"/>
      <c r="E191" s="20" t="s">
        <v>234</v>
      </c>
      <c r="F191" s="92">
        <f>(1.05*1.6+3.2*5.1+0.92*3.6+2.32*3.1+3.05*3.1+3.17*3.6+1*2.39+1.35+1.35*2.45+2.39*1.35+(0.6*1.4+0.75*2.3+3.2*1.13+2.43*1.1+0.6*2.07))*10.764</f>
        <v>750.69212399999992</v>
      </c>
      <c r="G191" s="93"/>
      <c r="H191" s="20">
        <v>0</v>
      </c>
      <c r="I191" s="20">
        <f>F191*(($I$123)+1)+H191</f>
        <v>1126.0381859999998</v>
      </c>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row>
    <row r="192" spans="1:151 16227:16384" s="11" customFormat="1" ht="20.25" customHeight="1" x14ac:dyDescent="0.3">
      <c r="A192" s="96"/>
      <c r="B192" s="97"/>
      <c r="C192" s="92">
        <v>2</v>
      </c>
      <c r="D192" s="93"/>
      <c r="E192" s="20" t="s">
        <v>234</v>
      </c>
      <c r="F192" s="92">
        <f>(1.05*1.6+3.2*5.1+2.18*3.1+3.05*3.1+3.17*3.37+1*2.4+1.38*1+1.25*2.45+2.22*1.38+(0.6*1.6+0.75*2+3.05*1.13))*10.764</f>
        <v>653.46629399999995</v>
      </c>
      <c r="G192" s="93"/>
      <c r="H192" s="20">
        <v>0</v>
      </c>
      <c r="I192" s="20">
        <f t="shared" ref="I192:I194" si="17">F192*(($I$123)+1)+H192</f>
        <v>980.19944099999998</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row>
    <row r="193" spans="1:151 16227:16384" s="11" customFormat="1" ht="20.25" customHeight="1" x14ac:dyDescent="0.3">
      <c r="A193" s="96"/>
      <c r="B193" s="97"/>
      <c r="C193" s="92">
        <v>3</v>
      </c>
      <c r="D193" s="93"/>
      <c r="E193" s="20" t="s">
        <v>234</v>
      </c>
      <c r="F193" s="92">
        <f>(1.05*1.6+3.2*5.1+2.18*3.1+3.05*3.1+3.17*3.37+1*2.4+1.38*1+1.25*2.45+2.22*1.38+(0.6*1.6+0.75*2+3.05*1.13))*10.764</f>
        <v>653.46629399999995</v>
      </c>
      <c r="G193" s="93"/>
      <c r="H193" s="20">
        <v>0</v>
      </c>
      <c r="I193" s="20">
        <f t="shared" si="17"/>
        <v>980.19944099999998</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row>
    <row r="194" spans="1:151 16227:16384" s="11" customFormat="1" ht="20.25" customHeight="1" x14ac:dyDescent="0.3">
      <c r="A194" s="96"/>
      <c r="B194" s="97"/>
      <c r="C194" s="92">
        <v>4</v>
      </c>
      <c r="D194" s="93"/>
      <c r="E194" s="20" t="s">
        <v>234</v>
      </c>
      <c r="F194" s="92">
        <f>(1.05*1.6+3.2*5.1+0.92*3.6+2.32*3.1+3.05*3.1+3.17*3.6+1*2.39+1.35+1.35*2.45+2.39*1.35+(0.6*1.4+0.75*2.3+3.2*1.13+2.43*1.1+0.6*2.07))*10.764</f>
        <v>750.69212399999992</v>
      </c>
      <c r="G194" s="93"/>
      <c r="H194" s="20">
        <v>0</v>
      </c>
      <c r="I194" s="20">
        <f t="shared" si="17"/>
        <v>1126.0381859999998</v>
      </c>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row>
    <row r="195" spans="1:151 16227:16384" s="11" customFormat="1" ht="20.25" customHeight="1" x14ac:dyDescent="0.3">
      <c r="A195" s="96"/>
      <c r="B195" s="97"/>
      <c r="C195" s="92">
        <v>5</v>
      </c>
      <c r="D195" s="93"/>
      <c r="E195" s="20" t="s">
        <v>234</v>
      </c>
      <c r="F195" s="92">
        <f>(1.05*1.33+3.2*5.1+0.92*3.6+2.32*3.1+3.05*3.1+3.17*3.6+1*2.39+1.35+1.35*2.45+2.39*1.35+(0.6*1.4+0.75*2.3+3.2*1.13+2.43*1.1+0.6*2.07))*10.764</f>
        <v>747.6405299999999</v>
      </c>
      <c r="G195" s="93"/>
      <c r="H195" s="20">
        <v>0</v>
      </c>
      <c r="I195" s="20">
        <f>F195*(($I$123)+1)+H195</f>
        <v>1121.460795</v>
      </c>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row>
    <row r="196" spans="1:151 16227:16384" s="11" customFormat="1" ht="20.25" customHeight="1" x14ac:dyDescent="0.3">
      <c r="A196" s="96"/>
      <c r="B196" s="97"/>
      <c r="C196" s="92">
        <v>6</v>
      </c>
      <c r="D196" s="93"/>
      <c r="E196" s="20" t="s">
        <v>234</v>
      </c>
      <c r="F196" s="92">
        <f>(1.05*1.33+3.2*5.1+2.18*3.1+3.05*3.1+3.17*3.37+1*2.4+1.38*1+1.25*2.45+2.22*1.38+(0.6*1.6+0.75*2+3.05*1.13))*10.764</f>
        <v>650.41469999999993</v>
      </c>
      <c r="G196" s="93"/>
      <c r="H196" s="20">
        <v>0</v>
      </c>
      <c r="I196" s="20">
        <f t="shared" ref="I196:I198" si="18">F196*(($I$123)+1)+H196</f>
        <v>975.62204999999994</v>
      </c>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row>
    <row r="197" spans="1:151 16227:16384" s="11" customFormat="1" ht="20.25" customHeight="1" x14ac:dyDescent="0.3">
      <c r="A197" s="96"/>
      <c r="B197" s="97"/>
      <c r="C197" s="92">
        <v>7</v>
      </c>
      <c r="D197" s="93"/>
      <c r="E197" s="20" t="s">
        <v>234</v>
      </c>
      <c r="F197" s="92">
        <f>(1.05*1.33+3.2*5.1+2.18*3.1+3.05*3.1+3.17*3.37+1*2.4+1.38*1+1.25*2.45+2.22*1.38+(0.6*1.6+0.75*2+3.05*1.13))*10.764</f>
        <v>650.41469999999993</v>
      </c>
      <c r="G197" s="93"/>
      <c r="H197" s="20">
        <v>0</v>
      </c>
      <c r="I197" s="20">
        <f t="shared" si="18"/>
        <v>975.62204999999994</v>
      </c>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row>
    <row r="198" spans="1:151 16227:16384" s="11" customFormat="1" ht="20.25" customHeight="1" x14ac:dyDescent="0.3">
      <c r="A198" s="98"/>
      <c r="B198" s="99"/>
      <c r="C198" s="92">
        <v>8</v>
      </c>
      <c r="D198" s="93"/>
      <c r="E198" s="20" t="s">
        <v>234</v>
      </c>
      <c r="F198" s="92">
        <f>(1.05*1.33+3.2*5.1+0.92*3.6+2.32*3.1+3.05*3.1+3.17*3.6+1*2.39+1.35+1.35*2.45+2.39*1.35+(0.6*1.4+0.75*2.3+3.2*1.13+2.43*1.1+0.6*2.07))*10.764</f>
        <v>747.6405299999999</v>
      </c>
      <c r="G198" s="93"/>
      <c r="H198" s="20">
        <v>0</v>
      </c>
      <c r="I198" s="20">
        <f t="shared" si="18"/>
        <v>1121.460795</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row>
    <row r="199" spans="1:151 16227:16384" s="11" customFormat="1" ht="21" x14ac:dyDescent="0.3">
      <c r="A199" s="89" t="s">
        <v>245</v>
      </c>
      <c r="B199" s="90"/>
      <c r="C199" s="90"/>
      <c r="D199" s="90"/>
      <c r="E199" s="90"/>
      <c r="F199" s="90"/>
      <c r="G199" s="90"/>
      <c r="H199" s="90"/>
      <c r="I199" s="9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3">
      <c r="A200" s="94" t="str">
        <f>A199</f>
        <v>2nd to 4th, 6th to 8th, 10th to 13th, 15th to 18th, 20th to 23rd, 25th to 27th Floor</v>
      </c>
      <c r="B200" s="95"/>
      <c r="C200" s="92">
        <v>1</v>
      </c>
      <c r="D200" s="93"/>
      <c r="E200" s="20" t="s">
        <v>234</v>
      </c>
      <c r="F200" s="92">
        <f>(1.05*1.6+3.2*5.1+0.92*3.6+2.32*3.1+3.05*3.1+3.17*3.6+1*2.39+1.35+1.35*2.45+2.39*1.35+(0.6*1.4+0.75*2.3+3.2*1.13+2.43*1.1+0.6*2.07))*10.764</f>
        <v>750.69212399999992</v>
      </c>
      <c r="G200" s="93"/>
      <c r="H200" s="20">
        <v>0</v>
      </c>
      <c r="I200" s="20">
        <f>F200*(($I$123)+1)+H200</f>
        <v>1126.0381859999998</v>
      </c>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row>
    <row r="201" spans="1:151 16227:16384" s="11" customFormat="1" ht="20.25" customHeight="1" x14ac:dyDescent="0.3">
      <c r="A201" s="96"/>
      <c r="B201" s="97"/>
      <c r="C201" s="92">
        <v>2</v>
      </c>
      <c r="D201" s="93"/>
      <c r="E201" s="20" t="s">
        <v>234</v>
      </c>
      <c r="F201" s="92">
        <f>(1.05*1.6+3.2*5.1+2.18*3.1+3.05*3.1+3.17*3.37+1*2.4+1.38*1+1.25*2.45+2.22*1.38+(0.6*1.6+0.75*2+3.05*1.13))*10.764</f>
        <v>653.46629399999995</v>
      </c>
      <c r="G201" s="93"/>
      <c r="H201" s="20">
        <v>0</v>
      </c>
      <c r="I201" s="20">
        <f t="shared" ref="I201:I203" si="19">F201*(($I$123)+1)+H201</f>
        <v>980.19944099999998</v>
      </c>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row>
    <row r="202" spans="1:151 16227:16384" s="11" customFormat="1" ht="20.25" customHeight="1" x14ac:dyDescent="0.3">
      <c r="A202" s="96"/>
      <c r="B202" s="97"/>
      <c r="C202" s="92">
        <v>3</v>
      </c>
      <c r="D202" s="93"/>
      <c r="E202" s="20" t="s">
        <v>234</v>
      </c>
      <c r="F202" s="92">
        <f>(1.05*1.6+3.2*5.1+2.18*3.1+3.05*3.1+3.17*3.37+1*2.4+1.38*1+1.25*2.45+2.22*1.38+(0.6*1.6+0.75*2+3.05*1.13))*10.764</f>
        <v>653.46629399999995</v>
      </c>
      <c r="G202" s="93"/>
      <c r="H202" s="20">
        <v>0</v>
      </c>
      <c r="I202" s="20">
        <f t="shared" si="19"/>
        <v>980.19944099999998</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row>
    <row r="203" spans="1:151 16227:16384" s="11" customFormat="1" ht="20.25" customHeight="1" x14ac:dyDescent="0.3">
      <c r="A203" s="96"/>
      <c r="B203" s="97"/>
      <c r="C203" s="92">
        <v>4</v>
      </c>
      <c r="D203" s="93"/>
      <c r="E203" s="20" t="s">
        <v>234</v>
      </c>
      <c r="F203" s="92">
        <f>(1.05*1.6+3.2*5.1+0.92*3.6+2.32*3.1+3.05*3.1+3.17*3.6+1*2.39+1.35+1.35*2.45+2.39*1.35+(0.6*1.4+0.75*2.3+3.2*1.13+2.43*1.1+0.6*2.07))*10.764</f>
        <v>750.69212399999992</v>
      </c>
      <c r="G203" s="93"/>
      <c r="H203" s="20">
        <v>0</v>
      </c>
      <c r="I203" s="20">
        <f t="shared" si="19"/>
        <v>1126.0381859999998</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row>
    <row r="204" spans="1:151 16227:16384" s="11" customFormat="1" ht="20.25" customHeight="1" x14ac:dyDescent="0.3">
      <c r="A204" s="96"/>
      <c r="B204" s="97"/>
      <c r="C204" s="92">
        <v>5</v>
      </c>
      <c r="D204" s="93"/>
      <c r="E204" s="20" t="s">
        <v>234</v>
      </c>
      <c r="F204" s="92">
        <f>(1.05*1.33+3.2*5.1+0.92*3.6+2.32*3.1+3.05*3.1+3.17*3.6+1*2.39+1.35+1.35*2.45+2.39*1.35+(0.6*1.4+0.75*2.3+3.2*1.13+2.43*1.1+0.6*2.07))*10.764</f>
        <v>747.6405299999999</v>
      </c>
      <c r="G204" s="93"/>
      <c r="H204" s="20">
        <v>0</v>
      </c>
      <c r="I204" s="20">
        <f>F204*(($I$123)+1)+H204</f>
        <v>1121.460795</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row>
    <row r="205" spans="1:151 16227:16384" s="11" customFormat="1" ht="20.25" customHeight="1" x14ac:dyDescent="0.3">
      <c r="A205" s="96"/>
      <c r="B205" s="97"/>
      <c r="C205" s="92">
        <v>6</v>
      </c>
      <c r="D205" s="93"/>
      <c r="E205" s="20" t="s">
        <v>234</v>
      </c>
      <c r="F205" s="92">
        <f>(1.05*1.33+3.2*5.1+2.18*3.1+3.05*3.1+3.17*3.37+1*2.4+1.38*1+1.25*2.45+2.22*1.38+(0.6*1.6+0.75*2+3.05*1.13))*10.764</f>
        <v>650.41469999999993</v>
      </c>
      <c r="G205" s="93"/>
      <c r="H205" s="20">
        <v>0</v>
      </c>
      <c r="I205" s="20">
        <f t="shared" ref="I205:I207" si="20">F205*(($I$123)+1)+H205</f>
        <v>975.62204999999994</v>
      </c>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row>
    <row r="206" spans="1:151 16227:16384" s="11" customFormat="1" ht="20.25" customHeight="1" x14ac:dyDescent="0.3">
      <c r="A206" s="96"/>
      <c r="B206" s="97"/>
      <c r="C206" s="92">
        <v>7</v>
      </c>
      <c r="D206" s="93"/>
      <c r="E206" s="20" t="s">
        <v>234</v>
      </c>
      <c r="F206" s="92">
        <f>(1.05*1.33+3.2*5.1+2.18*3.1+3.05*3.1+3.17*3.37+1*2.4+1.38*1+1.25*2.45+2.22*1.38+(0.6*1.6+0.75*2+3.05*1.13))*10.764</f>
        <v>650.41469999999993</v>
      </c>
      <c r="G206" s="93"/>
      <c r="H206" s="20">
        <v>0</v>
      </c>
      <c r="I206" s="20">
        <f t="shared" si="20"/>
        <v>975.62204999999994</v>
      </c>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row>
    <row r="207" spans="1:151 16227:16384" s="11" customFormat="1" ht="20.25" customHeight="1" x14ac:dyDescent="0.3">
      <c r="A207" s="98"/>
      <c r="B207" s="99"/>
      <c r="C207" s="92">
        <v>8</v>
      </c>
      <c r="D207" s="93"/>
      <c r="E207" s="20" t="s">
        <v>234</v>
      </c>
      <c r="F207" s="92">
        <f>(1.05*1.33+3.2*5.1+0.92*3.6+2.32*3.1+3.05*3.1+3.17*3.6+1*2.39+1.35+1.35*2.45+2.39*1.35+(0.6*1.4+0.75*2.3+3.2*1.13+2.43*1.1+0.6*2.07))*10.764</f>
        <v>747.6405299999999</v>
      </c>
      <c r="G207" s="93"/>
      <c r="H207" s="20">
        <v>0</v>
      </c>
      <c r="I207" s="20">
        <f t="shared" si="20"/>
        <v>1121.460795</v>
      </c>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row>
    <row r="208" spans="1:151 16227:16384" s="11" customFormat="1" ht="21" x14ac:dyDescent="0.3">
      <c r="A208" s="89" t="s">
        <v>246</v>
      </c>
      <c r="B208" s="90"/>
      <c r="C208" s="90"/>
      <c r="D208" s="90"/>
      <c r="E208" s="90"/>
      <c r="F208" s="90"/>
      <c r="G208" s="90"/>
      <c r="H208" s="90"/>
      <c r="I208" s="9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customHeight="1" x14ac:dyDescent="0.3">
      <c r="A209" s="94" t="str">
        <f>A208</f>
        <v>5th, 9th, 14th, 19th &amp; 24 floor For Residential (Part Refuge Area)</v>
      </c>
      <c r="B209" s="95"/>
      <c r="C209" s="92">
        <v>1</v>
      </c>
      <c r="D209" s="93"/>
      <c r="E209" s="94" t="s">
        <v>229</v>
      </c>
      <c r="F209" s="175"/>
      <c r="G209" s="175"/>
      <c r="H209" s="175"/>
      <c r="I209" s="95"/>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row>
    <row r="210" spans="1:151 16227:16384" s="11" customFormat="1" ht="20.25" customHeight="1" x14ac:dyDescent="0.3">
      <c r="A210" s="96"/>
      <c r="B210" s="97"/>
      <c r="C210" s="92">
        <v>2</v>
      </c>
      <c r="D210" s="93"/>
      <c r="E210" s="98"/>
      <c r="F210" s="176"/>
      <c r="G210" s="176"/>
      <c r="H210" s="176"/>
      <c r="I210" s="99"/>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row>
    <row r="211" spans="1:151 16227:16384" s="11" customFormat="1" ht="20.25" customHeight="1" x14ac:dyDescent="0.3">
      <c r="A211" s="96"/>
      <c r="B211" s="97"/>
      <c r="C211" s="92">
        <v>3</v>
      </c>
      <c r="D211" s="93"/>
      <c r="E211" s="20" t="s">
        <v>234</v>
      </c>
      <c r="F211" s="92">
        <f>(1.05*1.6+3.2*5.1+2.18*3.1+3.05*3.1+3.17*3.37+1*2.4+1.38*1+1.25*2.45+2.22*1.38+(0.6*1.6+0.75*2+3.05*1.13))*10.764</f>
        <v>653.46629399999995</v>
      </c>
      <c r="G211" s="93"/>
      <c r="H211" s="20">
        <v>0</v>
      </c>
      <c r="I211" s="20">
        <f t="shared" ref="I211:I212" si="21">F211*(($I$123)+1)+H211</f>
        <v>980.19944099999998</v>
      </c>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row>
    <row r="212" spans="1:151 16227:16384" s="11" customFormat="1" ht="20.25" customHeight="1" x14ac:dyDescent="0.3">
      <c r="A212" s="96"/>
      <c r="B212" s="97"/>
      <c r="C212" s="92">
        <v>4</v>
      </c>
      <c r="D212" s="93"/>
      <c r="E212" s="20" t="s">
        <v>234</v>
      </c>
      <c r="F212" s="92">
        <f>(1.05*1.6+3.2*5.1+0.92*3.6+2.32*3.1+3.05*3.1+3.17*3.6+1*2.39+1.35+1.35*2.45+2.39*1.35+(0.6*1.4+0.75*2.3+3.2*1.13+2.43*1.1+0.6*2.07))*10.764</f>
        <v>750.69212399999992</v>
      </c>
      <c r="G212" s="93"/>
      <c r="H212" s="20">
        <v>0</v>
      </c>
      <c r="I212" s="20">
        <f t="shared" si="21"/>
        <v>1126.0381859999998</v>
      </c>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row>
    <row r="213" spans="1:151 16227:16384" s="11" customFormat="1" ht="20.25" customHeight="1" x14ac:dyDescent="0.3">
      <c r="A213" s="96"/>
      <c r="B213" s="97"/>
      <c r="C213" s="92">
        <v>5</v>
      </c>
      <c r="D213" s="93"/>
      <c r="E213" s="20" t="s">
        <v>234</v>
      </c>
      <c r="F213" s="92">
        <f>(1.05*1.33+3.2*5.1+0.92*3.6+2.32*3.1+3.05*3.1+3.17*3.6+1*2.39+1.35+1.35*2.45+2.39*1.35+(0.6*1.4+0.75*2.3+3.2*1.13+2.43*1.1+0.6*2.07))*10.764</f>
        <v>747.6405299999999</v>
      </c>
      <c r="G213" s="93"/>
      <c r="H213" s="20">
        <v>0</v>
      </c>
      <c r="I213" s="20">
        <f>F213*(($I$123)+1)+H213</f>
        <v>1121.460795</v>
      </c>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row>
    <row r="214" spans="1:151 16227:16384" s="11" customFormat="1" ht="20.25" customHeight="1" x14ac:dyDescent="0.3">
      <c r="A214" s="96"/>
      <c r="B214" s="97"/>
      <c r="C214" s="92">
        <v>6</v>
      </c>
      <c r="D214" s="93"/>
      <c r="E214" s="20" t="s">
        <v>234</v>
      </c>
      <c r="F214" s="92">
        <f>(1.05*1.33+3.2*5.1+2.18*3.1+3.05*3.1+3.17*3.37+1*2.4+1.38*1+1.25*2.45+2.22*1.38+(0.6*1.6+0.75*2+3.05*1.13))*10.764</f>
        <v>650.41469999999993</v>
      </c>
      <c r="G214" s="93"/>
      <c r="H214" s="20">
        <v>0</v>
      </c>
      <c r="I214" s="20">
        <f t="shared" ref="I214:I216" si="22">F214*(($I$123)+1)+H214</f>
        <v>975.62204999999994</v>
      </c>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row>
    <row r="215" spans="1:151 16227:16384" s="11" customFormat="1" ht="20.25" customHeight="1" x14ac:dyDescent="0.3">
      <c r="A215" s="96"/>
      <c r="B215" s="97"/>
      <c r="C215" s="92">
        <v>7</v>
      </c>
      <c r="D215" s="93"/>
      <c r="E215" s="20" t="s">
        <v>234</v>
      </c>
      <c r="F215" s="92">
        <f>(1.05*1.33+3.2*5.1+2.18*3.1+3.05*3.1+3.17*3.37+1*2.4+1.38*1+1.25*2.45+2.22*1.38+(0.6*1.6+0.75*2+3.05*1.13))*10.764</f>
        <v>650.41469999999993</v>
      </c>
      <c r="G215" s="93"/>
      <c r="H215" s="20">
        <v>0</v>
      </c>
      <c r="I215" s="20">
        <f t="shared" si="22"/>
        <v>975.62204999999994</v>
      </c>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row>
    <row r="216" spans="1:151 16227:16384" s="11" customFormat="1" ht="20.25" customHeight="1" x14ac:dyDescent="0.3">
      <c r="A216" s="98"/>
      <c r="B216" s="99"/>
      <c r="C216" s="92">
        <v>8</v>
      </c>
      <c r="D216" s="93"/>
      <c r="E216" s="20" t="s">
        <v>234</v>
      </c>
      <c r="F216" s="92">
        <f>(1.05*1.33+3.2*5.1+0.92*3.6+2.32*3.1+3.05*3.1+3.17*3.6+1*2.39+1.35+1.35*2.45+2.39*1.35+(0.6*1.4+0.75*2.3+3.2*1.13+2.43*1.1+0.6*2.07))*10.764</f>
        <v>747.6405299999999</v>
      </c>
      <c r="G216" s="93"/>
      <c r="H216" s="20">
        <v>0</v>
      </c>
      <c r="I216" s="20">
        <f t="shared" si="22"/>
        <v>1121.460795</v>
      </c>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row>
    <row r="217" spans="1:151 16227:16384" s="11" customFormat="1" ht="21" x14ac:dyDescent="0.3">
      <c r="A217" s="89" t="s">
        <v>247</v>
      </c>
      <c r="B217" s="90"/>
      <c r="C217" s="90"/>
      <c r="D217" s="90"/>
      <c r="E217" s="90"/>
      <c r="F217" s="90"/>
      <c r="G217" s="90"/>
      <c r="H217" s="90"/>
      <c r="I217" s="9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customHeight="1" x14ac:dyDescent="0.3">
      <c r="A218" s="94" t="str">
        <f>A217</f>
        <v>28th &amp; 30th Floor</v>
      </c>
      <c r="B218" s="95"/>
      <c r="C218" s="92">
        <v>1</v>
      </c>
      <c r="D218" s="93"/>
      <c r="E218" s="20" t="s">
        <v>234</v>
      </c>
      <c r="F218" s="92">
        <f>66.96*10.764</f>
        <v>720.75743999999986</v>
      </c>
      <c r="G218" s="93"/>
      <c r="H218" s="20">
        <v>0</v>
      </c>
      <c r="I218" s="20">
        <f>F218*(($I$123)+1)+H218</f>
        <v>1081.1361599999998</v>
      </c>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row>
    <row r="219" spans="1:151 16227:16384" s="11" customFormat="1" ht="20.25" customHeight="1" x14ac:dyDescent="0.3">
      <c r="A219" s="96"/>
      <c r="B219" s="97"/>
      <c r="C219" s="92">
        <v>2</v>
      </c>
      <c r="D219" s="93"/>
      <c r="E219" s="20" t="s">
        <v>234</v>
      </c>
      <c r="F219" s="92">
        <f>60.97*10.764</f>
        <v>656.28107999999997</v>
      </c>
      <c r="G219" s="93"/>
      <c r="H219" s="20">
        <v>0</v>
      </c>
      <c r="I219" s="20">
        <f t="shared" ref="I219:I221" si="23">F219*(($I$123)+1)+H219</f>
        <v>984.42161999999996</v>
      </c>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row>
    <row r="220" spans="1:151 16227:16384" s="11" customFormat="1" ht="20.25" customHeight="1" x14ac:dyDescent="0.3">
      <c r="A220" s="96"/>
      <c r="B220" s="97"/>
      <c r="C220" s="92">
        <v>3</v>
      </c>
      <c r="D220" s="93"/>
      <c r="E220" s="20" t="s">
        <v>234</v>
      </c>
      <c r="F220" s="92">
        <f>60.97*10.764</f>
        <v>656.28107999999997</v>
      </c>
      <c r="G220" s="93"/>
      <c r="H220" s="20">
        <v>0</v>
      </c>
      <c r="I220" s="20">
        <f t="shared" si="23"/>
        <v>984.42161999999996</v>
      </c>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row>
    <row r="221" spans="1:151 16227:16384" s="11" customFormat="1" ht="20.25" customHeight="1" x14ac:dyDescent="0.3">
      <c r="A221" s="96"/>
      <c r="B221" s="97"/>
      <c r="C221" s="92">
        <v>4</v>
      </c>
      <c r="D221" s="93"/>
      <c r="E221" s="20" t="s">
        <v>234</v>
      </c>
      <c r="F221" s="92">
        <f>67.27*10.764</f>
        <v>724.09427999999991</v>
      </c>
      <c r="G221" s="93"/>
      <c r="H221" s="20">
        <v>0</v>
      </c>
      <c r="I221" s="20">
        <f t="shared" si="23"/>
        <v>1086.1414199999999</v>
      </c>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row>
    <row r="222" spans="1:151 16227:16384" s="11" customFormat="1" ht="20.25" customHeight="1" x14ac:dyDescent="0.3">
      <c r="A222" s="96"/>
      <c r="B222" s="97"/>
      <c r="C222" s="92">
        <v>5</v>
      </c>
      <c r="D222" s="93"/>
      <c r="E222" s="20" t="s">
        <v>234</v>
      </c>
      <c r="F222" s="92">
        <f>66.98*10.764</f>
        <v>720.97271999999998</v>
      </c>
      <c r="G222" s="93"/>
      <c r="H222" s="20">
        <v>0</v>
      </c>
      <c r="I222" s="20">
        <f>F222*(($I$123)+1)+H222</f>
        <v>1081.4590800000001</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row>
    <row r="223" spans="1:151 16227:16384" s="11" customFormat="1" ht="20.25" customHeight="1" x14ac:dyDescent="0.3">
      <c r="A223" s="96"/>
      <c r="B223" s="97"/>
      <c r="C223" s="92">
        <v>6</v>
      </c>
      <c r="D223" s="93"/>
      <c r="E223" s="20" t="s">
        <v>234</v>
      </c>
      <c r="F223" s="92">
        <f>61.99*10.764</f>
        <v>667.26035999999999</v>
      </c>
      <c r="G223" s="93"/>
      <c r="H223" s="20">
        <v>0</v>
      </c>
      <c r="I223" s="20">
        <f t="shared" ref="I223:I225" si="24">F223*(($I$123)+1)+H223</f>
        <v>1000.89054</v>
      </c>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row>
    <row r="224" spans="1:151 16227:16384" s="11" customFormat="1" ht="20.25" customHeight="1" x14ac:dyDescent="0.3">
      <c r="A224" s="96"/>
      <c r="B224" s="97"/>
      <c r="C224" s="92">
        <v>7</v>
      </c>
      <c r="D224" s="93"/>
      <c r="E224" s="20" t="s">
        <v>234</v>
      </c>
      <c r="F224" s="92">
        <f>61.99*10.764</f>
        <v>667.26035999999999</v>
      </c>
      <c r="G224" s="93"/>
      <c r="H224" s="20">
        <v>0</v>
      </c>
      <c r="I224" s="20">
        <f t="shared" si="24"/>
        <v>1000.89054</v>
      </c>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row>
    <row r="225" spans="1:151 16227:16384" s="11" customFormat="1" ht="20.25" customHeight="1" x14ac:dyDescent="0.3">
      <c r="A225" s="98"/>
      <c r="B225" s="99"/>
      <c r="C225" s="92">
        <v>8</v>
      </c>
      <c r="D225" s="93"/>
      <c r="E225" s="20" t="s">
        <v>234</v>
      </c>
      <c r="F225" s="92">
        <f>66.68*10.764</f>
        <v>717.74351999999999</v>
      </c>
      <c r="G225" s="93"/>
      <c r="H225" s="20">
        <v>0</v>
      </c>
      <c r="I225" s="20">
        <f t="shared" si="24"/>
        <v>1076.61528</v>
      </c>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row>
    <row r="226" spans="1:151 16227:16384" s="11" customFormat="1" ht="21" x14ac:dyDescent="0.3">
      <c r="A226" s="89" t="s">
        <v>232</v>
      </c>
      <c r="B226" s="90"/>
      <c r="C226" s="90"/>
      <c r="D226" s="90"/>
      <c r="E226" s="90"/>
      <c r="F226" s="90"/>
      <c r="G226" s="90"/>
      <c r="H226" s="90"/>
      <c r="I226" s="9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customHeight="1" x14ac:dyDescent="0.3">
      <c r="A227" s="94" t="str">
        <f>A226</f>
        <v>29th Floor (Part Refuge Area)</v>
      </c>
      <c r="B227" s="95"/>
      <c r="C227" s="92">
        <v>1</v>
      </c>
      <c r="D227" s="93"/>
      <c r="E227" s="92" t="s">
        <v>229</v>
      </c>
      <c r="F227" s="100"/>
      <c r="G227" s="100"/>
      <c r="H227" s="100"/>
      <c r="I227" s="93"/>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row>
    <row r="228" spans="1:151 16227:16384" s="11" customFormat="1" ht="20.25" customHeight="1" x14ac:dyDescent="0.3">
      <c r="A228" s="96"/>
      <c r="B228" s="97"/>
      <c r="C228" s="92">
        <v>2</v>
      </c>
      <c r="D228" s="93"/>
      <c r="E228" s="20" t="s">
        <v>234</v>
      </c>
      <c r="F228" s="92">
        <f>60.97*10.764</f>
        <v>656.28107999999997</v>
      </c>
      <c r="G228" s="93"/>
      <c r="H228" s="20">
        <v>0</v>
      </c>
      <c r="I228" s="20">
        <f t="shared" ref="I228:I230" si="25">F228*(($I$123)+1)+H228</f>
        <v>984.42161999999996</v>
      </c>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row>
    <row r="229" spans="1:151 16227:16384" s="11" customFormat="1" ht="20.25" customHeight="1" x14ac:dyDescent="0.3">
      <c r="A229" s="96"/>
      <c r="B229" s="97"/>
      <c r="C229" s="92">
        <v>3</v>
      </c>
      <c r="D229" s="93"/>
      <c r="E229" s="20" t="s">
        <v>234</v>
      </c>
      <c r="F229" s="92">
        <f>60.97*10.764</f>
        <v>656.28107999999997</v>
      </c>
      <c r="G229" s="93"/>
      <c r="H229" s="20">
        <v>0</v>
      </c>
      <c r="I229" s="20">
        <f t="shared" si="25"/>
        <v>984.42161999999996</v>
      </c>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row>
    <row r="230" spans="1:151 16227:16384" s="11" customFormat="1" ht="20.25" customHeight="1" x14ac:dyDescent="0.3">
      <c r="A230" s="96"/>
      <c r="B230" s="97"/>
      <c r="C230" s="92">
        <v>4</v>
      </c>
      <c r="D230" s="93"/>
      <c r="E230" s="20" t="s">
        <v>234</v>
      </c>
      <c r="F230" s="92">
        <f>67.27*10.764</f>
        <v>724.09427999999991</v>
      </c>
      <c r="G230" s="93"/>
      <c r="H230" s="20">
        <v>0</v>
      </c>
      <c r="I230" s="20">
        <f t="shared" si="25"/>
        <v>1086.1414199999999</v>
      </c>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row>
    <row r="231" spans="1:151 16227:16384" s="11" customFormat="1" ht="20.25" customHeight="1" x14ac:dyDescent="0.3">
      <c r="A231" s="96"/>
      <c r="B231" s="97"/>
      <c r="C231" s="92">
        <v>5</v>
      </c>
      <c r="D231" s="93"/>
      <c r="E231" s="20" t="s">
        <v>234</v>
      </c>
      <c r="F231" s="92">
        <f>66.98*10.764</f>
        <v>720.97271999999998</v>
      </c>
      <c r="G231" s="93"/>
      <c r="H231" s="20">
        <v>0</v>
      </c>
      <c r="I231" s="20">
        <f>F231*(($I$123)+1)+H231</f>
        <v>1081.4590800000001</v>
      </c>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row>
    <row r="232" spans="1:151 16227:16384" s="11" customFormat="1" ht="20.25" customHeight="1" x14ac:dyDescent="0.3">
      <c r="A232" s="96"/>
      <c r="B232" s="97"/>
      <c r="C232" s="92">
        <v>6</v>
      </c>
      <c r="D232" s="93"/>
      <c r="E232" s="20" t="s">
        <v>234</v>
      </c>
      <c r="F232" s="92">
        <f>61.99*10.764</f>
        <v>667.26035999999999</v>
      </c>
      <c r="G232" s="93"/>
      <c r="H232" s="20">
        <v>0</v>
      </c>
      <c r="I232" s="20">
        <f t="shared" ref="I232:I234" si="26">F232*(($I$123)+1)+H232</f>
        <v>1000.89054</v>
      </c>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row>
    <row r="233" spans="1:151 16227:16384" s="11" customFormat="1" ht="20.25" customHeight="1" x14ac:dyDescent="0.3">
      <c r="A233" s="96"/>
      <c r="B233" s="97"/>
      <c r="C233" s="92">
        <v>7</v>
      </c>
      <c r="D233" s="93"/>
      <c r="E233" s="20" t="s">
        <v>234</v>
      </c>
      <c r="F233" s="92">
        <f>61.99*10.764</f>
        <v>667.26035999999999</v>
      </c>
      <c r="G233" s="93"/>
      <c r="H233" s="20">
        <v>0</v>
      </c>
      <c r="I233" s="20">
        <f t="shared" si="26"/>
        <v>1000.89054</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row>
    <row r="234" spans="1:151 16227:16384" s="11" customFormat="1" ht="20.25" customHeight="1" x14ac:dyDescent="0.3">
      <c r="A234" s="98"/>
      <c r="B234" s="99"/>
      <c r="C234" s="92">
        <v>8</v>
      </c>
      <c r="D234" s="93"/>
      <c r="E234" s="20" t="s">
        <v>234</v>
      </c>
      <c r="F234" s="92">
        <f>66.68*10.764</f>
        <v>717.74351999999999</v>
      </c>
      <c r="G234" s="93"/>
      <c r="H234" s="20">
        <v>0</v>
      </c>
      <c r="I234" s="20">
        <f t="shared" si="26"/>
        <v>1076.61528</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row>
    <row r="235" spans="1:151 16227:16384" ht="21" x14ac:dyDescent="0.3">
      <c r="A235" s="67" t="s">
        <v>73</v>
      </c>
      <c r="B235" s="67"/>
      <c r="C235" s="67"/>
      <c r="D235" s="67"/>
      <c r="E235" s="67"/>
      <c r="F235" s="67"/>
      <c r="G235" s="67"/>
      <c r="H235" s="67"/>
      <c r="I235" s="67"/>
    </row>
    <row r="236" spans="1:151 16227:16384" ht="124.8" customHeight="1" x14ac:dyDescent="0.3">
      <c r="A236" s="9" t="s">
        <v>81</v>
      </c>
      <c r="B236" s="12" t="s">
        <v>4</v>
      </c>
      <c r="C236" s="129" t="s">
        <v>258</v>
      </c>
      <c r="D236" s="129"/>
      <c r="E236" s="129"/>
      <c r="F236" s="129"/>
      <c r="G236" s="129"/>
      <c r="H236" s="129"/>
      <c r="I236" s="129"/>
    </row>
    <row r="237" spans="1:151 16227:16384" ht="21" x14ac:dyDescent="0.3">
      <c r="A237" s="107" t="s">
        <v>82</v>
      </c>
      <c r="B237" s="107"/>
      <c r="C237" s="107"/>
      <c r="D237" s="107"/>
      <c r="E237" s="107"/>
      <c r="F237" s="107"/>
      <c r="G237" s="107"/>
      <c r="H237" s="107"/>
      <c r="I237" s="107"/>
    </row>
    <row r="238" spans="1:151 16227:16384" ht="21" x14ac:dyDescent="0.3">
      <c r="A238" s="120" t="s">
        <v>74</v>
      </c>
      <c r="B238" s="120"/>
      <c r="C238" s="120"/>
      <c r="D238" s="2" t="s">
        <v>4</v>
      </c>
      <c r="E238" s="108" t="str">
        <f>E3</f>
        <v>Godrej Emerald</v>
      </c>
      <c r="F238" s="109"/>
      <c r="G238" s="109"/>
      <c r="H238" s="109"/>
      <c r="I238" s="110"/>
    </row>
    <row r="239" spans="1:151 16227:16384" ht="90.6" customHeight="1" x14ac:dyDescent="0.3">
      <c r="A239" s="120" t="s">
        <v>136</v>
      </c>
      <c r="B239" s="120"/>
      <c r="C239" s="120"/>
      <c r="D239" s="2" t="s">
        <v>4</v>
      </c>
      <c r="E239" s="108" t="str">
        <f>E9</f>
        <v xml:space="preserve">Godrej Emerald, Survey No.91/1/1A, 1/2B, 1/3C, 2A, 2B, 2C, 3A, 3B, 103/1, 2, 3A, 3B, 4, 5/B/1, 5/B/2, 107/7A,7B, 7C, 8A, 8B, 8C, 8D, 11A, 11B &amp; 11C &amp; others, near Lodha Splendora / Rumah Bali, Village - Bhayandarpada, Ghodbunder Road, Thane, Thane (W), Thane, Thane - 400615.
</v>
      </c>
      <c r="F239" s="109"/>
      <c r="G239" s="109"/>
      <c r="H239" s="109"/>
      <c r="I239" s="110"/>
    </row>
    <row r="240" spans="1:151 16227:16384" ht="20.25" customHeight="1" x14ac:dyDescent="0.3">
      <c r="A240" s="124" t="s">
        <v>144</v>
      </c>
      <c r="B240" s="124"/>
      <c r="C240" s="124"/>
      <c r="D240" s="16" t="s">
        <v>4</v>
      </c>
      <c r="E240" s="125" t="str">
        <f>I3</f>
        <v>04/07/2025 @ 
12:29 PM</v>
      </c>
      <c r="F240" s="126"/>
      <c r="G240" s="126"/>
      <c r="H240" s="126"/>
      <c r="I240" s="127"/>
    </row>
    <row r="241" spans="1:9" ht="21" x14ac:dyDescent="0.3">
      <c r="A241" s="30"/>
      <c r="B241" s="31"/>
      <c r="C241" s="31"/>
      <c r="D241" s="31"/>
      <c r="E241" s="31"/>
      <c r="F241" s="31"/>
      <c r="G241" s="31"/>
      <c r="H241" s="31"/>
      <c r="I241" s="25"/>
    </row>
    <row r="242" spans="1:9" ht="21" x14ac:dyDescent="0.3">
      <c r="A242" s="32"/>
      <c r="B242" s="33"/>
      <c r="C242" s="33"/>
      <c r="D242" s="33"/>
      <c r="E242" s="33"/>
      <c r="F242" s="33"/>
      <c r="G242" s="33"/>
      <c r="H242" s="33"/>
      <c r="I242" s="26"/>
    </row>
    <row r="243" spans="1:9" ht="21" x14ac:dyDescent="0.3">
      <c r="A243" s="32"/>
      <c r="B243" s="33"/>
      <c r="C243" s="33"/>
      <c r="D243" s="33"/>
      <c r="E243" s="33"/>
      <c r="F243" s="33"/>
      <c r="G243" s="33"/>
      <c r="H243" s="33"/>
      <c r="I243" s="26"/>
    </row>
    <row r="244" spans="1:9" ht="21" x14ac:dyDescent="0.3">
      <c r="A244" s="32"/>
      <c r="B244" s="33"/>
      <c r="C244" s="33"/>
      <c r="D244" s="33"/>
      <c r="E244" s="33"/>
      <c r="F244" s="33"/>
      <c r="G244" s="33"/>
      <c r="H244" s="33"/>
      <c r="I244" s="26"/>
    </row>
    <row r="245" spans="1:9" ht="21" x14ac:dyDescent="0.3">
      <c r="A245" s="32"/>
      <c r="B245" s="33"/>
      <c r="C245" s="33"/>
      <c r="D245" s="33"/>
      <c r="E245" s="33"/>
      <c r="F245" s="33"/>
      <c r="G245" s="33"/>
      <c r="H245" s="33"/>
      <c r="I245" s="26"/>
    </row>
    <row r="246" spans="1:9" ht="21" x14ac:dyDescent="0.3">
      <c r="A246" s="32"/>
      <c r="B246" s="33"/>
      <c r="C246" s="33"/>
      <c r="D246" s="33"/>
      <c r="E246" s="33"/>
      <c r="F246" s="33"/>
      <c r="G246" s="33"/>
      <c r="H246" s="33"/>
      <c r="I246" s="26"/>
    </row>
    <row r="247" spans="1:9" ht="21" x14ac:dyDescent="0.3">
      <c r="A247" s="32"/>
      <c r="B247" s="33"/>
      <c r="C247" s="33"/>
      <c r="D247" s="33"/>
      <c r="E247" s="33"/>
      <c r="F247" s="33"/>
      <c r="G247" s="33"/>
      <c r="H247" s="33"/>
      <c r="I247" s="26"/>
    </row>
    <row r="248" spans="1:9" ht="21" x14ac:dyDescent="0.3">
      <c r="A248" s="32"/>
      <c r="B248" s="33"/>
      <c r="C248" s="33"/>
      <c r="D248" s="33"/>
      <c r="E248" s="33"/>
      <c r="F248" s="33"/>
      <c r="G248" s="33"/>
      <c r="H248" s="33"/>
      <c r="I248" s="26"/>
    </row>
    <row r="249" spans="1:9" ht="21" x14ac:dyDescent="0.3">
      <c r="A249" s="32"/>
      <c r="B249" s="33"/>
      <c r="C249" s="33"/>
      <c r="D249" s="33"/>
      <c r="E249" s="33"/>
      <c r="F249" s="33"/>
      <c r="G249" s="33"/>
      <c r="H249" s="33"/>
      <c r="I249" s="26"/>
    </row>
    <row r="250" spans="1:9" ht="21" x14ac:dyDescent="0.3">
      <c r="A250" s="32"/>
      <c r="B250" s="33"/>
      <c r="C250" s="33"/>
      <c r="D250" s="33"/>
      <c r="E250" s="33"/>
      <c r="F250" s="33"/>
      <c r="G250" s="33"/>
      <c r="H250" s="33"/>
      <c r="I250" s="26"/>
    </row>
    <row r="251" spans="1:9" ht="21" x14ac:dyDescent="0.3">
      <c r="A251" s="32"/>
      <c r="B251" s="33"/>
      <c r="C251" s="33"/>
      <c r="D251" s="33"/>
      <c r="E251" s="33"/>
      <c r="F251" s="33"/>
      <c r="G251" s="33"/>
      <c r="H251" s="33"/>
      <c r="I251" s="26"/>
    </row>
    <row r="252" spans="1:9" ht="21" x14ac:dyDescent="0.3">
      <c r="A252" s="32"/>
      <c r="B252" s="33"/>
      <c r="C252" s="33"/>
      <c r="D252" s="33"/>
      <c r="E252" s="33"/>
      <c r="F252" s="33"/>
      <c r="G252" s="33"/>
      <c r="H252" s="33"/>
      <c r="I252" s="26"/>
    </row>
    <row r="253" spans="1:9" ht="21" x14ac:dyDescent="0.3">
      <c r="A253" s="32"/>
      <c r="B253" s="33"/>
      <c r="C253" s="33"/>
      <c r="D253" s="33"/>
      <c r="E253" s="33"/>
      <c r="F253" s="33"/>
      <c r="G253" s="33"/>
      <c r="H253" s="33"/>
      <c r="I253" s="26"/>
    </row>
    <row r="254" spans="1:9" ht="21" x14ac:dyDescent="0.3">
      <c r="A254" s="32"/>
      <c r="B254" s="33"/>
      <c r="C254" s="33"/>
      <c r="D254" s="33"/>
      <c r="E254" s="33"/>
      <c r="F254" s="33"/>
      <c r="G254" s="33"/>
      <c r="H254" s="33"/>
      <c r="I254" s="26"/>
    </row>
    <row r="255" spans="1:9" ht="21" x14ac:dyDescent="0.3">
      <c r="A255" s="32"/>
      <c r="B255" s="33"/>
      <c r="C255" s="33"/>
      <c r="D255" s="33"/>
      <c r="E255" s="33"/>
      <c r="F255" s="33"/>
      <c r="G255" s="33"/>
      <c r="H255" s="33"/>
      <c r="I255" s="26"/>
    </row>
    <row r="256" spans="1:9" ht="21" x14ac:dyDescent="0.3">
      <c r="A256" s="32"/>
      <c r="B256" s="33"/>
      <c r="C256" s="33"/>
      <c r="D256" s="33"/>
      <c r="E256" s="33"/>
      <c r="F256" s="33"/>
      <c r="G256" s="33"/>
      <c r="H256" s="33"/>
      <c r="I256" s="26"/>
    </row>
    <row r="257" spans="1:9" ht="21" x14ac:dyDescent="0.3">
      <c r="A257" s="32"/>
      <c r="B257" s="33"/>
      <c r="C257" s="33"/>
      <c r="D257" s="33"/>
      <c r="E257" s="33"/>
      <c r="F257" s="33"/>
      <c r="G257" s="33"/>
      <c r="H257" s="33"/>
      <c r="I257" s="26"/>
    </row>
    <row r="258" spans="1:9" ht="21" x14ac:dyDescent="0.3">
      <c r="A258" s="32"/>
      <c r="B258" s="33"/>
      <c r="C258" s="33"/>
      <c r="D258" s="33"/>
      <c r="E258" s="33"/>
      <c r="F258" s="33"/>
      <c r="G258" s="33"/>
      <c r="H258" s="33"/>
      <c r="I258" s="26"/>
    </row>
    <row r="259" spans="1:9" ht="21" x14ac:dyDescent="0.3">
      <c r="A259" s="32"/>
      <c r="B259" s="33"/>
      <c r="C259" s="33"/>
      <c r="D259" s="33"/>
      <c r="E259" s="33"/>
      <c r="F259" s="33"/>
      <c r="G259" s="33"/>
      <c r="H259" s="33"/>
      <c r="I259" s="26"/>
    </row>
    <row r="260" spans="1:9" ht="21" x14ac:dyDescent="0.3">
      <c r="A260" s="32"/>
      <c r="B260" s="33"/>
      <c r="C260" s="33"/>
      <c r="D260" s="33"/>
      <c r="E260" s="33"/>
      <c r="F260" s="33"/>
      <c r="G260" s="33"/>
      <c r="H260" s="33"/>
      <c r="I260" s="26"/>
    </row>
    <row r="261" spans="1:9" ht="21" x14ac:dyDescent="0.3">
      <c r="A261" s="32"/>
      <c r="B261" s="33"/>
      <c r="C261" s="33"/>
      <c r="D261" s="33"/>
      <c r="E261" s="33"/>
      <c r="F261" s="33"/>
      <c r="G261" s="33"/>
      <c r="H261" s="33"/>
      <c r="I261" s="26"/>
    </row>
    <row r="262" spans="1:9" ht="21" x14ac:dyDescent="0.3">
      <c r="A262" s="32"/>
      <c r="B262" s="33"/>
      <c r="C262" s="33"/>
      <c r="D262" s="33"/>
      <c r="E262" s="33"/>
      <c r="F262" s="33"/>
      <c r="G262" s="33"/>
      <c r="H262" s="33"/>
      <c r="I262" s="26"/>
    </row>
    <row r="263" spans="1:9" ht="21" x14ac:dyDescent="0.3">
      <c r="A263" s="32"/>
      <c r="B263" s="33"/>
      <c r="C263" s="33"/>
      <c r="D263" s="33"/>
      <c r="E263" s="33"/>
      <c r="F263" s="33"/>
      <c r="G263" s="33"/>
      <c r="H263" s="33"/>
      <c r="I263" s="26"/>
    </row>
    <row r="264" spans="1:9" ht="21" x14ac:dyDescent="0.3">
      <c r="A264" s="32"/>
      <c r="B264" s="33"/>
      <c r="C264" s="33"/>
      <c r="D264" s="33"/>
      <c r="E264" s="33"/>
      <c r="F264" s="33"/>
      <c r="G264" s="33"/>
      <c r="H264" s="33"/>
      <c r="I264" s="26"/>
    </row>
    <row r="265" spans="1:9" ht="21" x14ac:dyDescent="0.3">
      <c r="A265" s="32"/>
      <c r="B265" s="33"/>
      <c r="C265" s="33"/>
      <c r="D265" s="33"/>
      <c r="E265" s="33"/>
      <c r="F265" s="33"/>
      <c r="G265" s="33"/>
      <c r="H265" s="33"/>
      <c r="I265" s="26"/>
    </row>
    <row r="266" spans="1:9" ht="21" x14ac:dyDescent="0.3">
      <c r="A266" s="32"/>
      <c r="B266" s="33"/>
      <c r="C266" s="33"/>
      <c r="D266" s="33"/>
      <c r="E266" s="33"/>
      <c r="F266" s="33"/>
      <c r="G266" s="33"/>
      <c r="H266" s="33"/>
      <c r="I266" s="26"/>
    </row>
    <row r="267" spans="1:9" ht="21" x14ac:dyDescent="0.3">
      <c r="A267" s="32"/>
      <c r="B267" s="33"/>
      <c r="C267" s="33"/>
      <c r="D267" s="33"/>
      <c r="E267" s="33"/>
      <c r="F267" s="33"/>
      <c r="G267" s="33"/>
      <c r="H267" s="33"/>
      <c r="I267" s="26"/>
    </row>
    <row r="268" spans="1:9" ht="21" x14ac:dyDescent="0.3">
      <c r="A268" s="32"/>
      <c r="B268" s="33"/>
      <c r="C268" s="33"/>
      <c r="D268" s="33"/>
      <c r="E268" s="33"/>
      <c r="F268" s="33"/>
      <c r="G268" s="33"/>
      <c r="H268" s="33"/>
      <c r="I268" s="26"/>
    </row>
    <row r="269" spans="1:9" ht="21" x14ac:dyDescent="0.3">
      <c r="A269" s="32"/>
      <c r="B269" s="33"/>
      <c r="C269" s="33"/>
      <c r="D269" s="33"/>
      <c r="E269" s="33"/>
      <c r="F269" s="33"/>
      <c r="G269" s="33"/>
      <c r="H269" s="33"/>
      <c r="I269" s="26"/>
    </row>
    <row r="270" spans="1:9" ht="21" x14ac:dyDescent="0.3">
      <c r="A270" s="32"/>
      <c r="B270" s="33"/>
      <c r="C270" s="33"/>
      <c r="D270" s="33"/>
      <c r="E270" s="33"/>
      <c r="F270" s="33"/>
      <c r="G270" s="33"/>
      <c r="H270" s="33"/>
      <c r="I270" s="26"/>
    </row>
    <row r="271" spans="1:9" ht="21" x14ac:dyDescent="0.3">
      <c r="A271" s="32"/>
      <c r="B271" s="33"/>
      <c r="C271" s="33"/>
      <c r="D271" s="33"/>
      <c r="E271" s="33"/>
      <c r="F271" s="33"/>
      <c r="G271" s="33"/>
      <c r="H271" s="33"/>
      <c r="I271" s="26"/>
    </row>
    <row r="272" spans="1:9" ht="21" x14ac:dyDescent="0.3">
      <c r="A272" s="32"/>
      <c r="B272" s="33"/>
      <c r="C272" s="33"/>
      <c r="D272" s="33"/>
      <c r="E272" s="33"/>
      <c r="F272" s="33"/>
      <c r="G272" s="33"/>
      <c r="H272" s="33"/>
      <c r="I272" s="26"/>
    </row>
    <row r="273" spans="1:9" ht="21" x14ac:dyDescent="0.3">
      <c r="A273" s="32"/>
      <c r="B273" s="33"/>
      <c r="C273" s="33"/>
      <c r="D273" s="33"/>
      <c r="E273" s="33"/>
      <c r="F273" s="33"/>
      <c r="G273" s="33"/>
      <c r="H273" s="33"/>
      <c r="I273" s="26"/>
    </row>
    <row r="274" spans="1:9" ht="21" x14ac:dyDescent="0.3">
      <c r="A274" s="32"/>
      <c r="B274" s="33"/>
      <c r="C274" s="33"/>
      <c r="D274" s="33"/>
      <c r="E274" s="33"/>
      <c r="F274" s="33"/>
      <c r="G274" s="33"/>
      <c r="H274" s="33"/>
      <c r="I274" s="26"/>
    </row>
    <row r="275" spans="1:9" ht="21" x14ac:dyDescent="0.3">
      <c r="A275" s="32"/>
      <c r="B275" s="33"/>
      <c r="C275" s="33"/>
      <c r="D275" s="33"/>
      <c r="E275" s="33"/>
      <c r="F275" s="33"/>
      <c r="G275" s="33"/>
      <c r="H275" s="33"/>
      <c r="I275" s="26"/>
    </row>
    <row r="276" spans="1:9" ht="21" x14ac:dyDescent="0.3">
      <c r="A276" s="32"/>
      <c r="B276" s="33"/>
      <c r="C276" s="33"/>
      <c r="D276" s="33"/>
      <c r="E276" s="33"/>
      <c r="F276" s="33"/>
      <c r="G276" s="33"/>
      <c r="H276" s="33"/>
      <c r="I276" s="26"/>
    </row>
    <row r="277" spans="1:9" ht="21" x14ac:dyDescent="0.3">
      <c r="A277" s="32"/>
      <c r="B277" s="33"/>
      <c r="C277" s="33"/>
      <c r="D277" s="33"/>
      <c r="E277" s="33"/>
      <c r="F277" s="33"/>
      <c r="G277" s="33"/>
      <c r="H277" s="33"/>
      <c r="I277" s="26"/>
    </row>
    <row r="278" spans="1:9" ht="21" x14ac:dyDescent="0.3">
      <c r="A278" s="32"/>
      <c r="B278" s="33"/>
      <c r="C278" s="33"/>
      <c r="D278" s="33"/>
      <c r="E278" s="33"/>
      <c r="F278" s="33"/>
      <c r="G278" s="33"/>
      <c r="H278" s="33"/>
      <c r="I278" s="26"/>
    </row>
    <row r="279" spans="1:9" ht="21" x14ac:dyDescent="0.3">
      <c r="A279" s="32"/>
      <c r="B279" s="33"/>
      <c r="C279" s="33"/>
      <c r="D279" s="33"/>
      <c r="E279" s="33"/>
      <c r="F279" s="33"/>
      <c r="G279" s="33"/>
      <c r="H279" s="33"/>
      <c r="I279" s="26"/>
    </row>
    <row r="280" spans="1:9" ht="21" x14ac:dyDescent="0.3">
      <c r="A280" s="32"/>
      <c r="B280" s="33"/>
      <c r="C280" s="33"/>
      <c r="D280" s="33"/>
      <c r="E280" s="33"/>
      <c r="F280" s="33"/>
      <c r="G280" s="33"/>
      <c r="H280" s="33"/>
      <c r="I280" s="26"/>
    </row>
    <row r="281" spans="1:9" ht="21" x14ac:dyDescent="0.3">
      <c r="A281" s="32"/>
      <c r="B281" s="33"/>
      <c r="C281" s="33"/>
      <c r="D281" s="33"/>
      <c r="E281" s="33"/>
      <c r="F281" s="33"/>
      <c r="G281" s="33"/>
      <c r="H281" s="33"/>
      <c r="I281" s="26"/>
    </row>
    <row r="282" spans="1:9" ht="21" x14ac:dyDescent="0.3">
      <c r="A282" s="34"/>
      <c r="B282" s="35"/>
      <c r="C282" s="35"/>
      <c r="D282" s="35"/>
      <c r="E282" s="35"/>
      <c r="F282" s="35"/>
      <c r="G282" s="35"/>
      <c r="H282" s="35"/>
      <c r="I282" s="27"/>
    </row>
    <row r="283" spans="1:9" ht="21" x14ac:dyDescent="0.3">
      <c r="A283" s="107" t="s">
        <v>249</v>
      </c>
      <c r="B283" s="107"/>
      <c r="C283" s="107"/>
      <c r="D283" s="107"/>
      <c r="E283" s="107"/>
      <c r="F283" s="107"/>
      <c r="G283" s="107"/>
      <c r="H283" s="107"/>
      <c r="I283" s="107"/>
    </row>
    <row r="284" spans="1:9" ht="21" x14ac:dyDescent="0.3">
      <c r="A284" s="30"/>
      <c r="B284" s="31"/>
      <c r="C284" s="31"/>
      <c r="D284" s="31"/>
      <c r="E284" s="31"/>
      <c r="F284" s="31"/>
      <c r="G284" s="31"/>
      <c r="H284" s="31"/>
      <c r="I284" s="25"/>
    </row>
    <row r="285" spans="1:9" ht="21" x14ac:dyDescent="0.3">
      <c r="A285" s="32"/>
      <c r="B285" s="33"/>
      <c r="C285" s="33"/>
      <c r="D285" s="33"/>
      <c r="E285" s="33"/>
      <c r="F285" s="33"/>
      <c r="G285" s="33"/>
      <c r="H285" s="33"/>
      <c r="I285" s="26"/>
    </row>
    <row r="286" spans="1:9" ht="21" x14ac:dyDescent="0.3">
      <c r="A286" s="32"/>
      <c r="B286" s="33"/>
      <c r="C286" s="33"/>
      <c r="D286" s="33"/>
      <c r="E286" s="33"/>
      <c r="F286" s="33"/>
      <c r="G286" s="33"/>
      <c r="H286" s="33"/>
      <c r="I286" s="26"/>
    </row>
    <row r="287" spans="1:9" ht="21" x14ac:dyDescent="0.3">
      <c r="A287" s="32"/>
      <c r="B287" s="33"/>
      <c r="C287" s="33"/>
      <c r="D287" s="33"/>
      <c r="E287" s="33"/>
      <c r="F287" s="33"/>
      <c r="G287" s="33"/>
      <c r="H287" s="33"/>
      <c r="I287" s="26"/>
    </row>
    <row r="288" spans="1:9" ht="21" x14ac:dyDescent="0.3">
      <c r="A288" s="32"/>
      <c r="B288" s="33"/>
      <c r="C288" s="33"/>
      <c r="D288" s="33"/>
      <c r="E288" s="33"/>
      <c r="F288" s="33"/>
      <c r="G288" s="33"/>
      <c r="H288" s="33"/>
      <c r="I288" s="26"/>
    </row>
    <row r="289" spans="1:9" ht="21" x14ac:dyDescent="0.3">
      <c r="A289" s="32"/>
      <c r="B289" s="33"/>
      <c r="C289" s="33"/>
      <c r="D289" s="33"/>
      <c r="E289" s="33"/>
      <c r="F289" s="33"/>
      <c r="G289" s="33"/>
      <c r="H289" s="33"/>
      <c r="I289" s="26"/>
    </row>
    <row r="290" spans="1:9" ht="21" x14ac:dyDescent="0.3">
      <c r="A290" s="32"/>
      <c r="B290" s="33"/>
      <c r="C290" s="33"/>
      <c r="D290" s="33"/>
      <c r="E290" s="33"/>
      <c r="F290" s="33"/>
      <c r="G290" s="33"/>
      <c r="H290" s="33"/>
      <c r="I290" s="26"/>
    </row>
    <row r="291" spans="1:9" ht="21" x14ac:dyDescent="0.3">
      <c r="A291" s="32"/>
      <c r="B291" s="33"/>
      <c r="C291" s="33"/>
      <c r="D291" s="33"/>
      <c r="E291" s="33"/>
      <c r="F291" s="33"/>
      <c r="G291" s="33"/>
      <c r="H291" s="33"/>
      <c r="I291" s="26"/>
    </row>
    <row r="292" spans="1:9" ht="21" x14ac:dyDescent="0.3">
      <c r="A292" s="32"/>
      <c r="B292" s="33"/>
      <c r="C292" s="33"/>
      <c r="D292" s="33"/>
      <c r="E292" s="33"/>
      <c r="F292" s="33"/>
      <c r="G292" s="33"/>
      <c r="H292" s="33"/>
      <c r="I292" s="26"/>
    </row>
    <row r="293" spans="1:9" ht="21" x14ac:dyDescent="0.3">
      <c r="A293" s="32"/>
      <c r="B293" s="33"/>
      <c r="C293" s="33"/>
      <c r="D293" s="33"/>
      <c r="E293" s="33"/>
      <c r="F293" s="33"/>
      <c r="G293" s="33"/>
      <c r="H293" s="33"/>
      <c r="I293" s="26"/>
    </row>
    <row r="294" spans="1:9" ht="21" x14ac:dyDescent="0.3">
      <c r="A294" s="32"/>
      <c r="B294" s="33"/>
      <c r="C294" s="33"/>
      <c r="D294" s="33"/>
      <c r="E294" s="33"/>
      <c r="F294" s="33"/>
      <c r="G294" s="33"/>
      <c r="H294" s="33"/>
      <c r="I294" s="26"/>
    </row>
    <row r="295" spans="1:9" ht="21" x14ac:dyDescent="0.3">
      <c r="A295" s="32"/>
      <c r="B295" s="33"/>
      <c r="C295" s="33"/>
      <c r="D295" s="33"/>
      <c r="E295" s="33"/>
      <c r="F295" s="33"/>
      <c r="G295" s="33"/>
      <c r="H295" s="33"/>
      <c r="I295" s="26"/>
    </row>
    <row r="296" spans="1:9" ht="21" x14ac:dyDescent="0.3">
      <c r="A296" s="32"/>
      <c r="B296" s="33"/>
      <c r="C296" s="33"/>
      <c r="D296" s="33"/>
      <c r="E296" s="33"/>
      <c r="F296" s="33"/>
      <c r="G296" s="33"/>
      <c r="H296" s="33"/>
      <c r="I296" s="26"/>
    </row>
    <row r="297" spans="1:9" ht="21" x14ac:dyDescent="0.3">
      <c r="A297" s="32"/>
      <c r="B297" s="33"/>
      <c r="C297" s="33"/>
      <c r="D297" s="33"/>
      <c r="E297" s="33"/>
      <c r="F297" s="33"/>
      <c r="G297" s="33"/>
      <c r="H297" s="33"/>
      <c r="I297" s="26"/>
    </row>
    <row r="298" spans="1:9" ht="21" x14ac:dyDescent="0.3">
      <c r="A298" s="32"/>
      <c r="B298" s="33"/>
      <c r="C298" s="33"/>
      <c r="D298" s="33"/>
      <c r="E298" s="33"/>
      <c r="F298" s="33"/>
      <c r="G298" s="33"/>
      <c r="H298" s="33"/>
      <c r="I298" s="26"/>
    </row>
    <row r="299" spans="1:9" ht="21" x14ac:dyDescent="0.3">
      <c r="A299" s="32"/>
      <c r="B299" s="33"/>
      <c r="C299" s="33"/>
      <c r="D299" s="33"/>
      <c r="E299" s="33"/>
      <c r="F299" s="33"/>
      <c r="G299" s="33"/>
      <c r="H299" s="33"/>
      <c r="I299" s="26"/>
    </row>
    <row r="300" spans="1:9" ht="21" x14ac:dyDescent="0.3">
      <c r="A300" s="32"/>
      <c r="B300" s="33"/>
      <c r="C300" s="33"/>
      <c r="D300" s="33"/>
      <c r="E300" s="33"/>
      <c r="F300" s="33"/>
      <c r="G300" s="33"/>
      <c r="H300" s="33"/>
      <c r="I300" s="26"/>
    </row>
    <row r="301" spans="1:9" ht="21" x14ac:dyDescent="0.3">
      <c r="A301" s="32"/>
      <c r="B301" s="33"/>
      <c r="C301" s="33"/>
      <c r="D301" s="33"/>
      <c r="E301" s="33"/>
      <c r="F301" s="33"/>
      <c r="G301" s="33"/>
      <c r="H301" s="33"/>
      <c r="I301" s="26"/>
    </row>
    <row r="302" spans="1:9" ht="21" x14ac:dyDescent="0.3">
      <c r="A302" s="32"/>
      <c r="B302" s="33"/>
      <c r="C302" s="33"/>
      <c r="D302" s="33"/>
      <c r="E302" s="33"/>
      <c r="F302" s="33"/>
      <c r="G302" s="33"/>
      <c r="H302" s="33"/>
      <c r="I302" s="26"/>
    </row>
    <row r="303" spans="1:9" ht="21" x14ac:dyDescent="0.3">
      <c r="A303" s="32"/>
      <c r="B303" s="33"/>
      <c r="C303" s="33"/>
      <c r="D303" s="33"/>
      <c r="E303" s="33"/>
      <c r="F303" s="33"/>
      <c r="G303" s="33"/>
      <c r="H303" s="33"/>
      <c r="I303" s="26"/>
    </row>
    <row r="304" spans="1:9" ht="21" x14ac:dyDescent="0.3">
      <c r="A304" s="32"/>
      <c r="B304" s="33"/>
      <c r="C304" s="33"/>
      <c r="D304" s="33"/>
      <c r="E304" s="33"/>
      <c r="F304" s="33"/>
      <c r="G304" s="33"/>
      <c r="H304" s="33"/>
      <c r="I304" s="26"/>
    </row>
    <row r="305" spans="1:9" ht="21" x14ac:dyDescent="0.3">
      <c r="A305" s="32"/>
      <c r="B305" s="33"/>
      <c r="C305" s="33"/>
      <c r="D305" s="33"/>
      <c r="E305" s="33"/>
      <c r="F305" s="33"/>
      <c r="G305" s="33"/>
      <c r="H305" s="33"/>
      <c r="I305" s="26"/>
    </row>
    <row r="306" spans="1:9" ht="21" x14ac:dyDescent="0.3">
      <c r="A306" s="32"/>
      <c r="B306" s="33"/>
      <c r="C306" s="33"/>
      <c r="D306" s="33"/>
      <c r="E306" s="33"/>
      <c r="F306" s="33"/>
      <c r="G306" s="33"/>
      <c r="H306" s="33"/>
      <c r="I306" s="26"/>
    </row>
    <row r="307" spans="1:9" ht="21" x14ac:dyDescent="0.3">
      <c r="A307" s="32"/>
      <c r="B307" s="33"/>
      <c r="C307" s="33"/>
      <c r="D307" s="33"/>
      <c r="E307" s="33"/>
      <c r="F307" s="33"/>
      <c r="G307" s="33"/>
      <c r="H307" s="33"/>
      <c r="I307" s="26"/>
    </row>
    <row r="308" spans="1:9" ht="21" x14ac:dyDescent="0.3">
      <c r="A308" s="32"/>
      <c r="B308" s="33"/>
      <c r="C308" s="33"/>
      <c r="D308" s="33"/>
      <c r="E308" s="33"/>
      <c r="F308" s="33"/>
      <c r="G308" s="33"/>
      <c r="H308" s="33"/>
      <c r="I308" s="26"/>
    </row>
    <row r="309" spans="1:9" ht="21" x14ac:dyDescent="0.3">
      <c r="A309" s="32"/>
      <c r="B309" s="33"/>
      <c r="C309" s="33"/>
      <c r="D309" s="33"/>
      <c r="E309" s="33"/>
      <c r="F309" s="33"/>
      <c r="G309" s="33"/>
      <c r="H309" s="33"/>
      <c r="I309" s="26"/>
    </row>
    <row r="310" spans="1:9" ht="21" x14ac:dyDescent="0.3">
      <c r="A310" s="32"/>
      <c r="B310" s="33"/>
      <c r="C310" s="33"/>
      <c r="D310" s="33"/>
      <c r="E310" s="33"/>
      <c r="F310" s="33"/>
      <c r="G310" s="33"/>
      <c r="H310" s="33"/>
      <c r="I310" s="26"/>
    </row>
    <row r="311" spans="1:9" ht="21" x14ac:dyDescent="0.3">
      <c r="A311" s="32"/>
      <c r="B311" s="33"/>
      <c r="C311" s="33"/>
      <c r="D311" s="33"/>
      <c r="E311" s="33"/>
      <c r="F311" s="33"/>
      <c r="G311" s="33"/>
      <c r="H311" s="33"/>
      <c r="I311" s="26"/>
    </row>
    <row r="312" spans="1:9" ht="21" x14ac:dyDescent="0.3">
      <c r="A312" s="32"/>
      <c r="B312" s="33"/>
      <c r="C312" s="33"/>
      <c r="D312" s="33"/>
      <c r="E312" s="33"/>
      <c r="F312" s="33"/>
      <c r="G312" s="33"/>
      <c r="H312" s="33"/>
      <c r="I312" s="26"/>
    </row>
    <row r="313" spans="1:9" ht="21" x14ac:dyDescent="0.3">
      <c r="A313" s="32"/>
      <c r="B313" s="33"/>
      <c r="C313" s="33"/>
      <c r="D313" s="33"/>
      <c r="E313" s="33"/>
      <c r="F313" s="33"/>
      <c r="G313" s="33"/>
      <c r="H313" s="33"/>
      <c r="I313" s="26"/>
    </row>
    <row r="314" spans="1:9" ht="21" x14ac:dyDescent="0.3">
      <c r="A314" s="32"/>
      <c r="B314" s="33"/>
      <c r="C314" s="33"/>
      <c r="D314" s="33"/>
      <c r="E314" s="33"/>
      <c r="F314" s="33"/>
      <c r="G314" s="33"/>
      <c r="H314" s="33"/>
      <c r="I314" s="26"/>
    </row>
    <row r="315" spans="1:9" ht="21" x14ac:dyDescent="0.3">
      <c r="A315" s="32"/>
      <c r="B315" s="33"/>
      <c r="C315" s="33"/>
      <c r="D315" s="33"/>
      <c r="E315" s="33"/>
      <c r="F315" s="33"/>
      <c r="G315" s="33"/>
      <c r="H315" s="33"/>
      <c r="I315" s="26"/>
    </row>
    <row r="316" spans="1:9" ht="21" x14ac:dyDescent="0.3">
      <c r="A316" s="32"/>
      <c r="B316" s="33"/>
      <c r="C316" s="33"/>
      <c r="D316" s="33"/>
      <c r="E316" s="33"/>
      <c r="F316" s="33"/>
      <c r="G316" s="33"/>
      <c r="H316" s="33"/>
      <c r="I316" s="26"/>
    </row>
    <row r="317" spans="1:9" ht="21" x14ac:dyDescent="0.3">
      <c r="A317" s="32"/>
      <c r="B317" s="33"/>
      <c r="C317" s="33"/>
      <c r="D317" s="33"/>
      <c r="E317" s="33"/>
      <c r="F317" s="33"/>
      <c r="G317" s="33"/>
      <c r="H317" s="33"/>
      <c r="I317" s="26"/>
    </row>
    <row r="318" spans="1:9" ht="21" x14ac:dyDescent="0.3">
      <c r="A318" s="32"/>
      <c r="B318" s="33"/>
      <c r="C318" s="33"/>
      <c r="D318" s="33"/>
      <c r="E318" s="33"/>
      <c r="F318" s="33"/>
      <c r="G318" s="33"/>
      <c r="H318" s="33"/>
      <c r="I318" s="26"/>
    </row>
    <row r="319" spans="1:9" ht="21" x14ac:dyDescent="0.3">
      <c r="A319" s="32"/>
      <c r="B319" s="33"/>
      <c r="C319" s="33"/>
      <c r="D319" s="33"/>
      <c r="E319" s="33"/>
      <c r="F319" s="33"/>
      <c r="G319" s="33"/>
      <c r="H319" s="33"/>
      <c r="I319" s="26"/>
    </row>
    <row r="320" spans="1:9" ht="21" x14ac:dyDescent="0.3">
      <c r="A320" s="32"/>
      <c r="B320" s="33"/>
      <c r="C320" s="33"/>
      <c r="D320" s="33"/>
      <c r="E320" s="33"/>
      <c r="F320" s="33"/>
      <c r="G320" s="33"/>
      <c r="H320" s="33"/>
      <c r="I320" s="26"/>
    </row>
    <row r="321" spans="1:9" ht="21" x14ac:dyDescent="0.3">
      <c r="A321" s="32"/>
      <c r="B321" s="33"/>
      <c r="C321" s="33"/>
      <c r="D321" s="33"/>
      <c r="E321" s="33"/>
      <c r="F321" s="33"/>
      <c r="G321" s="33"/>
      <c r="H321" s="33"/>
      <c r="I321" s="26"/>
    </row>
    <row r="322" spans="1:9" ht="21" x14ac:dyDescent="0.3">
      <c r="A322" s="32"/>
      <c r="B322" s="33"/>
      <c r="C322" s="33"/>
      <c r="D322" s="33"/>
      <c r="E322" s="33"/>
      <c r="F322" s="33"/>
      <c r="G322" s="33"/>
      <c r="H322" s="33"/>
      <c r="I322" s="26"/>
    </row>
    <row r="323" spans="1:9" ht="21" x14ac:dyDescent="0.3">
      <c r="A323" s="32"/>
      <c r="B323" s="33"/>
      <c r="C323" s="33"/>
      <c r="D323" s="33"/>
      <c r="E323" s="33"/>
      <c r="F323" s="33"/>
      <c r="G323" s="33"/>
      <c r="H323" s="33"/>
      <c r="I323" s="26"/>
    </row>
    <row r="324" spans="1:9" ht="21" x14ac:dyDescent="0.3">
      <c r="A324" s="32"/>
      <c r="B324" s="33"/>
      <c r="C324" s="33"/>
      <c r="D324" s="33"/>
      <c r="E324" s="33"/>
      <c r="F324" s="33"/>
      <c r="G324" s="33"/>
      <c r="H324" s="33"/>
      <c r="I324" s="26"/>
    </row>
    <row r="325" spans="1:9" ht="21" x14ac:dyDescent="0.3">
      <c r="A325" s="32"/>
      <c r="B325" s="33"/>
      <c r="C325" s="33"/>
      <c r="D325" s="33"/>
      <c r="E325" s="33"/>
      <c r="F325" s="33"/>
      <c r="G325" s="33"/>
      <c r="H325" s="33"/>
      <c r="I325" s="26"/>
    </row>
    <row r="326" spans="1:9" ht="21" x14ac:dyDescent="0.3">
      <c r="A326" s="32"/>
      <c r="B326" s="33"/>
      <c r="C326" s="33"/>
      <c r="D326" s="33"/>
      <c r="E326" s="33"/>
      <c r="F326" s="33"/>
      <c r="G326" s="33"/>
      <c r="H326" s="33"/>
      <c r="I326" s="26"/>
    </row>
    <row r="327" spans="1:9" ht="21" x14ac:dyDescent="0.3">
      <c r="A327" s="32"/>
      <c r="B327" s="33"/>
      <c r="C327" s="33"/>
      <c r="D327" s="33"/>
      <c r="E327" s="33"/>
      <c r="F327" s="33"/>
      <c r="G327" s="33"/>
      <c r="H327" s="33"/>
      <c r="I327" s="26"/>
    </row>
    <row r="328" spans="1:9" ht="21" x14ac:dyDescent="0.3">
      <c r="A328" s="32"/>
      <c r="B328" s="33"/>
      <c r="C328" s="33"/>
      <c r="D328" s="33"/>
      <c r="E328" s="33"/>
      <c r="F328" s="33"/>
      <c r="G328" s="33"/>
      <c r="H328" s="33"/>
      <c r="I328" s="26"/>
    </row>
    <row r="329" spans="1:9" ht="21" x14ac:dyDescent="0.3">
      <c r="A329" s="32"/>
      <c r="B329" s="33"/>
      <c r="C329" s="33"/>
      <c r="D329" s="33"/>
      <c r="E329" s="33"/>
      <c r="F329" s="33"/>
      <c r="G329" s="33"/>
      <c r="H329" s="33"/>
      <c r="I329" s="26"/>
    </row>
    <row r="330" spans="1:9" ht="21" x14ac:dyDescent="0.3">
      <c r="A330" s="34"/>
      <c r="B330" s="35"/>
      <c r="C330" s="35"/>
      <c r="D330" s="35"/>
      <c r="E330" s="35"/>
      <c r="F330" s="35"/>
      <c r="G330" s="35"/>
      <c r="H330" s="35"/>
      <c r="I330" s="27"/>
    </row>
    <row r="331" spans="1:9" ht="21" x14ac:dyDescent="0.3">
      <c r="A331" s="121" t="s">
        <v>83</v>
      </c>
      <c r="B331" s="122"/>
      <c r="C331" s="122"/>
      <c r="D331" s="122"/>
      <c r="E331" s="122"/>
      <c r="F331" s="122"/>
      <c r="G331" s="122"/>
      <c r="H331" s="122"/>
      <c r="I331" s="123"/>
    </row>
    <row r="332" spans="1:9" ht="21" x14ac:dyDescent="0.3">
      <c r="A332" s="30"/>
      <c r="B332" s="31"/>
      <c r="C332" s="31"/>
      <c r="D332" s="31"/>
      <c r="E332" s="31"/>
      <c r="F332" s="31"/>
      <c r="G332" s="31"/>
      <c r="H332" s="31"/>
      <c r="I332" s="25"/>
    </row>
    <row r="333" spans="1:9" ht="21" x14ac:dyDescent="0.3">
      <c r="A333" s="32"/>
      <c r="B333" s="33"/>
      <c r="C333" s="33"/>
      <c r="D333" s="33"/>
      <c r="E333" s="33"/>
      <c r="F333" s="33"/>
      <c r="G333" s="33"/>
      <c r="H333" s="33"/>
      <c r="I333" s="26"/>
    </row>
    <row r="334" spans="1:9" ht="21" x14ac:dyDescent="0.3">
      <c r="A334" s="32"/>
      <c r="B334" s="33"/>
      <c r="C334" s="33"/>
      <c r="D334" s="33"/>
      <c r="E334" s="33"/>
      <c r="F334" s="33"/>
      <c r="G334" s="33"/>
      <c r="H334" s="33"/>
      <c r="I334" s="26"/>
    </row>
    <row r="335" spans="1:9" ht="21" x14ac:dyDescent="0.3">
      <c r="A335" s="32"/>
      <c r="B335" s="33"/>
      <c r="C335" s="33"/>
      <c r="D335" s="33"/>
      <c r="E335" s="33"/>
      <c r="F335" s="33"/>
      <c r="G335" s="33"/>
      <c r="H335" s="33"/>
      <c r="I335" s="26"/>
    </row>
    <row r="336" spans="1:9" ht="21" x14ac:dyDescent="0.3">
      <c r="A336" s="32"/>
      <c r="B336" s="33"/>
      <c r="C336" s="33"/>
      <c r="D336" s="33"/>
      <c r="E336" s="33"/>
      <c r="F336" s="33"/>
      <c r="G336" s="33"/>
      <c r="H336" s="33"/>
      <c r="I336" s="26"/>
    </row>
    <row r="337" spans="1:9" ht="21" x14ac:dyDescent="0.3">
      <c r="A337" s="32"/>
      <c r="B337" s="33"/>
      <c r="C337" s="33"/>
      <c r="D337" s="33"/>
      <c r="E337" s="33"/>
      <c r="F337" s="33"/>
      <c r="G337" s="33"/>
      <c r="H337" s="33"/>
      <c r="I337" s="26"/>
    </row>
    <row r="338" spans="1:9" ht="21" x14ac:dyDescent="0.3">
      <c r="A338" s="32"/>
      <c r="B338" s="33"/>
      <c r="C338" s="33"/>
      <c r="D338" s="33"/>
      <c r="E338" s="33"/>
      <c r="F338" s="33"/>
      <c r="G338" s="33"/>
      <c r="H338" s="33"/>
      <c r="I338" s="26"/>
    </row>
    <row r="339" spans="1:9" ht="21" x14ac:dyDescent="0.3">
      <c r="A339" s="32"/>
      <c r="B339" s="33"/>
      <c r="C339" s="33"/>
      <c r="D339" s="33"/>
      <c r="E339" s="33"/>
      <c r="F339" s="33"/>
      <c r="G339" s="33"/>
      <c r="H339" s="33"/>
      <c r="I339" s="26"/>
    </row>
    <row r="340" spans="1:9" ht="21" x14ac:dyDescent="0.3">
      <c r="A340" s="32"/>
      <c r="B340" s="33"/>
      <c r="C340" s="33"/>
      <c r="D340" s="33"/>
      <c r="E340" s="33"/>
      <c r="F340" s="33"/>
      <c r="G340" s="33"/>
      <c r="H340" s="33"/>
      <c r="I340" s="26"/>
    </row>
    <row r="341" spans="1:9" ht="21" x14ac:dyDescent="0.3">
      <c r="A341" s="32"/>
      <c r="B341" s="33"/>
      <c r="C341" s="33"/>
      <c r="D341" s="33"/>
      <c r="E341" s="33"/>
      <c r="F341" s="33"/>
      <c r="G341" s="33"/>
      <c r="H341" s="33"/>
      <c r="I341" s="26"/>
    </row>
    <row r="342" spans="1:9" ht="21" x14ac:dyDescent="0.3">
      <c r="A342" s="32"/>
      <c r="B342" s="33"/>
      <c r="C342" s="33"/>
      <c r="D342" s="33"/>
      <c r="E342" s="33"/>
      <c r="F342" s="33"/>
      <c r="G342" s="33"/>
      <c r="H342" s="33"/>
      <c r="I342" s="26"/>
    </row>
    <row r="343" spans="1:9" ht="21" x14ac:dyDescent="0.3">
      <c r="A343" s="32"/>
      <c r="B343" s="33"/>
      <c r="C343" s="33"/>
      <c r="D343" s="33"/>
      <c r="E343" s="33"/>
      <c r="F343" s="33"/>
      <c r="G343" s="33"/>
      <c r="H343" s="33"/>
      <c r="I343" s="26"/>
    </row>
    <row r="344" spans="1:9" ht="21" x14ac:dyDescent="0.3">
      <c r="A344" s="32"/>
      <c r="B344" s="33"/>
      <c r="C344" s="33"/>
      <c r="D344" s="33"/>
      <c r="E344" s="33"/>
      <c r="F344" s="33"/>
      <c r="G344" s="33"/>
      <c r="H344" s="33"/>
      <c r="I344" s="26"/>
    </row>
    <row r="345" spans="1:9" ht="21" x14ac:dyDescent="0.3">
      <c r="A345" s="32"/>
      <c r="B345" s="33"/>
      <c r="C345" s="33"/>
      <c r="D345" s="33"/>
      <c r="E345" s="33"/>
      <c r="F345" s="33"/>
      <c r="G345" s="33"/>
      <c r="H345" s="33"/>
      <c r="I345" s="26"/>
    </row>
    <row r="346" spans="1:9" ht="21" x14ac:dyDescent="0.3">
      <c r="A346" s="32"/>
      <c r="B346" s="33"/>
      <c r="C346" s="33"/>
      <c r="D346" s="33"/>
      <c r="E346" s="33"/>
      <c r="F346" s="33"/>
      <c r="G346" s="33"/>
      <c r="H346" s="33"/>
      <c r="I346" s="26"/>
    </row>
    <row r="347" spans="1:9" ht="21" x14ac:dyDescent="0.3">
      <c r="A347" s="32"/>
      <c r="B347" s="33"/>
      <c r="C347" s="33"/>
      <c r="D347" s="33"/>
      <c r="E347" s="33"/>
      <c r="F347" s="33"/>
      <c r="G347" s="33"/>
      <c r="H347" s="33"/>
      <c r="I347" s="26"/>
    </row>
    <row r="348" spans="1:9" ht="21" x14ac:dyDescent="0.3">
      <c r="A348" s="32"/>
      <c r="B348" s="33"/>
      <c r="C348" s="33"/>
      <c r="D348" s="33"/>
      <c r="E348" s="33"/>
      <c r="F348" s="33"/>
      <c r="G348" s="33"/>
      <c r="H348" s="33"/>
      <c r="I348" s="26"/>
    </row>
    <row r="349" spans="1:9" ht="21" x14ac:dyDescent="0.3">
      <c r="A349" s="32"/>
      <c r="B349" s="33"/>
      <c r="C349" s="33"/>
      <c r="D349" s="33"/>
      <c r="E349" s="33"/>
      <c r="F349" s="33"/>
      <c r="G349" s="33"/>
      <c r="H349" s="33"/>
      <c r="I349" s="26"/>
    </row>
    <row r="350" spans="1:9" ht="21" x14ac:dyDescent="0.3">
      <c r="A350" s="32"/>
      <c r="B350" s="33"/>
      <c r="C350" s="33"/>
      <c r="D350" s="33"/>
      <c r="E350" s="33"/>
      <c r="F350" s="33"/>
      <c r="G350" s="33"/>
      <c r="H350" s="33"/>
      <c r="I350" s="26"/>
    </row>
    <row r="351" spans="1:9" ht="21" x14ac:dyDescent="0.3">
      <c r="A351" s="32"/>
      <c r="B351" s="33"/>
      <c r="C351" s="33"/>
      <c r="D351" s="33"/>
      <c r="E351" s="33"/>
      <c r="F351" s="33"/>
      <c r="G351" s="33"/>
      <c r="H351" s="33"/>
      <c r="I351" s="26"/>
    </row>
    <row r="352" spans="1:9" ht="21" x14ac:dyDescent="0.3">
      <c r="A352" s="32"/>
      <c r="B352" s="33"/>
      <c r="C352" s="33"/>
      <c r="D352" s="33"/>
      <c r="E352" s="33"/>
      <c r="F352" s="33"/>
      <c r="G352" s="33"/>
      <c r="H352" s="33"/>
      <c r="I352" s="26"/>
    </row>
    <row r="353" spans="1:9" ht="21" x14ac:dyDescent="0.3">
      <c r="A353" s="32"/>
      <c r="B353" s="33"/>
      <c r="C353" s="33"/>
      <c r="D353" s="33"/>
      <c r="E353" s="33"/>
      <c r="F353" s="33"/>
      <c r="G353" s="33"/>
      <c r="H353" s="33"/>
      <c r="I353" s="26"/>
    </row>
    <row r="354" spans="1:9" ht="21" x14ac:dyDescent="0.3">
      <c r="A354" s="32"/>
      <c r="B354" s="33"/>
      <c r="C354" s="33"/>
      <c r="D354" s="33"/>
      <c r="E354" s="33"/>
      <c r="F354" s="33"/>
      <c r="G354" s="33"/>
      <c r="H354" s="33"/>
      <c r="I354" s="26"/>
    </row>
    <row r="355" spans="1:9" ht="21" x14ac:dyDescent="0.3">
      <c r="A355" s="32"/>
      <c r="B355" s="33"/>
      <c r="C355" s="33"/>
      <c r="D355" s="33"/>
      <c r="E355" s="33"/>
      <c r="F355" s="33"/>
      <c r="G355" s="33"/>
      <c r="H355" s="33"/>
      <c r="I355" s="26"/>
    </row>
    <row r="356" spans="1:9" ht="21" x14ac:dyDescent="0.3">
      <c r="A356" s="32"/>
      <c r="B356" s="33"/>
      <c r="C356" s="33"/>
      <c r="D356" s="33"/>
      <c r="E356" s="33"/>
      <c r="F356" s="33"/>
      <c r="G356" s="33"/>
      <c r="H356" s="33"/>
      <c r="I356" s="26"/>
    </row>
    <row r="357" spans="1:9" ht="21" x14ac:dyDescent="0.3">
      <c r="A357" s="32"/>
      <c r="B357" s="33"/>
      <c r="C357" s="33"/>
      <c r="D357" s="33"/>
      <c r="E357" s="33"/>
      <c r="F357" s="33"/>
      <c r="G357" s="33"/>
      <c r="H357" s="33"/>
      <c r="I357" s="26"/>
    </row>
    <row r="358" spans="1:9" ht="21" x14ac:dyDescent="0.3">
      <c r="A358" s="32"/>
      <c r="B358" s="33"/>
      <c r="C358" s="33"/>
      <c r="D358" s="33"/>
      <c r="E358" s="33"/>
      <c r="F358" s="33"/>
      <c r="G358" s="33"/>
      <c r="H358" s="33"/>
      <c r="I358" s="26"/>
    </row>
    <row r="359" spans="1:9" ht="21" x14ac:dyDescent="0.3">
      <c r="A359" s="32"/>
      <c r="B359" s="33"/>
      <c r="C359" s="33"/>
      <c r="D359" s="33"/>
      <c r="E359" s="33"/>
      <c r="F359" s="33"/>
      <c r="G359" s="33"/>
      <c r="H359" s="33"/>
      <c r="I359" s="26"/>
    </row>
    <row r="360" spans="1:9" ht="21" x14ac:dyDescent="0.3">
      <c r="A360" s="32"/>
      <c r="B360" s="33"/>
      <c r="C360" s="33"/>
      <c r="D360" s="33"/>
      <c r="E360" s="33"/>
      <c r="F360" s="33"/>
      <c r="G360" s="33"/>
      <c r="H360" s="33"/>
      <c r="I360" s="26"/>
    </row>
    <row r="361" spans="1:9" ht="21" x14ac:dyDescent="0.3">
      <c r="A361" s="67" t="s">
        <v>28</v>
      </c>
      <c r="B361" s="67"/>
      <c r="C361" s="67"/>
      <c r="D361" s="67"/>
      <c r="E361" s="67"/>
      <c r="F361" s="67"/>
      <c r="G361" s="67"/>
      <c r="H361" s="67"/>
      <c r="I361" s="67"/>
    </row>
    <row r="362" spans="1:9" ht="21" x14ac:dyDescent="0.3">
      <c r="A362" s="111" t="s">
        <v>85</v>
      </c>
      <c r="B362" s="112"/>
      <c r="C362" s="112"/>
      <c r="D362" s="112"/>
      <c r="E362" s="112"/>
      <c r="F362" s="112"/>
      <c r="G362" s="112"/>
      <c r="H362" s="112"/>
      <c r="I362" s="113"/>
    </row>
    <row r="363" spans="1:9" ht="21" x14ac:dyDescent="0.3">
      <c r="A363" s="114" t="s">
        <v>86</v>
      </c>
      <c r="B363" s="115"/>
      <c r="C363" s="115"/>
      <c r="D363" s="115"/>
      <c r="E363" s="115"/>
      <c r="F363" s="115"/>
      <c r="G363" s="115"/>
      <c r="H363" s="115"/>
      <c r="I363" s="116"/>
    </row>
    <row r="364" spans="1:9" ht="45" customHeight="1" x14ac:dyDescent="0.3">
      <c r="A364" s="114" t="s">
        <v>87</v>
      </c>
      <c r="B364" s="115"/>
      <c r="C364" s="115"/>
      <c r="D364" s="115"/>
      <c r="E364" s="115"/>
      <c r="F364" s="115"/>
      <c r="G364" s="115"/>
      <c r="H364" s="115"/>
      <c r="I364" s="116"/>
    </row>
    <row r="365" spans="1:9" ht="42.75" customHeight="1" x14ac:dyDescent="0.3">
      <c r="A365" s="114" t="s">
        <v>88</v>
      </c>
      <c r="B365" s="115"/>
      <c r="C365" s="115"/>
      <c r="D365" s="115"/>
      <c r="E365" s="115"/>
      <c r="F365" s="115"/>
      <c r="G365" s="115"/>
      <c r="H365" s="115"/>
      <c r="I365" s="116"/>
    </row>
    <row r="366" spans="1:9" ht="21" x14ac:dyDescent="0.3">
      <c r="A366" s="114" t="s">
        <v>89</v>
      </c>
      <c r="B366" s="115"/>
      <c r="C366" s="115"/>
      <c r="D366" s="115"/>
      <c r="E366" s="115"/>
      <c r="F366" s="115"/>
      <c r="G366" s="115"/>
      <c r="H366" s="115"/>
      <c r="I366" s="116"/>
    </row>
    <row r="367" spans="1:9" ht="21" x14ac:dyDescent="0.3">
      <c r="A367" s="114" t="s">
        <v>90</v>
      </c>
      <c r="B367" s="115"/>
      <c r="C367" s="115"/>
      <c r="D367" s="115"/>
      <c r="E367" s="115"/>
      <c r="F367" s="115"/>
      <c r="G367" s="115"/>
      <c r="H367" s="115"/>
      <c r="I367" s="116"/>
    </row>
    <row r="368" spans="1:9" ht="45" customHeight="1" x14ac:dyDescent="0.3">
      <c r="A368" s="114" t="s">
        <v>91</v>
      </c>
      <c r="B368" s="115"/>
      <c r="C368" s="115"/>
      <c r="D368" s="115"/>
      <c r="E368" s="115"/>
      <c r="F368" s="115"/>
      <c r="G368" s="115"/>
      <c r="H368" s="115"/>
      <c r="I368" s="116"/>
    </row>
    <row r="369" spans="1:9" ht="45" customHeight="1" x14ac:dyDescent="0.3">
      <c r="A369" s="114" t="s">
        <v>92</v>
      </c>
      <c r="B369" s="115"/>
      <c r="C369" s="115"/>
      <c r="D369" s="115"/>
      <c r="E369" s="115"/>
      <c r="F369" s="115"/>
      <c r="G369" s="115"/>
      <c r="H369" s="115"/>
      <c r="I369" s="116"/>
    </row>
    <row r="370" spans="1:9" ht="21" x14ac:dyDescent="0.3">
      <c r="A370" s="117" t="s">
        <v>93</v>
      </c>
      <c r="B370" s="118"/>
      <c r="C370" s="118"/>
      <c r="D370" s="118"/>
      <c r="E370" s="118"/>
      <c r="F370" s="118"/>
      <c r="G370" s="118"/>
      <c r="H370" s="118"/>
      <c r="I370" s="119"/>
    </row>
    <row r="371" spans="1:9" ht="70.5" customHeight="1" x14ac:dyDescent="0.3">
      <c r="A371" s="105" t="s">
        <v>34</v>
      </c>
      <c r="B371" s="105"/>
      <c r="C371" s="105"/>
      <c r="D371" s="2" t="s">
        <v>4</v>
      </c>
      <c r="E371" s="22" t="s">
        <v>206</v>
      </c>
      <c r="F371" s="13" t="s">
        <v>10</v>
      </c>
      <c r="G371" s="2" t="s">
        <v>4</v>
      </c>
      <c r="H371" s="106"/>
      <c r="I371" s="106"/>
    </row>
  </sheetData>
  <mergeCells count="491">
    <mergeCell ref="F220:G220"/>
    <mergeCell ref="A218:B225"/>
    <mergeCell ref="C221:D221"/>
    <mergeCell ref="F221:G221"/>
    <mergeCell ref="C195:D195"/>
    <mergeCell ref="F195:G195"/>
    <mergeCell ref="C196:D196"/>
    <mergeCell ref="F196:G196"/>
    <mergeCell ref="C234:D234"/>
    <mergeCell ref="F234:G234"/>
    <mergeCell ref="C230:D230"/>
    <mergeCell ref="C222:D222"/>
    <mergeCell ref="F222:G222"/>
    <mergeCell ref="C223:D223"/>
    <mergeCell ref="F223:G223"/>
    <mergeCell ref="C224:D224"/>
    <mergeCell ref="F224:G224"/>
    <mergeCell ref="C225:D225"/>
    <mergeCell ref="F225:G225"/>
    <mergeCell ref="C227:D227"/>
    <mergeCell ref="E227:I227"/>
    <mergeCell ref="F230:G230"/>
    <mergeCell ref="C231:D231"/>
    <mergeCell ref="F231:G231"/>
    <mergeCell ref="C236:I236"/>
    <mergeCell ref="A235:I235"/>
    <mergeCell ref="A199:I199"/>
    <mergeCell ref="A200:B207"/>
    <mergeCell ref="C200:D200"/>
    <mergeCell ref="F200:G200"/>
    <mergeCell ref="F203:G203"/>
    <mergeCell ref="C207:D207"/>
    <mergeCell ref="F207:G207"/>
    <mergeCell ref="C232:D232"/>
    <mergeCell ref="F232:G232"/>
    <mergeCell ref="C233:D233"/>
    <mergeCell ref="F233:G233"/>
    <mergeCell ref="C218:D218"/>
    <mergeCell ref="F218:G218"/>
    <mergeCell ref="C219:D219"/>
    <mergeCell ref="F219:G219"/>
    <mergeCell ref="C220:D220"/>
    <mergeCell ref="A226:I226"/>
    <mergeCell ref="A227:B234"/>
    <mergeCell ref="C228:D228"/>
    <mergeCell ref="F228:G228"/>
    <mergeCell ref="C229:D229"/>
    <mergeCell ref="F229:G229"/>
    <mergeCell ref="A209:B216"/>
    <mergeCell ref="C214:D214"/>
    <mergeCell ref="F214:G214"/>
    <mergeCell ref="A217:I217"/>
    <mergeCell ref="E209:I210"/>
    <mergeCell ref="C209:D209"/>
    <mergeCell ref="C210:D210"/>
    <mergeCell ref="C211:D211"/>
    <mergeCell ref="F211:G211"/>
    <mergeCell ref="C212:D212"/>
    <mergeCell ref="F212:G212"/>
    <mergeCell ref="C213:D213"/>
    <mergeCell ref="F213:G213"/>
    <mergeCell ref="C215:D215"/>
    <mergeCell ref="F215:G215"/>
    <mergeCell ref="C216:D216"/>
    <mergeCell ref="F216:G216"/>
    <mergeCell ref="A208:I208"/>
    <mergeCell ref="C201:D201"/>
    <mergeCell ref="F201:G201"/>
    <mergeCell ref="C202:D202"/>
    <mergeCell ref="F202:G202"/>
    <mergeCell ref="C203:D203"/>
    <mergeCell ref="C204:D204"/>
    <mergeCell ref="F204:G204"/>
    <mergeCell ref="C205:D205"/>
    <mergeCell ref="F205:G205"/>
    <mergeCell ref="C206:D206"/>
    <mergeCell ref="F206:G206"/>
    <mergeCell ref="A190:I190"/>
    <mergeCell ref="C193:D193"/>
    <mergeCell ref="A185:I185"/>
    <mergeCell ref="C186:D186"/>
    <mergeCell ref="F186:G186"/>
    <mergeCell ref="C187:D187"/>
    <mergeCell ref="F187:G187"/>
    <mergeCell ref="C188:D188"/>
    <mergeCell ref="F188:G188"/>
    <mergeCell ref="C189:D189"/>
    <mergeCell ref="F189:G189"/>
    <mergeCell ref="A186:B189"/>
    <mergeCell ref="F193:G193"/>
    <mergeCell ref="A191:B198"/>
    <mergeCell ref="C197:D197"/>
    <mergeCell ref="F197:G197"/>
    <mergeCell ref="C198:D198"/>
    <mergeCell ref="F198:G198"/>
    <mergeCell ref="C191:D191"/>
    <mergeCell ref="F191:G191"/>
    <mergeCell ref="C192:D192"/>
    <mergeCell ref="F192:G192"/>
    <mergeCell ref="C194:D194"/>
    <mergeCell ref="F194:G194"/>
    <mergeCell ref="F171:G171"/>
    <mergeCell ref="C172:D172"/>
    <mergeCell ref="F172:G172"/>
    <mergeCell ref="C144:D144"/>
    <mergeCell ref="F144:G144"/>
    <mergeCell ref="A102:I102"/>
    <mergeCell ref="A103:C103"/>
    <mergeCell ref="H103:I103"/>
    <mergeCell ref="C146:D146"/>
    <mergeCell ref="F146:G146"/>
    <mergeCell ref="A108:C108"/>
    <mergeCell ref="H108:I108"/>
    <mergeCell ref="A109:C109"/>
    <mergeCell ref="H109:I109"/>
    <mergeCell ref="A110:C110"/>
    <mergeCell ref="H113:I113"/>
    <mergeCell ref="A106:C106"/>
    <mergeCell ref="H106:I106"/>
    <mergeCell ref="A107:C107"/>
    <mergeCell ref="H107:I107"/>
    <mergeCell ref="F118:G118"/>
    <mergeCell ref="A124:I124"/>
    <mergeCell ref="A145:I145"/>
    <mergeCell ref="C133:D133"/>
    <mergeCell ref="H19:I19"/>
    <mergeCell ref="A44:B44"/>
    <mergeCell ref="A45:B45"/>
    <mergeCell ref="E44:G44"/>
    <mergeCell ref="E43:G43"/>
    <mergeCell ref="E45:G45"/>
    <mergeCell ref="C43:D43"/>
    <mergeCell ref="H22:I22"/>
    <mergeCell ref="C28:E28"/>
    <mergeCell ref="C29:E29"/>
    <mergeCell ref="C30:E30"/>
    <mergeCell ref="C31:E31"/>
    <mergeCell ref="C32:I32"/>
    <mergeCell ref="A34:C34"/>
    <mergeCell ref="H34:I34"/>
    <mergeCell ref="G38:H38"/>
    <mergeCell ref="A39:C39"/>
    <mergeCell ref="A35:C35"/>
    <mergeCell ref="A40:C40"/>
    <mergeCell ref="A38:C38"/>
    <mergeCell ref="H31:I31"/>
    <mergeCell ref="G39:H39"/>
    <mergeCell ref="H36:I36"/>
    <mergeCell ref="A25:I25"/>
    <mergeCell ref="H26:I26"/>
    <mergeCell ref="G40:H40"/>
    <mergeCell ref="H20:I20"/>
    <mergeCell ref="H21:I21"/>
    <mergeCell ref="A9:A11"/>
    <mergeCell ref="E10:I10"/>
    <mergeCell ref="E11:I11"/>
    <mergeCell ref="H6:I6"/>
    <mergeCell ref="C14:E14"/>
    <mergeCell ref="C15:E15"/>
    <mergeCell ref="C16:E16"/>
    <mergeCell ref="C18:E18"/>
    <mergeCell ref="C19:E19"/>
    <mergeCell ref="C20:E20"/>
    <mergeCell ref="C21:E21"/>
    <mergeCell ref="C22:E22"/>
    <mergeCell ref="C24:I24"/>
    <mergeCell ref="C17:I17"/>
    <mergeCell ref="C23:I23"/>
    <mergeCell ref="H14:I14"/>
    <mergeCell ref="H16:I16"/>
    <mergeCell ref="H15:I15"/>
    <mergeCell ref="H18:I18"/>
    <mergeCell ref="H27:I27"/>
    <mergeCell ref="A1:I1"/>
    <mergeCell ref="A4:C4"/>
    <mergeCell ref="A2:C2"/>
    <mergeCell ref="E2:F2"/>
    <mergeCell ref="E4:F4"/>
    <mergeCell ref="E12:I12"/>
    <mergeCell ref="A6:C6"/>
    <mergeCell ref="A7:C7"/>
    <mergeCell ref="A8:C8"/>
    <mergeCell ref="E8:I8"/>
    <mergeCell ref="H7:I7"/>
    <mergeCell ref="E9:I9"/>
    <mergeCell ref="G2:H2"/>
    <mergeCell ref="G3:H3"/>
    <mergeCell ref="G4:H4"/>
    <mergeCell ref="A3:C3"/>
    <mergeCell ref="E3:F3"/>
    <mergeCell ref="A5:I5"/>
    <mergeCell ref="C184:D184"/>
    <mergeCell ref="F184:G184"/>
    <mergeCell ref="A101:G101"/>
    <mergeCell ref="H101:I101"/>
    <mergeCell ref="A112:I112"/>
    <mergeCell ref="A111:C111"/>
    <mergeCell ref="H111:I111"/>
    <mergeCell ref="A104:C104"/>
    <mergeCell ref="A12:C12"/>
    <mergeCell ref="A33:I33"/>
    <mergeCell ref="H30:I30"/>
    <mergeCell ref="H29:I29"/>
    <mergeCell ref="A13:I13"/>
    <mergeCell ref="C26:E26"/>
    <mergeCell ref="C27:E27"/>
    <mergeCell ref="C44:D44"/>
    <mergeCell ref="C45:D45"/>
    <mergeCell ref="A53:I53"/>
    <mergeCell ref="C52:E52"/>
    <mergeCell ref="H52:I52"/>
    <mergeCell ref="F48:F50"/>
    <mergeCell ref="A43:B43"/>
    <mergeCell ref="H45:I45"/>
    <mergeCell ref="H43:I43"/>
    <mergeCell ref="H28:I28"/>
    <mergeCell ref="A37:I37"/>
    <mergeCell ref="H47:I47"/>
    <mergeCell ref="H51:I51"/>
    <mergeCell ref="A42:I42"/>
    <mergeCell ref="A46:I46"/>
    <mergeCell ref="A116:I116"/>
    <mergeCell ref="H114:I114"/>
    <mergeCell ref="A41:C41"/>
    <mergeCell ref="H41:I41"/>
    <mergeCell ref="A36:C36"/>
    <mergeCell ref="H35:I35"/>
    <mergeCell ref="H44:I44"/>
    <mergeCell ref="A113:F113"/>
    <mergeCell ref="C47:E47"/>
    <mergeCell ref="C49:E49"/>
    <mergeCell ref="C51:E51"/>
    <mergeCell ref="H48:I48"/>
    <mergeCell ref="H49:I49"/>
    <mergeCell ref="C50:E50"/>
    <mergeCell ref="C48:E48"/>
    <mergeCell ref="A48:A50"/>
    <mergeCell ref="A54:C55"/>
    <mergeCell ref="D54:D55"/>
    <mergeCell ref="A371:C371"/>
    <mergeCell ref="H371:I371"/>
    <mergeCell ref="A237:I237"/>
    <mergeCell ref="E239:I239"/>
    <mergeCell ref="A362:I362"/>
    <mergeCell ref="A368:I368"/>
    <mergeCell ref="A369:I369"/>
    <mergeCell ref="A370:I370"/>
    <mergeCell ref="A363:I363"/>
    <mergeCell ref="A364:I364"/>
    <mergeCell ref="A365:I365"/>
    <mergeCell ref="A366:I366"/>
    <mergeCell ref="A239:C239"/>
    <mergeCell ref="A361:I361"/>
    <mergeCell ref="A367:I367"/>
    <mergeCell ref="A331:I331"/>
    <mergeCell ref="E238:I238"/>
    <mergeCell ref="A240:C240"/>
    <mergeCell ref="E240:I240"/>
    <mergeCell ref="A283:I283"/>
    <mergeCell ref="A238:C238"/>
    <mergeCell ref="C176:D176"/>
    <mergeCell ref="A173:I173"/>
    <mergeCell ref="C142:D142"/>
    <mergeCell ref="F142:G142"/>
    <mergeCell ref="C143:D143"/>
    <mergeCell ref="F143:G143"/>
    <mergeCell ref="A138:I138"/>
    <mergeCell ref="A130:I130"/>
    <mergeCell ref="A125:I125"/>
    <mergeCell ref="A126:I126"/>
    <mergeCell ref="A127:B127"/>
    <mergeCell ref="C127:D127"/>
    <mergeCell ref="F127:G127"/>
    <mergeCell ref="A128:B128"/>
    <mergeCell ref="C128:D128"/>
    <mergeCell ref="F128:G128"/>
    <mergeCell ref="A129:B129"/>
    <mergeCell ref="C129:D129"/>
    <mergeCell ref="F129:G129"/>
    <mergeCell ref="C137:D137"/>
    <mergeCell ref="F137:G137"/>
    <mergeCell ref="A135:B137"/>
    <mergeCell ref="A131:B133"/>
    <mergeCell ref="A139:B144"/>
    <mergeCell ref="C179:D179"/>
    <mergeCell ref="F179:G179"/>
    <mergeCell ref="C182:D182"/>
    <mergeCell ref="F182:G182"/>
    <mergeCell ref="C183:D183"/>
    <mergeCell ref="F183:G183"/>
    <mergeCell ref="A146:B151"/>
    <mergeCell ref="C147:D147"/>
    <mergeCell ref="F147:G147"/>
    <mergeCell ref="C148:D148"/>
    <mergeCell ref="C149:D149"/>
    <mergeCell ref="F149:G149"/>
    <mergeCell ref="C150:D150"/>
    <mergeCell ref="F150:G150"/>
    <mergeCell ref="C151:D151"/>
    <mergeCell ref="F151:G151"/>
    <mergeCell ref="E148:I148"/>
    <mergeCell ref="A152:I152"/>
    <mergeCell ref="A153:B158"/>
    <mergeCell ref="C153:D153"/>
    <mergeCell ref="F153:G153"/>
    <mergeCell ref="C154:D154"/>
    <mergeCell ref="F158:G158"/>
    <mergeCell ref="A159:I159"/>
    <mergeCell ref="C131:D131"/>
    <mergeCell ref="F131:G131"/>
    <mergeCell ref="C132:D132"/>
    <mergeCell ref="F132:G132"/>
    <mergeCell ref="F155:G155"/>
    <mergeCell ref="C156:D156"/>
    <mergeCell ref="F156:G156"/>
    <mergeCell ref="C157:D157"/>
    <mergeCell ref="F157:G157"/>
    <mergeCell ref="F133:G133"/>
    <mergeCell ref="A134:I134"/>
    <mergeCell ref="C135:D135"/>
    <mergeCell ref="F135:G135"/>
    <mergeCell ref="C136:D136"/>
    <mergeCell ref="F136:G136"/>
    <mergeCell ref="F141:G141"/>
    <mergeCell ref="C139:D139"/>
    <mergeCell ref="F139:G139"/>
    <mergeCell ref="C140:D140"/>
    <mergeCell ref="F140:G140"/>
    <mergeCell ref="C141:D141"/>
    <mergeCell ref="F154:G154"/>
    <mergeCell ref="C155:D155"/>
    <mergeCell ref="A160:B165"/>
    <mergeCell ref="C160:D160"/>
    <mergeCell ref="F160:G160"/>
    <mergeCell ref="C161:D161"/>
    <mergeCell ref="F161:G161"/>
    <mergeCell ref="C162:D162"/>
    <mergeCell ref="E162:I162"/>
    <mergeCell ref="C163:D163"/>
    <mergeCell ref="F163:G163"/>
    <mergeCell ref="C164:D164"/>
    <mergeCell ref="F164:G164"/>
    <mergeCell ref="C165:D165"/>
    <mergeCell ref="F165:G165"/>
    <mergeCell ref="A174:I174"/>
    <mergeCell ref="C158:D158"/>
    <mergeCell ref="A175:I175"/>
    <mergeCell ref="C177:D177"/>
    <mergeCell ref="F177:G177"/>
    <mergeCell ref="C178:D178"/>
    <mergeCell ref="F178:G178"/>
    <mergeCell ref="A180:I180"/>
    <mergeCell ref="C181:D181"/>
    <mergeCell ref="F181:G181"/>
    <mergeCell ref="A181:B184"/>
    <mergeCell ref="A176:B179"/>
    <mergeCell ref="F176:G176"/>
    <mergeCell ref="A166:I166"/>
    <mergeCell ref="A167:B172"/>
    <mergeCell ref="C167:D167"/>
    <mergeCell ref="F167:G167"/>
    <mergeCell ref="C168:D168"/>
    <mergeCell ref="F168:G168"/>
    <mergeCell ref="C169:D169"/>
    <mergeCell ref="F169:G169"/>
    <mergeCell ref="C170:D170"/>
    <mergeCell ref="F170:G170"/>
    <mergeCell ref="C171:D171"/>
    <mergeCell ref="H122:H123"/>
    <mergeCell ref="F122:G123"/>
    <mergeCell ref="E122:E123"/>
    <mergeCell ref="C122:D123"/>
    <mergeCell ref="A122:B123"/>
    <mergeCell ref="E104:I104"/>
    <mergeCell ref="A121:I121"/>
    <mergeCell ref="F117:G117"/>
    <mergeCell ref="A105:C105"/>
    <mergeCell ref="F119:G119"/>
    <mergeCell ref="F120:G120"/>
    <mergeCell ref="A117:B117"/>
    <mergeCell ref="C117:D117"/>
    <mergeCell ref="A118:B118"/>
    <mergeCell ref="C118:D118"/>
    <mergeCell ref="A119:B119"/>
    <mergeCell ref="C119:D119"/>
    <mergeCell ref="H110:I110"/>
    <mergeCell ref="A120:B120"/>
    <mergeCell ref="C120:D120"/>
    <mergeCell ref="H105:I105"/>
    <mergeCell ref="A115:F115"/>
    <mergeCell ref="H115:I115"/>
    <mergeCell ref="A114:F114"/>
    <mergeCell ref="F54:G54"/>
    <mergeCell ref="F55:G55"/>
    <mergeCell ref="A56:B56"/>
    <mergeCell ref="C56:D56"/>
    <mergeCell ref="F56:G56"/>
    <mergeCell ref="A57:B57"/>
    <mergeCell ref="C57:D57"/>
    <mergeCell ref="F57:G68"/>
    <mergeCell ref="H57:I68"/>
    <mergeCell ref="A58:B58"/>
    <mergeCell ref="C58:D58"/>
    <mergeCell ref="A59:B59"/>
    <mergeCell ref="C59:D59"/>
    <mergeCell ref="A60:B60"/>
    <mergeCell ref="C60:D60"/>
    <mergeCell ref="A61:B61"/>
    <mergeCell ref="C61:D61"/>
    <mergeCell ref="A62:B62"/>
    <mergeCell ref="C62:D62"/>
    <mergeCell ref="A63:B63"/>
    <mergeCell ref="C63:D63"/>
    <mergeCell ref="A64:B64"/>
    <mergeCell ref="C64:D64"/>
    <mergeCell ref="A65:B65"/>
    <mergeCell ref="C65:D65"/>
    <mergeCell ref="A66:B66"/>
    <mergeCell ref="C66:D66"/>
    <mergeCell ref="A67:B67"/>
    <mergeCell ref="C67:D67"/>
    <mergeCell ref="A68:B68"/>
    <mergeCell ref="C68:D68"/>
    <mergeCell ref="A69:I69"/>
    <mergeCell ref="A70:C71"/>
    <mergeCell ref="D70:D71"/>
    <mergeCell ref="F70:G70"/>
    <mergeCell ref="F71:G71"/>
    <mergeCell ref="A72:B72"/>
    <mergeCell ref="C72:D72"/>
    <mergeCell ref="F72:G72"/>
    <mergeCell ref="A73:B73"/>
    <mergeCell ref="C73:D73"/>
    <mergeCell ref="F73:G84"/>
    <mergeCell ref="H73:I84"/>
    <mergeCell ref="A74:B74"/>
    <mergeCell ref="C74:D74"/>
    <mergeCell ref="A75:B75"/>
    <mergeCell ref="C75:D75"/>
    <mergeCell ref="A76:B76"/>
    <mergeCell ref="C76:D76"/>
    <mergeCell ref="A77:B77"/>
    <mergeCell ref="C77:D77"/>
    <mergeCell ref="A78:B78"/>
    <mergeCell ref="C78:D78"/>
    <mergeCell ref="A79:B79"/>
    <mergeCell ref="C79:D79"/>
    <mergeCell ref="A80:B80"/>
    <mergeCell ref="C80:D80"/>
    <mergeCell ref="A81:B81"/>
    <mergeCell ref="C81:D81"/>
    <mergeCell ref="A82:B82"/>
    <mergeCell ref="A99:B99"/>
    <mergeCell ref="C99:D99"/>
    <mergeCell ref="A100:B100"/>
    <mergeCell ref="C100:D100"/>
    <mergeCell ref="C82:D82"/>
    <mergeCell ref="A83:B83"/>
    <mergeCell ref="C83:D83"/>
    <mergeCell ref="A84:B84"/>
    <mergeCell ref="C84:D84"/>
    <mergeCell ref="A85:I85"/>
    <mergeCell ref="A86:C87"/>
    <mergeCell ref="D86:D87"/>
    <mergeCell ref="F86:G86"/>
    <mergeCell ref="F87:G87"/>
    <mergeCell ref="A88:B88"/>
    <mergeCell ref="C88:D88"/>
    <mergeCell ref="F88:G88"/>
    <mergeCell ref="A89:B89"/>
    <mergeCell ref="C89:D89"/>
    <mergeCell ref="F89:G100"/>
    <mergeCell ref="H89:I100"/>
    <mergeCell ref="A90:B90"/>
    <mergeCell ref="C90:D90"/>
    <mergeCell ref="A96:B96"/>
    <mergeCell ref="C96:D96"/>
    <mergeCell ref="A97:B97"/>
    <mergeCell ref="C97:D97"/>
    <mergeCell ref="A98:B98"/>
    <mergeCell ref="A91:B91"/>
    <mergeCell ref="C91:D91"/>
    <mergeCell ref="A92:B92"/>
    <mergeCell ref="C92:D92"/>
    <mergeCell ref="A93:B93"/>
    <mergeCell ref="C93:D93"/>
    <mergeCell ref="A94:B94"/>
    <mergeCell ref="C94:D94"/>
    <mergeCell ref="A95:B95"/>
    <mergeCell ref="C95:D95"/>
    <mergeCell ref="C98:D98"/>
  </mergeCell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4" manualBreakCount="4">
    <brk id="84" max="16383" man="1"/>
    <brk id="236" max="8" man="1"/>
    <brk id="282" max="16383" man="1"/>
    <brk id="330"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Kunal Kadam</cp:lastModifiedBy>
  <cp:lastPrinted>2025-07-07T09:45:45Z</cp:lastPrinted>
  <dcterms:created xsi:type="dcterms:W3CDTF">2010-11-23T11:42:48Z</dcterms:created>
  <dcterms:modified xsi:type="dcterms:W3CDTF">2025-07-07T09:47:10Z</dcterms:modified>
</cp:coreProperties>
</file>