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24226"/>
  <mc:AlternateContent xmlns:mc="http://schemas.openxmlformats.org/markup-compatibility/2006">
    <mc:Choice Requires="x15">
      <x15ac:absPath xmlns:x15ac="http://schemas.microsoft.com/office/spreadsheetml/2010/11/ac" url="K:\VSJ Work\July 25\Godrej Old\"/>
    </mc:Choice>
  </mc:AlternateContent>
  <xr:revisionPtr revIDLastSave="0" documentId="13_ncr:1_{F097A6C6-3CAE-40F5-920C-A072D03A9E5B}" xr6:coauthVersionLast="47" xr6:coauthVersionMax="47" xr10:uidLastSave="{00000000-0000-0000-0000-000000000000}"/>
  <bookViews>
    <workbookView xWindow="-108" yWindow="-108" windowWidth="23256" windowHeight="12456" xr2:uid="{00000000-000D-0000-FFFF-FFFF00000000}"/>
  </bookViews>
  <sheets>
    <sheet name="Report" sheetId="3" r:id="rId1"/>
  </sheets>
  <definedNames>
    <definedName name="_xlnm.Print_Area" localSheetId="0">Report!$A$1:$I$413</definedName>
  </definedNames>
  <calcPr calcId="191029"/>
</workbook>
</file>

<file path=xl/calcChain.xml><?xml version="1.0" encoding="utf-8"?>
<calcChain xmlns="http://schemas.openxmlformats.org/spreadsheetml/2006/main">
  <c r="C74" i="3" l="1"/>
  <c r="L4" i="3"/>
  <c r="I4" i="3"/>
  <c r="C59" i="3" l="1"/>
  <c r="K95" i="3" l="1"/>
  <c r="K94" i="3"/>
  <c r="K93" i="3"/>
  <c r="K92" i="3"/>
  <c r="C91" i="3"/>
  <c r="C92" i="3" s="1"/>
  <c r="C93" i="3" s="1"/>
  <c r="K79" i="3"/>
  <c r="K78" i="3"/>
  <c r="K77" i="3"/>
  <c r="K76" i="3"/>
  <c r="C75" i="3"/>
  <c r="C76" i="3" s="1"/>
  <c r="C77" i="3" s="1"/>
  <c r="C60" i="3"/>
  <c r="C61" i="3" s="1"/>
  <c r="K63" i="3"/>
  <c r="K62" i="3"/>
  <c r="I86" i="3"/>
  <c r="I70" i="3"/>
  <c r="I54" i="3"/>
  <c r="E96" i="3" l="1"/>
  <c r="E94" i="3"/>
  <c r="E92" i="3"/>
  <c r="E97" i="3"/>
  <c r="E95" i="3"/>
  <c r="E93" i="3"/>
  <c r="K90" i="3"/>
  <c r="K91" i="3" s="1"/>
  <c r="K96" i="3" s="1"/>
  <c r="K97" i="3" s="1"/>
  <c r="C89" i="3" s="1"/>
  <c r="E89" i="3" s="1"/>
  <c r="E99" i="3"/>
  <c r="E90" i="3"/>
  <c r="K88" i="3"/>
  <c r="E98" i="3"/>
  <c r="E91" i="3"/>
  <c r="K89" i="3"/>
  <c r="C88" i="3" s="1"/>
  <c r="K87" i="3"/>
  <c r="E83" i="3"/>
  <c r="E74" i="3"/>
  <c r="K72" i="3"/>
  <c r="E82" i="3"/>
  <c r="E80" i="3"/>
  <c r="E78" i="3"/>
  <c r="E75" i="3"/>
  <c r="K73" i="3"/>
  <c r="C72" i="3" s="1"/>
  <c r="K71" i="3"/>
  <c r="E76" i="3"/>
  <c r="E79" i="3"/>
  <c r="E77" i="3"/>
  <c r="E81" i="3"/>
  <c r="K74" i="3"/>
  <c r="K75" i="3" s="1"/>
  <c r="K80" i="3" s="1"/>
  <c r="K81" i="3" s="1"/>
  <c r="C73" i="3" s="1"/>
  <c r="E73" i="3" s="1"/>
  <c r="E67" i="3"/>
  <c r="K58" i="3"/>
  <c r="K59" i="3" s="1"/>
  <c r="K64" i="3" s="1"/>
  <c r="E66" i="3"/>
  <c r="E64" i="3"/>
  <c r="E62" i="3"/>
  <c r="E60" i="3"/>
  <c r="E58" i="3"/>
  <c r="K56" i="3"/>
  <c r="K57" i="3"/>
  <c r="C56" i="3" s="1"/>
  <c r="E56" i="3" s="1"/>
  <c r="K55" i="3"/>
  <c r="E65" i="3"/>
  <c r="E63" i="3"/>
  <c r="E61" i="3"/>
  <c r="E59" i="3"/>
  <c r="F88" i="3" l="1"/>
  <c r="E88" i="3"/>
  <c r="F72" i="3"/>
  <c r="E72" i="3"/>
  <c r="K60" i="3"/>
  <c r="K61" i="3" s="1"/>
  <c r="J69" i="3" l="1"/>
  <c r="H72" i="3" s="1"/>
  <c r="J85" i="3"/>
  <c r="H88" i="3" s="1"/>
  <c r="K65" i="3"/>
  <c r="C57" i="3" s="1"/>
  <c r="E57" i="3" s="1"/>
  <c r="F56" i="3" l="1"/>
  <c r="H100" i="3" s="1"/>
  <c r="J53" i="3" l="1"/>
  <c r="H56" i="3" s="1"/>
  <c r="L102" i="3"/>
  <c r="F150" i="3" l="1"/>
  <c r="M135" i="3"/>
  <c r="M134" i="3"/>
  <c r="F325" i="3" l="1"/>
  <c r="F324" i="3"/>
  <c r="F319" i="3"/>
  <c r="F317" i="3"/>
  <c r="F312" i="3"/>
  <c r="F310" i="3"/>
  <c r="F305" i="3"/>
  <c r="F303" i="3"/>
  <c r="F298" i="3"/>
  <c r="F296" i="3"/>
  <c r="F289" i="3"/>
  <c r="F283" i="3"/>
  <c r="F282" i="3"/>
  <c r="F277" i="3"/>
  <c r="F275" i="3"/>
  <c r="F270" i="3"/>
  <c r="F268" i="3"/>
  <c r="F263" i="3"/>
  <c r="F261" i="3"/>
  <c r="F256" i="3"/>
  <c r="F254" i="3"/>
  <c r="F249" i="3"/>
  <c r="F247" i="3"/>
  <c r="F228" i="3"/>
  <c r="F222" i="3"/>
  <c r="F221" i="3"/>
  <c r="F214" i="3"/>
  <c r="F208" i="3"/>
  <c r="F207" i="3"/>
  <c r="F186" i="3"/>
  <c r="F180" i="3"/>
  <c r="F179" i="3"/>
  <c r="I179" i="3" s="1"/>
  <c r="F172" i="3"/>
  <c r="F166" i="3"/>
  <c r="F165" i="3"/>
  <c r="J21" i="3" l="1"/>
  <c r="F326" i="3" l="1"/>
  <c r="I326" i="3" s="1"/>
  <c r="I325" i="3"/>
  <c r="I324" i="3"/>
  <c r="F323" i="3"/>
  <c r="I323" i="3" s="1"/>
  <c r="F322" i="3"/>
  <c r="I322" i="3" s="1"/>
  <c r="F321" i="3"/>
  <c r="I321" i="3" s="1"/>
  <c r="A321" i="3"/>
  <c r="A322" i="3" s="1"/>
  <c r="A323" i="3" s="1"/>
  <c r="A324" i="3" s="1"/>
  <c r="A325" i="3" s="1"/>
  <c r="A326" i="3" s="1"/>
  <c r="I319" i="3"/>
  <c r="I317" i="3"/>
  <c r="F316" i="3"/>
  <c r="I316" i="3" s="1"/>
  <c r="F315" i="3"/>
  <c r="I315" i="3" s="1"/>
  <c r="F314" i="3"/>
  <c r="I314" i="3" s="1"/>
  <c r="A314" i="3"/>
  <c r="A315" i="3" s="1"/>
  <c r="A316" i="3" s="1"/>
  <c r="A317" i="3" s="1"/>
  <c r="A318" i="3" s="1"/>
  <c r="A319" i="3" s="1"/>
  <c r="I312" i="3"/>
  <c r="F311" i="3"/>
  <c r="I311" i="3" s="1"/>
  <c r="I310" i="3"/>
  <c r="F309" i="3"/>
  <c r="I309" i="3" s="1"/>
  <c r="F308" i="3"/>
  <c r="I308" i="3" s="1"/>
  <c r="F307" i="3"/>
  <c r="I307" i="3" s="1"/>
  <c r="A307" i="3"/>
  <c r="A308" i="3" s="1"/>
  <c r="A309" i="3" s="1"/>
  <c r="A310" i="3" s="1"/>
  <c r="A311" i="3" s="1"/>
  <c r="A312" i="3" s="1"/>
  <c r="I305" i="3"/>
  <c r="F304" i="3"/>
  <c r="I304" i="3" s="1"/>
  <c r="I303" i="3"/>
  <c r="F302" i="3"/>
  <c r="I302" i="3" s="1"/>
  <c r="F301" i="3"/>
  <c r="I301" i="3" s="1"/>
  <c r="F300" i="3"/>
  <c r="I300" i="3" s="1"/>
  <c r="A300" i="3"/>
  <c r="A301" i="3" s="1"/>
  <c r="A302" i="3" s="1"/>
  <c r="A303" i="3" s="1"/>
  <c r="A304" i="3" s="1"/>
  <c r="A305" i="3" s="1"/>
  <c r="H297" i="3"/>
  <c r="H298" i="3"/>
  <c r="I298" i="3" s="1"/>
  <c r="H296" i="3"/>
  <c r="I296" i="3" s="1"/>
  <c r="F297" i="3"/>
  <c r="F295" i="3"/>
  <c r="I295" i="3" s="1"/>
  <c r="F294" i="3"/>
  <c r="I294" i="3" s="1"/>
  <c r="F293" i="3"/>
  <c r="I293" i="3" s="1"/>
  <c r="A293" i="3"/>
  <c r="A294" i="3" s="1"/>
  <c r="A295" i="3" s="1"/>
  <c r="A296" i="3" s="1"/>
  <c r="A297" i="3" s="1"/>
  <c r="A298" i="3" s="1"/>
  <c r="F284" i="3"/>
  <c r="I284" i="3" s="1"/>
  <c r="I283" i="3"/>
  <c r="I282" i="3"/>
  <c r="F281" i="3"/>
  <c r="I281" i="3" s="1"/>
  <c r="F280" i="3"/>
  <c r="I280" i="3" s="1"/>
  <c r="F279" i="3"/>
  <c r="I279" i="3" s="1"/>
  <c r="A279" i="3"/>
  <c r="A280" i="3" s="1"/>
  <c r="A281" i="3" s="1"/>
  <c r="A282" i="3" s="1"/>
  <c r="A283" i="3" s="1"/>
  <c r="A284" i="3" s="1"/>
  <c r="I270" i="3"/>
  <c r="I268" i="3"/>
  <c r="F267" i="3"/>
  <c r="I267" i="3" s="1"/>
  <c r="F266" i="3"/>
  <c r="I266" i="3" s="1"/>
  <c r="F265" i="3"/>
  <c r="I265" i="3" s="1"/>
  <c r="A265" i="3"/>
  <c r="A266" i="3" s="1"/>
  <c r="A267" i="3" s="1"/>
  <c r="A268" i="3" s="1"/>
  <c r="A269" i="3" s="1"/>
  <c r="A270" i="3" s="1"/>
  <c r="I263" i="3"/>
  <c r="I277" i="3"/>
  <c r="F276" i="3"/>
  <c r="I276" i="3" s="1"/>
  <c r="I275" i="3"/>
  <c r="F274" i="3"/>
  <c r="I274" i="3" s="1"/>
  <c r="F273" i="3"/>
  <c r="I273" i="3" s="1"/>
  <c r="F272" i="3"/>
  <c r="I272" i="3" s="1"/>
  <c r="A272" i="3"/>
  <c r="A273" i="3" s="1"/>
  <c r="A274" i="3" s="1"/>
  <c r="A275" i="3" s="1"/>
  <c r="A276" i="3" s="1"/>
  <c r="A277" i="3" s="1"/>
  <c r="F258" i="3"/>
  <c r="F262" i="3"/>
  <c r="F260" i="3"/>
  <c r="I260" i="3" s="1"/>
  <c r="F259" i="3"/>
  <c r="I259" i="3" s="1"/>
  <c r="F248" i="3"/>
  <c r="F236" i="3"/>
  <c r="F230" i="3"/>
  <c r="I230" i="3" s="1"/>
  <c r="I228" i="3"/>
  <c r="F227" i="3"/>
  <c r="I227" i="3" s="1"/>
  <c r="F226" i="3"/>
  <c r="I226" i="3" s="1"/>
  <c r="F225" i="3"/>
  <c r="I225" i="3" s="1"/>
  <c r="A225" i="3"/>
  <c r="A226" i="3" s="1"/>
  <c r="A227" i="3" s="1"/>
  <c r="A228" i="3" s="1"/>
  <c r="A229" i="3" s="1"/>
  <c r="A230" i="3" s="1"/>
  <c r="F223" i="3"/>
  <c r="I223" i="3" s="1"/>
  <c r="I222" i="3"/>
  <c r="I221" i="3"/>
  <c r="F220" i="3"/>
  <c r="I220" i="3" s="1"/>
  <c r="F219" i="3"/>
  <c r="I219" i="3" s="1"/>
  <c r="F218" i="3"/>
  <c r="I218" i="3" s="1"/>
  <c r="A218" i="3"/>
  <c r="A219" i="3" s="1"/>
  <c r="A220" i="3" s="1"/>
  <c r="A221" i="3" s="1"/>
  <c r="A222" i="3" s="1"/>
  <c r="A223" i="3" s="1"/>
  <c r="F216" i="3"/>
  <c r="I216" i="3" s="1"/>
  <c r="I214" i="3"/>
  <c r="F213" i="3"/>
  <c r="I213" i="3" s="1"/>
  <c r="F212" i="3"/>
  <c r="I212" i="3" s="1"/>
  <c r="F211" i="3"/>
  <c r="I211" i="3" s="1"/>
  <c r="A211" i="3"/>
  <c r="A212" i="3" s="1"/>
  <c r="A213" i="3" s="1"/>
  <c r="A214" i="3" s="1"/>
  <c r="A215" i="3" s="1"/>
  <c r="A216" i="3" s="1"/>
  <c r="F209" i="3"/>
  <c r="I209" i="3" s="1"/>
  <c r="I208" i="3"/>
  <c r="I207" i="3"/>
  <c r="F206" i="3"/>
  <c r="I206" i="3" s="1"/>
  <c r="F205" i="3"/>
  <c r="I205" i="3" s="1"/>
  <c r="F204" i="3"/>
  <c r="I204" i="3" s="1"/>
  <c r="A204" i="3"/>
  <c r="A205" i="3" s="1"/>
  <c r="A206" i="3" s="1"/>
  <c r="A207" i="3" s="1"/>
  <c r="A208" i="3" s="1"/>
  <c r="A209" i="3" s="1"/>
  <c r="F202" i="3"/>
  <c r="I202" i="3" s="1"/>
  <c r="F201" i="3"/>
  <c r="I201" i="3" s="1"/>
  <c r="F200" i="3"/>
  <c r="I200" i="3" s="1"/>
  <c r="A200" i="3"/>
  <c r="A201" i="3" s="1"/>
  <c r="A202" i="3" s="1"/>
  <c r="F198" i="3"/>
  <c r="I198" i="3" s="1"/>
  <c r="F197" i="3"/>
  <c r="I197" i="3" s="1"/>
  <c r="F196" i="3"/>
  <c r="A196" i="3"/>
  <c r="A197" i="3" s="1"/>
  <c r="A198" i="3" s="1"/>
  <c r="F242" i="3"/>
  <c r="I242" i="3" s="1"/>
  <c r="F241" i="3"/>
  <c r="I241" i="3" s="1"/>
  <c r="F240" i="3"/>
  <c r="I240" i="3" s="1"/>
  <c r="A240" i="3"/>
  <c r="A241" i="3" s="1"/>
  <c r="A242" i="3" s="1"/>
  <c r="F160" i="3"/>
  <c r="I160" i="3" s="1"/>
  <c r="F159" i="3"/>
  <c r="I159" i="3" s="1"/>
  <c r="F158" i="3"/>
  <c r="I158" i="3" s="1"/>
  <c r="A158" i="3"/>
  <c r="A159" i="3" s="1"/>
  <c r="A160" i="3" s="1"/>
  <c r="F155" i="3"/>
  <c r="F237" i="3"/>
  <c r="I237" i="3" s="1"/>
  <c r="F176" i="3"/>
  <c r="I176" i="3" s="1"/>
  <c r="F291" i="3"/>
  <c r="I291" i="3" s="1"/>
  <c r="I289" i="3"/>
  <c r="F288" i="3"/>
  <c r="I288" i="3" s="1"/>
  <c r="F287" i="3"/>
  <c r="I287" i="3" s="1"/>
  <c r="F286" i="3"/>
  <c r="I286" i="3" s="1"/>
  <c r="A286" i="3"/>
  <c r="A287" i="3" s="1"/>
  <c r="A288" i="3" s="1"/>
  <c r="A289" i="3" s="1"/>
  <c r="A290" i="3" s="1"/>
  <c r="A291" i="3" s="1"/>
  <c r="I262" i="3"/>
  <c r="I261" i="3"/>
  <c r="I258" i="3"/>
  <c r="A258" i="3"/>
  <c r="A259" i="3" s="1"/>
  <c r="A260" i="3" s="1"/>
  <c r="A261" i="3" s="1"/>
  <c r="A262" i="3" s="1"/>
  <c r="A263" i="3" s="1"/>
  <c r="I256" i="3"/>
  <c r="I254" i="3"/>
  <c r="F253" i="3"/>
  <c r="I253" i="3" s="1"/>
  <c r="F252" i="3"/>
  <c r="I252" i="3" s="1"/>
  <c r="F251" i="3"/>
  <c r="I251" i="3" s="1"/>
  <c r="A251" i="3"/>
  <c r="A252" i="3" s="1"/>
  <c r="A253" i="3" s="1"/>
  <c r="A254" i="3" s="1"/>
  <c r="A255" i="3" s="1"/>
  <c r="A256" i="3" s="1"/>
  <c r="I249" i="3"/>
  <c r="I247" i="3"/>
  <c r="F246" i="3"/>
  <c r="I246" i="3" s="1"/>
  <c r="F245" i="3"/>
  <c r="I245" i="3" s="1"/>
  <c r="F244" i="3"/>
  <c r="I244" i="3" s="1"/>
  <c r="A244" i="3"/>
  <c r="A245" i="3" s="1"/>
  <c r="A246" i="3" s="1"/>
  <c r="A247" i="3" s="1"/>
  <c r="A248" i="3" s="1"/>
  <c r="A249" i="3" s="1"/>
  <c r="F238" i="3"/>
  <c r="I238" i="3" s="1"/>
  <c r="A236" i="3"/>
  <c r="A237" i="3" s="1"/>
  <c r="A238" i="3" s="1"/>
  <c r="I165" i="3"/>
  <c r="F167" i="3"/>
  <c r="I167" i="3" s="1"/>
  <c r="I172" i="3"/>
  <c r="F174" i="3"/>
  <c r="I174" i="3" s="1"/>
  <c r="F181" i="3"/>
  <c r="I181" i="3" s="1"/>
  <c r="F188" i="3"/>
  <c r="I188" i="3" s="1"/>
  <c r="I186" i="3"/>
  <c r="F185" i="3"/>
  <c r="I185" i="3" s="1"/>
  <c r="F184" i="3"/>
  <c r="I184" i="3" s="1"/>
  <c r="F183" i="3"/>
  <c r="I183" i="3" s="1"/>
  <c r="A183" i="3"/>
  <c r="A184" i="3" s="1"/>
  <c r="A185" i="3" s="1"/>
  <c r="A186" i="3" s="1"/>
  <c r="A187" i="3" s="1"/>
  <c r="A188" i="3" s="1"/>
  <c r="I180" i="3"/>
  <c r="F178" i="3"/>
  <c r="I178" i="3" s="1"/>
  <c r="F177" i="3"/>
  <c r="I177" i="3" s="1"/>
  <c r="A176" i="3"/>
  <c r="A177" i="3" s="1"/>
  <c r="A178" i="3" s="1"/>
  <c r="A179" i="3" s="1"/>
  <c r="A180" i="3" s="1"/>
  <c r="A181" i="3" s="1"/>
  <c r="F171" i="3"/>
  <c r="I171" i="3" s="1"/>
  <c r="F170" i="3"/>
  <c r="I170" i="3" s="1"/>
  <c r="F169" i="3"/>
  <c r="I169" i="3" s="1"/>
  <c r="A169" i="3"/>
  <c r="A170" i="3" s="1"/>
  <c r="A171" i="3" s="1"/>
  <c r="A172" i="3" s="1"/>
  <c r="A173" i="3" s="1"/>
  <c r="A174" i="3" s="1"/>
  <c r="I166" i="3"/>
  <c r="F163" i="3"/>
  <c r="I163" i="3" s="1"/>
  <c r="F164" i="3"/>
  <c r="I164" i="3" s="1"/>
  <c r="F162" i="3"/>
  <c r="I162" i="3" s="1"/>
  <c r="A162" i="3"/>
  <c r="A163" i="3" s="1"/>
  <c r="A164" i="3" s="1"/>
  <c r="A165" i="3" s="1"/>
  <c r="A166" i="3" s="1"/>
  <c r="A167" i="3" s="1"/>
  <c r="F156" i="3"/>
  <c r="F154" i="3"/>
  <c r="J149" i="3"/>
  <c r="I149" i="3"/>
  <c r="F151" i="3"/>
  <c r="I151" i="3" s="1"/>
  <c r="I150" i="3"/>
  <c r="F148" i="3"/>
  <c r="I148" i="3" s="1"/>
  <c r="F147" i="3"/>
  <c r="I147" i="3" s="1"/>
  <c r="F146" i="3"/>
  <c r="I146" i="3" s="1"/>
  <c r="F145" i="3"/>
  <c r="I145" i="3" s="1"/>
  <c r="F144" i="3"/>
  <c r="I144" i="3" s="1"/>
  <c r="C151" i="3"/>
  <c r="C145" i="3"/>
  <c r="C146" i="3" s="1"/>
  <c r="C147" i="3" s="1"/>
  <c r="A144" i="3"/>
  <c r="A145" i="3" s="1"/>
  <c r="A146" i="3" s="1"/>
  <c r="A147" i="3" s="1"/>
  <c r="A148" i="3" s="1"/>
  <c r="V244" i="3"/>
  <c r="W321" i="3"/>
  <c r="W158" i="3"/>
  <c r="V183" i="3"/>
  <c r="W169" i="3"/>
  <c r="W211" i="3"/>
  <c r="V251" i="3"/>
  <c r="V211" i="3"/>
  <c r="W218" i="3"/>
  <c r="V162" i="3"/>
  <c r="V265" i="3"/>
  <c r="V196" i="3"/>
  <c r="V240" i="3"/>
  <c r="W251" i="3"/>
  <c r="V236" i="3"/>
  <c r="V158" i="3"/>
  <c r="W244" i="3"/>
  <c r="V279" i="3"/>
  <c r="W314" i="3"/>
  <c r="W225" i="3"/>
  <c r="V258" i="3"/>
  <c r="W240" i="3"/>
  <c r="W162" i="3"/>
  <c r="W293" i="3"/>
  <c r="W307" i="3"/>
  <c r="W272" i="3"/>
  <c r="V218" i="3"/>
  <c r="W279" i="3"/>
  <c r="W265" i="3"/>
  <c r="V169" i="3"/>
  <c r="V321" i="3"/>
  <c r="V200" i="3"/>
  <c r="W200" i="3"/>
  <c r="W204" i="3"/>
  <c r="V272" i="3"/>
  <c r="W258" i="3"/>
  <c r="V204" i="3"/>
  <c r="W286" i="3"/>
  <c r="V300" i="3"/>
  <c r="W300" i="3"/>
  <c r="W183" i="3"/>
  <c r="V307" i="3"/>
  <c r="V225" i="3"/>
  <c r="W196" i="3"/>
  <c r="V176" i="3"/>
  <c r="V286" i="3"/>
  <c r="W236" i="3"/>
  <c r="V293" i="3"/>
  <c r="W176" i="3"/>
  <c r="V314" i="3"/>
  <c r="H126" i="3" l="1"/>
  <c r="I297" i="3"/>
  <c r="H123" i="3"/>
  <c r="F124" i="3"/>
  <c r="I248" i="3"/>
  <c r="I196" i="3"/>
  <c r="I124" i="3" s="1"/>
  <c r="H120" i="3"/>
  <c r="F123" i="3"/>
  <c r="F120" i="3"/>
  <c r="H124" i="3"/>
  <c r="I236" i="3"/>
  <c r="I125" i="3" s="1"/>
  <c r="H125" i="3"/>
  <c r="F126" i="3"/>
  <c r="F125" i="3"/>
  <c r="I120" i="3"/>
  <c r="U321" i="3"/>
  <c r="V322" i="3"/>
  <c r="W322" i="3"/>
  <c r="W323" i="3" s="1"/>
  <c r="W324" i="3" s="1"/>
  <c r="W325" i="3" s="1"/>
  <c r="W326" i="3" s="1"/>
  <c r="U307" i="3"/>
  <c r="V308" i="3"/>
  <c r="U314" i="3"/>
  <c r="V315" i="3"/>
  <c r="W308" i="3"/>
  <c r="W309" i="3" s="1"/>
  <c r="W310" i="3" s="1"/>
  <c r="W311" i="3" s="1"/>
  <c r="W312" i="3" s="1"/>
  <c r="W315" i="3"/>
  <c r="W316" i="3" s="1"/>
  <c r="W317" i="3" s="1"/>
  <c r="W318" i="3" s="1"/>
  <c r="W319" i="3" s="1"/>
  <c r="U300" i="3"/>
  <c r="V301" i="3"/>
  <c r="W301" i="3"/>
  <c r="W302" i="3" s="1"/>
  <c r="W303" i="3" s="1"/>
  <c r="W304" i="3" s="1"/>
  <c r="W305" i="3" s="1"/>
  <c r="U293" i="3"/>
  <c r="V294" i="3"/>
  <c r="W294" i="3"/>
  <c r="W295" i="3" s="1"/>
  <c r="W296" i="3" s="1"/>
  <c r="W297" i="3" s="1"/>
  <c r="W298" i="3" s="1"/>
  <c r="U279" i="3"/>
  <c r="V280" i="3"/>
  <c r="W280" i="3"/>
  <c r="W281" i="3" s="1"/>
  <c r="W282" i="3" s="1"/>
  <c r="W283" i="3" s="1"/>
  <c r="W284" i="3" s="1"/>
  <c r="U265" i="3"/>
  <c r="V266" i="3"/>
  <c r="W266" i="3"/>
  <c r="W267" i="3" s="1"/>
  <c r="W268" i="3" s="1"/>
  <c r="W269" i="3" s="1"/>
  <c r="W270" i="3" s="1"/>
  <c r="U272" i="3"/>
  <c r="V273" i="3"/>
  <c r="W273" i="3"/>
  <c r="W274" i="3" s="1"/>
  <c r="W275" i="3" s="1"/>
  <c r="W276" i="3" s="1"/>
  <c r="W277" i="3" s="1"/>
  <c r="U211" i="3"/>
  <c r="V212" i="3"/>
  <c r="U196" i="3"/>
  <c r="V197" i="3"/>
  <c r="U200" i="3"/>
  <c r="V201" i="3"/>
  <c r="U204" i="3"/>
  <c r="V205" i="3"/>
  <c r="U218" i="3"/>
  <c r="V219" i="3"/>
  <c r="U225" i="3"/>
  <c r="V226" i="3"/>
  <c r="W197" i="3"/>
  <c r="W198" i="3" s="1"/>
  <c r="W201" i="3"/>
  <c r="W202" i="3" s="1"/>
  <c r="W205" i="3"/>
  <c r="W206" i="3" s="1"/>
  <c r="W207" i="3" s="1"/>
  <c r="W208" i="3" s="1"/>
  <c r="W209" i="3" s="1"/>
  <c r="W212" i="3"/>
  <c r="W213" i="3" s="1"/>
  <c r="W214" i="3" s="1"/>
  <c r="W215" i="3" s="1"/>
  <c r="W216" i="3" s="1"/>
  <c r="W219" i="3"/>
  <c r="W220" i="3" s="1"/>
  <c r="W221" i="3" s="1"/>
  <c r="W222" i="3" s="1"/>
  <c r="W223" i="3" s="1"/>
  <c r="W226" i="3"/>
  <c r="W227" i="3" s="1"/>
  <c r="W228" i="3" s="1"/>
  <c r="W229" i="3" s="1"/>
  <c r="W230" i="3" s="1"/>
  <c r="U240" i="3"/>
  <c r="V241" i="3"/>
  <c r="W241" i="3"/>
  <c r="W242" i="3" s="1"/>
  <c r="U158" i="3"/>
  <c r="V159" i="3"/>
  <c r="W159" i="3"/>
  <c r="W160" i="3" s="1"/>
  <c r="U236" i="3"/>
  <c r="V237" i="3"/>
  <c r="U244" i="3"/>
  <c r="V245" i="3"/>
  <c r="U251" i="3"/>
  <c r="V252" i="3"/>
  <c r="U258" i="3"/>
  <c r="V259" i="3"/>
  <c r="U286" i="3"/>
  <c r="V287" i="3"/>
  <c r="W237" i="3"/>
  <c r="W238" i="3" s="1"/>
  <c r="W245" i="3"/>
  <c r="W246" i="3" s="1"/>
  <c r="W247" i="3" s="1"/>
  <c r="W248" i="3" s="1"/>
  <c r="W249" i="3" s="1"/>
  <c r="W252" i="3"/>
  <c r="W253" i="3" s="1"/>
  <c r="W254" i="3" s="1"/>
  <c r="W255" i="3" s="1"/>
  <c r="W256" i="3" s="1"/>
  <c r="W259" i="3"/>
  <c r="W260" i="3" s="1"/>
  <c r="W261" i="3" s="1"/>
  <c r="W262" i="3" s="1"/>
  <c r="W263" i="3" s="1"/>
  <c r="W287" i="3"/>
  <c r="W288" i="3" s="1"/>
  <c r="W289" i="3" s="1"/>
  <c r="W290" i="3" s="1"/>
  <c r="W291" i="3" s="1"/>
  <c r="U176" i="3"/>
  <c r="V177" i="3"/>
  <c r="U183" i="3"/>
  <c r="V184" i="3"/>
  <c r="W177" i="3"/>
  <c r="W178" i="3" s="1"/>
  <c r="W179" i="3" s="1"/>
  <c r="W180" i="3" s="1"/>
  <c r="W181" i="3" s="1"/>
  <c r="W184" i="3"/>
  <c r="W185" i="3" s="1"/>
  <c r="W186" i="3" s="1"/>
  <c r="W187" i="3" s="1"/>
  <c r="W188" i="3" s="1"/>
  <c r="U169" i="3"/>
  <c r="V170" i="3"/>
  <c r="W170" i="3"/>
  <c r="W171" i="3" s="1"/>
  <c r="W172" i="3" s="1"/>
  <c r="W173" i="3" s="1"/>
  <c r="W174" i="3" s="1"/>
  <c r="W163" i="3"/>
  <c r="W164" i="3" s="1"/>
  <c r="W165" i="3" s="1"/>
  <c r="W166" i="3" s="1"/>
  <c r="W167" i="3" s="1"/>
  <c r="V163" i="3"/>
  <c r="U162" i="3"/>
  <c r="A149" i="3"/>
  <c r="A150" i="3"/>
  <c r="A151" i="3" s="1"/>
  <c r="F138" i="3"/>
  <c r="I138" i="3" s="1"/>
  <c r="F137" i="3"/>
  <c r="F142" i="3"/>
  <c r="F141" i="3"/>
  <c r="F140" i="3"/>
  <c r="F139" i="3"/>
  <c r="F136" i="3"/>
  <c r="F135" i="3"/>
  <c r="F134" i="3"/>
  <c r="F133" i="3"/>
  <c r="I142" i="3"/>
  <c r="H49" i="3"/>
  <c r="C17" i="3"/>
  <c r="I126" i="3" l="1"/>
  <c r="F127" i="3"/>
  <c r="H127" i="3"/>
  <c r="F119" i="3"/>
  <c r="F121" i="3" s="1"/>
  <c r="H119" i="3"/>
  <c r="H121" i="3" s="1"/>
  <c r="U322" i="3"/>
  <c r="V323" i="3"/>
  <c r="U315" i="3"/>
  <c r="V316" i="3"/>
  <c r="U308" i="3"/>
  <c r="V309" i="3"/>
  <c r="U301" i="3"/>
  <c r="V302" i="3"/>
  <c r="U294" i="3"/>
  <c r="V295" i="3"/>
  <c r="U280" i="3"/>
  <c r="V281" i="3"/>
  <c r="U266" i="3"/>
  <c r="V267" i="3"/>
  <c r="U273" i="3"/>
  <c r="V274" i="3"/>
  <c r="U226" i="3"/>
  <c r="V227" i="3"/>
  <c r="U219" i="3"/>
  <c r="V220" i="3"/>
  <c r="U205" i="3"/>
  <c r="V206" i="3"/>
  <c r="U201" i="3"/>
  <c r="V202" i="3"/>
  <c r="U202" i="3" s="1"/>
  <c r="U197" i="3"/>
  <c r="V198" i="3"/>
  <c r="U198" i="3" s="1"/>
  <c r="U212" i="3"/>
  <c r="V213" i="3"/>
  <c r="U241" i="3"/>
  <c r="V242" i="3"/>
  <c r="U242" i="3" s="1"/>
  <c r="U159" i="3"/>
  <c r="V160" i="3"/>
  <c r="U160" i="3" s="1"/>
  <c r="U287" i="3"/>
  <c r="V288" i="3"/>
  <c r="U259" i="3"/>
  <c r="V260" i="3"/>
  <c r="U252" i="3"/>
  <c r="V253" i="3"/>
  <c r="U245" i="3"/>
  <c r="V246" i="3"/>
  <c r="U237" i="3"/>
  <c r="V238" i="3"/>
  <c r="U238" i="3" s="1"/>
  <c r="U184" i="3"/>
  <c r="V185" i="3"/>
  <c r="U177" i="3"/>
  <c r="V178" i="3"/>
  <c r="U170" i="3"/>
  <c r="V171" i="3"/>
  <c r="V164" i="3"/>
  <c r="U163" i="3"/>
  <c r="U323" i="3" l="1"/>
  <c r="V324" i="3"/>
  <c r="U309" i="3"/>
  <c r="V310" i="3"/>
  <c r="U316" i="3"/>
  <c r="V317" i="3"/>
  <c r="U302" i="3"/>
  <c r="V303" i="3"/>
  <c r="U295" i="3"/>
  <c r="V296" i="3"/>
  <c r="U281" i="3"/>
  <c r="V282" i="3"/>
  <c r="U267" i="3"/>
  <c r="V268" i="3"/>
  <c r="U274" i="3"/>
  <c r="V275" i="3"/>
  <c r="U213" i="3"/>
  <c r="V214" i="3"/>
  <c r="U206" i="3"/>
  <c r="V207" i="3"/>
  <c r="U220" i="3"/>
  <c r="V221" i="3"/>
  <c r="U227" i="3"/>
  <c r="V228" i="3"/>
  <c r="U246" i="3"/>
  <c r="V247" i="3"/>
  <c r="U253" i="3"/>
  <c r="V254" i="3"/>
  <c r="U260" i="3"/>
  <c r="V261" i="3"/>
  <c r="U288" i="3"/>
  <c r="V289" i="3"/>
  <c r="U178" i="3"/>
  <c r="V179" i="3"/>
  <c r="U185" i="3"/>
  <c r="V186" i="3"/>
  <c r="U171" i="3"/>
  <c r="V172" i="3"/>
  <c r="V165" i="3"/>
  <c r="U164" i="3"/>
  <c r="U324" i="3" l="1"/>
  <c r="V325" i="3"/>
  <c r="U317" i="3"/>
  <c r="V318" i="3"/>
  <c r="U310" i="3"/>
  <c r="V311" i="3"/>
  <c r="U303" i="3"/>
  <c r="V304" i="3"/>
  <c r="U296" i="3"/>
  <c r="V297" i="3"/>
  <c r="U282" i="3"/>
  <c r="V283" i="3"/>
  <c r="U268" i="3"/>
  <c r="V269" i="3"/>
  <c r="U275" i="3"/>
  <c r="V276" i="3"/>
  <c r="U228" i="3"/>
  <c r="V229" i="3"/>
  <c r="U221" i="3"/>
  <c r="V222" i="3"/>
  <c r="U207" i="3"/>
  <c r="V208" i="3"/>
  <c r="U214" i="3"/>
  <c r="V215" i="3"/>
  <c r="U289" i="3"/>
  <c r="V290" i="3"/>
  <c r="U261" i="3"/>
  <c r="V262" i="3"/>
  <c r="U254" i="3"/>
  <c r="V255" i="3"/>
  <c r="U247" i="3"/>
  <c r="V248" i="3"/>
  <c r="U186" i="3"/>
  <c r="V187" i="3"/>
  <c r="U179" i="3"/>
  <c r="V180" i="3"/>
  <c r="U172" i="3"/>
  <c r="V173" i="3"/>
  <c r="U165" i="3"/>
  <c r="V166" i="3"/>
  <c r="U325" i="3" l="1"/>
  <c r="V326" i="3"/>
  <c r="U326" i="3" s="1"/>
  <c r="U311" i="3"/>
  <c r="V312" i="3"/>
  <c r="U312" i="3" s="1"/>
  <c r="U318" i="3"/>
  <c r="V319" i="3"/>
  <c r="U319" i="3" s="1"/>
  <c r="U304" i="3"/>
  <c r="V305" i="3"/>
  <c r="U305" i="3" s="1"/>
  <c r="U297" i="3"/>
  <c r="V298" i="3"/>
  <c r="U298" i="3" s="1"/>
  <c r="U283" i="3"/>
  <c r="V284" i="3"/>
  <c r="U284" i="3" s="1"/>
  <c r="U269" i="3"/>
  <c r="V270" i="3"/>
  <c r="U270" i="3" s="1"/>
  <c r="U276" i="3"/>
  <c r="V277" i="3"/>
  <c r="U277" i="3" s="1"/>
  <c r="U215" i="3"/>
  <c r="V216" i="3"/>
  <c r="U216" i="3" s="1"/>
  <c r="U208" i="3"/>
  <c r="V209" i="3"/>
  <c r="U209" i="3" s="1"/>
  <c r="U222" i="3"/>
  <c r="V223" i="3"/>
  <c r="U223" i="3" s="1"/>
  <c r="U229" i="3"/>
  <c r="V230" i="3"/>
  <c r="U230" i="3" s="1"/>
  <c r="U248" i="3"/>
  <c r="V249" i="3"/>
  <c r="U249" i="3" s="1"/>
  <c r="U255" i="3"/>
  <c r="V256" i="3"/>
  <c r="U256" i="3" s="1"/>
  <c r="U262" i="3"/>
  <c r="V263" i="3"/>
  <c r="U263" i="3" s="1"/>
  <c r="U290" i="3"/>
  <c r="V291" i="3"/>
  <c r="U291" i="3" s="1"/>
  <c r="U180" i="3"/>
  <c r="V181" i="3"/>
  <c r="U181" i="3" s="1"/>
  <c r="U187" i="3"/>
  <c r="V188" i="3"/>
  <c r="U188" i="3" s="1"/>
  <c r="U173" i="3"/>
  <c r="V174" i="3"/>
  <c r="U174" i="3" s="1"/>
  <c r="U166" i="3"/>
  <c r="V167" i="3"/>
  <c r="U167" i="3" s="1"/>
  <c r="A154" i="3" l="1"/>
  <c r="A155" i="3" s="1"/>
  <c r="A156" i="3" s="1"/>
  <c r="A133" i="3"/>
  <c r="A134" i="3" s="1"/>
  <c r="A135" i="3" s="1"/>
  <c r="A136" i="3" s="1"/>
  <c r="A137" i="3" s="1"/>
  <c r="C134" i="3"/>
  <c r="C135" i="3" s="1"/>
  <c r="C136" i="3" s="1"/>
  <c r="C140" i="3" l="1"/>
  <c r="C141" i="3" s="1"/>
  <c r="A139" i="3"/>
  <c r="A140" i="3" s="1"/>
  <c r="A141" i="3" s="1"/>
  <c r="A142" i="3" s="1"/>
  <c r="A138" i="3"/>
  <c r="E333" i="3" l="1"/>
  <c r="E332" i="3"/>
  <c r="H116" i="3"/>
  <c r="I156" i="3" l="1"/>
  <c r="I155" i="3"/>
  <c r="I154" i="3"/>
  <c r="I134" i="3"/>
  <c r="I135" i="3"/>
  <c r="I136" i="3"/>
  <c r="I137" i="3"/>
  <c r="I139" i="3"/>
  <c r="I140" i="3"/>
  <c r="I141" i="3"/>
  <c r="I133" i="3"/>
  <c r="V154" i="3"/>
  <c r="W154" i="3"/>
  <c r="I123" i="3" l="1"/>
  <c r="I127" i="3" s="1"/>
  <c r="I119" i="3"/>
  <c r="I121" i="3" s="1"/>
  <c r="W155" i="3"/>
  <c r="W156" i="3" s="1"/>
  <c r="V155" i="3"/>
  <c r="U154" i="3"/>
  <c r="V156" i="3" l="1"/>
  <c r="U155" i="3"/>
  <c r="U156" i="3" l="1"/>
  <c r="E334" i="3" l="1"/>
</calcChain>
</file>

<file path=xl/sharedStrings.xml><?xml version="1.0" encoding="utf-8"?>
<sst xmlns="http://schemas.openxmlformats.org/spreadsheetml/2006/main" count="675" uniqueCount="287">
  <si>
    <t>Boundaries</t>
  </si>
  <si>
    <t>North</t>
  </si>
  <si>
    <t>East</t>
  </si>
  <si>
    <t>West</t>
  </si>
  <si>
    <t>:</t>
  </si>
  <si>
    <t>As per Actual at site</t>
  </si>
  <si>
    <t>South</t>
  </si>
  <si>
    <t>As per Documents</t>
  </si>
  <si>
    <t>As per Site / Actual</t>
  </si>
  <si>
    <t>Government Guideline/ Circle rate for Land (Rs per sqft)</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</si>
  <si>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</si>
  <si>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</si>
  <si>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</si>
  <si>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</si>
  <si>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</si>
  <si>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</si>
  <si>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</si>
  <si>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</si>
  <si>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</si>
  <si>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</si>
  <si>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</si>
  <si>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</si>
  <si>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</si>
  <si>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</si>
  <si>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</si>
  <si>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</si>
  <si>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</si>
  <si>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</si>
  <si>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</si>
  <si>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</si>
  <si>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</si>
  <si>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</si>
  <si>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</si>
  <si>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</si>
  <si>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</si>
  <si>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</si>
  <si>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</si>
  <si>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</si>
  <si>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</si>
  <si>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</si>
  <si>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</si>
  <si>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</si>
  <si>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</si>
  <si>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</si>
  <si>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</si>
  <si>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</si>
  <si>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</si>
  <si>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</si>
  <si>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</si>
  <si>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</si>
  <si>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</si>
  <si>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</si>
  <si>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</si>
  <si>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</si>
  <si>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</si>
  <si>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</si>
  <si>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</si>
  <si>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</si>
  <si>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</si>
  <si>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</si>
  <si>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</si>
  <si>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</si>
  <si>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</si>
  <si>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</si>
  <si>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</si>
  <si>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</si>
  <si>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</si>
  <si>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</si>
  <si>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</si>
  <si>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</si>
  <si>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</si>
  <si>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</si>
  <si>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</si>
  <si>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</si>
  <si>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</si>
  <si>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</si>
  <si>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</si>
  <si>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</si>
  <si>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</si>
  <si>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</si>
  <si>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</si>
  <si>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</si>
  <si>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</si>
  <si>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</si>
  <si>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</si>
  <si>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</si>
  <si>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</si>
  <si>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</si>
  <si>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</si>
  <si>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</si>
  <si>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</si>
  <si>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</si>
  <si>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</si>
  <si>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</si>
  <si>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</si>
  <si>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</si>
  <si>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</si>
  <si>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</si>
  <si>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</si>
  <si>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</si>
  <si>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</si>
  <si>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</si>
  <si>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</si>
  <si>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</si>
  <si>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</si>
  <si>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</si>
  <si>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</si>
  <si>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</si>
  <si>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</si>
  <si>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</si>
  <si>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</si>
  <si>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</si>
  <si>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</si>
  <si>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</si>
  <si>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</si>
  <si>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</si>
  <si>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</si>
  <si>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</si>
  <si>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</si>
  <si>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</si>
  <si>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</si>
  <si>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</si>
  <si>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</si>
  <si>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</si>
  <si>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</si>
  <si>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</si>
  <si>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</si>
  <si>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</si>
  <si>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</si>
  <si>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</si>
  <si>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</si>
  <si>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</si>
  <si>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</si>
  <si>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</si>
  <si>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</si>
  <si>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</si>
  <si>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</si>
  <si>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</si>
  <si>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</si>
  <si>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</si>
  <si>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</si>
  <si>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</si>
  <si>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</si>
  <si>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</si>
  <si>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</si>
  <si>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</si>
  <si>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</si>
  <si>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</si>
  <si>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</si>
  <si>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</si>
  <si>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</si>
  <si>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</si>
  <si>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</si>
  <si>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</si>
  <si>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</si>
  <si>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</si>
  <si>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</si>
  <si>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</si>
  <si>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</si>
  <si>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1st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</si>
  <si>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</si>
  <si>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</si>
  <si>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</si>
  <si>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</si>
  <si>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</si>
  <si>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</si>
  <si>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</si>
  <si>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</si>
  <si>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</si>
  <si>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</si>
  <si>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</si>
  <si>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</si>
  <si>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</si>
  <si>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</si>
  <si>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</si>
  <si>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Tower 1</t>
  </si>
  <si>
    <t>Tower 2</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</si>
  <si>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</si>
  <si>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</si>
  <si>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</si>
  <si>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</si>
  <si>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</si>
  <si>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</si>
  <si>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</si>
  <si>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</si>
  <si>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</si>
  <si>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</si>
  <si>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</si>
  <si>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</si>
  <si>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</si>
  <si>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</si>
  <si>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</si>
  <si>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Veerayya - 9820363516</t>
  </si>
  <si>
    <t>Ashank Macbricks Private Limited</t>
  </si>
  <si>
    <t>Godrej Exquisite, Survey No.206/2, 141/5, Near Waghbil Bus Stop &amp; Jalaja Hotel, Ghodbundar Road, Village- Kavesar, Thane West, Thane – 400607</t>
  </si>
  <si>
    <t>Survey No.206/2, 141/5, Near Waghbil Bus Stop &amp; Jalaja Hotel, Ghodbundar Road, Village - Kavesar, Thane West, Thane – 400607</t>
  </si>
  <si>
    <t>P51700024496</t>
  </si>
  <si>
    <t xml:space="preserve">Axis Bank
IFSC Code = UTIB0000004
</t>
  </si>
  <si>
    <t xml:space="preserve">Thane Municipal Corporation
</t>
  </si>
  <si>
    <t>Tower 3</t>
  </si>
  <si>
    <t xml:space="preserve">VP/S06/0310/18TMC/TD-DP/TPS/3948/22
Date: 09/02/2022
</t>
  </si>
  <si>
    <t>Tower 1, 2 &amp; 3</t>
  </si>
  <si>
    <t>VP.No. S06/0310/18 - TMC/TDD/3948/22
Date: 09/02/2022
Valid Up to:
Tower 1, 2 &amp; 3 = G + 1st Podium +2nd Podium + 3rd Podium + Stilt + 1st to 32nd Floor</t>
  </si>
  <si>
    <t>G + 1st Podium +2nd Podium + 3rd Podium + Stilt + 1st to 38th Floor + Recreational Floor + 39th Floor</t>
  </si>
  <si>
    <t>Manas Anand CHS Ltd.</t>
  </si>
  <si>
    <t xml:space="preserve">Club </t>
  </si>
  <si>
    <t>Block Number - 5th Floor, Building Name - Godrej One, Street Name - Pirojshanagar, Locality - Vikhroli East, Land mark - Eastern Express Highway</t>
  </si>
  <si>
    <t>Ghodbunder Road</t>
  </si>
  <si>
    <t>Open Plot</t>
  </si>
  <si>
    <t>7.6 KM from Thane Railway Station
9.8 KM from Kalva Railway Station</t>
  </si>
  <si>
    <t>Middle</t>
  </si>
  <si>
    <t>1.2 KM from Waghbil Naka Bus Stop.</t>
  </si>
  <si>
    <t>About 1.7 KM from New Horizon Scholars School &amp; Neo Kids</t>
  </si>
  <si>
    <t>About 2.9 KM form Tieten Hospital</t>
  </si>
  <si>
    <t>1. Approx. 950 M from Waghbil street Village Market.
2. Approx. 1.1 KM from D Mart.</t>
  </si>
  <si>
    <t>Ground Floor</t>
  </si>
  <si>
    <t>Shop</t>
  </si>
  <si>
    <t>5A</t>
  </si>
  <si>
    <t>5B</t>
  </si>
  <si>
    <t>Office</t>
  </si>
  <si>
    <t>1st Podium Floor For Amenities &amp; Commer</t>
  </si>
  <si>
    <t>2nd &amp; 3rd Podium Floor For Parking</t>
  </si>
  <si>
    <t>3BHK</t>
  </si>
  <si>
    <t>2BHK</t>
  </si>
  <si>
    <t>2nd, 4th to 6th, 8th to 11th, 13th to 16th, 18th to 21st, 23rd to 26th, 28th to 31st Floor</t>
  </si>
  <si>
    <t>3rd, 7th, 12th, 17th, 22nd, 27th &amp; 32nd Floor (Part Refuge Area)</t>
  </si>
  <si>
    <t>Refuge Area</t>
  </si>
  <si>
    <t>33rd to 36th &amp; 38th Floor</t>
  </si>
  <si>
    <t>37th Floor (Part Refuge Area)</t>
  </si>
  <si>
    <t>Tower No. 1  =  G + 1st Podium +2nd Podium + 3rd Podium + Stilt + 1st to 38th Floor + Recreational Floor + 39th Floor</t>
  </si>
  <si>
    <t>Tower No. 3  =  G + 1st Podium +2nd Podium + 3rd Podium + Stilt + 1st to 38th Floor + Recreational Floor + 39th Floor</t>
  </si>
  <si>
    <t>Tower No. 2  =  G + 1st Podium +2nd Podium + 3rd Podium + Stilt + 1st to 38th Floor + Recreational Floor + 39th Floor</t>
  </si>
  <si>
    <t>39th Floor For Fitness Center</t>
  </si>
  <si>
    <t>Recreational Floor Between 38th &amp; 39th Floor</t>
  </si>
  <si>
    <t>Ground Floor For Parking</t>
  </si>
  <si>
    <t>1st Podium Floor For Amenities</t>
  </si>
  <si>
    <t>Residential + Commercial</t>
  </si>
  <si>
    <t>Approved Layout &amp; Floor Plans, CC</t>
  </si>
  <si>
    <t>Stilt Floor For Entrance lobby &amp; Residential</t>
  </si>
  <si>
    <t xml:space="preserve">1st Floor </t>
  </si>
  <si>
    <t>1BHK</t>
  </si>
  <si>
    <t>2nd, 4th to 6th, 8th to 11th, 13th &amp; 14th Floor</t>
  </si>
  <si>
    <t>3rd, 7th &amp; 12th Floor (Part Refuge Area)</t>
  </si>
  <si>
    <t>15th Floor</t>
  </si>
  <si>
    <t>16th, 18th, 19th Floor</t>
  </si>
  <si>
    <t>17th Floor (Part Refuge Area)</t>
  </si>
  <si>
    <t>20th, 21st, 23rd to 26th, 28th to 31st Floor</t>
  </si>
  <si>
    <t>22nd, 27th &amp; 32nd Floor (Part Refuge Area)</t>
  </si>
  <si>
    <t>33rd Floor</t>
  </si>
  <si>
    <t>34th &amp; 35th Floor</t>
  </si>
  <si>
    <t>36th Floor</t>
  </si>
  <si>
    <t>38th Floor</t>
  </si>
  <si>
    <t xml:space="preserve">Tower 1 </t>
  </si>
  <si>
    <t>ESW</t>
  </si>
  <si>
    <t>Flats</t>
  </si>
  <si>
    <t>4 - ESW</t>
  </si>
  <si>
    <t>6 - ESW</t>
  </si>
  <si>
    <t>5 - ESW</t>
  </si>
  <si>
    <t>5 -ESW</t>
  </si>
  <si>
    <t>Office = 9 &amp; Shop = 10</t>
  </si>
  <si>
    <t>Shop &amp; Office</t>
  </si>
  <si>
    <t>Flats = 613 &amp; ESW Flats = 47</t>
  </si>
  <si>
    <t>Flats = 555, Office = 9 &amp; Shop = 9 
As per RERA</t>
  </si>
  <si>
    <t>9,00,000/-</t>
  </si>
  <si>
    <t>Godrej Exquisite (Tower No 1 to 3)</t>
  </si>
  <si>
    <t>On Carpet area</t>
  </si>
  <si>
    <t>Rate of Shop Per Sq. Ft. 
(on Carpet area)</t>
  </si>
  <si>
    <t>Rate of Office Per Sq. Ft. 
(on Carpet area)</t>
  </si>
  <si>
    <t>Location Link</t>
  </si>
  <si>
    <t>https://goo.gl/maps/FmdhvrPquZ3wzfyJA</t>
  </si>
  <si>
    <t>External Plaster</t>
  </si>
  <si>
    <t>External Plumbing, Elevation and Waterproofing</t>
  </si>
  <si>
    <t>Wooden Work</t>
  </si>
  <si>
    <t>Electrical &amp; Sanitary fittings</t>
  </si>
  <si>
    <t xml:space="preserve">25% Plinth Completed Table Updated </t>
  </si>
  <si>
    <t>Name of Engineer Visited the property</t>
  </si>
  <si>
    <t>Authorized Signatory Name &amp; Signature</t>
  </si>
  <si>
    <t>Mr. Ajay Songare</t>
  </si>
  <si>
    <t>21000 to 22000</t>
  </si>
  <si>
    <t>RATe 500+ Gaurav Verbal urg on 25/03/2025</t>
  </si>
  <si>
    <t>S06/0310/18 TMC/TDD/4449/23
Date : 01/08/2023
Valid Upto : 
Tower 1, 2 &amp; 3 = 33rd to 38th + Recreational Floor + 39th Floor</t>
  </si>
  <si>
    <t xml:space="preserve">1. Construction work is in process at the time of Visit. Internal Visit was not allowed.
2. We considered  Saleable area as per our calculation.
3. We considered Carpet area as per Approved Plan.
4. We considered Gross carpet area = Net carpet + Enclose balcony + D.B Area + F.B Area.
5. We have considered rate by verifying it from market inquire.
6. Car parking is subjected to authentic documentation.
7. We have updated revised approved CC from RERA Site (On 29/04/2025).
7. On Site, we meet Ms.Neetu (8657915212)
</t>
  </si>
  <si>
    <t>Floor Rise as discusses with Suraj 21/06/2025</t>
  </si>
  <si>
    <t>100/- per Sq.ft from 6th Floor</t>
  </si>
  <si>
    <t>04/07/2025 @12:05 PM</t>
  </si>
  <si>
    <t>38 slabs mentioned in April month arch letter approved plans upto 39 Floor hence RCC complete not given</t>
  </si>
  <si>
    <t>Mr.Suraj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</si>
</sst>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u/>
      <sz val="11"/>
      <color theme="10"/>
      <name val="Calibri"/>
      <family val="2"/>
    </font>
    <font>
      <sz val="16"/>
      <color rgb="FFFF0000"/>
      <name val="Times New Roman"/>
      <family val="1"/>
    </font>
    <font>
      <u/>
      <sz val="14"/>
      <color theme="10"/>
      <name val="Calibri"/>
      <family val="2"/>
    </font>
    <font>
      <sz val="14"/>
      <name val="Times New Roman"/>
      <family val="1"/>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173">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1" fontId="3" fillId="4" borderId="1"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12" fillId="5" borderId="0" xfId="0" applyFont="1" applyFill="1" applyAlignment="1">
      <alignment vertical="top"/>
    </xf>
    <xf numFmtId="0" fontId="2" fillId="0" borderId="1" xfId="0" applyFont="1" applyBorder="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4" fillId="4" borderId="15" xfId="0" applyFont="1" applyFill="1" applyBorder="1" applyAlignment="1">
      <alignment horizontal="center" vertical="top" wrapText="1"/>
    </xf>
    <xf numFmtId="0" fontId="3" fillId="0" borderId="9" xfId="0" applyFont="1" applyBorder="1" applyAlignment="1">
      <alignment vertical="top"/>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12" xfId="0" applyFont="1" applyFill="1" applyBorder="1" applyAlignment="1">
      <alignment horizontal="left" vertical="top" wrapText="1"/>
    </xf>
    <xf numFmtId="0" fontId="4" fillId="4" borderId="13" xfId="0" applyFont="1" applyFill="1" applyBorder="1" applyAlignment="1">
      <alignment horizontal="left" vertical="top" wrapText="1"/>
    </xf>
    <xf numFmtId="0" fontId="4" fillId="4" borderId="14" xfId="0" applyFont="1" applyFill="1" applyBorder="1" applyAlignment="1">
      <alignment horizontal="left" vertical="top" wrapText="1"/>
    </xf>
    <xf numFmtId="0" fontId="4" fillId="4" borderId="15" xfId="0"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4" fillId="4" borderId="1" xfId="0" applyFont="1" applyFill="1" applyBorder="1" applyAlignment="1">
      <alignment horizontal="left" vertical="top"/>
    </xf>
    <xf numFmtId="0" fontId="4" fillId="0" borderId="6" xfId="0" applyFont="1" applyBorder="1" applyAlignment="1">
      <alignment horizontal="center" vertical="top" wrapText="1"/>
    </xf>
    <xf numFmtId="0" fontId="4" fillId="0" borderId="10" xfId="0" applyFont="1" applyBorder="1" applyAlignment="1">
      <alignment horizontal="center" vertical="top" wrapText="1"/>
    </xf>
    <xf numFmtId="0" fontId="4" fillId="0" borderId="8" xfId="0"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0" fontId="4" fillId="4" borderId="1" xfId="0" applyFont="1" applyFill="1" applyBorder="1" applyAlignment="1">
      <alignment horizontal="left" vertical="top" wrapText="1"/>
    </xf>
    <xf numFmtId="9" fontId="2" fillId="4" borderId="1" xfId="1" applyNumberFormat="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2" fontId="4" fillId="4" borderId="1" xfId="0" applyNumberFormat="1" applyFont="1" applyFill="1" applyBorder="1" applyAlignment="1">
      <alignment horizontal="left" vertical="top" wrapText="1"/>
    </xf>
    <xf numFmtId="0" fontId="13" fillId="4" borderId="2" xfId="2" applyFont="1" applyFill="1" applyBorder="1" applyAlignment="1">
      <alignment horizontal="left" vertical="top" wrapText="1"/>
    </xf>
    <xf numFmtId="0" fontId="14" fillId="4" borderId="3" xfId="0" applyFont="1" applyFill="1" applyBorder="1" applyAlignment="1">
      <alignment horizontal="left" vertical="top" wrapText="1"/>
    </xf>
    <xf numFmtId="0" fontId="14" fillId="4" borderId="5" xfId="0" applyFont="1" applyFill="1" applyBorder="1" applyAlignment="1">
      <alignment horizontal="left"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0" borderId="1" xfId="1" applyNumberFormat="1" applyFont="1" applyBorder="1" applyAlignment="1">
      <alignment horizontal="center"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4" borderId="2"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2" borderId="1" xfId="0" applyFont="1" applyFill="1" applyBorder="1" applyAlignment="1">
      <alignment horizontal="left" vertical="top"/>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2" fillId="2" borderId="14" xfId="0" applyFont="1" applyFill="1" applyBorder="1" applyAlignment="1">
      <alignment horizontal="center" vertical="top"/>
    </xf>
    <xf numFmtId="0" fontId="2" fillId="2" borderId="9" xfId="0" applyFont="1" applyFill="1" applyBorder="1" applyAlignment="1">
      <alignment horizontal="center" vertical="top"/>
    </xf>
    <xf numFmtId="0" fontId="2" fillId="2" borderId="15" xfId="0" applyFont="1" applyFill="1" applyBorder="1" applyAlignment="1">
      <alignment horizontal="center" vertical="top"/>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4"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4" fillId="0" borderId="1" xfId="0" applyFont="1" applyBorder="1" applyAlignment="1">
      <alignment horizontal="left" vertical="top"/>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1" fontId="3" fillId="4" borderId="2" xfId="1" applyNumberFormat="1" applyFont="1" applyFill="1" applyBorder="1" applyAlignment="1">
      <alignment horizontal="center" vertical="center" wrapText="1"/>
    </xf>
    <xf numFmtId="1" fontId="3" fillId="4" borderId="5"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8" fillId="4" borderId="2" xfId="1" applyNumberFormat="1" applyFont="1" applyFill="1" applyBorder="1" applyAlignment="1">
      <alignment horizontal="center" vertical="center" wrapText="1"/>
    </xf>
    <xf numFmtId="1" fontId="8" fillId="4" borderId="3" xfId="1" applyNumberFormat="1" applyFont="1" applyFill="1" applyBorder="1" applyAlignment="1">
      <alignment horizontal="center" vertical="center" wrapText="1"/>
    </xf>
    <xf numFmtId="1" fontId="8" fillId="4" borderId="5" xfId="1" applyNumberFormat="1" applyFont="1" applyFill="1" applyBorder="1" applyAlignment="1">
      <alignment horizontal="center" vertical="center" wrapText="1"/>
    </xf>
    <xf numFmtId="1" fontId="3" fillId="4" borderId="1" xfId="1" applyNumberFormat="1" applyFont="1" applyFill="1" applyBorder="1" applyAlignment="1">
      <alignment horizontal="center" vertical="center" wrapText="1"/>
    </xf>
    <xf numFmtId="1" fontId="2" fillId="4" borderId="2" xfId="1" applyNumberFormat="1" applyFont="1" applyFill="1" applyBorder="1" applyAlignment="1">
      <alignment horizontal="center" vertical="top" wrapText="1"/>
    </xf>
    <xf numFmtId="1" fontId="2" fillId="4" borderId="5" xfId="1" applyNumberFormat="1" applyFont="1" applyFill="1" applyBorder="1" applyAlignment="1">
      <alignment horizontal="center" vertical="top" wrapText="1"/>
    </xf>
    <xf numFmtId="14" fontId="3" fillId="0" borderId="0" xfId="0" applyNumberFormat="1" applyFont="1" applyAlignment="1">
      <alignment vertical="top"/>
    </xf>
    <xf numFmtId="14" fontId="12" fillId="0" borderId="0" xfId="0" applyNumberFormat="1" applyFont="1" applyAlignment="1">
      <alignment vertical="top"/>
    </xf>
    <xf numFmtId="0" fontId="12" fillId="0" borderId="0" xfId="0"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1100254</xdr:colOff>
      <xdr:row>376</xdr:row>
      <xdr:rowOff>53788</xdr:rowOff>
    </xdr:from>
    <xdr:to>
      <xdr:col>7</xdr:col>
      <xdr:colOff>17929</xdr:colOff>
      <xdr:row>399</xdr:row>
      <xdr:rowOff>158323</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3320940" y="114386445"/>
          <a:ext cx="4033960" cy="6363821"/>
          <a:chOff x="2967955" y="117147604"/>
          <a:chExt cx="4402265" cy="9561829"/>
        </a:xfrm>
      </xdr:grpSpPr>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967955" y="122051700"/>
            <a:ext cx="4402265" cy="4657733"/>
          </a:xfrm>
          <a:prstGeom prst="rect">
            <a:avLst/>
          </a:prstGeom>
          <a:ln>
            <a:solidFill>
              <a:schemeClr val="tx1"/>
            </a:solidFill>
          </a:ln>
        </xdr:spPr>
      </xdr:pic>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967955" y="117147604"/>
            <a:ext cx="4402265" cy="4657735"/>
          </a:xfrm>
          <a:prstGeom prst="rect">
            <a:avLst/>
          </a:prstGeom>
          <a:ln>
            <a:solidFill>
              <a:schemeClr val="tx1"/>
            </a:solidFill>
          </a:ln>
        </xdr:spPr>
      </xdr:pic>
    </xdr:grpSp>
    <xdr:clientData/>
  </xdr:twoCellAnchor>
  <xdr:twoCellAnchor>
    <xdr:from>
      <xdr:col>9</xdr:col>
      <xdr:colOff>1712673</xdr:colOff>
      <xdr:row>333</xdr:row>
      <xdr:rowOff>56029</xdr:rowOff>
    </xdr:from>
    <xdr:to>
      <xdr:col>11</xdr:col>
      <xdr:colOff>229989</xdr:colOff>
      <xdr:row>335</xdr:row>
      <xdr:rowOff>108332</xdr:rowOff>
    </xdr:to>
    <xdr:sp macro="" textlink="">
      <xdr:nvSpPr>
        <xdr:cNvPr id="11" name="Rectangle 10">
          <a:extLst>
            <a:ext uri="{FF2B5EF4-FFF2-40B4-BE49-F238E27FC236}">
              <a16:creationId xmlns:a16="http://schemas.microsoft.com/office/drawing/2014/main" id="{00000000-0008-0000-0000-00000B000000}"/>
            </a:ext>
          </a:extLst>
        </xdr:cNvPr>
        <xdr:cNvSpPr/>
      </xdr:nvSpPr>
      <xdr:spPr>
        <a:xfrm>
          <a:off x="12862526" y="101525294"/>
          <a:ext cx="1610139" cy="5677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2400" b="1">
              <a:ln>
                <a:noFill/>
              </a:ln>
              <a:solidFill>
                <a:srgbClr val="C00000"/>
              </a:solidFill>
            </a:rPr>
            <a:t>T2</a:t>
          </a:r>
        </a:p>
      </xdr:txBody>
    </xdr:sp>
    <xdr:clientData/>
  </xdr:twoCellAnchor>
  <xdr:twoCellAnchor>
    <xdr:from>
      <xdr:col>9</xdr:col>
      <xdr:colOff>931052</xdr:colOff>
      <xdr:row>334</xdr:row>
      <xdr:rowOff>107576</xdr:rowOff>
    </xdr:from>
    <xdr:to>
      <xdr:col>24</xdr:col>
      <xdr:colOff>49308</xdr:colOff>
      <xdr:row>359</xdr:row>
      <xdr:rowOff>188258</xdr:rowOff>
    </xdr:to>
    <xdr:grpSp>
      <xdr:nvGrpSpPr>
        <xdr:cNvPr id="6" name="Group 5">
          <a:extLst>
            <a:ext uri="{FF2B5EF4-FFF2-40B4-BE49-F238E27FC236}">
              <a16:creationId xmlns:a16="http://schemas.microsoft.com/office/drawing/2014/main" id="{3A203832-C1BA-44A3-A860-AD0EFD406AEF}"/>
            </a:ext>
          </a:extLst>
        </xdr:cNvPr>
        <xdr:cNvGrpSpPr/>
      </xdr:nvGrpSpPr>
      <xdr:grpSpPr>
        <a:xfrm>
          <a:off x="11620823" y="106003805"/>
          <a:ext cx="9165771" cy="6884253"/>
          <a:chOff x="58720" y="370680"/>
          <a:chExt cx="7494075" cy="5671186"/>
        </a:xfrm>
      </xdr:grpSpPr>
      <xdr:grpSp>
        <xdr:nvGrpSpPr>
          <xdr:cNvPr id="7" name="Group 6">
            <a:extLst>
              <a:ext uri="{FF2B5EF4-FFF2-40B4-BE49-F238E27FC236}">
                <a16:creationId xmlns:a16="http://schemas.microsoft.com/office/drawing/2014/main" id="{9D24C005-2DE3-BCD9-E739-F4A8AC7ADFD1}"/>
              </a:ext>
            </a:extLst>
          </xdr:cNvPr>
          <xdr:cNvGrpSpPr/>
        </xdr:nvGrpSpPr>
        <xdr:grpSpPr>
          <a:xfrm>
            <a:off x="58720" y="3521866"/>
            <a:ext cx="7494075" cy="2520000"/>
            <a:chOff x="58720" y="3521866"/>
            <a:chExt cx="7494075" cy="2520000"/>
          </a:xfrm>
        </xdr:grpSpPr>
        <xdr:pic>
          <xdr:nvPicPr>
            <xdr:cNvPr id="37" name="Picture 36">
              <a:extLst>
                <a:ext uri="{FF2B5EF4-FFF2-40B4-BE49-F238E27FC236}">
                  <a16:creationId xmlns:a16="http://schemas.microsoft.com/office/drawing/2014/main" id="{C2524341-0C71-D9AD-B82A-ED6F387E1995}"/>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a:ext>
              </a:extLst>
            </a:blip>
            <a:stretch>
              <a:fillRect/>
            </a:stretch>
          </xdr:blipFill>
          <xdr:spPr>
            <a:xfrm>
              <a:off x="5664764" y="3521866"/>
              <a:ext cx="1888031" cy="2520000"/>
            </a:xfrm>
            <a:prstGeom prst="rect">
              <a:avLst/>
            </a:prstGeom>
            <a:ln>
              <a:solidFill>
                <a:schemeClr val="tx1"/>
              </a:solidFill>
            </a:ln>
          </xdr:spPr>
        </xdr:pic>
        <xdr:pic>
          <xdr:nvPicPr>
            <xdr:cNvPr id="38" name="Picture 37">
              <a:extLst>
                <a:ext uri="{FF2B5EF4-FFF2-40B4-BE49-F238E27FC236}">
                  <a16:creationId xmlns:a16="http://schemas.microsoft.com/office/drawing/2014/main" id="{FF6BA71F-597E-4607-0DA4-8A2CCA94558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127313" y="3521866"/>
              <a:ext cx="3356889" cy="2520000"/>
            </a:xfrm>
            <a:prstGeom prst="rect">
              <a:avLst/>
            </a:prstGeom>
            <a:ln>
              <a:solidFill>
                <a:schemeClr val="tx1"/>
              </a:solidFill>
            </a:ln>
          </xdr:spPr>
        </xdr:pic>
        <xdr:pic>
          <xdr:nvPicPr>
            <xdr:cNvPr id="39" name="Picture 38">
              <a:extLst>
                <a:ext uri="{FF2B5EF4-FFF2-40B4-BE49-F238E27FC236}">
                  <a16:creationId xmlns:a16="http://schemas.microsoft.com/office/drawing/2014/main" id="{07EDFD6C-7CD5-DCDA-A0AF-3B79EFFB7B35}"/>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a:ext>
              </a:extLst>
            </a:blip>
            <a:stretch>
              <a:fillRect/>
            </a:stretch>
          </xdr:blipFill>
          <xdr:spPr>
            <a:xfrm>
              <a:off x="58720" y="3521866"/>
              <a:ext cx="1888031" cy="2520000"/>
            </a:xfrm>
            <a:prstGeom prst="rect">
              <a:avLst/>
            </a:prstGeom>
            <a:ln>
              <a:solidFill>
                <a:schemeClr val="tx1"/>
              </a:solidFill>
            </a:ln>
          </xdr:spPr>
        </xdr:pic>
      </xdr:grpSp>
      <xdr:grpSp>
        <xdr:nvGrpSpPr>
          <xdr:cNvPr id="8" name="Group 7">
            <a:extLst>
              <a:ext uri="{FF2B5EF4-FFF2-40B4-BE49-F238E27FC236}">
                <a16:creationId xmlns:a16="http://schemas.microsoft.com/office/drawing/2014/main" id="{49A38A18-D885-6A41-7576-180FDAAB466A}"/>
              </a:ext>
            </a:extLst>
          </xdr:cNvPr>
          <xdr:cNvGrpSpPr/>
        </xdr:nvGrpSpPr>
        <xdr:grpSpPr>
          <a:xfrm>
            <a:off x="329850" y="370680"/>
            <a:ext cx="6834374" cy="2880000"/>
            <a:chOff x="259080" y="370680"/>
            <a:chExt cx="6834374" cy="2880000"/>
          </a:xfrm>
        </xdr:grpSpPr>
        <xdr:pic>
          <xdr:nvPicPr>
            <xdr:cNvPr id="9" name="Picture 8">
              <a:extLst>
                <a:ext uri="{FF2B5EF4-FFF2-40B4-BE49-F238E27FC236}">
                  <a16:creationId xmlns:a16="http://schemas.microsoft.com/office/drawing/2014/main" id="{A4C1A30B-5E61-06F7-C539-BE56638F72A9}"/>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a:ext>
              </a:extLst>
            </a:blip>
            <a:stretch>
              <a:fillRect/>
            </a:stretch>
          </xdr:blipFill>
          <xdr:spPr>
            <a:xfrm>
              <a:off x="259080" y="370680"/>
              <a:ext cx="2157750" cy="2880000"/>
            </a:xfrm>
            <a:prstGeom prst="rect">
              <a:avLst/>
            </a:prstGeom>
            <a:ln>
              <a:solidFill>
                <a:schemeClr val="tx1"/>
              </a:solidFill>
            </a:ln>
          </xdr:spPr>
        </xdr:pic>
        <xdr:pic>
          <xdr:nvPicPr>
            <xdr:cNvPr id="10" name="Picture 9">
              <a:extLst>
                <a:ext uri="{FF2B5EF4-FFF2-40B4-BE49-F238E27FC236}">
                  <a16:creationId xmlns:a16="http://schemas.microsoft.com/office/drawing/2014/main" id="{F27ADFF0-6E81-44E3-36EF-DAF30ACD2C08}"/>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a:ext>
              </a:extLst>
            </a:blip>
            <a:stretch>
              <a:fillRect/>
            </a:stretch>
          </xdr:blipFill>
          <xdr:spPr>
            <a:xfrm>
              <a:off x="4935704" y="370680"/>
              <a:ext cx="2157750" cy="2880000"/>
            </a:xfrm>
            <a:prstGeom prst="rect">
              <a:avLst/>
            </a:prstGeom>
            <a:ln>
              <a:solidFill>
                <a:schemeClr val="tx1"/>
              </a:solidFill>
            </a:ln>
          </xdr:spPr>
        </xdr:pic>
        <xdr:pic>
          <xdr:nvPicPr>
            <xdr:cNvPr id="14" name="Picture 13">
              <a:extLst>
                <a:ext uri="{FF2B5EF4-FFF2-40B4-BE49-F238E27FC236}">
                  <a16:creationId xmlns:a16="http://schemas.microsoft.com/office/drawing/2014/main" id="{A0D70D7E-9386-8D25-2C9C-6DB09D88F69C}"/>
                </a:ext>
              </a:extLst>
            </xdr:cNvPr>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a:ext>
              </a:extLst>
            </a:blip>
            <a:stretch>
              <a:fillRect/>
            </a:stretch>
          </xdr:blipFill>
          <xdr:spPr>
            <a:xfrm>
              <a:off x="2597392" y="370680"/>
              <a:ext cx="2157750" cy="2880000"/>
            </a:xfrm>
            <a:prstGeom prst="rect">
              <a:avLst/>
            </a:prstGeom>
            <a:ln>
              <a:solidFill>
                <a:schemeClr val="tx1"/>
              </a:solidFill>
            </a:ln>
          </xdr:spPr>
        </xdr:pic>
        <xdr:sp macro="" textlink="">
          <xdr:nvSpPr>
            <xdr:cNvPr id="25" name="TextBox 16">
              <a:extLst>
                <a:ext uri="{FF2B5EF4-FFF2-40B4-BE49-F238E27FC236}">
                  <a16:creationId xmlns:a16="http://schemas.microsoft.com/office/drawing/2014/main" id="{78603D06-05B8-2D76-27B3-6E069AEEEDE0}"/>
                </a:ext>
              </a:extLst>
            </xdr:cNvPr>
            <xdr:cNvSpPr txBox="1"/>
          </xdr:nvSpPr>
          <xdr:spPr>
            <a:xfrm>
              <a:off x="6228542" y="740012"/>
              <a:ext cx="41549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T3</a:t>
              </a:r>
              <a:endParaRPr lang="en-IN" b="1"/>
            </a:p>
          </xdr:txBody>
        </xdr:sp>
        <xdr:sp macro="" textlink="">
          <xdr:nvSpPr>
            <xdr:cNvPr id="26" name="TextBox 17">
              <a:extLst>
                <a:ext uri="{FF2B5EF4-FFF2-40B4-BE49-F238E27FC236}">
                  <a16:creationId xmlns:a16="http://schemas.microsoft.com/office/drawing/2014/main" id="{FD0EAA3E-F547-7CF1-2BC5-401AAB4B0F51}"/>
                </a:ext>
              </a:extLst>
            </xdr:cNvPr>
            <xdr:cNvSpPr txBox="1"/>
          </xdr:nvSpPr>
          <xdr:spPr>
            <a:xfrm>
              <a:off x="3747037" y="370680"/>
              <a:ext cx="41549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T2</a:t>
              </a:r>
              <a:endParaRPr lang="en-IN" b="1"/>
            </a:p>
          </xdr:txBody>
        </xdr:sp>
        <xdr:sp macro="" textlink="">
          <xdr:nvSpPr>
            <xdr:cNvPr id="27" name="TextBox 18">
              <a:extLst>
                <a:ext uri="{FF2B5EF4-FFF2-40B4-BE49-F238E27FC236}">
                  <a16:creationId xmlns:a16="http://schemas.microsoft.com/office/drawing/2014/main" id="{5EFBB9A9-5E80-19C8-48E9-6D6D4B6CC53A}"/>
                </a:ext>
              </a:extLst>
            </xdr:cNvPr>
            <xdr:cNvSpPr txBox="1"/>
          </xdr:nvSpPr>
          <xdr:spPr>
            <a:xfrm>
              <a:off x="422510" y="370680"/>
              <a:ext cx="41389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T1</a:t>
              </a:r>
              <a:endParaRPr lang="en-IN" b="1"/>
            </a:p>
          </xdr:txBody>
        </xdr:sp>
      </xdr:grpSp>
    </xdr:grpSp>
    <xdr:clientData/>
  </xdr:twoCellAnchor>
  <xdr:twoCellAnchor>
    <xdr:from>
      <xdr:col>0</xdr:col>
      <xdr:colOff>740229</xdr:colOff>
      <xdr:row>335</xdr:row>
      <xdr:rowOff>10885</xdr:rowOff>
    </xdr:from>
    <xdr:to>
      <xdr:col>8</xdr:col>
      <xdr:colOff>729344</xdr:colOff>
      <xdr:row>360</xdr:row>
      <xdr:rowOff>174170</xdr:rowOff>
    </xdr:to>
    <xdr:grpSp>
      <xdr:nvGrpSpPr>
        <xdr:cNvPr id="28" name="Group 27">
          <a:extLst>
            <a:ext uri="{FF2B5EF4-FFF2-40B4-BE49-F238E27FC236}">
              <a16:creationId xmlns:a16="http://schemas.microsoft.com/office/drawing/2014/main" id="{96FA0226-40AF-7D8F-0D3A-0E4EB7C3E28D}"/>
            </a:ext>
          </a:extLst>
        </xdr:cNvPr>
        <xdr:cNvGrpSpPr/>
      </xdr:nvGrpSpPr>
      <xdr:grpSpPr>
        <a:xfrm>
          <a:off x="740229" y="106179256"/>
          <a:ext cx="9002486" cy="6966857"/>
          <a:chOff x="-261579" y="162560"/>
          <a:chExt cx="7866179" cy="6065840"/>
        </a:xfrm>
      </xdr:grpSpPr>
      <xdr:grpSp>
        <xdr:nvGrpSpPr>
          <xdr:cNvPr id="29" name="Group 28">
            <a:extLst>
              <a:ext uri="{FF2B5EF4-FFF2-40B4-BE49-F238E27FC236}">
                <a16:creationId xmlns:a16="http://schemas.microsoft.com/office/drawing/2014/main" id="{66D387AD-D0BA-ED95-4B48-F6CA8FCF93F4}"/>
              </a:ext>
            </a:extLst>
          </xdr:cNvPr>
          <xdr:cNvGrpSpPr/>
        </xdr:nvGrpSpPr>
        <xdr:grpSpPr>
          <a:xfrm>
            <a:off x="971825" y="3708400"/>
            <a:ext cx="5399371" cy="2520000"/>
            <a:chOff x="740492" y="3708400"/>
            <a:chExt cx="5399371" cy="2520000"/>
          </a:xfrm>
        </xdr:grpSpPr>
        <xdr:pic>
          <xdr:nvPicPr>
            <xdr:cNvPr id="40" name="Picture 39">
              <a:extLst>
                <a:ext uri="{FF2B5EF4-FFF2-40B4-BE49-F238E27FC236}">
                  <a16:creationId xmlns:a16="http://schemas.microsoft.com/office/drawing/2014/main" id="{93A5FE44-EE3A-1B82-440E-51D8CA436E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0492" y="3708400"/>
              <a:ext cx="3356889" cy="2520000"/>
            </a:xfrm>
            <a:prstGeom prst="rect">
              <a:avLst/>
            </a:prstGeom>
            <a:ln>
              <a:solidFill>
                <a:schemeClr val="tx1"/>
              </a:solidFill>
            </a:ln>
          </xdr:spPr>
        </xdr:pic>
        <xdr:pic>
          <xdr:nvPicPr>
            <xdr:cNvPr id="41" name="Picture 40">
              <a:extLst>
                <a:ext uri="{FF2B5EF4-FFF2-40B4-BE49-F238E27FC236}">
                  <a16:creationId xmlns:a16="http://schemas.microsoft.com/office/drawing/2014/main" id="{ECC3B11F-921F-97F3-BFB5-93FE4BB210A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51832" y="3708400"/>
              <a:ext cx="1888031" cy="2520000"/>
            </a:xfrm>
            <a:prstGeom prst="rect">
              <a:avLst/>
            </a:prstGeom>
            <a:ln>
              <a:solidFill>
                <a:schemeClr val="tx1"/>
              </a:solidFill>
            </a:ln>
          </xdr:spPr>
        </xdr:pic>
      </xdr:grpSp>
      <xdr:grpSp>
        <xdr:nvGrpSpPr>
          <xdr:cNvPr id="30" name="Group 29">
            <a:extLst>
              <a:ext uri="{FF2B5EF4-FFF2-40B4-BE49-F238E27FC236}">
                <a16:creationId xmlns:a16="http://schemas.microsoft.com/office/drawing/2014/main" id="{32C3979E-C22A-2818-606A-574F1CF58054}"/>
              </a:ext>
            </a:extLst>
          </xdr:cNvPr>
          <xdr:cNvGrpSpPr/>
        </xdr:nvGrpSpPr>
        <xdr:grpSpPr>
          <a:xfrm>
            <a:off x="-261579" y="162560"/>
            <a:ext cx="7866179" cy="3363504"/>
            <a:chOff x="-261579" y="162560"/>
            <a:chExt cx="7866179" cy="3363504"/>
          </a:xfrm>
        </xdr:grpSpPr>
        <xdr:pic>
          <xdr:nvPicPr>
            <xdr:cNvPr id="31" name="Picture 30">
              <a:extLst>
                <a:ext uri="{FF2B5EF4-FFF2-40B4-BE49-F238E27FC236}">
                  <a16:creationId xmlns:a16="http://schemas.microsoft.com/office/drawing/2014/main" id="{073302D1-D614-CE51-A05A-A721126231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1579" y="162560"/>
              <a:ext cx="2520000" cy="3363504"/>
            </a:xfrm>
            <a:prstGeom prst="rect">
              <a:avLst/>
            </a:prstGeom>
            <a:ln>
              <a:solidFill>
                <a:schemeClr val="tx1"/>
              </a:solidFill>
            </a:ln>
          </xdr:spPr>
        </xdr:pic>
        <xdr:pic>
          <xdr:nvPicPr>
            <xdr:cNvPr id="32" name="Picture 31">
              <a:extLst>
                <a:ext uri="{FF2B5EF4-FFF2-40B4-BE49-F238E27FC236}">
                  <a16:creationId xmlns:a16="http://schemas.microsoft.com/office/drawing/2014/main" id="{89C43603-DAB9-6C7C-FB84-3E26C058361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84600" y="162560"/>
              <a:ext cx="2520000" cy="3363504"/>
            </a:xfrm>
            <a:prstGeom prst="rect">
              <a:avLst/>
            </a:prstGeom>
            <a:ln>
              <a:solidFill>
                <a:schemeClr val="tx1"/>
              </a:solidFill>
            </a:ln>
          </xdr:spPr>
        </xdr:pic>
        <xdr:pic>
          <xdr:nvPicPr>
            <xdr:cNvPr id="33" name="Picture 32">
              <a:extLst>
                <a:ext uri="{FF2B5EF4-FFF2-40B4-BE49-F238E27FC236}">
                  <a16:creationId xmlns:a16="http://schemas.microsoft.com/office/drawing/2014/main" id="{54795AB8-CCAB-A6F8-3C0B-4446EEBB660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418936" y="162560"/>
              <a:ext cx="2520000" cy="3363504"/>
            </a:xfrm>
            <a:prstGeom prst="rect">
              <a:avLst/>
            </a:prstGeom>
            <a:ln>
              <a:solidFill>
                <a:schemeClr val="tx1"/>
              </a:solidFill>
            </a:ln>
          </xdr:spPr>
        </xdr:pic>
        <xdr:sp macro="" textlink="">
          <xdr:nvSpPr>
            <xdr:cNvPr id="34" name="TextBox 13">
              <a:extLst>
                <a:ext uri="{FF2B5EF4-FFF2-40B4-BE49-F238E27FC236}">
                  <a16:creationId xmlns:a16="http://schemas.microsoft.com/office/drawing/2014/main" id="{23498980-6131-7D8D-9BBD-ECC44952ADB1}"/>
                </a:ext>
              </a:extLst>
            </xdr:cNvPr>
            <xdr:cNvSpPr txBox="1"/>
          </xdr:nvSpPr>
          <xdr:spPr>
            <a:xfrm>
              <a:off x="6139863" y="2011680"/>
              <a:ext cx="41389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T3</a:t>
              </a:r>
            </a:p>
          </xdr:txBody>
        </xdr:sp>
        <xdr:sp macro="" textlink="">
          <xdr:nvSpPr>
            <xdr:cNvPr id="35" name="TextBox 14">
              <a:extLst>
                <a:ext uri="{FF2B5EF4-FFF2-40B4-BE49-F238E27FC236}">
                  <a16:creationId xmlns:a16="http://schemas.microsoft.com/office/drawing/2014/main" id="{B067DB58-3B16-5AF2-84EB-216BA830BB28}"/>
                </a:ext>
              </a:extLst>
            </xdr:cNvPr>
            <xdr:cNvSpPr txBox="1"/>
          </xdr:nvSpPr>
          <xdr:spPr>
            <a:xfrm>
              <a:off x="4251832" y="245626"/>
              <a:ext cx="41389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T2</a:t>
              </a:r>
            </a:p>
          </xdr:txBody>
        </xdr:sp>
        <xdr:sp macro="" textlink="">
          <xdr:nvSpPr>
            <xdr:cNvPr id="36" name="TextBox 15">
              <a:extLst>
                <a:ext uri="{FF2B5EF4-FFF2-40B4-BE49-F238E27FC236}">
                  <a16:creationId xmlns:a16="http://schemas.microsoft.com/office/drawing/2014/main" id="{69F5B72E-BB72-839A-E2B8-096EC55BC66C}"/>
                </a:ext>
              </a:extLst>
            </xdr:cNvPr>
            <xdr:cNvSpPr txBox="1"/>
          </xdr:nvSpPr>
          <xdr:spPr>
            <a:xfrm>
              <a:off x="27816" y="162560"/>
              <a:ext cx="41389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T1</a:t>
              </a: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FmdhvrPquZ3wzfyJA"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13"/>
  <sheetViews>
    <sheetView tabSelected="1" view="pageBreakPreview" zoomScale="70" zoomScaleNormal="85" zoomScaleSheetLayoutView="70" zoomScalePageLayoutView="85" workbookViewId="0">
      <selection activeCell="J5" sqref="J5"/>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3" customWidth="1"/>
    <col min="5" max="6" width="27.109375" style="1" customWidth="1"/>
    <col min="7" max="7" width="1.44140625" style="1" customWidth="1"/>
    <col min="8" max="8" width="24.44140625" style="1" customWidth="1"/>
    <col min="9" max="9" width="24.44140625" style="13" customWidth="1"/>
    <col min="10" max="10" width="33.88671875" style="1" customWidth="1"/>
    <col min="11" max="12" width="15.5546875" style="1" bestFit="1" customWidth="1"/>
    <col min="13" max="20" width="9.109375" style="1"/>
    <col min="21" max="23" width="0" style="1" hidden="1" customWidth="1"/>
    <col min="24" max="26" width="9.109375" style="1"/>
    <col min="27" max="27" width="7.88671875" style="1" customWidth="1"/>
    <col min="28" max="16384" width="9.109375" style="1"/>
  </cols>
  <sheetData>
    <row r="1" spans="1:12" ht="21" x14ac:dyDescent="0.3">
      <c r="A1" s="80" t="s">
        <v>41</v>
      </c>
      <c r="B1" s="81"/>
      <c r="C1" s="81"/>
      <c r="D1" s="81"/>
      <c r="E1" s="81"/>
      <c r="F1" s="81"/>
      <c r="G1" s="81"/>
      <c r="H1" s="81"/>
      <c r="I1" s="82"/>
    </row>
    <row r="2" spans="1:12" ht="42" customHeight="1" x14ac:dyDescent="0.3">
      <c r="A2" s="128" t="s">
        <v>10</v>
      </c>
      <c r="B2" s="128"/>
      <c r="C2" s="128"/>
      <c r="D2" s="4" t="s">
        <v>4</v>
      </c>
      <c r="E2" s="129" t="s">
        <v>93</v>
      </c>
      <c r="F2" s="129"/>
      <c r="G2" s="83" t="s">
        <v>14</v>
      </c>
      <c r="H2" s="83"/>
      <c r="I2" s="50">
        <v>45840</v>
      </c>
    </row>
    <row r="3" spans="1:12" ht="42.75" customHeight="1" x14ac:dyDescent="0.3">
      <c r="A3" s="116" t="s">
        <v>42</v>
      </c>
      <c r="B3" s="117"/>
      <c r="C3" s="118"/>
      <c r="D3" s="20" t="s">
        <v>4</v>
      </c>
      <c r="E3" s="121" t="s">
        <v>264</v>
      </c>
      <c r="F3" s="114"/>
      <c r="G3" s="83" t="s">
        <v>191</v>
      </c>
      <c r="H3" s="83"/>
      <c r="I3" s="50" t="s">
        <v>284</v>
      </c>
      <c r="K3" s="170">
        <v>45773</v>
      </c>
      <c r="L3" s="170">
        <v>45842</v>
      </c>
    </row>
    <row r="4" spans="1:12" ht="43.5" customHeight="1" x14ac:dyDescent="0.3">
      <c r="A4" s="116" t="s">
        <v>39</v>
      </c>
      <c r="B4" s="117"/>
      <c r="C4" s="118"/>
      <c r="D4" s="26" t="s">
        <v>4</v>
      </c>
      <c r="E4" s="113" t="s">
        <v>192</v>
      </c>
      <c r="F4" s="115"/>
      <c r="G4" s="83" t="s">
        <v>36</v>
      </c>
      <c r="H4" s="83"/>
      <c r="I4" s="50" t="str">
        <f ca="1">TEXT(TODAY(),"DD/MM/YYYY")</f>
        <v>07/07/2025</v>
      </c>
      <c r="L4" s="1">
        <f>L3-K3</f>
        <v>69</v>
      </c>
    </row>
    <row r="5" spans="1:12" ht="21" x14ac:dyDescent="0.3">
      <c r="A5" s="67" t="s">
        <v>43</v>
      </c>
      <c r="B5" s="67"/>
      <c r="C5" s="67"/>
      <c r="D5" s="67"/>
      <c r="E5" s="67"/>
      <c r="F5" s="67"/>
      <c r="G5" s="67"/>
      <c r="H5" s="67"/>
      <c r="I5" s="124"/>
    </row>
    <row r="6" spans="1:12" ht="43.5" customHeight="1" x14ac:dyDescent="0.3">
      <c r="A6" s="130" t="s">
        <v>33</v>
      </c>
      <c r="B6" s="130"/>
      <c r="C6" s="130"/>
      <c r="D6" s="2" t="s">
        <v>4</v>
      </c>
      <c r="E6" s="21" t="s">
        <v>106</v>
      </c>
      <c r="F6" s="20" t="s">
        <v>38</v>
      </c>
      <c r="G6" s="2" t="s">
        <v>4</v>
      </c>
      <c r="H6" s="93" t="s">
        <v>286</v>
      </c>
      <c r="I6" s="93"/>
    </row>
    <row r="7" spans="1:12" ht="53.25" customHeight="1" x14ac:dyDescent="0.3">
      <c r="A7" s="130" t="s">
        <v>45</v>
      </c>
      <c r="B7" s="130"/>
      <c r="C7" s="130"/>
      <c r="D7" s="2" t="s">
        <v>4</v>
      </c>
      <c r="E7" s="5" t="s">
        <v>193</v>
      </c>
      <c r="F7" s="20" t="s">
        <v>46</v>
      </c>
      <c r="G7" s="2" t="s">
        <v>4</v>
      </c>
      <c r="H7" s="113" t="s">
        <v>193</v>
      </c>
      <c r="I7" s="115"/>
    </row>
    <row r="8" spans="1:12" ht="45" customHeight="1" x14ac:dyDescent="0.3">
      <c r="A8" s="130" t="s">
        <v>47</v>
      </c>
      <c r="B8" s="130"/>
      <c r="C8" s="130"/>
      <c r="D8" s="2" t="s">
        <v>4</v>
      </c>
      <c r="E8" s="131" t="s">
        <v>206</v>
      </c>
      <c r="F8" s="131"/>
      <c r="G8" s="131"/>
      <c r="H8" s="131"/>
      <c r="I8" s="131"/>
    </row>
    <row r="9" spans="1:12" ht="45" customHeight="1" x14ac:dyDescent="0.3">
      <c r="A9" s="83" t="s">
        <v>179</v>
      </c>
      <c r="B9" s="20" t="s">
        <v>4</v>
      </c>
      <c r="C9" s="20" t="s">
        <v>44</v>
      </c>
      <c r="D9" s="2" t="s">
        <v>4</v>
      </c>
      <c r="E9" s="113" t="s">
        <v>194</v>
      </c>
      <c r="F9" s="114"/>
      <c r="G9" s="114"/>
      <c r="H9" s="114"/>
      <c r="I9" s="115"/>
    </row>
    <row r="10" spans="1:12" ht="48.75" customHeight="1" x14ac:dyDescent="0.3">
      <c r="A10" s="83"/>
      <c r="B10" s="20" t="s">
        <v>4</v>
      </c>
      <c r="C10" s="20" t="s">
        <v>13</v>
      </c>
      <c r="D10" s="2" t="s">
        <v>4</v>
      </c>
      <c r="E10" s="113" t="s">
        <v>195</v>
      </c>
      <c r="F10" s="114"/>
      <c r="G10" s="114"/>
      <c r="H10" s="114"/>
      <c r="I10" s="115"/>
    </row>
    <row r="11" spans="1:12" ht="42" customHeight="1" x14ac:dyDescent="0.3">
      <c r="A11" s="83"/>
      <c r="B11" s="20" t="s">
        <v>4</v>
      </c>
      <c r="C11" s="20" t="s">
        <v>5</v>
      </c>
      <c r="D11" s="2" t="s">
        <v>4</v>
      </c>
      <c r="E11" s="113" t="s">
        <v>194</v>
      </c>
      <c r="F11" s="114"/>
      <c r="G11" s="114"/>
      <c r="H11" s="114"/>
      <c r="I11" s="115"/>
    </row>
    <row r="12" spans="1:12" ht="21" x14ac:dyDescent="0.3">
      <c r="A12" s="83" t="s">
        <v>37</v>
      </c>
      <c r="B12" s="83"/>
      <c r="C12" s="83"/>
      <c r="D12" s="2" t="s">
        <v>4</v>
      </c>
      <c r="E12" s="93" t="s">
        <v>237</v>
      </c>
      <c r="F12" s="93"/>
      <c r="G12" s="93"/>
      <c r="H12" s="93"/>
      <c r="I12" s="93"/>
    </row>
    <row r="13" spans="1:12" ht="20.100000000000001" customHeight="1" x14ac:dyDescent="0.3">
      <c r="A13" s="67" t="s">
        <v>48</v>
      </c>
      <c r="B13" s="67"/>
      <c r="C13" s="67"/>
      <c r="D13" s="67"/>
      <c r="E13" s="67"/>
      <c r="F13" s="67"/>
      <c r="G13" s="67"/>
      <c r="H13" s="67"/>
      <c r="I13" s="67"/>
    </row>
    <row r="14" spans="1:12" ht="46.2" customHeight="1" x14ac:dyDescent="0.3">
      <c r="A14" s="20" t="s">
        <v>31</v>
      </c>
      <c r="B14" s="2" t="s">
        <v>4</v>
      </c>
      <c r="C14" s="74" t="s">
        <v>94</v>
      </c>
      <c r="D14" s="154"/>
      <c r="E14" s="75"/>
      <c r="F14" s="16" t="s">
        <v>49</v>
      </c>
      <c r="G14" s="2" t="s">
        <v>4</v>
      </c>
      <c r="H14" s="93" t="s">
        <v>198</v>
      </c>
      <c r="I14" s="93"/>
    </row>
    <row r="15" spans="1:12" ht="42" x14ac:dyDescent="0.3">
      <c r="A15" s="20" t="s">
        <v>50</v>
      </c>
      <c r="B15" s="2" t="s">
        <v>4</v>
      </c>
      <c r="C15" s="74" t="s">
        <v>196</v>
      </c>
      <c r="D15" s="154"/>
      <c r="E15" s="75"/>
      <c r="F15" s="20" t="s">
        <v>51</v>
      </c>
      <c r="G15" s="2" t="s">
        <v>4</v>
      </c>
      <c r="H15" s="153">
        <v>46111</v>
      </c>
      <c r="I15" s="93"/>
    </row>
    <row r="16" spans="1:12" ht="42" x14ac:dyDescent="0.3">
      <c r="A16" s="47" t="s">
        <v>52</v>
      </c>
      <c r="B16" s="2" t="s">
        <v>4</v>
      </c>
      <c r="C16" s="155">
        <v>43871</v>
      </c>
      <c r="D16" s="154"/>
      <c r="E16" s="75"/>
      <c r="F16" s="20" t="s">
        <v>53</v>
      </c>
      <c r="G16" s="2" t="s">
        <v>4</v>
      </c>
      <c r="H16" s="152">
        <v>43879</v>
      </c>
      <c r="I16" s="115"/>
    </row>
    <row r="17" spans="1:10" ht="63" x14ac:dyDescent="0.3">
      <c r="A17" s="47" t="s">
        <v>54</v>
      </c>
      <c r="B17" s="2" t="s">
        <v>4</v>
      </c>
      <c r="C17" s="155">
        <f>H15</f>
        <v>46111</v>
      </c>
      <c r="D17" s="154"/>
      <c r="E17" s="75"/>
      <c r="F17" s="20" t="s">
        <v>55</v>
      </c>
      <c r="G17" s="2" t="s">
        <v>4</v>
      </c>
      <c r="H17" s="113" t="s">
        <v>197</v>
      </c>
      <c r="I17" s="115"/>
    </row>
    <row r="18" spans="1:10" ht="42" x14ac:dyDescent="0.3">
      <c r="A18" s="47" t="s">
        <v>56</v>
      </c>
      <c r="B18" s="2" t="s">
        <v>4</v>
      </c>
      <c r="C18" s="74" t="s">
        <v>236</v>
      </c>
      <c r="D18" s="154"/>
      <c r="E18" s="75"/>
      <c r="F18" s="20" t="s">
        <v>109</v>
      </c>
      <c r="G18" s="2" t="s">
        <v>4</v>
      </c>
      <c r="H18" s="93">
        <v>14223.02</v>
      </c>
      <c r="I18" s="93"/>
    </row>
    <row r="19" spans="1:10" ht="42" x14ac:dyDescent="0.3">
      <c r="A19" s="20" t="s">
        <v>57</v>
      </c>
      <c r="B19" s="2" t="s">
        <v>4</v>
      </c>
      <c r="C19" s="74">
        <v>1.1000000000000001</v>
      </c>
      <c r="D19" s="154"/>
      <c r="E19" s="75"/>
      <c r="F19" s="20" t="s">
        <v>108</v>
      </c>
      <c r="G19" s="2" t="s">
        <v>4</v>
      </c>
      <c r="H19" s="93">
        <v>47899.13</v>
      </c>
      <c r="I19" s="93"/>
    </row>
    <row r="20" spans="1:10" ht="42" x14ac:dyDescent="0.3">
      <c r="A20" s="20" t="s">
        <v>107</v>
      </c>
      <c r="B20" s="2" t="s">
        <v>4</v>
      </c>
      <c r="C20" s="74">
        <v>47899.02</v>
      </c>
      <c r="D20" s="154"/>
      <c r="E20" s="75"/>
      <c r="F20" s="6" t="s">
        <v>58</v>
      </c>
      <c r="G20" s="2" t="s">
        <v>4</v>
      </c>
      <c r="H20" s="113" t="s">
        <v>262</v>
      </c>
      <c r="I20" s="115"/>
    </row>
    <row r="21" spans="1:10" ht="42" x14ac:dyDescent="0.3">
      <c r="A21" s="20" t="s">
        <v>59</v>
      </c>
      <c r="B21" s="2" t="s">
        <v>4</v>
      </c>
      <c r="C21" s="74" t="s">
        <v>261</v>
      </c>
      <c r="D21" s="154"/>
      <c r="E21" s="75"/>
      <c r="F21" s="20" t="s">
        <v>60</v>
      </c>
      <c r="G21" s="2" t="s">
        <v>4</v>
      </c>
      <c r="H21" s="93" t="s">
        <v>259</v>
      </c>
      <c r="I21" s="93"/>
      <c r="J21" s="1">
        <f>660-47</f>
        <v>613</v>
      </c>
    </row>
    <row r="22" spans="1:10" ht="21" x14ac:dyDescent="0.3">
      <c r="A22" s="47" t="s">
        <v>26</v>
      </c>
      <c r="B22" s="2" t="s">
        <v>4</v>
      </c>
      <c r="C22" s="74">
        <v>19.251845400000001</v>
      </c>
      <c r="D22" s="154"/>
      <c r="E22" s="75"/>
      <c r="F22" s="27" t="s">
        <v>27</v>
      </c>
      <c r="G22" s="27" t="s">
        <v>4</v>
      </c>
      <c r="H22" s="74">
        <v>72.971040599999995</v>
      </c>
      <c r="I22" s="75"/>
    </row>
    <row r="23" spans="1:10" ht="21" x14ac:dyDescent="0.3">
      <c r="A23" s="47" t="s">
        <v>268</v>
      </c>
      <c r="B23" s="2" t="s">
        <v>4</v>
      </c>
      <c r="C23" s="98" t="s">
        <v>269</v>
      </c>
      <c r="D23" s="99"/>
      <c r="E23" s="99"/>
      <c r="F23" s="99"/>
      <c r="G23" s="99"/>
      <c r="H23" s="99"/>
      <c r="I23" s="100"/>
    </row>
    <row r="24" spans="1:10" ht="108.75" customHeight="1" x14ac:dyDescent="0.3">
      <c r="A24" s="47" t="s">
        <v>29</v>
      </c>
      <c r="B24" s="2" t="s">
        <v>4</v>
      </c>
      <c r="C24" s="93" t="s">
        <v>110</v>
      </c>
      <c r="D24" s="93"/>
      <c r="E24" s="93"/>
      <c r="F24" s="93"/>
      <c r="G24" s="93"/>
      <c r="H24" s="93"/>
      <c r="I24" s="93"/>
    </row>
    <row r="25" spans="1:10" ht="24" customHeight="1" x14ac:dyDescent="0.3">
      <c r="A25" s="80" t="s">
        <v>22</v>
      </c>
      <c r="B25" s="81"/>
      <c r="C25" s="81"/>
      <c r="D25" s="81"/>
      <c r="E25" s="81"/>
      <c r="F25" s="81"/>
      <c r="G25" s="81"/>
      <c r="H25" s="81"/>
      <c r="I25" s="82"/>
    </row>
    <row r="26" spans="1:10" ht="42" x14ac:dyDescent="0.3">
      <c r="A26" s="20" t="s">
        <v>30</v>
      </c>
      <c r="B26" s="2" t="s">
        <v>4</v>
      </c>
      <c r="C26" s="93" t="s">
        <v>95</v>
      </c>
      <c r="D26" s="93"/>
      <c r="E26" s="93"/>
      <c r="F26" s="20" t="s">
        <v>15</v>
      </c>
      <c r="G26" s="2" t="s">
        <v>4</v>
      </c>
      <c r="H26" s="93" t="s">
        <v>210</v>
      </c>
      <c r="I26" s="93"/>
    </row>
    <row r="27" spans="1:10" ht="21" x14ac:dyDescent="0.3">
      <c r="A27" s="20" t="s">
        <v>16</v>
      </c>
      <c r="B27" s="2" t="s">
        <v>4</v>
      </c>
      <c r="C27" s="93" t="s">
        <v>113</v>
      </c>
      <c r="D27" s="93"/>
      <c r="E27" s="93"/>
      <c r="F27" s="20" t="s">
        <v>180</v>
      </c>
      <c r="G27" s="2" t="s">
        <v>4</v>
      </c>
      <c r="H27" s="93" t="s">
        <v>178</v>
      </c>
      <c r="I27" s="93"/>
    </row>
    <row r="28" spans="1:10" ht="42" x14ac:dyDescent="0.3">
      <c r="A28" s="20" t="s">
        <v>25</v>
      </c>
      <c r="B28" s="2" t="s">
        <v>4</v>
      </c>
      <c r="C28" s="93" t="s">
        <v>112</v>
      </c>
      <c r="D28" s="93"/>
      <c r="E28" s="93"/>
      <c r="F28" s="20" t="s">
        <v>18</v>
      </c>
      <c r="G28" s="2" t="s">
        <v>4</v>
      </c>
      <c r="H28" s="93" t="s">
        <v>211</v>
      </c>
      <c r="I28" s="93"/>
    </row>
    <row r="29" spans="1:10" ht="42" x14ac:dyDescent="0.3">
      <c r="A29" s="47" t="s">
        <v>134</v>
      </c>
      <c r="B29" s="2" t="s">
        <v>4</v>
      </c>
      <c r="C29" s="93" t="s">
        <v>212</v>
      </c>
      <c r="D29" s="93"/>
      <c r="E29" s="93"/>
      <c r="F29" s="20" t="s">
        <v>135</v>
      </c>
      <c r="G29" s="2" t="s">
        <v>4</v>
      </c>
      <c r="H29" s="113" t="s">
        <v>213</v>
      </c>
      <c r="I29" s="115"/>
    </row>
    <row r="30" spans="1:10" ht="65.25" customHeight="1" x14ac:dyDescent="0.3">
      <c r="A30" s="20" t="s">
        <v>19</v>
      </c>
      <c r="B30" s="2" t="s">
        <v>4</v>
      </c>
      <c r="C30" s="93" t="s">
        <v>214</v>
      </c>
      <c r="D30" s="93"/>
      <c r="E30" s="93"/>
      <c r="F30" s="20" t="s">
        <v>17</v>
      </c>
      <c r="G30" s="2" t="s">
        <v>4</v>
      </c>
      <c r="H30" s="93" t="s">
        <v>209</v>
      </c>
      <c r="I30" s="93"/>
    </row>
    <row r="31" spans="1:10" ht="21.75" customHeight="1" x14ac:dyDescent="0.3">
      <c r="A31" s="47" t="s">
        <v>140</v>
      </c>
      <c r="B31" s="2" t="s">
        <v>4</v>
      </c>
      <c r="C31" s="93" t="s">
        <v>141</v>
      </c>
      <c r="D31" s="93"/>
      <c r="E31" s="93"/>
      <c r="F31" s="20" t="s">
        <v>142</v>
      </c>
      <c r="G31" s="2" t="s">
        <v>4</v>
      </c>
      <c r="H31" s="113" t="s">
        <v>141</v>
      </c>
      <c r="I31" s="115"/>
    </row>
    <row r="32" spans="1:10" ht="21.75" customHeight="1" x14ac:dyDescent="0.3">
      <c r="A32" s="47" t="s">
        <v>143</v>
      </c>
      <c r="B32" s="2" t="s">
        <v>4</v>
      </c>
      <c r="C32" s="113" t="s">
        <v>141</v>
      </c>
      <c r="D32" s="114"/>
      <c r="E32" s="114"/>
      <c r="F32" s="114"/>
      <c r="G32" s="114"/>
      <c r="H32" s="114"/>
      <c r="I32" s="115"/>
    </row>
    <row r="33" spans="1:9" ht="21" x14ac:dyDescent="0.3">
      <c r="A33" s="105" t="s">
        <v>40</v>
      </c>
      <c r="B33" s="106"/>
      <c r="C33" s="106"/>
      <c r="D33" s="106"/>
      <c r="E33" s="106"/>
      <c r="F33" s="106"/>
      <c r="G33" s="106"/>
      <c r="H33" s="106"/>
      <c r="I33" s="125"/>
    </row>
    <row r="34" spans="1:9" ht="42" x14ac:dyDescent="0.3">
      <c r="A34" s="116" t="s">
        <v>20</v>
      </c>
      <c r="B34" s="117"/>
      <c r="C34" s="118"/>
      <c r="D34" s="2" t="s">
        <v>4</v>
      </c>
      <c r="E34" s="21" t="s">
        <v>114</v>
      </c>
      <c r="F34" s="20" t="s">
        <v>21</v>
      </c>
      <c r="G34" s="7" t="s">
        <v>4</v>
      </c>
      <c r="H34" s="113" t="s">
        <v>115</v>
      </c>
      <c r="I34" s="115"/>
    </row>
    <row r="35" spans="1:9" ht="42" x14ac:dyDescent="0.3">
      <c r="A35" s="116" t="s">
        <v>24</v>
      </c>
      <c r="B35" s="117"/>
      <c r="C35" s="118"/>
      <c r="D35" s="2" t="s">
        <v>4</v>
      </c>
      <c r="E35" s="21" t="s">
        <v>115</v>
      </c>
      <c r="F35" s="8" t="s">
        <v>35</v>
      </c>
      <c r="G35" s="2" t="s">
        <v>4</v>
      </c>
      <c r="H35" s="113" t="s">
        <v>115</v>
      </c>
      <c r="I35" s="115"/>
    </row>
    <row r="36" spans="1:9" ht="42" x14ac:dyDescent="0.3">
      <c r="A36" s="116" t="s">
        <v>34</v>
      </c>
      <c r="B36" s="117"/>
      <c r="C36" s="118"/>
      <c r="D36" s="2" t="s">
        <v>4</v>
      </c>
      <c r="E36" s="5" t="s">
        <v>116</v>
      </c>
      <c r="F36" s="20" t="s">
        <v>23</v>
      </c>
      <c r="G36" s="23" t="s">
        <v>4</v>
      </c>
      <c r="H36" s="113" t="s">
        <v>117</v>
      </c>
      <c r="I36" s="115"/>
    </row>
    <row r="37" spans="1:9" ht="21" x14ac:dyDescent="0.3">
      <c r="A37" s="80" t="s">
        <v>0</v>
      </c>
      <c r="B37" s="81"/>
      <c r="C37" s="81"/>
      <c r="D37" s="81"/>
      <c r="E37" s="81"/>
      <c r="F37" s="81"/>
      <c r="G37" s="81"/>
      <c r="H37" s="81"/>
      <c r="I37" s="82"/>
    </row>
    <row r="38" spans="1:9" ht="21" x14ac:dyDescent="0.3">
      <c r="A38" s="149" t="s">
        <v>0</v>
      </c>
      <c r="B38" s="151"/>
      <c r="C38" s="150"/>
      <c r="D38" s="2" t="s">
        <v>4</v>
      </c>
      <c r="E38" s="9" t="s">
        <v>1</v>
      </c>
      <c r="F38" s="9" t="s">
        <v>6</v>
      </c>
      <c r="G38" s="149" t="s">
        <v>2</v>
      </c>
      <c r="H38" s="150"/>
      <c r="I38" s="9" t="s">
        <v>3</v>
      </c>
    </row>
    <row r="39" spans="1:9" ht="21" x14ac:dyDescent="0.3">
      <c r="A39" s="116" t="s">
        <v>7</v>
      </c>
      <c r="B39" s="117"/>
      <c r="C39" s="118"/>
      <c r="D39" s="2" t="s">
        <v>4</v>
      </c>
      <c r="E39" s="22" t="s">
        <v>207</v>
      </c>
      <c r="F39" s="22" t="s">
        <v>208</v>
      </c>
      <c r="G39" s="122" t="s">
        <v>208</v>
      </c>
      <c r="H39" s="123"/>
      <c r="I39" s="22" t="s">
        <v>205</v>
      </c>
    </row>
    <row r="40" spans="1:9" ht="39" customHeight="1" x14ac:dyDescent="0.3">
      <c r="A40" s="116" t="s">
        <v>8</v>
      </c>
      <c r="B40" s="117"/>
      <c r="C40" s="118"/>
      <c r="D40" s="2" t="s">
        <v>4</v>
      </c>
      <c r="E40" s="22" t="s">
        <v>207</v>
      </c>
      <c r="F40" s="22" t="s">
        <v>208</v>
      </c>
      <c r="G40" s="122" t="s">
        <v>208</v>
      </c>
      <c r="H40" s="123"/>
      <c r="I40" s="22" t="s">
        <v>204</v>
      </c>
    </row>
    <row r="41" spans="1:9" ht="20.25" customHeight="1" x14ac:dyDescent="0.3">
      <c r="A41" s="116" t="s">
        <v>11</v>
      </c>
      <c r="B41" s="117"/>
      <c r="C41" s="118"/>
      <c r="D41" s="2" t="s">
        <v>4</v>
      </c>
      <c r="E41" s="17" t="s">
        <v>112</v>
      </c>
      <c r="F41" s="20" t="s">
        <v>12</v>
      </c>
      <c r="G41" s="2" t="s">
        <v>4</v>
      </c>
      <c r="H41" s="113" t="s">
        <v>111</v>
      </c>
      <c r="I41" s="115"/>
    </row>
    <row r="42" spans="1:9" ht="21" x14ac:dyDescent="0.3">
      <c r="A42" s="80" t="s">
        <v>61</v>
      </c>
      <c r="B42" s="81"/>
      <c r="C42" s="81"/>
      <c r="D42" s="81"/>
      <c r="E42" s="81"/>
      <c r="F42" s="81"/>
      <c r="G42" s="81"/>
      <c r="H42" s="81"/>
      <c r="I42" s="82"/>
    </row>
    <row r="43" spans="1:9" ht="21" customHeight="1" x14ac:dyDescent="0.3">
      <c r="A43" s="95" t="s">
        <v>62</v>
      </c>
      <c r="B43" s="95"/>
      <c r="C43" s="95" t="s">
        <v>63</v>
      </c>
      <c r="D43" s="95"/>
      <c r="E43" s="95" t="s">
        <v>177</v>
      </c>
      <c r="F43" s="95"/>
      <c r="G43" s="95"/>
      <c r="H43" s="95" t="s">
        <v>64</v>
      </c>
      <c r="I43" s="95"/>
    </row>
    <row r="44" spans="1:9" ht="65.25" customHeight="1" x14ac:dyDescent="0.3">
      <c r="A44" s="96" t="s">
        <v>201</v>
      </c>
      <c r="B44" s="96"/>
      <c r="C44" s="62" t="s">
        <v>96</v>
      </c>
      <c r="D44" s="62"/>
      <c r="E44" s="93" t="s">
        <v>203</v>
      </c>
      <c r="F44" s="93"/>
      <c r="G44" s="93"/>
      <c r="H44" s="93" t="s">
        <v>203</v>
      </c>
      <c r="I44" s="93"/>
    </row>
    <row r="45" spans="1:9" ht="21" hidden="1" x14ac:dyDescent="0.3">
      <c r="A45" s="96" t="s">
        <v>176</v>
      </c>
      <c r="B45" s="96"/>
      <c r="C45" s="62" t="s">
        <v>96</v>
      </c>
      <c r="D45" s="62"/>
      <c r="E45" s="93"/>
      <c r="F45" s="93"/>
      <c r="G45" s="93"/>
      <c r="H45" s="93"/>
      <c r="I45" s="93"/>
    </row>
    <row r="46" spans="1:9" ht="21" hidden="1" x14ac:dyDescent="0.3">
      <c r="A46" s="96" t="s">
        <v>199</v>
      </c>
      <c r="B46" s="96"/>
      <c r="C46" s="62" t="s">
        <v>96</v>
      </c>
      <c r="D46" s="62"/>
      <c r="E46" s="93"/>
      <c r="F46" s="93"/>
      <c r="G46" s="93"/>
      <c r="H46" s="93"/>
      <c r="I46" s="93"/>
    </row>
    <row r="47" spans="1:9" ht="21" x14ac:dyDescent="0.3">
      <c r="A47" s="67" t="s">
        <v>65</v>
      </c>
      <c r="B47" s="67"/>
      <c r="C47" s="67"/>
      <c r="D47" s="67"/>
      <c r="E47" s="67"/>
      <c r="F47" s="67"/>
      <c r="G47" s="67"/>
      <c r="H47" s="67"/>
      <c r="I47" s="67"/>
    </row>
    <row r="48" spans="1:9" ht="61.5" customHeight="1" x14ac:dyDescent="0.3">
      <c r="A48" s="16" t="s">
        <v>66</v>
      </c>
      <c r="B48" s="16" t="s">
        <v>4</v>
      </c>
      <c r="C48" s="93" t="s">
        <v>112</v>
      </c>
      <c r="D48" s="93"/>
      <c r="E48" s="93"/>
      <c r="F48" s="16" t="s">
        <v>67</v>
      </c>
      <c r="G48" s="16" t="s">
        <v>4</v>
      </c>
      <c r="H48" s="93" t="s">
        <v>200</v>
      </c>
      <c r="I48" s="93"/>
    </row>
    <row r="49" spans="1:11" ht="156" customHeight="1" x14ac:dyDescent="0.3">
      <c r="A49" s="16" t="s">
        <v>97</v>
      </c>
      <c r="B49" s="16" t="s">
        <v>4</v>
      </c>
      <c r="C49" s="93" t="s">
        <v>202</v>
      </c>
      <c r="D49" s="93"/>
      <c r="E49" s="93"/>
      <c r="F49" s="16" t="s">
        <v>68</v>
      </c>
      <c r="G49" s="16" t="s">
        <v>4</v>
      </c>
      <c r="H49" s="93" t="str">
        <f>H48</f>
        <v xml:space="preserve">VP/S06/0310/18TMC/TD-DP/TPS/3948/22
Date: 09/02/2022
</v>
      </c>
      <c r="I49" s="93"/>
    </row>
    <row r="50" spans="1:11" ht="90" customHeight="1" x14ac:dyDescent="0.3">
      <c r="A50" s="16" t="s">
        <v>97</v>
      </c>
      <c r="B50" s="16" t="s">
        <v>4</v>
      </c>
      <c r="C50" s="113" t="s">
        <v>280</v>
      </c>
      <c r="D50" s="114"/>
      <c r="E50" s="114"/>
      <c r="F50" s="114"/>
      <c r="G50" s="114"/>
      <c r="H50" s="114"/>
      <c r="I50" s="115"/>
    </row>
    <row r="51" spans="1:11" ht="45" hidden="1" customHeight="1" x14ac:dyDescent="0.3">
      <c r="A51" s="16" t="s">
        <v>69</v>
      </c>
      <c r="B51" s="16" t="s">
        <v>4</v>
      </c>
      <c r="C51" s="93" t="s">
        <v>111</v>
      </c>
      <c r="D51" s="93"/>
      <c r="E51" s="93"/>
      <c r="F51" s="16" t="s">
        <v>70</v>
      </c>
      <c r="G51" s="16" t="s">
        <v>4</v>
      </c>
      <c r="H51" s="93"/>
      <c r="I51" s="93"/>
    </row>
    <row r="52" spans="1:11" ht="21.6" thickBot="1" x14ac:dyDescent="0.35">
      <c r="A52" s="67" t="s">
        <v>71</v>
      </c>
      <c r="B52" s="67"/>
      <c r="C52" s="67"/>
      <c r="D52" s="67"/>
      <c r="E52" s="67"/>
      <c r="F52" s="67"/>
      <c r="G52" s="67"/>
      <c r="H52" s="67"/>
      <c r="I52" s="67"/>
      <c r="J52" s="55" t="s">
        <v>274</v>
      </c>
    </row>
    <row r="53" spans="1:11" ht="45.75" customHeight="1" x14ac:dyDescent="0.4">
      <c r="A53" s="92" t="s">
        <v>229</v>
      </c>
      <c r="B53" s="92"/>
      <c r="C53" s="92"/>
      <c r="D53" s="94" t="s">
        <v>4</v>
      </c>
      <c r="E53" s="54" t="s">
        <v>144</v>
      </c>
      <c r="F53" s="66" t="s">
        <v>130</v>
      </c>
      <c r="G53" s="66"/>
      <c r="H53" s="54" t="s">
        <v>145</v>
      </c>
      <c r="I53" s="54" t="s">
        <v>146</v>
      </c>
      <c r="J53" s="34" t="str">
        <f ca="1">(IF(F56&gt;99%,"All work completed. Please provide OC.",IF(F56&gt;89.8%,"Plinth, RCC, Brick, Plaster, Flooring, Wooden, Plumbing, Electrification, etc., work Completed. Finishing work is in process.",IF(F56&lt;94%,(IF(C56=0,"Work not yet Started.",IF(E56=25%,"Piling work in process",IF(E56=50%,"Excavation work in process",IF(E56=100%,"Excavation work Completed. ","0")))&amp;(IF(C57=0%,"",IF(C57=K58,"Footing work is process",IF(C57=K59,"Footing work Completed",IF(C57=K60,"1st Basement Completed",IF(C57=K61,"1st &amp; 2nd Basement Completed",IF(C57=K62,"1st to 3rd Basement Completed",IF(C57=K63,"1st to 4th Basement Completed",IF(C57=K64,"Plinth work is process",IF(C57=K65,"Plinth work completed","0")))))))))))&amp;(IF(C58=(F54+H54+I54),", RCC Slab",IF(C58&gt;0,", RCC upto "&amp;C58&amp;" Slab",""))&amp;(IF(C59=I54,", Brickwork",IF(C59&gt;0,", Brickwork upto "&amp;C59&amp;" Floor",""))&amp;(IF(C60=I54,", Internal Plaster",IF(C60&gt;0,", Internal Plaster upto "&amp;C60&amp;" Floor",""))&amp;(IF(C61=I54,", External Plaster",IF(C61&gt;0,", External Plaster upto "&amp;C61&amp;" Floor",""))&amp;(IF(C62=I54,", External Plumbing, Elevation and Waterproofing",IF(C62&gt;0,", External Plumbing, Elevation and Waterproofing upto "&amp;C62&amp;" Floor",""))&amp;(IF(C63=I54,", Flooring &amp; Fitting",IF(C63&gt;0,", Flooring &amp; Fitting upto "&amp;C63&amp;" Floor",""))&amp;(IF(C64=I54,", Wooden Work",IF(C64&gt;0,", Wooden Work upto "&amp;C64&amp;" Floor",""))&amp;(IF(C65=I54,", Electrical &amp; Sanitary fittings",IF(C65&gt;0,", Electrical &amp; Sanitary fittings upto "&amp;C65&amp;" Floor",""))&amp;(IF(C66&gt;0,", Finishing upto "&amp;C66&amp;" Floor","")&amp;(IF(C58&gt;0.5," Completed",""))))))))))))))))</f>
        <v>Excavation work Completed. Plinth work completed, RCC upto 38 Slab, Brickwork upto 33 Floor, Internal Plaster upto 26.4 Floor, External Plaster upto 26.4 Floor Completed</v>
      </c>
      <c r="K53" s="36"/>
    </row>
    <row r="54" spans="1:11" ht="44.25" customHeight="1" x14ac:dyDescent="0.4">
      <c r="A54" s="92"/>
      <c r="B54" s="92"/>
      <c r="C54" s="92"/>
      <c r="D54" s="94"/>
      <c r="E54" s="54">
        <v>0</v>
      </c>
      <c r="F54" s="66">
        <v>1</v>
      </c>
      <c r="G54" s="66"/>
      <c r="H54" s="54">
        <v>4</v>
      </c>
      <c r="I54" s="54">
        <f ca="1">--TRIM(RIGHT(SUBSTITUTE(LEFT(A53,_xlfn.AGGREGATE(16,6,FIND({0,1,2,3,4,5,6,7,8,9},A53,ROW(INDIRECT("1:"&amp;LEN(A53)))),1))," ",REPT(" ",LEN(A53))),LEN(A53)))</f>
        <v>39</v>
      </c>
      <c r="J54" s="35" t="s">
        <v>150</v>
      </c>
      <c r="K54" s="36"/>
    </row>
    <row r="55" spans="1:11" ht="20.25" customHeight="1" x14ac:dyDescent="0.4">
      <c r="A55" s="91" t="s">
        <v>148</v>
      </c>
      <c r="B55" s="91"/>
      <c r="C55" s="91" t="s">
        <v>160</v>
      </c>
      <c r="D55" s="91"/>
      <c r="E55" s="53" t="s">
        <v>161</v>
      </c>
      <c r="F55" s="91" t="s">
        <v>149</v>
      </c>
      <c r="G55" s="91"/>
      <c r="H55" s="46" t="s">
        <v>147</v>
      </c>
      <c r="I55" s="46"/>
      <c r="J55" s="38" t="s">
        <v>162</v>
      </c>
      <c r="K55" s="37">
        <f ca="1">I54*25%</f>
        <v>9.75</v>
      </c>
    </row>
    <row r="56" spans="1:11" ht="20.25" customHeight="1" x14ac:dyDescent="0.4">
      <c r="A56" s="65" t="s">
        <v>163</v>
      </c>
      <c r="B56" s="65"/>
      <c r="C56" s="66">
        <f ca="1">K57</f>
        <v>39</v>
      </c>
      <c r="D56" s="66"/>
      <c r="E56" s="52">
        <f ca="1">((100/I54)*C56)/100</f>
        <v>1.0000000000000002</v>
      </c>
      <c r="F56" s="65">
        <f ca="1">(((C56/I54*5)+(C57/I54*20)+(25/(F54+H54+I54)*C58)+(5/(I54)*C59)+(2.5/(I54)*C60)+(2.5/(I54)*C61)+(5/I54*C62)+(10/I54*C63)+(2.5/I54*C64)+(2.5/I54*C65)+(10/I54*C66)+(10/I54*C67))/100)</f>
        <v>0.54206293706293707</v>
      </c>
      <c r="G56" s="65"/>
      <c r="H56" s="65" t="str">
        <f ca="1">J53</f>
        <v>Excavation work Completed. Plinth work completed, RCC upto 38 Slab, Brickwork upto 33 Floor, Internal Plaster upto 26.4 Floor, External Plaster upto 26.4 Floor Completed</v>
      </c>
      <c r="I56" s="65"/>
      <c r="J56" s="38" t="s">
        <v>151</v>
      </c>
      <c r="K56" s="42">
        <f ca="1">I54*50%</f>
        <v>19.5</v>
      </c>
    </row>
    <row r="57" spans="1:11" ht="21" x14ac:dyDescent="0.4">
      <c r="A57" s="65" t="s">
        <v>131</v>
      </c>
      <c r="B57" s="65"/>
      <c r="C57" s="88">
        <f ca="1">K65</f>
        <v>39</v>
      </c>
      <c r="D57" s="66"/>
      <c r="E57" s="52">
        <f ca="1">((100/I54)*C57)/100</f>
        <v>1.0000000000000002</v>
      </c>
      <c r="F57" s="65"/>
      <c r="G57" s="65"/>
      <c r="H57" s="65"/>
      <c r="I57" s="65"/>
      <c r="J57" s="38" t="s">
        <v>152</v>
      </c>
      <c r="K57" s="42">
        <f ca="1">I54</f>
        <v>39</v>
      </c>
    </row>
    <row r="58" spans="1:11" ht="21" customHeight="1" x14ac:dyDescent="0.4">
      <c r="A58" s="65" t="s">
        <v>164</v>
      </c>
      <c r="B58" s="65"/>
      <c r="C58" s="66">
        <v>38</v>
      </c>
      <c r="D58" s="66"/>
      <c r="E58" s="52">
        <f ca="1">((100/(F54+H54+I54))*C58)/100</f>
        <v>0.86363636363636376</v>
      </c>
      <c r="F58" s="65"/>
      <c r="G58" s="65"/>
      <c r="H58" s="65"/>
      <c r="I58" s="65"/>
      <c r="J58" s="38" t="s">
        <v>153</v>
      </c>
      <c r="K58" s="43">
        <f ca="1">(IF(E54&gt;1,(I54/(E54+2)),I54*0.2))</f>
        <v>7.8000000000000007</v>
      </c>
    </row>
    <row r="59" spans="1:11" ht="21" customHeight="1" x14ac:dyDescent="0.4">
      <c r="A59" s="65" t="s">
        <v>165</v>
      </c>
      <c r="B59" s="65"/>
      <c r="C59" s="66">
        <f>C58-H54-F54</f>
        <v>33</v>
      </c>
      <c r="D59" s="66"/>
      <c r="E59" s="52">
        <f ca="1">((100/I54)*C59)/100</f>
        <v>0.84615384615384626</v>
      </c>
      <c r="F59" s="65"/>
      <c r="G59" s="65"/>
      <c r="H59" s="65"/>
      <c r="I59" s="65"/>
      <c r="J59" s="38" t="s">
        <v>154</v>
      </c>
      <c r="K59" s="43">
        <f ca="1">(IF(E54&gt;1,(I54/(E54+2)+K58),I54*0.2+K58))</f>
        <v>15.600000000000001</v>
      </c>
    </row>
    <row r="60" spans="1:11" ht="21" customHeight="1" x14ac:dyDescent="0.4">
      <c r="A60" s="63" t="s">
        <v>166</v>
      </c>
      <c r="B60" s="64"/>
      <c r="C60" s="88">
        <f>C59*0.8</f>
        <v>26.400000000000002</v>
      </c>
      <c r="D60" s="88"/>
      <c r="E60" s="52">
        <f ca="1">((100/I54)*C60)/100</f>
        <v>0.67692307692307707</v>
      </c>
      <c r="F60" s="65"/>
      <c r="G60" s="65"/>
      <c r="H60" s="65"/>
      <c r="I60" s="65"/>
      <c r="J60" s="38" t="s">
        <v>167</v>
      </c>
      <c r="K60" s="43">
        <f>(IF(E54&gt;1,(I54/(E54+2)+K59),0))</f>
        <v>0</v>
      </c>
    </row>
    <row r="61" spans="1:11" ht="21" customHeight="1" x14ac:dyDescent="0.4">
      <c r="A61" s="63" t="s">
        <v>270</v>
      </c>
      <c r="B61" s="64"/>
      <c r="C61" s="88">
        <f>C60</f>
        <v>26.400000000000002</v>
      </c>
      <c r="D61" s="88"/>
      <c r="E61" s="52">
        <f ca="1">((100/I54)*C61)/100</f>
        <v>0.67692307692307707</v>
      </c>
      <c r="F61" s="65"/>
      <c r="G61" s="65"/>
      <c r="H61" s="65"/>
      <c r="I61" s="65"/>
      <c r="J61" s="38" t="s">
        <v>168</v>
      </c>
      <c r="K61" s="43">
        <f>(IF(E54&gt;2,(I54/(E54+2)+K60),0))</f>
        <v>0</v>
      </c>
    </row>
    <row r="62" spans="1:11" ht="57.75" customHeight="1" x14ac:dyDescent="0.4">
      <c r="A62" s="63" t="s">
        <v>271</v>
      </c>
      <c r="B62" s="64"/>
      <c r="C62" s="66">
        <v>0</v>
      </c>
      <c r="D62" s="66"/>
      <c r="E62" s="52">
        <f ca="1">((100/(I54))*C62)/100</f>
        <v>0</v>
      </c>
      <c r="F62" s="65"/>
      <c r="G62" s="65"/>
      <c r="H62" s="65"/>
      <c r="I62" s="65"/>
      <c r="J62" s="38" t="s">
        <v>170</v>
      </c>
      <c r="K62" s="44">
        <f>(IF(E54&gt;3,(I54/(E54+2)+K61),0))</f>
        <v>0</v>
      </c>
    </row>
    <row r="63" spans="1:11" ht="21" x14ac:dyDescent="0.4">
      <c r="A63" s="65" t="s">
        <v>169</v>
      </c>
      <c r="B63" s="65"/>
      <c r="C63" s="66">
        <v>0</v>
      </c>
      <c r="D63" s="66"/>
      <c r="E63" s="52">
        <f ca="1">((100/(I54))*C63)/100</f>
        <v>0</v>
      </c>
      <c r="F63" s="65"/>
      <c r="G63" s="65"/>
      <c r="H63" s="65"/>
      <c r="I63" s="65"/>
      <c r="J63" s="38" t="s">
        <v>171</v>
      </c>
      <c r="K63" s="43">
        <f>(IF(E54&gt;4,(I54/(E54+2)+K62),0))</f>
        <v>0</v>
      </c>
    </row>
    <row r="64" spans="1:11" ht="21" customHeight="1" x14ac:dyDescent="0.4">
      <c r="A64" s="65" t="s">
        <v>272</v>
      </c>
      <c r="B64" s="65"/>
      <c r="C64" s="66">
        <v>0</v>
      </c>
      <c r="D64" s="66"/>
      <c r="E64" s="52">
        <f ca="1">((100/I54)*C64)/100</f>
        <v>0</v>
      </c>
      <c r="F64" s="65"/>
      <c r="G64" s="65"/>
      <c r="H64" s="65"/>
      <c r="I64" s="65"/>
      <c r="J64" s="38" t="s">
        <v>155</v>
      </c>
      <c r="K64" s="43">
        <f ca="1">(IF(E54=1,(I54/(E54+3)+K59),IF(E54=0,(I54*0.3+K59),IF(E54&gt;1,0))))</f>
        <v>27.3</v>
      </c>
    </row>
    <row r="65" spans="1:14" ht="52.5" customHeight="1" thickBot="1" x14ac:dyDescent="0.45">
      <c r="A65" s="65" t="s">
        <v>273</v>
      </c>
      <c r="B65" s="65"/>
      <c r="C65" s="66">
        <v>0</v>
      </c>
      <c r="D65" s="66"/>
      <c r="E65" s="52">
        <f ca="1">((100/I54)*C65)/100</f>
        <v>0</v>
      </c>
      <c r="F65" s="65"/>
      <c r="G65" s="65"/>
      <c r="H65" s="65"/>
      <c r="I65" s="65"/>
      <c r="J65" s="40" t="s">
        <v>156</v>
      </c>
      <c r="K65" s="45">
        <f ca="1">(IF(E54&gt;1.5,(I54/(E54+2)+K59+MAX(0,K60-K59)+MAX(0,K61-K60)+MAX(0,K62-K61)+MAX(0,K63-K62)+MAX(0,K64-K63)),IF(E54=1,(I54/(E54+3)+K64),IF(E54=0,I54*0.3+K64))))</f>
        <v>39</v>
      </c>
    </row>
    <row r="66" spans="1:14" ht="21" x14ac:dyDescent="0.3">
      <c r="A66" s="65" t="s">
        <v>172</v>
      </c>
      <c r="B66" s="65"/>
      <c r="C66" s="66">
        <v>0</v>
      </c>
      <c r="D66" s="66"/>
      <c r="E66" s="52">
        <f ca="1">((100/(I54))*C66)/100</f>
        <v>0</v>
      </c>
      <c r="F66" s="65"/>
      <c r="G66" s="65"/>
      <c r="H66" s="65"/>
      <c r="I66" s="65"/>
    </row>
    <row r="67" spans="1:14" ht="21" x14ac:dyDescent="0.3">
      <c r="A67" s="65" t="s">
        <v>173</v>
      </c>
      <c r="B67" s="65"/>
      <c r="C67" s="66">
        <v>0</v>
      </c>
      <c r="D67" s="66"/>
      <c r="E67" s="52">
        <f ca="1">((100/(I54))*C67)/100</f>
        <v>0</v>
      </c>
      <c r="F67" s="65"/>
      <c r="G67" s="65"/>
      <c r="H67" s="65"/>
      <c r="I67" s="65"/>
    </row>
    <row r="68" spans="1:14" ht="21.6" thickBot="1" x14ac:dyDescent="0.35">
      <c r="A68" s="67" t="s">
        <v>71</v>
      </c>
      <c r="B68" s="67"/>
      <c r="C68" s="67"/>
      <c r="D68" s="67"/>
      <c r="E68" s="67"/>
      <c r="F68" s="67"/>
      <c r="G68" s="67"/>
      <c r="H68" s="67"/>
      <c r="I68" s="67"/>
    </row>
    <row r="69" spans="1:14" ht="45.75" customHeight="1" x14ac:dyDescent="0.4">
      <c r="A69" s="92" t="s">
        <v>231</v>
      </c>
      <c r="B69" s="92"/>
      <c r="C69" s="92"/>
      <c r="D69" s="94" t="s">
        <v>4</v>
      </c>
      <c r="E69" s="54" t="s">
        <v>144</v>
      </c>
      <c r="F69" s="66" t="s">
        <v>130</v>
      </c>
      <c r="G69" s="66"/>
      <c r="H69" s="54" t="s">
        <v>145</v>
      </c>
      <c r="I69" s="54" t="s">
        <v>146</v>
      </c>
      <c r="J69" s="34" t="str">
        <f ca="1">(IF(F72&gt;99%,"All work completed. Please provide OC.",IF(F72&gt;89.8%,"Plinth, RCC, Brick, Plaster, Flooring, Wooden, Plumbing, Electrification, etc., work Completed. Finishing work is in process.",IF(F72&lt;94%,(IF(C72=0,"Work not yet Started.",IF(E72=25%,"Piling work in process",IF(E72=50%,"Excavation work in process",IF(E72=100%,"Excavation work Completed. ","0")))&amp;(IF(C73=0%,"",IF(C73=K74,"Footing work is process",IF(C73=K75,"Footing work Completed",IF(C73=K76,"1st Basement Completed",IF(C73=K77,"1st &amp; 2nd Basement Completed",IF(C73=K78,"1st to 3rd Basement Completed",IF(C73=K79,"1st to 4th Basement Completed",IF(C73=K80,"Plinth work is process",IF(C73=K81,"Plinth work completed","0")))))))))))&amp;(IF(C74=(F70+H70+I70),", RCC Slab",IF(C74&gt;0,", RCC upto "&amp;C74&amp;" Slab",""))&amp;(IF(C75=I70,", Brickwork",IF(C75&gt;0,", Brickwork upto "&amp;C75&amp;" Floor",""))&amp;(IF(C76=I70,", Internal Plaster",IF(C76&gt;0,", Internal Plaster upto "&amp;C76&amp;" Floor",""))&amp;(IF(C77=I70,", External Plaster",IF(C77&gt;0,", External Plaster upto "&amp;C77&amp;" Floor",""))&amp;(IF(C78=I70,", External Plumbing, Elevation and Waterproofing",IF(C78&gt;0,", External Plumbing, Elevation and Waterproofing upto "&amp;C78&amp;" Floor",""))&amp;(IF(C79=I70,", Flooring &amp; Fitting",IF(C79&gt;0,", Flooring &amp; Fitting upto "&amp;C79&amp;" Floor",""))&amp;(IF(C80=I70,", Wooden Work",IF(C80&gt;0,", Wooden Work upto "&amp;C80&amp;" Floor",""))&amp;(IF(C81=I70,", Electrical &amp; Sanitary fittings",IF(C81&gt;0,", Electrical &amp; Sanitary fittings upto "&amp;C81&amp;" Floor",""))&amp;(IF(C82&gt;0,", Finishing upto "&amp;C82&amp;" Floor","")&amp;(IF(C74&gt;0.5," Completed",""))))))))))))))))</f>
        <v>Excavation work Completed. Plinth work completed, RCC upto 43 Slab, Brickwork upto 38 Floor, Internal Plaster upto 30.4 Floor, External Plaster upto 30.4 Floor Completed</v>
      </c>
      <c r="K69" s="36"/>
    </row>
    <row r="70" spans="1:14" ht="44.25" customHeight="1" x14ac:dyDescent="0.4">
      <c r="A70" s="92"/>
      <c r="B70" s="92"/>
      <c r="C70" s="92"/>
      <c r="D70" s="94"/>
      <c r="E70" s="54">
        <v>0</v>
      </c>
      <c r="F70" s="66">
        <v>1</v>
      </c>
      <c r="G70" s="66"/>
      <c r="H70" s="54">
        <v>4</v>
      </c>
      <c r="I70" s="54">
        <f ca="1">--TRIM(RIGHT(SUBSTITUTE(LEFT(A69,_xlfn.AGGREGATE(16,6,FIND({0,1,2,3,4,5,6,7,8,9},A69,ROW(INDIRECT("1:"&amp;LEN(A69)))),1))," ",REPT(" ",LEN(A69))),LEN(A69)))</f>
        <v>39</v>
      </c>
      <c r="J70" s="35" t="s">
        <v>150</v>
      </c>
      <c r="K70" s="36"/>
    </row>
    <row r="71" spans="1:14" ht="20.25" customHeight="1" x14ac:dyDescent="0.4">
      <c r="A71" s="91" t="s">
        <v>148</v>
      </c>
      <c r="B71" s="91"/>
      <c r="C71" s="91" t="s">
        <v>160</v>
      </c>
      <c r="D71" s="91"/>
      <c r="E71" s="53" t="s">
        <v>161</v>
      </c>
      <c r="F71" s="91" t="s">
        <v>149</v>
      </c>
      <c r="G71" s="91"/>
      <c r="H71" s="46" t="s">
        <v>147</v>
      </c>
      <c r="I71" s="46"/>
      <c r="J71" s="38" t="s">
        <v>162</v>
      </c>
      <c r="K71" s="37">
        <f ca="1">I70*25%</f>
        <v>9.75</v>
      </c>
    </row>
    <row r="72" spans="1:14" ht="20.25" customHeight="1" x14ac:dyDescent="0.4">
      <c r="A72" s="65" t="s">
        <v>163</v>
      </c>
      <c r="B72" s="65"/>
      <c r="C72" s="66">
        <f ca="1">K73</f>
        <v>39</v>
      </c>
      <c r="D72" s="66"/>
      <c r="E72" s="52">
        <f ca="1">((100/I70)*C72)/100</f>
        <v>1.0000000000000002</v>
      </c>
      <c r="F72" s="65">
        <f ca="1">(((C72/I70*5)+(C73/I70*20)+(25/(F70+H70+I70)*C74)+(5/(I70)*C75)+(2.5/(I70)*C76)+(2.5/(I70)*C77)+(5/I70*C78)+(10/I70*C79)+(2.5/I70*C80)+(2.5/I70*C81)+(10/I70*C82)+(10/I70*C83))/100)</f>
        <v>0.5820104895104895</v>
      </c>
      <c r="G72" s="65"/>
      <c r="H72" s="65" t="str">
        <f ca="1">J69</f>
        <v>Excavation work Completed. Plinth work completed, RCC upto 43 Slab, Brickwork upto 38 Floor, Internal Plaster upto 30.4 Floor, External Plaster upto 30.4 Floor Completed</v>
      </c>
      <c r="I72" s="65"/>
      <c r="J72" s="38" t="s">
        <v>151</v>
      </c>
      <c r="K72" s="42">
        <f ca="1">I70*50%</f>
        <v>19.5</v>
      </c>
    </row>
    <row r="73" spans="1:14" ht="21" x14ac:dyDescent="0.4">
      <c r="A73" s="65" t="s">
        <v>131</v>
      </c>
      <c r="B73" s="65"/>
      <c r="C73" s="88">
        <f ca="1">K81</f>
        <v>39</v>
      </c>
      <c r="D73" s="66"/>
      <c r="E73" s="52">
        <f ca="1">((100/I70)*C73)/100</f>
        <v>1.0000000000000002</v>
      </c>
      <c r="F73" s="65"/>
      <c r="G73" s="65"/>
      <c r="H73" s="65"/>
      <c r="I73" s="65"/>
      <c r="J73" s="38" t="s">
        <v>152</v>
      </c>
      <c r="K73" s="42">
        <f ca="1">I70</f>
        <v>39</v>
      </c>
    </row>
    <row r="74" spans="1:14" ht="21" customHeight="1" x14ac:dyDescent="0.4">
      <c r="A74" s="65" t="s">
        <v>164</v>
      </c>
      <c r="B74" s="65"/>
      <c r="C74" s="66">
        <f>H70+F70+38</f>
        <v>43</v>
      </c>
      <c r="D74" s="66"/>
      <c r="E74" s="52">
        <f ca="1">((100/(F70+H70+I70))*C74)/100</f>
        <v>0.97727272727272729</v>
      </c>
      <c r="F74" s="65"/>
      <c r="G74" s="65"/>
      <c r="H74" s="65"/>
      <c r="I74" s="65"/>
      <c r="J74" s="38" t="s">
        <v>153</v>
      </c>
      <c r="K74" s="43">
        <f ca="1">(IF(E70&gt;1,(I70/(E70+2)),I70*0.2))</f>
        <v>7.8000000000000007</v>
      </c>
      <c r="L74" s="171">
        <v>45845</v>
      </c>
      <c r="M74" s="172" t="s">
        <v>285</v>
      </c>
      <c r="N74" s="172"/>
    </row>
    <row r="75" spans="1:14" ht="21" customHeight="1" x14ac:dyDescent="0.4">
      <c r="A75" s="65" t="s">
        <v>165</v>
      </c>
      <c r="B75" s="65"/>
      <c r="C75" s="66">
        <f>C74-H70-F70</f>
        <v>38</v>
      </c>
      <c r="D75" s="66"/>
      <c r="E75" s="52">
        <f ca="1">((100/I70)*C75)/100</f>
        <v>0.97435897435897445</v>
      </c>
      <c r="F75" s="65"/>
      <c r="G75" s="65"/>
      <c r="H75" s="65"/>
      <c r="I75" s="65"/>
      <c r="J75" s="38" t="s">
        <v>154</v>
      </c>
      <c r="K75" s="43">
        <f ca="1">(IF(E70&gt;1,(I70/(E70+2)+K74),I70*0.2+K74))</f>
        <v>15.600000000000001</v>
      </c>
    </row>
    <row r="76" spans="1:14" ht="21" customHeight="1" x14ac:dyDescent="0.4">
      <c r="A76" s="63" t="s">
        <v>166</v>
      </c>
      <c r="B76" s="64"/>
      <c r="C76" s="88">
        <f>C75*0.8</f>
        <v>30.400000000000002</v>
      </c>
      <c r="D76" s="88"/>
      <c r="E76" s="52">
        <f ca="1">((100/I70)*C76)/100</f>
        <v>0.7794871794871796</v>
      </c>
      <c r="F76" s="65"/>
      <c r="G76" s="65"/>
      <c r="H76" s="65"/>
      <c r="I76" s="65"/>
      <c r="J76" s="38" t="s">
        <v>167</v>
      </c>
      <c r="K76" s="43">
        <f>(IF(E70&gt;1,(I70/(E70+2)+K75),0))</f>
        <v>0</v>
      </c>
    </row>
    <row r="77" spans="1:14" ht="21" customHeight="1" x14ac:dyDescent="0.4">
      <c r="A77" s="63" t="s">
        <v>270</v>
      </c>
      <c r="B77" s="64"/>
      <c r="C77" s="88">
        <f>C76</f>
        <v>30.400000000000002</v>
      </c>
      <c r="D77" s="88"/>
      <c r="E77" s="52">
        <f ca="1">((100/I70)*C77)/100</f>
        <v>0.7794871794871796</v>
      </c>
      <c r="F77" s="65"/>
      <c r="G77" s="65"/>
      <c r="H77" s="65"/>
      <c r="I77" s="65"/>
      <c r="J77" s="38" t="s">
        <v>168</v>
      </c>
      <c r="K77" s="43">
        <f>(IF(E70&gt;2,(I70/(E70+2)+K76),0))</f>
        <v>0</v>
      </c>
    </row>
    <row r="78" spans="1:14" ht="57.75" customHeight="1" x14ac:dyDescent="0.4">
      <c r="A78" s="63" t="s">
        <v>271</v>
      </c>
      <c r="B78" s="64"/>
      <c r="C78" s="66">
        <v>0</v>
      </c>
      <c r="D78" s="66"/>
      <c r="E78" s="52">
        <f ca="1">((100/(I70))*C78)/100</f>
        <v>0</v>
      </c>
      <c r="F78" s="65"/>
      <c r="G78" s="65"/>
      <c r="H78" s="65"/>
      <c r="I78" s="65"/>
      <c r="J78" s="38" t="s">
        <v>170</v>
      </c>
      <c r="K78" s="44">
        <f>(IF(E70&gt;3,(I70/(E70+2)+K77),0))</f>
        <v>0</v>
      </c>
    </row>
    <row r="79" spans="1:14" ht="21" x14ac:dyDescent="0.4">
      <c r="A79" s="65" t="s">
        <v>169</v>
      </c>
      <c r="B79" s="65"/>
      <c r="C79" s="66">
        <v>0</v>
      </c>
      <c r="D79" s="66"/>
      <c r="E79" s="52">
        <f ca="1">((100/(I70))*C79)/100</f>
        <v>0</v>
      </c>
      <c r="F79" s="65"/>
      <c r="G79" s="65"/>
      <c r="H79" s="65"/>
      <c r="I79" s="65"/>
      <c r="J79" s="38" t="s">
        <v>171</v>
      </c>
      <c r="K79" s="43">
        <f>(IF(E70&gt;4,(I70/(E70+2)+K78),0))</f>
        <v>0</v>
      </c>
    </row>
    <row r="80" spans="1:14" ht="21" customHeight="1" x14ac:dyDescent="0.4">
      <c r="A80" s="65" t="s">
        <v>272</v>
      </c>
      <c r="B80" s="65"/>
      <c r="C80" s="66">
        <v>0</v>
      </c>
      <c r="D80" s="66"/>
      <c r="E80" s="52">
        <f ca="1">((100/I70)*C80)/100</f>
        <v>0</v>
      </c>
      <c r="F80" s="65"/>
      <c r="G80" s="65"/>
      <c r="H80" s="65"/>
      <c r="I80" s="65"/>
      <c r="J80" s="38" t="s">
        <v>155</v>
      </c>
      <c r="K80" s="43">
        <f ca="1">(IF(E70=1,(I70/(E70+3)+K75),IF(E70=0,(I70*0.3+K75),IF(E70&gt;1,0))))</f>
        <v>27.3</v>
      </c>
    </row>
    <row r="81" spans="1:11" ht="52.5" customHeight="1" thickBot="1" x14ac:dyDescent="0.45">
      <c r="A81" s="65" t="s">
        <v>273</v>
      </c>
      <c r="B81" s="65"/>
      <c r="C81" s="66">
        <v>0</v>
      </c>
      <c r="D81" s="66"/>
      <c r="E81" s="52">
        <f ca="1">((100/I70)*C81)/100</f>
        <v>0</v>
      </c>
      <c r="F81" s="65"/>
      <c r="G81" s="65"/>
      <c r="H81" s="65"/>
      <c r="I81" s="65"/>
      <c r="J81" s="40" t="s">
        <v>156</v>
      </c>
      <c r="K81" s="45">
        <f ca="1">(IF(E70&gt;1.5,(I70/(E70+2)+K75+MAX(0,K76-K75)+MAX(0,K77-K76)+MAX(0,K78-K77)+MAX(0,K79-K78)+MAX(0,K80-K79)),IF(E70=1,(I70/(E70+3)+K80),IF(E70=0,I70*0.3+K80))))</f>
        <v>39</v>
      </c>
    </row>
    <row r="82" spans="1:11" ht="21" x14ac:dyDescent="0.3">
      <c r="A82" s="65" t="s">
        <v>172</v>
      </c>
      <c r="B82" s="65"/>
      <c r="C82" s="66">
        <v>0</v>
      </c>
      <c r="D82" s="66"/>
      <c r="E82" s="52">
        <f ca="1">((100/(I70))*C82)/100</f>
        <v>0</v>
      </c>
      <c r="F82" s="65"/>
      <c r="G82" s="65"/>
      <c r="H82" s="65"/>
      <c r="I82" s="65"/>
    </row>
    <row r="83" spans="1:11" ht="21" x14ac:dyDescent="0.3">
      <c r="A83" s="65" t="s">
        <v>173</v>
      </c>
      <c r="B83" s="65"/>
      <c r="C83" s="66">
        <v>0</v>
      </c>
      <c r="D83" s="66"/>
      <c r="E83" s="52">
        <f ca="1">((100/(I70))*C83)/100</f>
        <v>0</v>
      </c>
      <c r="F83" s="65"/>
      <c r="G83" s="65"/>
      <c r="H83" s="65"/>
      <c r="I83" s="65"/>
    </row>
    <row r="84" spans="1:11" ht="21.6" thickBot="1" x14ac:dyDescent="0.35">
      <c r="A84" s="67" t="s">
        <v>71</v>
      </c>
      <c r="B84" s="67"/>
      <c r="C84" s="67"/>
      <c r="D84" s="67"/>
      <c r="E84" s="67"/>
      <c r="F84" s="67"/>
      <c r="G84" s="67"/>
      <c r="H84" s="67"/>
      <c r="I84" s="67"/>
    </row>
    <row r="85" spans="1:11" ht="45.75" customHeight="1" x14ac:dyDescent="0.4">
      <c r="A85" s="92" t="s">
        <v>230</v>
      </c>
      <c r="B85" s="92"/>
      <c r="C85" s="92"/>
      <c r="D85" s="94" t="s">
        <v>4</v>
      </c>
      <c r="E85" s="54" t="s">
        <v>144</v>
      </c>
      <c r="F85" s="66" t="s">
        <v>130</v>
      </c>
      <c r="G85" s="66"/>
      <c r="H85" s="54" t="s">
        <v>145</v>
      </c>
      <c r="I85" s="54" t="s">
        <v>146</v>
      </c>
      <c r="J85" s="34" t="str">
        <f ca="1">(IF(F88&gt;99%,"All work completed. Please provide OC.",IF(F88&gt;89.8%,"Plinth, RCC, Brick, Plaster, Flooring, Wooden, Plumbing, Electrification, etc., work Completed. Finishing work is in process.",IF(F88&lt;94%,(IF(C88=0,"Work not yet Started.",IF(E88=25%,"Piling work in process",IF(E88=50%,"Excavation work in process",IF(E88=100%,"Excavation work Completed. ","0")))&amp;(IF(C89=0%,"",IF(C89=K90,"Footing work is process",IF(C89=K91,"Footing work Completed",IF(C89=K92,"1st Basement Completed",IF(C89=K93,"1st &amp; 2nd Basement Completed",IF(C89=K94,"1st to 3rd Basement Completed",IF(C89=K95,"1st to 4th Basement Completed",IF(C89=K96,"Plinth work is process",IF(C89=K97,"Plinth work completed","0")))))))))))&amp;(IF(C90=(F86+H86+I86),", RCC Slab",IF(C90&gt;0,", RCC upto "&amp;C90&amp;" Slab",""))&amp;(IF(C91=I86,", Brickwork",IF(C91&gt;0,", Brickwork upto "&amp;C91&amp;" Floor",""))&amp;(IF(C92=I86,", Internal Plaster",IF(C92&gt;0,", Internal Plaster upto "&amp;C92&amp;" Floor",""))&amp;(IF(C93=I86,", External Plaster",IF(C93&gt;0,", External Plaster upto "&amp;C93&amp;" Floor",""))&amp;(IF(C94=I86,", External Plumbing, Elevation and Waterproofing",IF(C94&gt;0,", External Plumbing, Elevation and Waterproofing upto "&amp;C94&amp;" Floor",""))&amp;(IF(C95=I86,", Flooring &amp; Fitting",IF(C95&gt;0,", Flooring &amp; Fitting upto "&amp;C95&amp;" Floor",""))&amp;(IF(C96=I86,", Wooden Work",IF(C96&gt;0,", Wooden Work upto "&amp;C96&amp;" Floor",""))&amp;(IF(C97=I86,", Electrical &amp; Sanitary fittings",IF(C97&gt;0,", Electrical &amp; Sanitary fittings upto "&amp;C97&amp;" Floor",""))&amp;(IF(C98&gt;0,", Finishing upto "&amp;C98&amp;" Floor","")&amp;(IF(C90&gt;0.5," Completed",""))))))))))))))))</f>
        <v>Excavation work Completed. Plinth work completed, RCC upto 26 Slab, Brickwork upto 21 Floor, Internal Plaster upto 16.8 Floor, External Plaster upto 16.8 Floor Completed</v>
      </c>
      <c r="K85" s="36"/>
    </row>
    <row r="86" spans="1:11" ht="44.25" customHeight="1" x14ac:dyDescent="0.4">
      <c r="A86" s="92"/>
      <c r="B86" s="92"/>
      <c r="C86" s="92"/>
      <c r="D86" s="94"/>
      <c r="E86" s="54">
        <v>0</v>
      </c>
      <c r="F86" s="66">
        <v>1</v>
      </c>
      <c r="G86" s="66"/>
      <c r="H86" s="54">
        <v>4</v>
      </c>
      <c r="I86" s="54">
        <f ca="1">--TRIM(RIGHT(SUBSTITUTE(LEFT(A85,_xlfn.AGGREGATE(16,6,FIND({0,1,2,3,4,5,6,7,8,9},A85,ROW(INDIRECT("1:"&amp;LEN(A85)))),1))," ",REPT(" ",LEN(A85))),LEN(A85)))</f>
        <v>39</v>
      </c>
      <c r="J86" s="35" t="s">
        <v>150</v>
      </c>
      <c r="K86" s="36"/>
    </row>
    <row r="87" spans="1:11" ht="20.25" customHeight="1" x14ac:dyDescent="0.4">
      <c r="A87" s="91" t="s">
        <v>148</v>
      </c>
      <c r="B87" s="91"/>
      <c r="C87" s="91" t="s">
        <v>160</v>
      </c>
      <c r="D87" s="91"/>
      <c r="E87" s="53" t="s">
        <v>161</v>
      </c>
      <c r="F87" s="91" t="s">
        <v>149</v>
      </c>
      <c r="G87" s="91"/>
      <c r="H87" s="46" t="s">
        <v>147</v>
      </c>
      <c r="I87" s="46"/>
      <c r="J87" s="38" t="s">
        <v>162</v>
      </c>
      <c r="K87" s="37">
        <f ca="1">I86*25%</f>
        <v>9.75</v>
      </c>
    </row>
    <row r="88" spans="1:11" ht="20.25" customHeight="1" x14ac:dyDescent="0.4">
      <c r="A88" s="65" t="s">
        <v>163</v>
      </c>
      <c r="B88" s="65"/>
      <c r="C88" s="66">
        <f ca="1">K89</f>
        <v>39</v>
      </c>
      <c r="D88" s="66"/>
      <c r="E88" s="52">
        <f ca="1">((100/I86)*C88)/100</f>
        <v>1.0000000000000002</v>
      </c>
      <c r="F88" s="65">
        <f ca="1">(((C88/I86*5)+(C89/I86*20)+(25/(F86+H86+I86)*C90)+(5/(I86)*C91)+(2.5/(I86)*C92)+(2.5/(I86)*C93)+(5/I86*C94)+(10/I86*C95)+(2.5/I86*C96)+(2.5/I86*C97)+(10/I86*C98)+(10/I86*C99))/100)</f>
        <v>0.44618881118881126</v>
      </c>
      <c r="G88" s="65"/>
      <c r="H88" s="65" t="str">
        <f ca="1">J85</f>
        <v>Excavation work Completed. Plinth work completed, RCC upto 26 Slab, Brickwork upto 21 Floor, Internal Plaster upto 16.8 Floor, External Plaster upto 16.8 Floor Completed</v>
      </c>
      <c r="I88" s="65"/>
      <c r="J88" s="38" t="s">
        <v>151</v>
      </c>
      <c r="K88" s="42">
        <f ca="1">I86*50%</f>
        <v>19.5</v>
      </c>
    </row>
    <row r="89" spans="1:11" ht="21" x14ac:dyDescent="0.4">
      <c r="A89" s="65" t="s">
        <v>131</v>
      </c>
      <c r="B89" s="65"/>
      <c r="C89" s="88">
        <f ca="1">K97</f>
        <v>39</v>
      </c>
      <c r="D89" s="66"/>
      <c r="E89" s="52">
        <f ca="1">((100/I86)*C89)/100</f>
        <v>1.0000000000000002</v>
      </c>
      <c r="F89" s="65"/>
      <c r="G89" s="65"/>
      <c r="H89" s="65"/>
      <c r="I89" s="65"/>
      <c r="J89" s="38" t="s">
        <v>152</v>
      </c>
      <c r="K89" s="42">
        <f ca="1">I86</f>
        <v>39</v>
      </c>
    </row>
    <row r="90" spans="1:11" ht="21" customHeight="1" x14ac:dyDescent="0.4">
      <c r="A90" s="65" t="s">
        <v>164</v>
      </c>
      <c r="B90" s="65"/>
      <c r="C90" s="66">
        <v>26</v>
      </c>
      <c r="D90" s="66"/>
      <c r="E90" s="52">
        <f ca="1">((100/(F86+H86+I86))*C90)/100</f>
        <v>0.59090909090909094</v>
      </c>
      <c r="F90" s="65"/>
      <c r="G90" s="65"/>
      <c r="H90" s="65"/>
      <c r="I90" s="65"/>
      <c r="J90" s="38" t="s">
        <v>153</v>
      </c>
      <c r="K90" s="43">
        <f ca="1">(IF(E86&gt;1,(I86/(E86+2)),I86*0.2))</f>
        <v>7.8000000000000007</v>
      </c>
    </row>
    <row r="91" spans="1:11" ht="21" customHeight="1" x14ac:dyDescent="0.4">
      <c r="A91" s="65" t="s">
        <v>165</v>
      </c>
      <c r="B91" s="65"/>
      <c r="C91" s="66">
        <f>C90-H86-F86</f>
        <v>21</v>
      </c>
      <c r="D91" s="66"/>
      <c r="E91" s="52">
        <f ca="1">((100/I86)*C91)/100</f>
        <v>0.53846153846153855</v>
      </c>
      <c r="F91" s="65"/>
      <c r="G91" s="65"/>
      <c r="H91" s="65"/>
      <c r="I91" s="65"/>
      <c r="J91" s="38" t="s">
        <v>154</v>
      </c>
      <c r="K91" s="43">
        <f ca="1">(IF(E86&gt;1,(I86/(E86+2)+K90),I86*0.2+K90))</f>
        <v>15.600000000000001</v>
      </c>
    </row>
    <row r="92" spans="1:11" ht="21" customHeight="1" x14ac:dyDescent="0.4">
      <c r="A92" s="63" t="s">
        <v>166</v>
      </c>
      <c r="B92" s="64"/>
      <c r="C92" s="88">
        <f>C91*0.8</f>
        <v>16.8</v>
      </c>
      <c r="D92" s="88"/>
      <c r="E92" s="52">
        <f ca="1">((100/I86)*C92)/100</f>
        <v>0.43076923076923079</v>
      </c>
      <c r="F92" s="65"/>
      <c r="G92" s="65"/>
      <c r="H92" s="65"/>
      <c r="I92" s="65"/>
      <c r="J92" s="38" t="s">
        <v>167</v>
      </c>
      <c r="K92" s="43">
        <f>(IF(E86&gt;1,(I86/(E86+2)+K91),0))</f>
        <v>0</v>
      </c>
    </row>
    <row r="93" spans="1:11" ht="21" customHeight="1" x14ac:dyDescent="0.4">
      <c r="A93" s="63" t="s">
        <v>270</v>
      </c>
      <c r="B93" s="64"/>
      <c r="C93" s="88">
        <f>C92</f>
        <v>16.8</v>
      </c>
      <c r="D93" s="88"/>
      <c r="E93" s="52">
        <f ca="1">((100/I86)*C93)/100</f>
        <v>0.43076923076923079</v>
      </c>
      <c r="F93" s="65"/>
      <c r="G93" s="65"/>
      <c r="H93" s="65"/>
      <c r="I93" s="65"/>
      <c r="J93" s="38" t="s">
        <v>168</v>
      </c>
      <c r="K93" s="43">
        <f>(IF(E86&gt;2,(I86/(E86+2)+K92),0))</f>
        <v>0</v>
      </c>
    </row>
    <row r="94" spans="1:11" ht="57.75" customHeight="1" x14ac:dyDescent="0.4">
      <c r="A94" s="63" t="s">
        <v>271</v>
      </c>
      <c r="B94" s="64"/>
      <c r="C94" s="66">
        <v>0</v>
      </c>
      <c r="D94" s="66"/>
      <c r="E94" s="52">
        <f ca="1">((100/(I86))*C94)/100</f>
        <v>0</v>
      </c>
      <c r="F94" s="65"/>
      <c r="G94" s="65"/>
      <c r="H94" s="65"/>
      <c r="I94" s="65"/>
      <c r="J94" s="38" t="s">
        <v>170</v>
      </c>
      <c r="K94" s="44">
        <f>(IF(E86&gt;3,(I86/(E86+2)+K93),0))</f>
        <v>0</v>
      </c>
    </row>
    <row r="95" spans="1:11" ht="21" x14ac:dyDescent="0.4">
      <c r="A95" s="65" t="s">
        <v>169</v>
      </c>
      <c r="B95" s="65"/>
      <c r="C95" s="66">
        <v>0</v>
      </c>
      <c r="D95" s="66"/>
      <c r="E95" s="52">
        <f ca="1">((100/(I86))*C95)/100</f>
        <v>0</v>
      </c>
      <c r="F95" s="65"/>
      <c r="G95" s="65"/>
      <c r="H95" s="65"/>
      <c r="I95" s="65"/>
      <c r="J95" s="38" t="s">
        <v>171</v>
      </c>
      <c r="K95" s="43">
        <f>(IF(E86&gt;4,(I86/(E86+2)+K94),0))</f>
        <v>0</v>
      </c>
    </row>
    <row r="96" spans="1:11" ht="21" customHeight="1" x14ac:dyDescent="0.4">
      <c r="A96" s="65" t="s">
        <v>272</v>
      </c>
      <c r="B96" s="65"/>
      <c r="C96" s="66">
        <v>0</v>
      </c>
      <c r="D96" s="66"/>
      <c r="E96" s="52">
        <f ca="1">((100/I86)*C96)/100</f>
        <v>0</v>
      </c>
      <c r="F96" s="65"/>
      <c r="G96" s="65"/>
      <c r="H96" s="65"/>
      <c r="I96" s="65"/>
      <c r="J96" s="38" t="s">
        <v>155</v>
      </c>
      <c r="K96" s="43">
        <f ca="1">(IF(E86=1,(I86/(E86+3)+K91),IF(E86=0,(I86*0.3+K91),IF(E86&gt;1,0))))</f>
        <v>27.3</v>
      </c>
    </row>
    <row r="97" spans="1:12" ht="52.5" customHeight="1" thickBot="1" x14ac:dyDescent="0.45">
      <c r="A97" s="65" t="s">
        <v>273</v>
      </c>
      <c r="B97" s="65"/>
      <c r="C97" s="66">
        <v>0</v>
      </c>
      <c r="D97" s="66"/>
      <c r="E97" s="52">
        <f ca="1">((100/I86)*C97)/100</f>
        <v>0</v>
      </c>
      <c r="F97" s="65"/>
      <c r="G97" s="65"/>
      <c r="H97" s="65"/>
      <c r="I97" s="65"/>
      <c r="J97" s="40" t="s">
        <v>156</v>
      </c>
      <c r="K97" s="45">
        <f ca="1">(IF(E86&gt;1.5,(I86/(E86+2)+K91+MAX(0,K92-K91)+MAX(0,K93-K92)+MAX(0,K94-K93)+MAX(0,K95-K94)+MAX(0,K96-K95)),IF(E86=1,(I86/(E86+3)+K96),IF(E86=0,I86*0.3+K96))))</f>
        <v>39</v>
      </c>
    </row>
    <row r="98" spans="1:12" ht="21" x14ac:dyDescent="0.3">
      <c r="A98" s="65" t="s">
        <v>172</v>
      </c>
      <c r="B98" s="65"/>
      <c r="C98" s="66">
        <v>0</v>
      </c>
      <c r="D98" s="66"/>
      <c r="E98" s="52">
        <f ca="1">((100/(I86))*C98)/100</f>
        <v>0</v>
      </c>
      <c r="F98" s="65"/>
      <c r="G98" s="65"/>
      <c r="H98" s="65"/>
      <c r="I98" s="65"/>
    </row>
    <row r="99" spans="1:12" ht="21" x14ac:dyDescent="0.3">
      <c r="A99" s="65" t="s">
        <v>173</v>
      </c>
      <c r="B99" s="65"/>
      <c r="C99" s="66">
        <v>0</v>
      </c>
      <c r="D99" s="66"/>
      <c r="E99" s="52">
        <f ca="1">((100/(I86))*C99)/100</f>
        <v>0</v>
      </c>
      <c r="F99" s="65"/>
      <c r="G99" s="65"/>
      <c r="H99" s="65"/>
      <c r="I99" s="65"/>
    </row>
    <row r="100" spans="1:12" ht="36.75" customHeight="1" x14ac:dyDescent="0.4">
      <c r="A100" s="101" t="s">
        <v>157</v>
      </c>
      <c r="B100" s="102"/>
      <c r="C100" s="102"/>
      <c r="D100" s="102"/>
      <c r="E100" s="102"/>
      <c r="F100" s="102"/>
      <c r="G100" s="102"/>
      <c r="H100" s="103">
        <f ca="1">AVERAGE(F56,F72,F88)</f>
        <v>0.52342074592074594</v>
      </c>
      <c r="I100" s="104"/>
      <c r="J100" s="38"/>
      <c r="K100" s="39"/>
      <c r="L100" s="39"/>
    </row>
    <row r="101" spans="1:12" ht="21" x14ac:dyDescent="0.3">
      <c r="A101" s="80" t="s">
        <v>75</v>
      </c>
      <c r="B101" s="81"/>
      <c r="C101" s="81"/>
      <c r="D101" s="81"/>
      <c r="E101" s="81"/>
      <c r="F101" s="81"/>
      <c r="G101" s="81"/>
      <c r="H101" s="81"/>
      <c r="I101" s="82"/>
    </row>
    <row r="102" spans="1:12" ht="63" x14ac:dyDescent="0.3">
      <c r="A102" s="83" t="s">
        <v>76</v>
      </c>
      <c r="B102" s="83"/>
      <c r="C102" s="83"/>
      <c r="D102" s="3" t="s">
        <v>4</v>
      </c>
      <c r="E102" s="14" t="s">
        <v>136</v>
      </c>
      <c r="F102" s="20" t="s">
        <v>174</v>
      </c>
      <c r="G102" s="3" t="s">
        <v>4</v>
      </c>
      <c r="H102" s="84" t="s">
        <v>265</v>
      </c>
      <c r="I102" s="84"/>
      <c r="L102" s="1">
        <f>22000*1.6</f>
        <v>35200</v>
      </c>
    </row>
    <row r="103" spans="1:12" ht="42" customHeight="1" x14ac:dyDescent="0.3">
      <c r="A103" s="83" t="s">
        <v>189</v>
      </c>
      <c r="B103" s="83"/>
      <c r="C103" s="83"/>
      <c r="D103" s="2" t="s">
        <v>132</v>
      </c>
      <c r="E103" s="17" t="s">
        <v>278</v>
      </c>
      <c r="F103" s="85" t="s">
        <v>190</v>
      </c>
      <c r="G103" s="85" t="s">
        <v>4</v>
      </c>
      <c r="H103" s="74" t="s">
        <v>283</v>
      </c>
      <c r="I103" s="75"/>
      <c r="J103" s="1" t="s">
        <v>279</v>
      </c>
    </row>
    <row r="104" spans="1:12" ht="44.25" customHeight="1" x14ac:dyDescent="0.3">
      <c r="A104" s="83" t="s">
        <v>266</v>
      </c>
      <c r="B104" s="83"/>
      <c r="C104" s="83"/>
      <c r="D104" s="2" t="s">
        <v>132</v>
      </c>
      <c r="E104" s="17">
        <v>40000</v>
      </c>
      <c r="F104" s="86"/>
      <c r="G104" s="86"/>
      <c r="H104" s="76"/>
      <c r="I104" s="77"/>
      <c r="J104" s="1" t="s">
        <v>282</v>
      </c>
    </row>
    <row r="105" spans="1:12" ht="42" customHeight="1" x14ac:dyDescent="0.3">
      <c r="A105" s="83" t="s">
        <v>267</v>
      </c>
      <c r="B105" s="83"/>
      <c r="C105" s="83"/>
      <c r="D105" s="2" t="s">
        <v>132</v>
      </c>
      <c r="E105" s="17">
        <v>30000</v>
      </c>
      <c r="F105" s="87"/>
      <c r="G105" s="87"/>
      <c r="H105" s="78"/>
      <c r="I105" s="79"/>
    </row>
    <row r="106" spans="1:12" ht="26.25" customHeight="1" x14ac:dyDescent="0.3">
      <c r="A106" s="156" t="s">
        <v>79</v>
      </c>
      <c r="B106" s="156"/>
      <c r="C106" s="156"/>
      <c r="D106" s="3" t="s">
        <v>4</v>
      </c>
      <c r="E106" s="17" t="s">
        <v>263</v>
      </c>
      <c r="F106" s="3" t="s">
        <v>129</v>
      </c>
      <c r="G106" s="3" t="s">
        <v>4</v>
      </c>
      <c r="H106" s="119" t="s">
        <v>137</v>
      </c>
      <c r="I106" s="120"/>
    </row>
    <row r="107" spans="1:12" ht="21" hidden="1" x14ac:dyDescent="0.3">
      <c r="A107" s="83" t="s">
        <v>119</v>
      </c>
      <c r="B107" s="83"/>
      <c r="C107" s="83"/>
      <c r="D107" s="2" t="s">
        <v>4</v>
      </c>
      <c r="E107" s="17" t="s">
        <v>120</v>
      </c>
      <c r="F107" s="20" t="s">
        <v>121</v>
      </c>
      <c r="G107" s="2" t="s">
        <v>4</v>
      </c>
      <c r="H107" s="93" t="s">
        <v>98</v>
      </c>
      <c r="I107" s="93"/>
    </row>
    <row r="108" spans="1:12" ht="63" hidden="1" x14ac:dyDescent="0.3">
      <c r="A108" s="83" t="s">
        <v>122</v>
      </c>
      <c r="B108" s="83"/>
      <c r="C108" s="83"/>
      <c r="D108" s="2" t="s">
        <v>4</v>
      </c>
      <c r="E108" s="17" t="s">
        <v>123</v>
      </c>
      <c r="F108" s="20" t="s">
        <v>124</v>
      </c>
      <c r="G108" s="2" t="s">
        <v>4</v>
      </c>
      <c r="H108" s="93" t="s">
        <v>125</v>
      </c>
      <c r="I108" s="93"/>
    </row>
    <row r="109" spans="1:12" ht="21" hidden="1" x14ac:dyDescent="0.3">
      <c r="A109" s="83" t="s">
        <v>78</v>
      </c>
      <c r="B109" s="83"/>
      <c r="C109" s="83"/>
      <c r="D109" s="2" t="s">
        <v>4</v>
      </c>
      <c r="E109" s="17" t="s">
        <v>100</v>
      </c>
      <c r="F109" s="20" t="s">
        <v>77</v>
      </c>
      <c r="G109" s="2" t="s">
        <v>4</v>
      </c>
      <c r="H109" s="113" t="s">
        <v>100</v>
      </c>
      <c r="I109" s="115"/>
    </row>
    <row r="110" spans="1:12" ht="21" hidden="1" x14ac:dyDescent="0.3">
      <c r="A110" s="83" t="s">
        <v>126</v>
      </c>
      <c r="B110" s="83"/>
      <c r="C110" s="83"/>
      <c r="D110" s="2" t="s">
        <v>4</v>
      </c>
      <c r="E110" s="17" t="s">
        <v>99</v>
      </c>
      <c r="F110" s="20" t="s">
        <v>79</v>
      </c>
      <c r="G110" s="2" t="s">
        <v>4</v>
      </c>
      <c r="H110" s="93" t="s">
        <v>118</v>
      </c>
      <c r="I110" s="93"/>
    </row>
    <row r="111" spans="1:12" ht="21" hidden="1" x14ac:dyDescent="0.3">
      <c r="A111" s="83" t="s">
        <v>127</v>
      </c>
      <c r="B111" s="83"/>
      <c r="C111" s="83"/>
      <c r="D111" s="2" t="s">
        <v>4</v>
      </c>
      <c r="E111" s="18" t="s">
        <v>111</v>
      </c>
      <c r="F111" s="20" t="s">
        <v>128</v>
      </c>
      <c r="G111" s="2" t="s">
        <v>4</v>
      </c>
      <c r="H111" s="157" t="s">
        <v>111</v>
      </c>
      <c r="I111" s="157"/>
    </row>
    <row r="112" spans="1:12" ht="18" hidden="1" customHeight="1" x14ac:dyDescent="0.3">
      <c r="A112" s="156" t="s">
        <v>129</v>
      </c>
      <c r="B112" s="156"/>
      <c r="C112" s="156"/>
      <c r="D112" s="3" t="s">
        <v>4</v>
      </c>
      <c r="E112" s="10"/>
      <c r="F112" s="3" t="s">
        <v>129</v>
      </c>
      <c r="G112" s="3" t="s">
        <v>4</v>
      </c>
      <c r="H112" s="158" t="s">
        <v>111</v>
      </c>
      <c r="I112" s="159"/>
    </row>
    <row r="113" spans="1:151 16227:16384" ht="21" x14ac:dyDescent="0.3">
      <c r="A113" s="80" t="s">
        <v>74</v>
      </c>
      <c r="B113" s="81"/>
      <c r="C113" s="81"/>
      <c r="D113" s="81"/>
      <c r="E113" s="81"/>
      <c r="F113" s="81"/>
      <c r="G113" s="81"/>
      <c r="H113" s="81"/>
      <c r="I113" s="82"/>
    </row>
    <row r="114" spans="1:151 16227:16384" ht="21" x14ac:dyDescent="0.3">
      <c r="A114" s="116" t="s">
        <v>9</v>
      </c>
      <c r="B114" s="117"/>
      <c r="C114" s="117"/>
      <c r="D114" s="117"/>
      <c r="E114" s="117"/>
      <c r="F114" s="118"/>
      <c r="G114" s="2" t="s">
        <v>4</v>
      </c>
      <c r="H114" s="89">
        <v>1830</v>
      </c>
      <c r="I114" s="90"/>
    </row>
    <row r="115" spans="1:151 16227:16384" ht="21" x14ac:dyDescent="0.3">
      <c r="A115" s="116" t="s">
        <v>32</v>
      </c>
      <c r="B115" s="117"/>
      <c r="C115" s="117"/>
      <c r="D115" s="117"/>
      <c r="E115" s="117"/>
      <c r="F115" s="118"/>
      <c r="G115" s="2" t="s">
        <v>4</v>
      </c>
      <c r="H115" s="97">
        <v>9169</v>
      </c>
      <c r="I115" s="97"/>
    </row>
    <row r="116" spans="1:151 16227:16384" ht="21" x14ac:dyDescent="0.3">
      <c r="A116" s="116" t="s">
        <v>138</v>
      </c>
      <c r="B116" s="117"/>
      <c r="C116" s="117"/>
      <c r="D116" s="117"/>
      <c r="E116" s="117"/>
      <c r="F116" s="118"/>
      <c r="G116" s="2" t="s">
        <v>4</v>
      </c>
      <c r="H116" s="97">
        <f>H114*0.8</f>
        <v>1464</v>
      </c>
      <c r="I116" s="97"/>
    </row>
    <row r="117" spans="1:151 16227:16384" ht="21" x14ac:dyDescent="0.3">
      <c r="A117" s="126" t="s">
        <v>83</v>
      </c>
      <c r="B117" s="127"/>
      <c r="C117" s="127"/>
      <c r="D117" s="127"/>
      <c r="E117" s="127"/>
      <c r="F117" s="127"/>
      <c r="G117" s="127"/>
      <c r="H117" s="127"/>
      <c r="I117" s="107"/>
    </row>
    <row r="118" spans="1:151 16227:16384" s="11" customFormat="1" ht="40.799999999999997" x14ac:dyDescent="0.3">
      <c r="A118" s="108" t="s">
        <v>185</v>
      </c>
      <c r="B118" s="109"/>
      <c r="C118" s="108" t="s">
        <v>186</v>
      </c>
      <c r="D118" s="109"/>
      <c r="E118" s="48" t="s">
        <v>187</v>
      </c>
      <c r="F118" s="108" t="s">
        <v>184</v>
      </c>
      <c r="G118" s="109"/>
      <c r="H118" s="48" t="s">
        <v>183</v>
      </c>
      <c r="I118" s="48" t="s">
        <v>182</v>
      </c>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1" x14ac:dyDescent="0.3">
      <c r="A119" s="110" t="s">
        <v>252</v>
      </c>
      <c r="B119" s="111"/>
      <c r="C119" s="110" t="s">
        <v>96</v>
      </c>
      <c r="D119" s="111"/>
      <c r="E119" s="49" t="s">
        <v>216</v>
      </c>
      <c r="F119" s="110">
        <f>COUNT(F133:G142)</f>
        <v>10</v>
      </c>
      <c r="G119" s="111"/>
      <c r="H119" s="49">
        <f>SUM(F133:G142)</f>
        <v>10701.986981399998</v>
      </c>
      <c r="I119" s="49">
        <f>SUM(I133:I142)</f>
        <v>17123.179170240001</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1" x14ac:dyDescent="0.3">
      <c r="A120" s="110" t="s">
        <v>175</v>
      </c>
      <c r="B120" s="111"/>
      <c r="C120" s="110" t="s">
        <v>96</v>
      </c>
      <c r="D120" s="111"/>
      <c r="E120" s="49" t="s">
        <v>219</v>
      </c>
      <c r="F120" s="110">
        <f>COUNT(F144:G151)</f>
        <v>8</v>
      </c>
      <c r="G120" s="111"/>
      <c r="H120" s="49">
        <f>SUM(F144:G151)</f>
        <v>8328.9652289999995</v>
      </c>
      <c r="I120" s="49">
        <f>SUM(I144:I151)</f>
        <v>13326.344366400001</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1" x14ac:dyDescent="0.3">
      <c r="A121" s="108" t="s">
        <v>188</v>
      </c>
      <c r="B121" s="109"/>
      <c r="C121" s="168" t="s">
        <v>96</v>
      </c>
      <c r="D121" s="169"/>
      <c r="E121" s="48" t="s">
        <v>260</v>
      </c>
      <c r="F121" s="108">
        <f>SUM(F119:G120)</f>
        <v>18</v>
      </c>
      <c r="G121" s="109"/>
      <c r="H121" s="48">
        <f>SUM(H119:H120)</f>
        <v>19030.952210399999</v>
      </c>
      <c r="I121" s="48">
        <f>SUM(I119:I120)</f>
        <v>30449.523536640001</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40.799999999999997" x14ac:dyDescent="0.3">
      <c r="A122" s="108" t="s">
        <v>185</v>
      </c>
      <c r="B122" s="109"/>
      <c r="C122" s="108" t="s">
        <v>186</v>
      </c>
      <c r="D122" s="109"/>
      <c r="E122" s="48" t="s">
        <v>187</v>
      </c>
      <c r="F122" s="108" t="s">
        <v>184</v>
      </c>
      <c r="G122" s="109"/>
      <c r="H122" s="48" t="s">
        <v>183</v>
      </c>
      <c r="I122" s="48" t="s">
        <v>182</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1" x14ac:dyDescent="0.3">
      <c r="A123" s="110" t="s">
        <v>175</v>
      </c>
      <c r="B123" s="111"/>
      <c r="C123" s="110" t="s">
        <v>96</v>
      </c>
      <c r="D123" s="111"/>
      <c r="E123" s="49" t="s">
        <v>254</v>
      </c>
      <c r="F123" s="110">
        <f>COUNT(F154:G156)+COUNT(F158:G160)+COUNT(F162:G167)*24+COUNT(F169:G172)*7+COUNT(F174)*7+COUNT(F176:G181)*5+COUNT(F183:G186)+COUNT(F188)</f>
        <v>220</v>
      </c>
      <c r="G123" s="111"/>
      <c r="H123" s="49">
        <f>SUM(F154:G156)+SUM(F158:G160)+SUM(F162:G167)*24+SUM(F169:G172)*7+SUM(F174)*7+SUM(F176:G181)*5+SUM(F183:G186)+SUM(F188)</f>
        <v>159670.67336999997</v>
      </c>
      <c r="I123" s="49">
        <f>SUM(I154:I156)+SUM(I158:I160)+SUM(I162:I167)*24+SUM(I169:I172)*7+SUM(I174)*7+SUM(I176:I181)*5+SUM(I183:I186)+SUM(I188)</f>
        <v>255473.07739199998</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1" x14ac:dyDescent="0.3">
      <c r="A124" s="110" t="s">
        <v>176</v>
      </c>
      <c r="B124" s="111"/>
      <c r="C124" s="110" t="s">
        <v>96</v>
      </c>
      <c r="D124" s="111"/>
      <c r="E124" s="49" t="s">
        <v>254</v>
      </c>
      <c r="F124" s="110">
        <f>COUNT(F196:G198)+COUNT(F200:G202)+COUNT(F204:G209)*24+COUNT(F211:G214)*7+COUNT(F216)*7+COUNT(F218:G223)*5+COUNT(F225:G228)+COUNT(F230)</f>
        <v>220</v>
      </c>
      <c r="G124" s="111"/>
      <c r="H124" s="49">
        <f>SUM(F196:G198)+SUM(F200:G202)+SUM(F204:G209)*24+SUM(F211:G214)*7+SUM(F216)*7+SUM(F218:G223)*5+SUM(F225:G228)+SUM(F230)</f>
        <v>159670.67336999997</v>
      </c>
      <c r="I124" s="49">
        <f>SUM(I196:I198)+SUM(I200:I202)+SUM(I204:I209)*24+SUM(I211:I214)*7+SUM(I216)*7+SUM(I218:I223)*5+SUM(I225:I228)+SUM(I230)</f>
        <v>255473.07739199998</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1" x14ac:dyDescent="0.3">
      <c r="A125" s="110" t="s">
        <v>199</v>
      </c>
      <c r="B125" s="111"/>
      <c r="C125" s="110" t="s">
        <v>96</v>
      </c>
      <c r="D125" s="111"/>
      <c r="E125" s="49" t="s">
        <v>254</v>
      </c>
      <c r="F125" s="110">
        <f>COUNT(F236:G238)+COUNT(F240:G242)+COUNT(F244:G246)*10+COUNT(F251:G253)*3+COUNT(F258:G260)+COUNT(F262:G263)+COUNT(F265:G268)+COUNT(F270)+COUNT(F272:G277)*3+COUNT(F279:G284)*10+COUNT(F286:G289)*3+COUNT(F291)*3+COUNT(F293:G295)+COUNT(F300:G302)*2+COUNT(F307:G310)+COUNT(F312)+COUNT(F314:G317)+COUNT(F319)+COUNT(F321:G326)</f>
        <v>173</v>
      </c>
      <c r="G125" s="111"/>
      <c r="H125" s="49">
        <f>SUM(F236:G238)+SUM(F240:G242)+SUM(F244:G246)*10+SUM(F251:G253)*3+SUM(F258:G260)+SUM(F262:G263)+SUM(F265:G268)+SUM(F270)+SUM(F272:G277)*3+SUM(F279:G284)*10+SUM(F286:G289)*3+SUM(F291)*3+SUM(F293:G295)+SUM(F300:G302)*2+SUM(F307:G310)+SUM(F312)+SUM(F314:G317)+SUM(F319)+SUM(F321:G326)</f>
        <v>126556.59978000005</v>
      </c>
      <c r="I125" s="49">
        <f>SUM(I236:I238)+SUM(I240:I242)+SUM(I244:I246)*10+SUM(I251:I253)+SUM(I258:I260)*3+SUM(I262:I263)+SUM(I265:I268)+SUM(I270)+SUM(I272:I277)*3+SUM(I279:I284)*10+SUM(I286:I289)*3+SUM(I291)*3+SUM(I293:I295)+SUM(I300:I302)+SUM(I307:I310)+SUM(I312)+SUM(I314:I317)+SUM(I319)+SUM(I321:I326)</f>
        <v>198678.81196800005</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1" x14ac:dyDescent="0.3">
      <c r="A126" s="110" t="s">
        <v>199</v>
      </c>
      <c r="B126" s="111"/>
      <c r="C126" s="110" t="s">
        <v>253</v>
      </c>
      <c r="D126" s="111"/>
      <c r="E126" s="49" t="s">
        <v>254</v>
      </c>
      <c r="F126" s="110">
        <f>COUNT(F247:G249)*10+COUNT(F254)*3+COUNT(F256)*3+COUNT(F261)+COUNT(F296:G298)+COUNT(F303:G305)*2+COUNT(F311)</f>
        <v>47</v>
      </c>
      <c r="G126" s="111"/>
      <c r="H126" s="49">
        <f>SUM(F247:G249)*10+SUM(F254)*3+SUM(F256)*3+SUM(F261)+SUM(F296:G298)+SUM(F303:G305)*2+SUM(F311)</f>
        <v>23343.859889999996</v>
      </c>
      <c r="I126" s="49">
        <f>SUM(I247:I249)*10+SUM(I254)*3+SUM(I256)*3+SUM(I261)+SUM(I296:I298)+SUM(I303:I305)*2+SUM(I311)</f>
        <v>37550.386223999994</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1" x14ac:dyDescent="0.3">
      <c r="A127" s="108" t="s">
        <v>188</v>
      </c>
      <c r="B127" s="109"/>
      <c r="C127" s="108"/>
      <c r="D127" s="109"/>
      <c r="E127" s="48" t="s">
        <v>254</v>
      </c>
      <c r="F127" s="108">
        <f>SUM(F123:G126)</f>
        <v>660</v>
      </c>
      <c r="G127" s="109"/>
      <c r="H127" s="48">
        <f>SUM(H123:H126)</f>
        <v>469241.80641000002</v>
      </c>
      <c r="I127" s="48">
        <f>SUM(I123:I126)</f>
        <v>747175.35297600005</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ht="21" x14ac:dyDescent="0.3">
      <c r="A128" s="105" t="s">
        <v>181</v>
      </c>
      <c r="B128" s="106"/>
      <c r="C128" s="106"/>
      <c r="D128" s="106"/>
      <c r="E128" s="106"/>
      <c r="F128" s="106"/>
      <c r="G128" s="106"/>
      <c r="H128" s="106"/>
      <c r="I128" s="107"/>
    </row>
    <row r="129" spans="1:151 16227:16384" ht="44.25" customHeight="1" x14ac:dyDescent="0.3">
      <c r="A129" s="112" t="s">
        <v>105</v>
      </c>
      <c r="B129" s="112"/>
      <c r="C129" s="112" t="s">
        <v>101</v>
      </c>
      <c r="D129" s="112"/>
      <c r="E129" s="112" t="s">
        <v>102</v>
      </c>
      <c r="F129" s="112" t="s">
        <v>103</v>
      </c>
      <c r="G129" s="112"/>
      <c r="H129" s="112" t="s">
        <v>104</v>
      </c>
      <c r="I129" s="32" t="s">
        <v>158</v>
      </c>
    </row>
    <row r="130" spans="1:151 16227:16384" s="11" customFormat="1" ht="21" x14ac:dyDescent="0.3">
      <c r="A130" s="112"/>
      <c r="B130" s="112"/>
      <c r="C130" s="112"/>
      <c r="D130" s="112"/>
      <c r="E130" s="112"/>
      <c r="F130" s="112"/>
      <c r="G130" s="112"/>
      <c r="H130" s="112"/>
      <c r="I130" s="33">
        <v>0.6</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1" x14ac:dyDescent="0.3">
      <c r="A131" s="71" t="s">
        <v>175</v>
      </c>
      <c r="B131" s="72"/>
      <c r="C131" s="72"/>
      <c r="D131" s="72"/>
      <c r="E131" s="72"/>
      <c r="F131" s="72"/>
      <c r="G131" s="72"/>
      <c r="H131" s="72"/>
      <c r="I131" s="7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1" x14ac:dyDescent="0.3">
      <c r="A132" s="71" t="s">
        <v>215</v>
      </c>
      <c r="B132" s="72"/>
      <c r="C132" s="72"/>
      <c r="D132" s="72"/>
      <c r="E132" s="72"/>
      <c r="F132" s="72"/>
      <c r="G132" s="72"/>
      <c r="H132" s="72"/>
      <c r="I132" s="7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1" x14ac:dyDescent="0.3">
      <c r="A133" s="68" t="str">
        <f>A132</f>
        <v>Ground Floor</v>
      </c>
      <c r="B133" s="68"/>
      <c r="C133" s="68">
        <v>1</v>
      </c>
      <c r="D133" s="68"/>
      <c r="E133" s="19" t="s">
        <v>216</v>
      </c>
      <c r="F133" s="69">
        <f>(7.675*10.97+2.5*1.4)*10.764</f>
        <v>943.94628899999998</v>
      </c>
      <c r="G133" s="70"/>
      <c r="H133" s="19">
        <v>0</v>
      </c>
      <c r="I133" s="19">
        <f>F133*(($I$130)+1)+H133</f>
        <v>1510.3140624</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1" x14ac:dyDescent="0.3">
      <c r="A134" s="68" t="str">
        <f t="shared" ref="A134:A142" si="0">A133</f>
        <v>Ground Floor</v>
      </c>
      <c r="B134" s="68"/>
      <c r="C134" s="68">
        <f>C133+1</f>
        <v>2</v>
      </c>
      <c r="D134" s="68"/>
      <c r="E134" s="19" t="s">
        <v>216</v>
      </c>
      <c r="F134" s="69">
        <f>4.75*13.07*10.764</f>
        <v>668.25603000000001</v>
      </c>
      <c r="G134" s="70"/>
      <c r="H134" s="19">
        <v>0</v>
      </c>
      <c r="I134" s="19">
        <f>F134*(($I$130)+1)+H134</f>
        <v>1069.209648</v>
      </c>
      <c r="J134" s="1"/>
      <c r="K134" s="1"/>
      <c r="L134" s="1"/>
      <c r="M134" s="1">
        <f>35000*1.6</f>
        <v>56000</v>
      </c>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1" x14ac:dyDescent="0.3">
      <c r="A135" s="68" t="str">
        <f t="shared" si="0"/>
        <v>Ground Floor</v>
      </c>
      <c r="B135" s="68"/>
      <c r="C135" s="68">
        <f t="shared" ref="C135:C141" si="1">C134+1</f>
        <v>3</v>
      </c>
      <c r="D135" s="68"/>
      <c r="E135" s="19" t="s">
        <v>216</v>
      </c>
      <c r="F135" s="69">
        <f>(6.5*13.37+7.65*4.85+3.85*3.05)*10.764</f>
        <v>1461.213</v>
      </c>
      <c r="G135" s="70"/>
      <c r="H135" s="19">
        <v>0</v>
      </c>
      <c r="I135" s="19">
        <f>F135*(($I$130)+1)+H135</f>
        <v>2337.9407999999999</v>
      </c>
      <c r="J135" s="1"/>
      <c r="K135" s="1"/>
      <c r="L135" s="1"/>
      <c r="M135" s="1">
        <f>22000*1.6</f>
        <v>35200</v>
      </c>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customHeight="1" x14ac:dyDescent="0.3">
      <c r="A136" s="68" t="str">
        <f t="shared" si="0"/>
        <v>Ground Floor</v>
      </c>
      <c r="B136" s="68"/>
      <c r="C136" s="68">
        <f t="shared" si="1"/>
        <v>4</v>
      </c>
      <c r="D136" s="68"/>
      <c r="E136" s="19" t="s">
        <v>216</v>
      </c>
      <c r="F136" s="69">
        <f>4.3*18.22*10.764</f>
        <v>843.31634399999984</v>
      </c>
      <c r="G136" s="70"/>
      <c r="H136" s="19">
        <v>0</v>
      </c>
      <c r="I136" s="19">
        <f>F136*(($I$130)+1)+H136</f>
        <v>1349.3061503999998</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customHeight="1" x14ac:dyDescent="0.3">
      <c r="A137" s="68" t="str">
        <f t="shared" si="0"/>
        <v>Ground Floor</v>
      </c>
      <c r="B137" s="68"/>
      <c r="C137" s="68" t="s">
        <v>217</v>
      </c>
      <c r="D137" s="68"/>
      <c r="E137" s="19" t="s">
        <v>216</v>
      </c>
      <c r="F137" s="69">
        <f>(5.35*18.22)*10.764</f>
        <v>1049.2424279999998</v>
      </c>
      <c r="G137" s="70"/>
      <c r="H137" s="19">
        <v>0</v>
      </c>
      <c r="I137" s="19">
        <f>F137*(($I$130)+1)+H137</f>
        <v>1678.7878847999998</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3">
      <c r="A138" s="68" t="str">
        <f t="shared" si="0"/>
        <v>Ground Floor</v>
      </c>
      <c r="B138" s="68"/>
      <c r="C138" s="68" t="s">
        <v>218</v>
      </c>
      <c r="D138" s="68"/>
      <c r="E138" s="19" t="s">
        <v>216</v>
      </c>
      <c r="F138" s="69">
        <f>(4.3*7.94+4.3*10.27)*10.764</f>
        <v>842.85349199999996</v>
      </c>
      <c r="G138" s="70"/>
      <c r="H138" s="19">
        <v>0</v>
      </c>
      <c r="I138" s="19">
        <f t="shared" ref="I138" si="2">F138*(($I$130)+1)+H138</f>
        <v>1348.5655872</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3">
      <c r="A139" s="68" t="str">
        <f>A137</f>
        <v>Ground Floor</v>
      </c>
      <c r="B139" s="68"/>
      <c r="C139" s="68">
        <v>6</v>
      </c>
      <c r="D139" s="68"/>
      <c r="E139" s="19" t="s">
        <v>216</v>
      </c>
      <c r="F139" s="69">
        <f>(4.3*6.49+32.04+8.3*2.7+8.9*8.65+3.9*2.88)*10.764</f>
        <v>1836.0585359999998</v>
      </c>
      <c r="G139" s="70"/>
      <c r="H139" s="19">
        <v>0</v>
      </c>
      <c r="I139" s="19">
        <f>F139*(($I$130)+1)+H139</f>
        <v>2937.6936575999998</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customHeight="1" x14ac:dyDescent="0.3">
      <c r="A140" s="68" t="str">
        <f t="shared" si="0"/>
        <v>Ground Floor</v>
      </c>
      <c r="B140" s="68"/>
      <c r="C140" s="68">
        <f t="shared" si="1"/>
        <v>7</v>
      </c>
      <c r="D140" s="68"/>
      <c r="E140" s="19" t="s">
        <v>216</v>
      </c>
      <c r="F140" s="69">
        <f>(5.95*6.09+5.9*2.85+2.75*5.1)*10.764</f>
        <v>722.00068199999998</v>
      </c>
      <c r="G140" s="70"/>
      <c r="H140" s="19">
        <v>0</v>
      </c>
      <c r="I140" s="19">
        <f>F140*(($I$130)+1)+H140</f>
        <v>1155.2010912000001</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customHeight="1" x14ac:dyDescent="0.3">
      <c r="A141" s="68" t="str">
        <f t="shared" si="0"/>
        <v>Ground Floor</v>
      </c>
      <c r="B141" s="68"/>
      <c r="C141" s="68">
        <f t="shared" si="1"/>
        <v>8</v>
      </c>
      <c r="D141" s="68"/>
      <c r="E141" s="19" t="s">
        <v>216</v>
      </c>
      <c r="F141" s="69">
        <f>(6.42*2.45+10.13*7.54+5.43*1.25)*10.764</f>
        <v>1064.5240787999999</v>
      </c>
      <c r="G141" s="70"/>
      <c r="H141" s="19">
        <v>0</v>
      </c>
      <c r="I141" s="19">
        <f>F141*(($I$130)+1)+H141</f>
        <v>1703.2385260799999</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3">
      <c r="A142" s="68" t="str">
        <f t="shared" si="0"/>
        <v>Ground Floor</v>
      </c>
      <c r="B142" s="68"/>
      <c r="C142" s="68">
        <v>9</v>
      </c>
      <c r="D142" s="68"/>
      <c r="E142" s="19" t="s">
        <v>216</v>
      </c>
      <c r="F142" s="69">
        <f>(6.08*9.13+5.7*10.97)*10.764</f>
        <v>1270.5761015999999</v>
      </c>
      <c r="G142" s="70"/>
      <c r="H142" s="19">
        <v>0</v>
      </c>
      <c r="I142" s="19">
        <f t="shared" ref="I142" si="3">F142*(($I$130)+1)+H142</f>
        <v>2032.9217625599999</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1" x14ac:dyDescent="0.3">
      <c r="A143" s="71" t="s">
        <v>220</v>
      </c>
      <c r="B143" s="72"/>
      <c r="C143" s="72"/>
      <c r="D143" s="72"/>
      <c r="E143" s="72"/>
      <c r="F143" s="72"/>
      <c r="G143" s="72"/>
      <c r="H143" s="72"/>
      <c r="I143" s="7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1" x14ac:dyDescent="0.3">
      <c r="A144" s="68" t="str">
        <f>A143</f>
        <v>1st Podium Floor For Amenities &amp; Commer</v>
      </c>
      <c r="B144" s="68"/>
      <c r="C144" s="68">
        <v>1</v>
      </c>
      <c r="D144" s="68"/>
      <c r="E144" s="19" t="s">
        <v>219</v>
      </c>
      <c r="F144" s="69">
        <f>(12.575*11.07+4.6*2.1+2.67*2.25)*10.764</f>
        <v>1667.0502809999998</v>
      </c>
      <c r="G144" s="70"/>
      <c r="H144" s="19">
        <v>0</v>
      </c>
      <c r="I144" s="19">
        <f t="shared" ref="I144:I151" si="4">F144*(($I$130)+1)+H144</f>
        <v>2667.2804495999999</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1" x14ac:dyDescent="0.3">
      <c r="A145" s="68" t="str">
        <f t="shared" ref="A145:A151" si="5">A144</f>
        <v>1st Podium Floor For Amenities &amp; Commer</v>
      </c>
      <c r="B145" s="68"/>
      <c r="C145" s="68">
        <f>C144+1</f>
        <v>2</v>
      </c>
      <c r="D145" s="68"/>
      <c r="E145" s="19" t="s">
        <v>219</v>
      </c>
      <c r="F145" s="69">
        <f>(10.9*18.32+3.9*3.05)*10.764</f>
        <v>2277.4794120000001</v>
      </c>
      <c r="G145" s="70"/>
      <c r="H145" s="19">
        <v>0</v>
      </c>
      <c r="I145" s="19">
        <f t="shared" si="4"/>
        <v>3643.9670592000002</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1" x14ac:dyDescent="0.3">
      <c r="A146" s="68" t="str">
        <f t="shared" si="5"/>
        <v>1st Podium Floor For Amenities &amp; Commer</v>
      </c>
      <c r="B146" s="68"/>
      <c r="C146" s="68">
        <f t="shared" ref="C146:C151" si="6">C145+1</f>
        <v>3</v>
      </c>
      <c r="D146" s="68"/>
      <c r="E146" s="19" t="s">
        <v>219</v>
      </c>
      <c r="F146" s="69">
        <f>(4.64*4.46+13.33+3.15*3.48)*10.764</f>
        <v>484.23360960000002</v>
      </c>
      <c r="G146" s="70"/>
      <c r="H146" s="19">
        <v>0</v>
      </c>
      <c r="I146" s="19">
        <f t="shared" si="4"/>
        <v>774.77377536000006</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3">
      <c r="A147" s="68" t="str">
        <f t="shared" si="5"/>
        <v>1st Podium Floor For Amenities &amp; Commer</v>
      </c>
      <c r="B147" s="68"/>
      <c r="C147" s="68">
        <f t="shared" si="6"/>
        <v>4</v>
      </c>
      <c r="D147" s="68"/>
      <c r="E147" s="19" t="s">
        <v>219</v>
      </c>
      <c r="F147" s="69">
        <f>(4.58*4.38+7.47)*10.764</f>
        <v>296.33722560000001</v>
      </c>
      <c r="G147" s="70"/>
      <c r="H147" s="19">
        <v>0</v>
      </c>
      <c r="I147" s="19">
        <f t="shared" si="4"/>
        <v>474.13956096000004</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3">
      <c r="A148" s="68" t="str">
        <f t="shared" si="5"/>
        <v>1st Podium Floor For Amenities &amp; Commer</v>
      </c>
      <c r="B148" s="68"/>
      <c r="C148" s="68">
        <v>5</v>
      </c>
      <c r="D148" s="68"/>
      <c r="E148" s="19" t="s">
        <v>219</v>
      </c>
      <c r="F148" s="69">
        <f>6.05*7.92*10.764</f>
        <v>515.76782399999991</v>
      </c>
      <c r="G148" s="70"/>
      <c r="H148" s="19">
        <v>0</v>
      </c>
      <c r="I148" s="19">
        <f t="shared" si="4"/>
        <v>825.22851839999987</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3">
      <c r="A149" s="68" t="str">
        <f t="shared" si="5"/>
        <v>1st Podium Floor For Amenities &amp; Commer</v>
      </c>
      <c r="B149" s="68"/>
      <c r="C149" s="68">
        <v>6</v>
      </c>
      <c r="D149" s="68"/>
      <c r="E149" s="19" t="s">
        <v>219</v>
      </c>
      <c r="F149" s="69">
        <v>2309.9543999999996</v>
      </c>
      <c r="G149" s="70"/>
      <c r="H149" s="19">
        <v>0</v>
      </c>
      <c r="I149" s="19">
        <f t="shared" si="4"/>
        <v>3695.9270399999996</v>
      </c>
      <c r="J149" s="1">
        <f>214.6*10.764</f>
        <v>2309.9543999999996</v>
      </c>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3">
      <c r="A150" s="68" t="str">
        <f>A148</f>
        <v>1st Podium Floor For Amenities &amp; Commer</v>
      </c>
      <c r="B150" s="68"/>
      <c r="C150" s="68">
        <v>7</v>
      </c>
      <c r="D150" s="68"/>
      <c r="E150" s="19" t="s">
        <v>219</v>
      </c>
      <c r="F150" s="69">
        <f>(6.48*5.19+10.84)*10.764</f>
        <v>478.68799680000006</v>
      </c>
      <c r="G150" s="70"/>
      <c r="H150" s="19">
        <v>0</v>
      </c>
      <c r="I150" s="19">
        <f t="shared" si="4"/>
        <v>765.90079488000015</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3">
      <c r="A151" s="68" t="str">
        <f t="shared" si="5"/>
        <v>1st Podium Floor For Amenities &amp; Commer</v>
      </c>
      <c r="B151" s="68"/>
      <c r="C151" s="68">
        <f t="shared" si="6"/>
        <v>8</v>
      </c>
      <c r="D151" s="68"/>
      <c r="E151" s="19" t="s">
        <v>219</v>
      </c>
      <c r="F151" s="69">
        <f>27.82*10.764</f>
        <v>299.45447999999999</v>
      </c>
      <c r="G151" s="70"/>
      <c r="H151" s="19">
        <v>0</v>
      </c>
      <c r="I151" s="19">
        <f t="shared" si="4"/>
        <v>479.12716799999998</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1" x14ac:dyDescent="0.3">
      <c r="A152" s="71" t="s">
        <v>221</v>
      </c>
      <c r="B152" s="72"/>
      <c r="C152" s="72"/>
      <c r="D152" s="72"/>
      <c r="E152" s="72"/>
      <c r="F152" s="72"/>
      <c r="G152" s="72"/>
      <c r="H152" s="72"/>
      <c r="I152" s="7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1" x14ac:dyDescent="0.3">
      <c r="A153" s="71" t="s">
        <v>238</v>
      </c>
      <c r="B153" s="72"/>
      <c r="C153" s="72"/>
      <c r="D153" s="72"/>
      <c r="E153" s="72"/>
      <c r="F153" s="72"/>
      <c r="G153" s="72"/>
      <c r="H153" s="72"/>
      <c r="I153" s="16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3">
      <c r="A154" s="68" t="str">
        <f>A153</f>
        <v>Stilt Floor For Entrance lobby &amp; Residential</v>
      </c>
      <c r="B154" s="68"/>
      <c r="C154" s="69">
        <v>1</v>
      </c>
      <c r="D154" s="70"/>
      <c r="E154" s="19" t="s">
        <v>222</v>
      </c>
      <c r="F154" s="69">
        <f>(1.525*2.3+3.15*5.15+1.1*2.375+3.3*2.325+3.05*3.05+3.175*3.35+3.05*3.35+1.1*1.375+(1.375*2.3+2.3*1.375+1.375*2.3)+(0.75*(2.325+3.05+3.05+3.15)))*10.764</f>
        <v>859.53231000000005</v>
      </c>
      <c r="G154" s="70"/>
      <c r="H154" s="19">
        <v>0</v>
      </c>
      <c r="I154" s="19">
        <f>F154*(($I$130)+1)+H154</f>
        <v>1375.2516960000003</v>
      </c>
      <c r="J154" s="1"/>
      <c r="K154" s="1"/>
      <c r="L154" s="1"/>
      <c r="M154" s="1"/>
      <c r="N154" s="1"/>
      <c r="O154" s="1"/>
      <c r="P154" s="1"/>
      <c r="Q154" s="1"/>
      <c r="R154" s="1"/>
      <c r="S154" s="1"/>
      <c r="T154" s="1"/>
      <c r="U154" s="41" t="e">
        <f t="shared" ref="U154:U156" ca="1" si="7">V154&amp;""&amp;",..,"&amp;""&amp;W154</f>
        <v>#REF!</v>
      </c>
      <c r="V154" s="41" t="e">
        <f ca="1">(SUMPRODUCT(MID(0&amp;(LEFT(A153,SUM(LEN(A153)-LEN(SUBSTITUTE(A153,{"0","1","2","3"},""))))), LARGE(INDEX(ISNUMBER(--MID((LEFT(A153,SUM(LEN(A153)-LEN(SUBSTITUTE(A153,{"0","1","2","3"},""))))), ROW(INDIRECT("1:"&amp;LEN((LEFT(A153,SUM(LEN(A153)-LEN(SUBSTITUTE(A153,{"0","1","2","3"},"")))))))), 1)) * ROW(INDIRECT("1:"&amp;LEN((LEFT(A153,SUM(LEN(A153)-LEN(SUBSTITUTE(A153,{"0","1","2","3"},"")))))))), 0), ROW(INDIRECT("1:"&amp;LEN((LEFT(A153,SUM(LEN(A153)-LEN(SUBSTITUTE(A153,{"0","1","2","3"},"")))))))))+1, 1) * 10^ROW(INDIRECT("1:"&amp;LEN((LEFT(A153,SUM(LEN(A153)-LEN(SUBSTITUTE(A153,{"0","1","2","3"},""))))))))/10))*100+1</f>
        <v>#REF!</v>
      </c>
      <c r="W154" s="41" t="e">
        <f ca="1">(SUMPRODUCT(MID(0&amp;(--TRIM(RIGHT(SUBSTITUTE(LEFT(A153,_xlfn.AGGREGATE(16,6,FIND({0,1,2,3,4,5,6,7,8,9},A153,ROW(INDIRECT("1:"&amp;LEN(A153)))),1)),"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",LEN(A153))),LEN(A153)))))))/10))*100+1</f>
        <v>#NUM!</v>
      </c>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3">
      <c r="A155" s="68" t="str">
        <f t="shared" ref="A155:A156" si="8">A154</f>
        <v>Stilt Floor For Entrance lobby &amp; Residential</v>
      </c>
      <c r="B155" s="68"/>
      <c r="C155" s="69">
        <v>2</v>
      </c>
      <c r="D155" s="70"/>
      <c r="E155" s="19" t="s">
        <v>223</v>
      </c>
      <c r="F155" s="69">
        <f>(3.05*3.35+3.05*6.35+2.15*2.6+3.05*3.05+0.9*2.15+(1.4*2.55+1.375*2.3)+(0.75*(3.05+3.05+2.15+3.05)))*10.764</f>
        <v>663.27767999999992</v>
      </c>
      <c r="G155" s="70"/>
      <c r="H155" s="19">
        <v>0</v>
      </c>
      <c r="I155" s="19">
        <f>F155*(($I$130)+1)+H155</f>
        <v>1061.2442879999999</v>
      </c>
      <c r="J155" s="1"/>
      <c r="K155" s="1"/>
      <c r="L155" s="1"/>
      <c r="M155" s="1"/>
      <c r="N155" s="1"/>
      <c r="O155" s="1"/>
      <c r="P155" s="1"/>
      <c r="Q155" s="1"/>
      <c r="R155" s="1"/>
      <c r="S155" s="1"/>
      <c r="T155" s="1"/>
      <c r="U155" s="41" t="e">
        <f t="shared" ca="1" si="7"/>
        <v>#REF!</v>
      </c>
      <c r="V155" s="41" t="e">
        <f ca="1">V154+1</f>
        <v>#REF!</v>
      </c>
      <c r="W155" s="41" t="e">
        <f ca="1">W154+1</f>
        <v>#NUM!</v>
      </c>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3">
      <c r="A156" s="68" t="str">
        <f t="shared" si="8"/>
        <v>Stilt Floor For Entrance lobby &amp; Residential</v>
      </c>
      <c r="B156" s="68"/>
      <c r="C156" s="69">
        <v>3</v>
      </c>
      <c r="D156" s="70"/>
      <c r="E156" s="19" t="s">
        <v>222</v>
      </c>
      <c r="F156" s="69">
        <f>(1.525*2.3+3.15*5.15+1.1*2.375+3.3*2.325+3.05*3.05+3.175*3.35+3.05*3.35+1.1*1.375+(1.375*2.3+2.3*1.375+1.375*2.3)+(0.75*(2.325+3.05+3.05+3.15)))*10.764</f>
        <v>859.53231000000005</v>
      </c>
      <c r="G156" s="70"/>
      <c r="H156" s="19">
        <v>0</v>
      </c>
      <c r="I156" s="19">
        <f>F156*(($I$130)+1)+H156</f>
        <v>1375.2516960000003</v>
      </c>
      <c r="J156" s="1"/>
      <c r="K156" s="1"/>
      <c r="L156" s="1"/>
      <c r="M156" s="1"/>
      <c r="N156" s="1"/>
      <c r="O156" s="1"/>
      <c r="P156" s="1"/>
      <c r="Q156" s="1"/>
      <c r="R156" s="1"/>
      <c r="S156" s="1"/>
      <c r="T156" s="1"/>
      <c r="U156" s="41" t="e">
        <f t="shared" ca="1" si="7"/>
        <v>#REF!</v>
      </c>
      <c r="V156" s="41" t="e">
        <f t="shared" ref="V156" ca="1" si="9">V155+1</f>
        <v>#REF!</v>
      </c>
      <c r="W156" s="41" t="e">
        <f t="shared" ref="W156" ca="1" si="10">W155+1</f>
        <v>#NUM!</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1" x14ac:dyDescent="0.3">
      <c r="A157" s="71" t="s">
        <v>159</v>
      </c>
      <c r="B157" s="72"/>
      <c r="C157" s="72"/>
      <c r="D157" s="72"/>
      <c r="E157" s="72"/>
      <c r="F157" s="72"/>
      <c r="G157" s="72"/>
      <c r="H157" s="72"/>
      <c r="I157" s="16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3">
      <c r="A158" s="68" t="str">
        <f>A157</f>
        <v>1st Floor</v>
      </c>
      <c r="B158" s="68"/>
      <c r="C158" s="69">
        <v>1</v>
      </c>
      <c r="D158" s="70"/>
      <c r="E158" s="19" t="s">
        <v>222</v>
      </c>
      <c r="F158" s="69">
        <f>(1.525*2.3+3.15*5.15+1.1*2.375+3.3*2.325+3.05*3.05+3.175*3.35+3.05*3.35+1.1*1.375+(1.375*2.3+2.3*1.375+1.375*2.3)+(0.75*(2.325+3.05+3.05+3.15)))*10.764</f>
        <v>859.53231000000005</v>
      </c>
      <c r="G158" s="70"/>
      <c r="H158" s="19">
        <v>0</v>
      </c>
      <c r="I158" s="19">
        <f>F158*(($I$130)+1)+H158</f>
        <v>1375.2516960000003</v>
      </c>
      <c r="J158" s="1"/>
      <c r="K158" s="1"/>
      <c r="L158" s="1"/>
      <c r="M158" s="1"/>
      <c r="N158" s="1"/>
      <c r="O158" s="1"/>
      <c r="P158" s="1"/>
      <c r="Q158" s="1"/>
      <c r="R158" s="1"/>
      <c r="S158" s="1"/>
      <c r="T158" s="1"/>
      <c r="U158" s="41" t="str">
        <f t="shared" ref="U158:U160" ca="1" si="11">V158&amp;""&amp;",..,"&amp;""&amp;W158</f>
        <v>101,..,101</v>
      </c>
      <c r="V158" s="41">
        <f ca="1">(SUMPRODUCT(MID(0&amp;(LEFT(A157,SUM(LEN(A157)-LEN(SUBSTITUTE(A157,{"0","1","2","3"},""))))), LARGE(INDEX(ISNUMBER(--MID((LEFT(A157,SUM(LEN(A157)-LEN(SUBSTITUTE(A157,{"0","1","2","3"},""))))), ROW(INDIRECT("1:"&amp;LEN((LEFT(A157,SUM(LEN(A157)-LEN(SUBSTITUTE(A157,{"0","1","2","3"},"")))))))), 1)) * ROW(INDIRECT("1:"&amp;LEN((LEFT(A157,SUM(LEN(A157)-LEN(SUBSTITUTE(A157,{"0","1","2","3"},"")))))))), 0), ROW(INDIRECT("1:"&amp;LEN((LEFT(A157,SUM(LEN(A157)-LEN(SUBSTITUTE(A157,{"0","1","2","3"},"")))))))))+1, 1) * 10^ROW(INDIRECT("1:"&amp;LEN((LEFT(A157,SUM(LEN(A157)-LEN(SUBSTITUTE(A157,{"0","1","2","3"},""))))))))/10))*100+1</f>
        <v>101</v>
      </c>
      <c r="W158" s="41">
        <f ca="1">(SUMPRODUCT(MID(0&amp;(--TRIM(RIGHT(SUBSTITUTE(LEFT(A157,_xlfn.AGGREGATE(16,6,FIND({0,1,2,3,4,5,6,7,8,9},A157,ROW(INDIRECT("1:"&amp;LEN(A157)))),1)),"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",LEN(A157))),LEN(A157)))))))/10))*100+1</f>
        <v>101</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customHeight="1" x14ac:dyDescent="0.3">
      <c r="A159" s="68" t="str">
        <f t="shared" ref="A159:A160" si="12">A158</f>
        <v>1st Floor</v>
      </c>
      <c r="B159" s="68"/>
      <c r="C159" s="69">
        <v>2</v>
      </c>
      <c r="D159" s="70"/>
      <c r="E159" s="19" t="s">
        <v>223</v>
      </c>
      <c r="F159" s="69">
        <f>(3.05*3.35+3.05*6.35+2.15*2.6+3.05*3.05+0.9*2.15+(1.4*2.55+1.375*2.3)+(0.75*(3.05+3.05+2.15+3.05)))*10.764</f>
        <v>663.27767999999992</v>
      </c>
      <c r="G159" s="70"/>
      <c r="H159" s="19">
        <v>0</v>
      </c>
      <c r="I159" s="19">
        <f>F159*(($I$130)+1)+H159</f>
        <v>1061.2442879999999</v>
      </c>
      <c r="J159" s="1"/>
      <c r="K159" s="1"/>
      <c r="L159" s="1"/>
      <c r="M159" s="1"/>
      <c r="N159" s="1"/>
      <c r="O159" s="1"/>
      <c r="P159" s="1"/>
      <c r="Q159" s="1"/>
      <c r="R159" s="1"/>
      <c r="S159" s="1"/>
      <c r="T159" s="1"/>
      <c r="U159" s="41" t="str">
        <f t="shared" ca="1" si="11"/>
        <v>102,..,102</v>
      </c>
      <c r="V159" s="41">
        <f ca="1">V158+1</f>
        <v>102</v>
      </c>
      <c r="W159" s="41">
        <f ca="1">W158+1</f>
        <v>102</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3">
      <c r="A160" s="68" t="str">
        <f t="shared" si="12"/>
        <v>1st Floor</v>
      </c>
      <c r="B160" s="68"/>
      <c r="C160" s="69">
        <v>3</v>
      </c>
      <c r="D160" s="70"/>
      <c r="E160" s="19" t="s">
        <v>222</v>
      </c>
      <c r="F160" s="69">
        <f>(1.525*2.3+3.15*5.15+1.1*2.375+3.3*2.325+3.05*3.05+3.175*3.35+3.05*3.35+1.1*1.375+(1.375*2.3+2.3*1.375+1.375*2.3)+(0.75*(2.325+3.05+3.05+3.15)))*10.764</f>
        <v>859.53231000000005</v>
      </c>
      <c r="G160" s="70"/>
      <c r="H160" s="19">
        <v>0</v>
      </c>
      <c r="I160" s="19">
        <f>F160*(($I$130)+1)+H160</f>
        <v>1375.2516960000003</v>
      </c>
      <c r="J160" s="1"/>
      <c r="K160" s="1"/>
      <c r="L160" s="1"/>
      <c r="M160" s="1"/>
      <c r="N160" s="1"/>
      <c r="O160" s="1"/>
      <c r="P160" s="1"/>
      <c r="Q160" s="1"/>
      <c r="R160" s="1"/>
      <c r="S160" s="1"/>
      <c r="T160" s="1"/>
      <c r="U160" s="41" t="str">
        <f t="shared" ca="1" si="11"/>
        <v>103,..,103</v>
      </c>
      <c r="V160" s="41">
        <f t="shared" ref="V160:W160" ca="1" si="13">V159+1</f>
        <v>103</v>
      </c>
      <c r="W160" s="41">
        <f t="shared" ca="1" si="13"/>
        <v>103</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1" x14ac:dyDescent="0.3">
      <c r="A161" s="71" t="s">
        <v>224</v>
      </c>
      <c r="B161" s="72"/>
      <c r="C161" s="72"/>
      <c r="D161" s="72"/>
      <c r="E161" s="72"/>
      <c r="F161" s="72"/>
      <c r="G161" s="72"/>
      <c r="H161" s="72"/>
      <c r="I161" s="162"/>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3">
      <c r="A162" s="68" t="str">
        <f>A161</f>
        <v>2nd, 4th to 6th, 8th to 11th, 13th to 16th, 18th to 21st, 23rd to 26th, 28th to 31st Floor</v>
      </c>
      <c r="B162" s="68"/>
      <c r="C162" s="69">
        <v>1</v>
      </c>
      <c r="D162" s="70"/>
      <c r="E162" s="19" t="s">
        <v>222</v>
      </c>
      <c r="F162" s="69">
        <f>(1.525*2.3+3.15*5.15+1.1*2.375+3.3*2.325+3.05*3.05+3.175*3.35+3.05*3.35+1.1*1.375+(1.375*2.3+2.3*1.375+1.375*2.3)+(0.75*(2.325+3.05+3.05+3.15)))*10.764</f>
        <v>859.53231000000005</v>
      </c>
      <c r="G162" s="70"/>
      <c r="H162" s="19">
        <v>0</v>
      </c>
      <c r="I162" s="19">
        <f t="shared" ref="I162:I167" si="14">F162*(($I$130)+1)+H162</f>
        <v>1375.2516960000003</v>
      </c>
      <c r="J162" s="1"/>
      <c r="K162" s="1"/>
      <c r="L162" s="1"/>
      <c r="M162" s="1"/>
      <c r="N162" s="1"/>
      <c r="O162" s="1"/>
      <c r="P162" s="1"/>
      <c r="Q162" s="1"/>
      <c r="R162" s="1"/>
      <c r="S162" s="1"/>
      <c r="T162" s="1"/>
      <c r="U162" s="41" t="str">
        <f t="shared" ref="U162:U167" ca="1" si="15">V162&amp;""&amp;",..,"&amp;""&amp;W162</f>
        <v>24601,..,3101</v>
      </c>
      <c r="V162" s="41">
        <f ca="1">(SUMPRODUCT(MID(0&amp;(LEFT(A161,SUM(LEN(A161)-LEN(SUBSTITUTE(A161,{"0","1","2","3"},""))))), LARGE(INDEX(ISNUMBER(--MID((LEFT(A161,SUM(LEN(A161)-LEN(SUBSTITUTE(A161,{"0","1","2","3"},""))))), ROW(INDIRECT("1:"&amp;LEN((LEFT(A161,SUM(LEN(A161)-LEN(SUBSTITUTE(A161,{"0","1","2","3"},"")))))))), 1)) * ROW(INDIRECT("1:"&amp;LEN((LEFT(A161,SUM(LEN(A161)-LEN(SUBSTITUTE(A161,{"0","1","2","3"},"")))))))), 0), ROW(INDIRECT("1:"&amp;LEN((LEFT(A161,SUM(LEN(A161)-LEN(SUBSTITUTE(A161,{"0","1","2","3"},"")))))))))+1, 1) * 10^ROW(INDIRECT("1:"&amp;LEN((LEFT(A161,SUM(LEN(A161)-LEN(SUBSTITUTE(A161,{"0","1","2","3"},""))))))))/10))*100+1</f>
        <v>24601</v>
      </c>
      <c r="W162" s="41">
        <f ca="1">(SUMPRODUCT(MID(0&amp;(--TRIM(RIGHT(SUBSTITUTE(LEFT(A161,_xlfn.AGGREGATE(16,6,FIND({0,1,2,3,4,5,6,7,8,9},A161,ROW(INDIRECT("1:"&amp;LEN(A161)))),1)),"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",LEN(A161))),LEN(A161)))))))/10))*100+1</f>
        <v>3101</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3">
      <c r="A163" s="68" t="str">
        <f t="shared" ref="A163:A167" si="16">A162</f>
        <v>2nd, 4th to 6th, 8th to 11th, 13th to 16th, 18th to 21st, 23rd to 26th, 28th to 31st Floor</v>
      </c>
      <c r="B163" s="68"/>
      <c r="C163" s="69">
        <v>2</v>
      </c>
      <c r="D163" s="70"/>
      <c r="E163" s="19" t="s">
        <v>223</v>
      </c>
      <c r="F163" s="69">
        <f>(3.05*3.35+3.05*6.35+2.15*2.6+3.05*3.05+0.9*2.15+(1.4*2.55+1.375*2.3)+(0.75*(3.05+3.05+2.15+3.05)))*10.764</f>
        <v>663.27767999999992</v>
      </c>
      <c r="G163" s="70"/>
      <c r="H163" s="19">
        <v>0</v>
      </c>
      <c r="I163" s="19">
        <f t="shared" si="14"/>
        <v>1061.2442879999999</v>
      </c>
      <c r="J163" s="1"/>
      <c r="K163" s="1"/>
      <c r="L163" s="1"/>
      <c r="M163" s="1"/>
      <c r="N163" s="1"/>
      <c r="O163" s="1"/>
      <c r="P163" s="1"/>
      <c r="Q163" s="1"/>
      <c r="R163" s="1"/>
      <c r="S163" s="1"/>
      <c r="T163" s="1"/>
      <c r="U163" s="41" t="str">
        <f t="shared" ca="1" si="15"/>
        <v>24602,..,3102</v>
      </c>
      <c r="V163" s="41">
        <f ca="1">V162+1</f>
        <v>24602</v>
      </c>
      <c r="W163" s="41">
        <f ca="1">W162+1</f>
        <v>3102</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3">
      <c r="A164" s="68" t="str">
        <f t="shared" si="16"/>
        <v>2nd, 4th to 6th, 8th to 11th, 13th to 16th, 18th to 21st, 23rd to 26th, 28th to 31st Floor</v>
      </c>
      <c r="B164" s="68"/>
      <c r="C164" s="69">
        <v>3</v>
      </c>
      <c r="D164" s="70"/>
      <c r="E164" s="19" t="s">
        <v>222</v>
      </c>
      <c r="F164" s="69">
        <f>(1.525*2.3+3.15*5.15+1.1*2.375+3.3*2.325+3.05*3.05+3.175*3.35+3.05*3.35+1.1*1.375+(1.375*2.3+2.3*1.375+1.375*2.3)+(0.75*(2.325+3.05+3.05+3.15)))*10.764</f>
        <v>859.53231000000005</v>
      </c>
      <c r="G164" s="70"/>
      <c r="H164" s="19">
        <v>0</v>
      </c>
      <c r="I164" s="19">
        <f t="shared" si="14"/>
        <v>1375.2516960000003</v>
      </c>
      <c r="J164" s="1"/>
      <c r="K164" s="1"/>
      <c r="L164" s="1"/>
      <c r="M164" s="1"/>
      <c r="N164" s="1"/>
      <c r="O164" s="1"/>
      <c r="P164" s="1"/>
      <c r="Q164" s="1"/>
      <c r="R164" s="1"/>
      <c r="S164" s="1"/>
      <c r="T164" s="1"/>
      <c r="U164" s="41" t="str">
        <f t="shared" ca="1" si="15"/>
        <v>24603,..,3103</v>
      </c>
      <c r="V164" s="41">
        <f t="shared" ref="V164:W167" ca="1" si="17">V163+1</f>
        <v>24603</v>
      </c>
      <c r="W164" s="41">
        <f t="shared" ca="1" si="17"/>
        <v>3103</v>
      </c>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3">
      <c r="A165" s="68" t="str">
        <f t="shared" si="16"/>
        <v>2nd, 4th to 6th, 8th to 11th, 13th to 16th, 18th to 21st, 23rd to 26th, 28th to 31st Floor</v>
      </c>
      <c r="B165" s="68"/>
      <c r="C165" s="69">
        <v>4</v>
      </c>
      <c r="D165" s="70"/>
      <c r="E165" s="19" t="s">
        <v>223</v>
      </c>
      <c r="F165" s="160">
        <f>(2.3*1.125+2.15*3.35+3.05*4.625+1.405*1+3.05*3.35+3.05*3.05+0.6*3.05+((1.375*2.3)*2)+(0.75*(3.05+2.15)))*10.764</f>
        <v>612.21595499999989</v>
      </c>
      <c r="G165" s="161"/>
      <c r="H165" s="19">
        <v>0</v>
      </c>
      <c r="I165" s="19">
        <f t="shared" si="14"/>
        <v>979.54552799999988</v>
      </c>
      <c r="J165" s="1"/>
      <c r="K165" s="1"/>
      <c r="L165" s="1"/>
      <c r="M165" s="1"/>
      <c r="N165" s="1"/>
      <c r="O165" s="1"/>
      <c r="P165" s="1"/>
      <c r="Q165" s="1"/>
      <c r="R165" s="1"/>
      <c r="S165" s="1"/>
      <c r="T165" s="1"/>
      <c r="U165" s="41" t="str">
        <f t="shared" ca="1" si="15"/>
        <v>24604,..,3104</v>
      </c>
      <c r="V165" s="41">
        <f t="shared" ca="1" si="17"/>
        <v>24604</v>
      </c>
      <c r="W165" s="41">
        <f t="shared" ca="1" si="17"/>
        <v>3104</v>
      </c>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3">
      <c r="A166" s="68" t="str">
        <f t="shared" si="16"/>
        <v>2nd, 4th to 6th, 8th to 11th, 13th to 16th, 18th to 21st, 23rd to 26th, 28th to 31st Floor</v>
      </c>
      <c r="B166" s="68"/>
      <c r="C166" s="69">
        <v>5</v>
      </c>
      <c r="D166" s="70"/>
      <c r="E166" s="19" t="s">
        <v>222</v>
      </c>
      <c r="F166" s="160">
        <f>(2.3*3+3.05*3.65+2.3*2.65+2.9*3.25+2.45*2.6+2.9*3.25+1*2.3+1*2.45+(2*(2.3*1.525))+(0.75*(2.45+3.05+2.3)))*10.764</f>
        <v>720.7843499999999</v>
      </c>
      <c r="G166" s="161"/>
      <c r="H166" s="19">
        <v>0</v>
      </c>
      <c r="I166" s="19">
        <f t="shared" si="14"/>
        <v>1153.25496</v>
      </c>
      <c r="J166" s="1"/>
      <c r="K166" s="1"/>
      <c r="L166" s="1"/>
      <c r="M166" s="1"/>
      <c r="N166" s="1"/>
      <c r="O166" s="1"/>
      <c r="P166" s="1"/>
      <c r="Q166" s="1"/>
      <c r="R166" s="1"/>
      <c r="S166" s="1"/>
      <c r="T166" s="1"/>
      <c r="U166" s="41" t="str">
        <f t="shared" ca="1" si="15"/>
        <v>24605,..,3105</v>
      </c>
      <c r="V166" s="41">
        <f t="shared" ca="1" si="17"/>
        <v>24605</v>
      </c>
      <c r="W166" s="41">
        <f t="shared" ca="1" si="17"/>
        <v>3105</v>
      </c>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3">
      <c r="A167" s="68" t="str">
        <f t="shared" si="16"/>
        <v>2nd, 4th to 6th, 8th to 11th, 13th to 16th, 18th to 21st, 23rd to 26th, 28th to 31st Floor</v>
      </c>
      <c r="B167" s="68"/>
      <c r="C167" s="69">
        <v>6</v>
      </c>
      <c r="D167" s="70"/>
      <c r="E167" s="19" t="s">
        <v>223</v>
      </c>
      <c r="F167" s="160">
        <f>(2.3*1.125+2.15*3.35+3.05*4.625+1.405*1+3.05*3.35+3.05*3.05+0.6*1.4+((1.375*2.3)*2)+0.15*0.6+(0.75*(3.05+2.15+3.05)))*10.764</f>
        <v>627.15100499999994</v>
      </c>
      <c r="G167" s="161"/>
      <c r="H167" s="19">
        <v>0</v>
      </c>
      <c r="I167" s="19">
        <f t="shared" si="14"/>
        <v>1003.441608</v>
      </c>
      <c r="J167" s="1"/>
      <c r="K167" s="1"/>
      <c r="L167" s="1"/>
      <c r="M167" s="1"/>
      <c r="N167" s="1"/>
      <c r="O167" s="1"/>
      <c r="P167" s="1"/>
      <c r="Q167" s="1"/>
      <c r="R167" s="1"/>
      <c r="S167" s="1"/>
      <c r="T167" s="1"/>
      <c r="U167" s="41" t="str">
        <f t="shared" ca="1" si="15"/>
        <v>24606,..,3106</v>
      </c>
      <c r="V167" s="41">
        <f t="shared" ca="1" si="17"/>
        <v>24606</v>
      </c>
      <c r="W167" s="41">
        <f t="shared" ca="1" si="17"/>
        <v>3106</v>
      </c>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1" x14ac:dyDescent="0.3">
      <c r="A168" s="71" t="s">
        <v>225</v>
      </c>
      <c r="B168" s="72"/>
      <c r="C168" s="72"/>
      <c r="D168" s="72"/>
      <c r="E168" s="72"/>
      <c r="F168" s="72"/>
      <c r="G168" s="72"/>
      <c r="H168" s="72"/>
      <c r="I168" s="16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3">
      <c r="A169" s="68" t="str">
        <f>A168</f>
        <v>3rd, 7th, 12th, 17th, 22nd, 27th &amp; 32nd Floor (Part Refuge Area)</v>
      </c>
      <c r="B169" s="68"/>
      <c r="C169" s="69">
        <v>1</v>
      </c>
      <c r="D169" s="70"/>
      <c r="E169" s="19" t="s">
        <v>222</v>
      </c>
      <c r="F169" s="69">
        <f>(1.525*2.3+3.15*5.15+1.1*2.375+3.3*2.325+3.05*3.05+3.175*3.35+3.05*3.35+1.1*1.375+(1.375*2.3+2.3*1.375+1.375*2.3)+(0.75*(2.325+3.05+3.05+3.15)))*10.764</f>
        <v>859.53231000000005</v>
      </c>
      <c r="G169" s="70"/>
      <c r="H169" s="19">
        <v>0</v>
      </c>
      <c r="I169" s="19">
        <f>F169*(($I$130)+1)+H169</f>
        <v>1375.2516960000003</v>
      </c>
      <c r="J169" s="1"/>
      <c r="K169" s="1"/>
      <c r="L169" s="1"/>
      <c r="M169" s="1"/>
      <c r="N169" s="1"/>
      <c r="O169" s="1"/>
      <c r="P169" s="1"/>
      <c r="Q169" s="1"/>
      <c r="R169" s="1"/>
      <c r="S169" s="1"/>
      <c r="T169" s="1"/>
      <c r="U169" s="41" t="str">
        <f t="shared" ref="U169:U174" ca="1" si="18">V169&amp;""&amp;",..,"&amp;""&amp;W169</f>
        <v>3701,..,3201</v>
      </c>
      <c r="V169" s="41">
        <f ca="1">(SUMPRODUCT(MID(0&amp;(LEFT(A168,SUM(LEN(A168)-LEN(SUBSTITUTE(A168,{"0","1","2","3"},""))))), LARGE(INDEX(ISNUMBER(--MID((LEFT(A168,SUM(LEN(A168)-LEN(SUBSTITUTE(A168,{"0","1","2","3"},""))))), ROW(INDIRECT("1:"&amp;LEN((LEFT(A168,SUM(LEN(A168)-LEN(SUBSTITUTE(A168,{"0","1","2","3"},"")))))))), 1)) * ROW(INDIRECT("1:"&amp;LEN((LEFT(A168,SUM(LEN(A168)-LEN(SUBSTITUTE(A168,{"0","1","2","3"},"")))))))), 0), ROW(INDIRECT("1:"&amp;LEN((LEFT(A168,SUM(LEN(A168)-LEN(SUBSTITUTE(A168,{"0","1","2","3"},"")))))))))+1, 1) * 10^ROW(INDIRECT("1:"&amp;LEN((LEFT(A168,SUM(LEN(A168)-LEN(SUBSTITUTE(A168,{"0","1","2","3"},""))))))))/10))*100+1</f>
        <v>3701</v>
      </c>
      <c r="W169" s="41">
        <f ca="1">(SUMPRODUCT(MID(0&amp;(--TRIM(RIGHT(SUBSTITUTE(LEFT(A168,_xlfn.AGGREGATE(16,6,FIND({0,1,2,3,4,5,6,7,8,9},A168,ROW(INDIRECT("1:"&amp;LEN(A168)))),1)),"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",LEN(A168))),LEN(A168)))))))/10))*100+1</f>
        <v>3201</v>
      </c>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3">
      <c r="A170" s="68" t="str">
        <f t="shared" ref="A170:A174" si="19">A169</f>
        <v>3rd, 7th, 12th, 17th, 22nd, 27th &amp; 32nd Floor (Part Refuge Area)</v>
      </c>
      <c r="B170" s="68"/>
      <c r="C170" s="69">
        <v>2</v>
      </c>
      <c r="D170" s="70"/>
      <c r="E170" s="19" t="s">
        <v>223</v>
      </c>
      <c r="F170" s="69">
        <f>(3.05*3.35+3.05*6.35+2.15*2.6+3.05*3.05+0.9*2.15+(1.4*2.55+1.375*2.3)+(0.75*(3.05+3.05+2.15+3.05)))*10.764</f>
        <v>663.27767999999992</v>
      </c>
      <c r="G170" s="70"/>
      <c r="H170" s="19">
        <v>0</v>
      </c>
      <c r="I170" s="19">
        <f>F170*(($I$130)+1)+H170</f>
        <v>1061.2442879999999</v>
      </c>
      <c r="J170" s="1"/>
      <c r="K170" s="1"/>
      <c r="L170" s="1"/>
      <c r="M170" s="1"/>
      <c r="N170" s="1"/>
      <c r="O170" s="1"/>
      <c r="P170" s="1"/>
      <c r="Q170" s="1"/>
      <c r="R170" s="1"/>
      <c r="S170" s="1"/>
      <c r="T170" s="1"/>
      <c r="U170" s="41" t="str">
        <f t="shared" ca="1" si="18"/>
        <v>3702,..,3202</v>
      </c>
      <c r="V170" s="41">
        <f ca="1">V169+1</f>
        <v>3702</v>
      </c>
      <c r="W170" s="41">
        <f ca="1">W169+1</f>
        <v>3202</v>
      </c>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3">
      <c r="A171" s="68" t="str">
        <f t="shared" si="19"/>
        <v>3rd, 7th, 12th, 17th, 22nd, 27th &amp; 32nd Floor (Part Refuge Area)</v>
      </c>
      <c r="B171" s="68"/>
      <c r="C171" s="69">
        <v>3</v>
      </c>
      <c r="D171" s="70"/>
      <c r="E171" s="19" t="s">
        <v>222</v>
      </c>
      <c r="F171" s="69">
        <f>(1.525*2.3+3.15*5.15+1.1*2.375+3.3*2.325+3.05*3.05+3.175*3.35+3.05*3.35+1.1*1.375+(1.375*2.3+2.3*1.375+1.375*2.3)+(0.75*(2.325+3.05+3.05+3.15)))*10.764</f>
        <v>859.53231000000005</v>
      </c>
      <c r="G171" s="70"/>
      <c r="H171" s="19">
        <v>0</v>
      </c>
      <c r="I171" s="19">
        <f>F171*(($I$130)+1)+H171</f>
        <v>1375.2516960000003</v>
      </c>
      <c r="J171" s="1"/>
      <c r="K171" s="1"/>
      <c r="L171" s="1"/>
      <c r="M171" s="1"/>
      <c r="N171" s="1"/>
      <c r="O171" s="1"/>
      <c r="P171" s="1"/>
      <c r="Q171" s="1"/>
      <c r="R171" s="1"/>
      <c r="S171" s="1"/>
      <c r="T171" s="1"/>
      <c r="U171" s="41" t="str">
        <f t="shared" ca="1" si="18"/>
        <v>3703,..,3203</v>
      </c>
      <c r="V171" s="41">
        <f t="shared" ref="V171:W171" ca="1" si="20">V170+1</f>
        <v>3703</v>
      </c>
      <c r="W171" s="41">
        <f t="shared" ca="1" si="20"/>
        <v>3203</v>
      </c>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3">
      <c r="A172" s="68" t="str">
        <f t="shared" si="19"/>
        <v>3rd, 7th, 12th, 17th, 22nd, 27th &amp; 32nd Floor (Part Refuge Area)</v>
      </c>
      <c r="B172" s="68"/>
      <c r="C172" s="69">
        <v>4</v>
      </c>
      <c r="D172" s="70"/>
      <c r="E172" s="19" t="s">
        <v>223</v>
      </c>
      <c r="F172" s="160">
        <f>(2.3*1.125+2.15*3.35+3.05*4.625+1.405*1+3.05*3.35+3.05*3.05+0.6*3.05+((1.375*2.3)*2)+(0.75*(3.05+2.15)))*10.764</f>
        <v>612.21595499999989</v>
      </c>
      <c r="G172" s="161"/>
      <c r="H172" s="19">
        <v>0</v>
      </c>
      <c r="I172" s="19">
        <f>F172*(($I$130)+1)+H172</f>
        <v>979.54552799999988</v>
      </c>
      <c r="J172" s="1"/>
      <c r="K172" s="1"/>
      <c r="L172" s="1"/>
      <c r="M172" s="1"/>
      <c r="N172" s="1"/>
      <c r="O172" s="1"/>
      <c r="P172" s="1"/>
      <c r="Q172" s="1"/>
      <c r="R172" s="1"/>
      <c r="S172" s="1"/>
      <c r="T172" s="1"/>
      <c r="U172" s="41" t="str">
        <f t="shared" ca="1" si="18"/>
        <v>3704,..,3204</v>
      </c>
      <c r="V172" s="41">
        <f t="shared" ref="V172:W172" ca="1" si="21">V171+1</f>
        <v>3704</v>
      </c>
      <c r="W172" s="41">
        <f t="shared" ca="1" si="21"/>
        <v>3204</v>
      </c>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3">
      <c r="A173" s="68" t="str">
        <f t="shared" si="19"/>
        <v>3rd, 7th, 12th, 17th, 22nd, 27th &amp; 32nd Floor (Part Refuge Area)</v>
      </c>
      <c r="B173" s="68"/>
      <c r="C173" s="69">
        <v>5</v>
      </c>
      <c r="D173" s="70"/>
      <c r="E173" s="69" t="s">
        <v>226</v>
      </c>
      <c r="F173" s="163"/>
      <c r="G173" s="163"/>
      <c r="H173" s="163"/>
      <c r="I173" s="70"/>
      <c r="J173" s="1"/>
      <c r="K173" s="1"/>
      <c r="L173" s="1"/>
      <c r="M173" s="1"/>
      <c r="N173" s="1"/>
      <c r="O173" s="1"/>
      <c r="P173" s="1"/>
      <c r="Q173" s="1"/>
      <c r="R173" s="1"/>
      <c r="S173" s="1"/>
      <c r="T173" s="1"/>
      <c r="U173" s="41" t="str">
        <f t="shared" ca="1" si="18"/>
        <v>3705,..,3205</v>
      </c>
      <c r="V173" s="41">
        <f t="shared" ref="V173:W173" ca="1" si="22">V172+1</f>
        <v>3705</v>
      </c>
      <c r="W173" s="41">
        <f t="shared" ca="1" si="22"/>
        <v>3205</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3">
      <c r="A174" s="68" t="str">
        <f t="shared" si="19"/>
        <v>3rd, 7th, 12th, 17th, 22nd, 27th &amp; 32nd Floor (Part Refuge Area)</v>
      </c>
      <c r="B174" s="68"/>
      <c r="C174" s="69">
        <v>6</v>
      </c>
      <c r="D174" s="70"/>
      <c r="E174" s="19" t="s">
        <v>223</v>
      </c>
      <c r="F174" s="160">
        <f>(2.3*1.125+2.15*3.35+3.05*4.625+1.405*1+3.05*3.35+3.05*3.05+0.6*1.4+((1.375*2.3)*2)+0.15*0.6+(0.75*(3.05+2.15+3.05)))*10.764</f>
        <v>627.15100499999994</v>
      </c>
      <c r="G174" s="161"/>
      <c r="H174" s="19">
        <v>0</v>
      </c>
      <c r="I174" s="19">
        <f>F174*(($I$130)+1)+H174</f>
        <v>1003.441608</v>
      </c>
      <c r="J174" s="1"/>
      <c r="K174" s="1"/>
      <c r="L174" s="1"/>
      <c r="M174" s="1"/>
      <c r="N174" s="1"/>
      <c r="O174" s="1"/>
      <c r="P174" s="1"/>
      <c r="Q174" s="1"/>
      <c r="R174" s="1"/>
      <c r="S174" s="1"/>
      <c r="T174" s="1"/>
      <c r="U174" s="41" t="str">
        <f t="shared" ca="1" si="18"/>
        <v>3706,..,3206</v>
      </c>
      <c r="V174" s="41">
        <f t="shared" ref="V174:W174" ca="1" si="23">V173+1</f>
        <v>3706</v>
      </c>
      <c r="W174" s="41">
        <f t="shared" ca="1" si="23"/>
        <v>3206</v>
      </c>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1" x14ac:dyDescent="0.3">
      <c r="A175" s="71" t="s">
        <v>227</v>
      </c>
      <c r="B175" s="72"/>
      <c r="C175" s="72"/>
      <c r="D175" s="72"/>
      <c r="E175" s="72"/>
      <c r="F175" s="72"/>
      <c r="G175" s="72"/>
      <c r="H175" s="72"/>
      <c r="I175" s="16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3">
      <c r="A176" s="68" t="str">
        <f>A175</f>
        <v>33rd to 36th &amp; 38th Floor</v>
      </c>
      <c r="B176" s="68"/>
      <c r="C176" s="69">
        <v>1</v>
      </c>
      <c r="D176" s="70"/>
      <c r="E176" s="19" t="s">
        <v>222</v>
      </c>
      <c r="F176" s="69">
        <f>(1.525*2.3+3.15*5.15+1.1*2.375+3.3*2.325+3.05*3.05+3.175*3.35+3.05*3.35+1.1*1.375+(1.375*2.3+2.3*1.375+1.375*2.3)+(0.75*(2.325+3.05+3.05+3.15)))*10.764</f>
        <v>859.53231000000005</v>
      </c>
      <c r="G176" s="70"/>
      <c r="H176" s="19">
        <v>0</v>
      </c>
      <c r="I176" s="19">
        <f t="shared" ref="I176:I181" si="24">F176*(($I$130)+1)+H176</f>
        <v>1375.2516960000003</v>
      </c>
      <c r="J176" s="1"/>
      <c r="K176" s="1"/>
      <c r="L176" s="1"/>
      <c r="M176" s="1"/>
      <c r="N176" s="1"/>
      <c r="O176" s="1"/>
      <c r="P176" s="1"/>
      <c r="Q176" s="1"/>
      <c r="R176" s="1"/>
      <c r="S176" s="1"/>
      <c r="T176" s="1"/>
      <c r="U176" s="41" t="str">
        <f t="shared" ref="U176:U181" ca="1" si="25">V176&amp;""&amp;",..,"&amp;""&amp;W176</f>
        <v>3301,..,3801</v>
      </c>
      <c r="V176" s="41">
        <f ca="1">(SUMPRODUCT(MID(0&amp;(LEFT(A175,SUM(LEN(A175)-LEN(SUBSTITUTE(A175,{"0","1","2","3"},""))))), LARGE(INDEX(ISNUMBER(--MID((LEFT(A175,SUM(LEN(A175)-LEN(SUBSTITUTE(A175,{"0","1","2","3"},""))))), ROW(INDIRECT("1:"&amp;LEN((LEFT(A175,SUM(LEN(A175)-LEN(SUBSTITUTE(A175,{"0","1","2","3"},"")))))))), 1)) * ROW(INDIRECT("1:"&amp;LEN((LEFT(A175,SUM(LEN(A175)-LEN(SUBSTITUTE(A175,{"0","1","2","3"},"")))))))), 0), ROW(INDIRECT("1:"&amp;LEN((LEFT(A175,SUM(LEN(A175)-LEN(SUBSTITUTE(A175,{"0","1","2","3"},"")))))))))+1, 1) * 10^ROW(INDIRECT("1:"&amp;LEN((LEFT(A175,SUM(LEN(A175)-LEN(SUBSTITUTE(A175,{"0","1","2","3"},""))))))))/10))*100+1</f>
        <v>3301</v>
      </c>
      <c r="W176" s="41">
        <f ca="1">(SUMPRODUCT(MID(0&amp;(--TRIM(RIGHT(SUBSTITUTE(LEFT(A175,_xlfn.AGGREGATE(16,6,FIND({0,1,2,3,4,5,6,7,8,9},A175,ROW(INDIRECT("1:"&amp;LEN(A175)))),1)),"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",LEN(A175))),LEN(A175)))))))/10))*100+1</f>
        <v>3801</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3">
      <c r="A177" s="68" t="str">
        <f t="shared" ref="A177:A181" si="26">A176</f>
        <v>33rd to 36th &amp; 38th Floor</v>
      </c>
      <c r="B177" s="68"/>
      <c r="C177" s="69">
        <v>2</v>
      </c>
      <c r="D177" s="70"/>
      <c r="E177" s="19" t="s">
        <v>223</v>
      </c>
      <c r="F177" s="69">
        <f>(3.05*3.35+3.05*6.35+2.15*2.6+3.05*3.05+0.9*2.15+(1.4*2.55+1.375*2.3)+(0.75*(3.05+3.05+2.15+3.05)))*10.764</f>
        <v>663.27767999999992</v>
      </c>
      <c r="G177" s="70"/>
      <c r="H177" s="19">
        <v>0</v>
      </c>
      <c r="I177" s="19">
        <f t="shared" si="24"/>
        <v>1061.2442879999999</v>
      </c>
      <c r="J177" s="1"/>
      <c r="K177" s="1"/>
      <c r="L177" s="1"/>
      <c r="M177" s="1"/>
      <c r="N177" s="1"/>
      <c r="O177" s="1"/>
      <c r="P177" s="1"/>
      <c r="Q177" s="1"/>
      <c r="R177" s="1"/>
      <c r="S177" s="1"/>
      <c r="T177" s="1"/>
      <c r="U177" s="41" t="str">
        <f t="shared" ca="1" si="25"/>
        <v>3302,..,3802</v>
      </c>
      <c r="V177" s="41">
        <f ca="1">V176+1</f>
        <v>3302</v>
      </c>
      <c r="W177" s="41">
        <f ca="1">W176+1</f>
        <v>3802</v>
      </c>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3">
      <c r="A178" s="68" t="str">
        <f t="shared" si="26"/>
        <v>33rd to 36th &amp; 38th Floor</v>
      </c>
      <c r="B178" s="68"/>
      <c r="C178" s="69">
        <v>3</v>
      </c>
      <c r="D178" s="70"/>
      <c r="E178" s="19" t="s">
        <v>222</v>
      </c>
      <c r="F178" s="69">
        <f>(1.525*2.3+3.15*5.15+1.1*2.375+3.3*2.325+3.05*3.05+3.175*3.35+3.05*3.35+1.1*1.375+(1.375*2.3+2.3*1.375+1.375*2.3)+(0.75*(2.325+3.05+3.05+3.15)))*10.764</f>
        <v>859.53231000000005</v>
      </c>
      <c r="G178" s="70"/>
      <c r="H178" s="19">
        <v>0</v>
      </c>
      <c r="I178" s="19">
        <f t="shared" si="24"/>
        <v>1375.2516960000003</v>
      </c>
      <c r="J178" s="1"/>
      <c r="K178" s="1"/>
      <c r="L178" s="1"/>
      <c r="M178" s="1"/>
      <c r="N178" s="1"/>
      <c r="O178" s="1"/>
      <c r="P178" s="1"/>
      <c r="Q178" s="1"/>
      <c r="R178" s="1"/>
      <c r="S178" s="1"/>
      <c r="T178" s="1"/>
      <c r="U178" s="41" t="str">
        <f t="shared" ca="1" si="25"/>
        <v>3303,..,3803</v>
      </c>
      <c r="V178" s="41">
        <f t="shared" ref="V178:W178" ca="1" si="27">V177+1</f>
        <v>3303</v>
      </c>
      <c r="W178" s="41">
        <f t="shared" ca="1" si="27"/>
        <v>3803</v>
      </c>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3">
      <c r="A179" s="68" t="str">
        <f t="shared" si="26"/>
        <v>33rd to 36th &amp; 38th Floor</v>
      </c>
      <c r="B179" s="68"/>
      <c r="C179" s="69">
        <v>4</v>
      </c>
      <c r="D179" s="70"/>
      <c r="E179" s="19" t="s">
        <v>223</v>
      </c>
      <c r="F179" s="160">
        <f>(2.3*1.125+2.15*3.35+3.05*4.625+1.405*1+3.05*3.35+3.05*3.05+0.6*3.05+((1.375*2.3)*2)+(0.75*(3.05+2.15)))*10.764</f>
        <v>612.21595499999989</v>
      </c>
      <c r="G179" s="161"/>
      <c r="H179" s="19">
        <v>0</v>
      </c>
      <c r="I179" s="19">
        <f>F179*(($I$130)+1)+H179</f>
        <v>979.54552799999988</v>
      </c>
      <c r="J179" s="1"/>
      <c r="K179" s="1"/>
      <c r="L179" s="1"/>
      <c r="M179" s="1"/>
      <c r="N179" s="1"/>
      <c r="O179" s="1"/>
      <c r="P179" s="1"/>
      <c r="Q179" s="1"/>
      <c r="R179" s="1"/>
      <c r="S179" s="1"/>
      <c r="T179" s="1"/>
      <c r="U179" s="41" t="str">
        <f t="shared" ca="1" si="25"/>
        <v>3304,..,3804</v>
      </c>
      <c r="V179" s="41">
        <f t="shared" ref="V179:W179" ca="1" si="28">V178+1</f>
        <v>3304</v>
      </c>
      <c r="W179" s="41">
        <f t="shared" ca="1" si="28"/>
        <v>3804</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3">
      <c r="A180" s="68" t="str">
        <f t="shared" si="26"/>
        <v>33rd to 36th &amp; 38th Floor</v>
      </c>
      <c r="B180" s="68"/>
      <c r="C180" s="69">
        <v>5</v>
      </c>
      <c r="D180" s="70"/>
      <c r="E180" s="19" t="s">
        <v>222</v>
      </c>
      <c r="F180" s="160">
        <f>(2.3*3+3.05*3.65+2.3*2.65+2.9*3.25+2.45*2.6+2.9*3.25+1*2.3+1*2.45+(2*(2.3*1.525))+(0.75*(2.45+3.05+2.3)))*10.764</f>
        <v>720.7843499999999</v>
      </c>
      <c r="G180" s="161"/>
      <c r="H180" s="19">
        <v>0</v>
      </c>
      <c r="I180" s="19">
        <f t="shared" si="24"/>
        <v>1153.25496</v>
      </c>
      <c r="J180" s="1"/>
      <c r="K180" s="1"/>
      <c r="L180" s="1"/>
      <c r="M180" s="1"/>
      <c r="N180" s="1"/>
      <c r="O180" s="1"/>
      <c r="P180" s="1"/>
      <c r="Q180" s="1"/>
      <c r="R180" s="1"/>
      <c r="S180" s="1"/>
      <c r="T180" s="1"/>
      <c r="U180" s="41" t="str">
        <f t="shared" ca="1" si="25"/>
        <v>3305,..,3805</v>
      </c>
      <c r="V180" s="41">
        <f t="shared" ref="V180:W180" ca="1" si="29">V179+1</f>
        <v>3305</v>
      </c>
      <c r="W180" s="41">
        <f t="shared" ca="1" si="29"/>
        <v>3805</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3">
      <c r="A181" s="68" t="str">
        <f t="shared" si="26"/>
        <v>33rd to 36th &amp; 38th Floor</v>
      </c>
      <c r="B181" s="68"/>
      <c r="C181" s="69">
        <v>6</v>
      </c>
      <c r="D181" s="70"/>
      <c r="E181" s="19" t="s">
        <v>223</v>
      </c>
      <c r="F181" s="69">
        <f>(2.3*1.125+2.15*3.35+3.05*4.625+1.405*1+3.05*3.35+3.05*3.05+0.6*1.4+((1.375*2.3)*2)+0.15*0.6+(0.75*(3.05+2.15+3.05)))*10.764</f>
        <v>627.15100499999994</v>
      </c>
      <c r="G181" s="70"/>
      <c r="H181" s="19">
        <v>0</v>
      </c>
      <c r="I181" s="19">
        <f t="shared" si="24"/>
        <v>1003.441608</v>
      </c>
      <c r="J181" s="1"/>
      <c r="K181" s="1"/>
      <c r="L181" s="1"/>
      <c r="M181" s="1"/>
      <c r="N181" s="1"/>
      <c r="O181" s="1"/>
      <c r="P181" s="1"/>
      <c r="Q181" s="1"/>
      <c r="R181" s="1"/>
      <c r="S181" s="1"/>
      <c r="T181" s="1"/>
      <c r="U181" s="41" t="str">
        <f t="shared" ca="1" si="25"/>
        <v>3306,..,3806</v>
      </c>
      <c r="V181" s="41">
        <f t="shared" ref="V181:W181" ca="1" si="30">V180+1</f>
        <v>3306</v>
      </c>
      <c r="W181" s="41">
        <f t="shared" ca="1" si="30"/>
        <v>3806</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1" x14ac:dyDescent="0.3">
      <c r="A182" s="71" t="s">
        <v>228</v>
      </c>
      <c r="B182" s="72"/>
      <c r="C182" s="72"/>
      <c r="D182" s="72"/>
      <c r="E182" s="72"/>
      <c r="F182" s="72"/>
      <c r="G182" s="72"/>
      <c r="H182" s="72"/>
      <c r="I182" s="16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3">
      <c r="A183" s="68" t="str">
        <f>A182</f>
        <v>37th Floor (Part Refuge Area)</v>
      </c>
      <c r="B183" s="68"/>
      <c r="C183" s="69">
        <v>1</v>
      </c>
      <c r="D183" s="70"/>
      <c r="E183" s="19" t="s">
        <v>222</v>
      </c>
      <c r="F183" s="69">
        <f>(1.525*2.3+3.15*5.15+1.1*2.375+3.3*2.325+3.05*3.05+3.175*3.35+3.05*3.35+1.1*1.375+(1.375*2.3+2.3*1.375+1.375*2.3)+(0.75*(2.325+3.05+3.05+3.15)))*10.764</f>
        <v>859.53231000000005</v>
      </c>
      <c r="G183" s="70"/>
      <c r="H183" s="19">
        <v>0</v>
      </c>
      <c r="I183" s="19">
        <f t="shared" ref="I183:I186" si="31">F183*(($I$130)+1)+H183</f>
        <v>1375.2516960000003</v>
      </c>
      <c r="J183" s="1"/>
      <c r="K183" s="1"/>
      <c r="L183" s="1"/>
      <c r="M183" s="1"/>
      <c r="N183" s="1"/>
      <c r="O183" s="1"/>
      <c r="P183" s="1"/>
      <c r="Q183" s="1"/>
      <c r="R183" s="1"/>
      <c r="S183" s="1"/>
      <c r="T183" s="1"/>
      <c r="U183" s="41" t="str">
        <f t="shared" ref="U183:U188" ca="1" si="32">V183&amp;""&amp;",..,"&amp;""&amp;W183</f>
        <v>301,..,3701</v>
      </c>
      <c r="V183" s="41">
        <f ca="1">(SUMPRODUCT(MID(0&amp;(LEFT(A182,SUM(LEN(A182)-LEN(SUBSTITUTE(A182,{"0","1","2","3"},""))))), LARGE(INDEX(ISNUMBER(--MID((LEFT(A182,SUM(LEN(A182)-LEN(SUBSTITUTE(A182,{"0","1","2","3"},""))))), ROW(INDIRECT("1:"&amp;LEN((LEFT(A182,SUM(LEN(A182)-LEN(SUBSTITUTE(A182,{"0","1","2","3"},"")))))))), 1)) * ROW(INDIRECT("1:"&amp;LEN((LEFT(A182,SUM(LEN(A182)-LEN(SUBSTITUTE(A182,{"0","1","2","3"},"")))))))), 0), ROW(INDIRECT("1:"&amp;LEN((LEFT(A182,SUM(LEN(A182)-LEN(SUBSTITUTE(A182,{"0","1","2","3"},"")))))))))+1, 1) * 10^ROW(INDIRECT("1:"&amp;LEN((LEFT(A182,SUM(LEN(A182)-LEN(SUBSTITUTE(A182,{"0","1","2","3"},""))))))))/10))*100+1</f>
        <v>301</v>
      </c>
      <c r="W183" s="41">
        <f ca="1">(SUMPRODUCT(MID(0&amp;(--TRIM(RIGHT(SUBSTITUTE(LEFT(A182,_xlfn.AGGREGATE(16,6,FIND({0,1,2,3,4,5,6,7,8,9},A182,ROW(INDIRECT("1:"&amp;LEN(A182)))),1)),"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",LEN(A182))),LEN(A182)))))))/10))*100+1</f>
        <v>3701</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3">
      <c r="A184" s="68" t="str">
        <f t="shared" ref="A184:A188" si="33">A183</f>
        <v>37th Floor (Part Refuge Area)</v>
      </c>
      <c r="B184" s="68"/>
      <c r="C184" s="69">
        <v>2</v>
      </c>
      <c r="D184" s="70"/>
      <c r="E184" s="19" t="s">
        <v>223</v>
      </c>
      <c r="F184" s="69">
        <f>(3.05*3.35+3.05*6.35+2.15*2.6+3.05*3.05+0.9*2.15+(1.4*2.55+1.375*2.3)+(0.75*(3.05+3.05+2.15+3.05)))*10.764</f>
        <v>663.27767999999992</v>
      </c>
      <c r="G184" s="70"/>
      <c r="H184" s="19">
        <v>0</v>
      </c>
      <c r="I184" s="19">
        <f t="shared" si="31"/>
        <v>1061.2442879999999</v>
      </c>
      <c r="J184" s="1"/>
      <c r="K184" s="1"/>
      <c r="L184" s="1"/>
      <c r="M184" s="1"/>
      <c r="N184" s="1"/>
      <c r="O184" s="1"/>
      <c r="P184" s="1"/>
      <c r="Q184" s="1"/>
      <c r="R184" s="1"/>
      <c r="S184" s="1"/>
      <c r="T184" s="1"/>
      <c r="U184" s="41" t="str">
        <f t="shared" ca="1" si="32"/>
        <v>302,..,3702</v>
      </c>
      <c r="V184" s="41">
        <f ca="1">V183+1</f>
        <v>302</v>
      </c>
      <c r="W184" s="41">
        <f ca="1">W183+1</f>
        <v>3702</v>
      </c>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3">
      <c r="A185" s="68" t="str">
        <f t="shared" si="33"/>
        <v>37th Floor (Part Refuge Area)</v>
      </c>
      <c r="B185" s="68"/>
      <c r="C185" s="69">
        <v>3</v>
      </c>
      <c r="D185" s="70"/>
      <c r="E185" s="19" t="s">
        <v>222</v>
      </c>
      <c r="F185" s="69">
        <f>(1.525*2.3+3.15*5.15+1.1*2.375+3.3*2.325+3.05*3.05+3.175*3.35+3.05*3.35+1.1*1.375+(1.375*2.3+2.3*1.375+1.375*2.3)+(0.75*(2.325+3.05+3.05+3.15)))*10.764</f>
        <v>859.53231000000005</v>
      </c>
      <c r="G185" s="70"/>
      <c r="H185" s="19">
        <v>0</v>
      </c>
      <c r="I185" s="19">
        <f t="shared" si="31"/>
        <v>1375.2516960000003</v>
      </c>
      <c r="J185" s="1"/>
      <c r="K185" s="1"/>
      <c r="L185" s="1"/>
      <c r="M185" s="1"/>
      <c r="N185" s="1"/>
      <c r="O185" s="1"/>
      <c r="P185" s="1"/>
      <c r="Q185" s="1"/>
      <c r="R185" s="1"/>
      <c r="S185" s="1"/>
      <c r="T185" s="1"/>
      <c r="U185" s="41" t="str">
        <f t="shared" ca="1" si="32"/>
        <v>303,..,3703</v>
      </c>
      <c r="V185" s="41">
        <f t="shared" ref="V185:W185" ca="1" si="34">V184+1</f>
        <v>303</v>
      </c>
      <c r="W185" s="41">
        <f t="shared" ca="1" si="34"/>
        <v>3703</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3">
      <c r="A186" s="68" t="str">
        <f t="shared" si="33"/>
        <v>37th Floor (Part Refuge Area)</v>
      </c>
      <c r="B186" s="68"/>
      <c r="C186" s="69">
        <v>4</v>
      </c>
      <c r="D186" s="70"/>
      <c r="E186" s="19" t="s">
        <v>223</v>
      </c>
      <c r="F186" s="160">
        <f>(2.3*1.125+2.15*3.35+3.05*4.625+1.405*1+3.05*3.35+3.05*3.05+0.6*3.05+((1.375*2.3)*2)+(0.75*(3.05+2.15)))*10.764</f>
        <v>612.21595499999989</v>
      </c>
      <c r="G186" s="161"/>
      <c r="H186" s="19">
        <v>0</v>
      </c>
      <c r="I186" s="19">
        <f t="shared" si="31"/>
        <v>979.54552799999988</v>
      </c>
      <c r="J186" s="1"/>
      <c r="K186" s="1"/>
      <c r="L186" s="1"/>
      <c r="M186" s="1"/>
      <c r="N186" s="1"/>
      <c r="O186" s="1"/>
      <c r="P186" s="1"/>
      <c r="Q186" s="1"/>
      <c r="R186" s="1"/>
      <c r="S186" s="1"/>
      <c r="T186" s="1"/>
      <c r="U186" s="41" t="str">
        <f t="shared" ca="1" si="32"/>
        <v>304,..,3704</v>
      </c>
      <c r="V186" s="41">
        <f t="shared" ref="V186:W186" ca="1" si="35">V185+1</f>
        <v>304</v>
      </c>
      <c r="W186" s="41">
        <f t="shared" ca="1" si="35"/>
        <v>3704</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3">
      <c r="A187" s="68" t="str">
        <f t="shared" si="33"/>
        <v>37th Floor (Part Refuge Area)</v>
      </c>
      <c r="B187" s="68"/>
      <c r="C187" s="69">
        <v>5</v>
      </c>
      <c r="D187" s="70"/>
      <c r="E187" s="69" t="s">
        <v>226</v>
      </c>
      <c r="F187" s="163"/>
      <c r="G187" s="163"/>
      <c r="H187" s="163"/>
      <c r="I187" s="70"/>
      <c r="J187" s="1"/>
      <c r="K187" s="1"/>
      <c r="L187" s="1"/>
      <c r="M187" s="1"/>
      <c r="N187" s="1"/>
      <c r="O187" s="1"/>
      <c r="P187" s="1"/>
      <c r="Q187" s="1"/>
      <c r="R187" s="1"/>
      <c r="S187" s="1"/>
      <c r="T187" s="1"/>
      <c r="U187" s="41" t="str">
        <f t="shared" ca="1" si="32"/>
        <v>305,..,3705</v>
      </c>
      <c r="V187" s="41">
        <f t="shared" ref="V187:W187" ca="1" si="36">V186+1</f>
        <v>305</v>
      </c>
      <c r="W187" s="41">
        <f t="shared" ca="1" si="36"/>
        <v>3705</v>
      </c>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customHeight="1" x14ac:dyDescent="0.3">
      <c r="A188" s="68" t="str">
        <f t="shared" si="33"/>
        <v>37th Floor (Part Refuge Area)</v>
      </c>
      <c r="B188" s="68"/>
      <c r="C188" s="69">
        <v>6</v>
      </c>
      <c r="D188" s="70"/>
      <c r="E188" s="19" t="s">
        <v>223</v>
      </c>
      <c r="F188" s="69">
        <f>(2.3*1.125+2.15*3.35+3.05*4.625+1.405*1+3.05*3.35+3.05*3.05+0.6*1.4+((1.375*2.3)*2)+0.15*0.6+(0.75*(3.05+2.15+3.05)))*10.764</f>
        <v>627.15100499999994</v>
      </c>
      <c r="G188" s="70"/>
      <c r="H188" s="19">
        <v>0</v>
      </c>
      <c r="I188" s="19">
        <f t="shared" ref="I188" si="37">F188*(($I$130)+1)+H188</f>
        <v>1003.441608</v>
      </c>
      <c r="J188" s="1"/>
      <c r="K188" s="1"/>
      <c r="L188" s="1"/>
      <c r="M188" s="1"/>
      <c r="N188" s="1"/>
      <c r="O188" s="1"/>
      <c r="P188" s="1"/>
      <c r="Q188" s="1"/>
      <c r="R188" s="1"/>
      <c r="S188" s="1"/>
      <c r="T188" s="1"/>
      <c r="U188" s="41" t="str">
        <f t="shared" ca="1" si="32"/>
        <v>306,..,3706</v>
      </c>
      <c r="V188" s="41">
        <f t="shared" ref="V188:W188" ca="1" si="38">V187+1</f>
        <v>306</v>
      </c>
      <c r="W188" s="41">
        <f t="shared" ca="1" si="38"/>
        <v>3706</v>
      </c>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1" x14ac:dyDescent="0.3">
      <c r="A189" s="71" t="s">
        <v>233</v>
      </c>
      <c r="B189" s="72"/>
      <c r="C189" s="72"/>
      <c r="D189" s="72"/>
      <c r="E189" s="72"/>
      <c r="F189" s="72"/>
      <c r="G189" s="72"/>
      <c r="H189" s="72"/>
      <c r="I189" s="16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1" x14ac:dyDescent="0.3">
      <c r="A190" s="71" t="s">
        <v>232</v>
      </c>
      <c r="B190" s="72"/>
      <c r="C190" s="72"/>
      <c r="D190" s="72"/>
      <c r="E190" s="72"/>
      <c r="F190" s="72"/>
      <c r="G190" s="72"/>
      <c r="H190" s="72"/>
      <c r="I190" s="16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1" x14ac:dyDescent="0.3">
      <c r="A191" s="71" t="s">
        <v>176</v>
      </c>
      <c r="B191" s="72"/>
      <c r="C191" s="72"/>
      <c r="D191" s="72"/>
      <c r="E191" s="72"/>
      <c r="F191" s="72"/>
      <c r="G191" s="72"/>
      <c r="H191" s="72"/>
      <c r="I191" s="73"/>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1" x14ac:dyDescent="0.3">
      <c r="A192" s="71" t="s">
        <v>234</v>
      </c>
      <c r="B192" s="72"/>
      <c r="C192" s="72"/>
      <c r="D192" s="72"/>
      <c r="E192" s="72"/>
      <c r="F192" s="72"/>
      <c r="G192" s="72"/>
      <c r="H192" s="72"/>
      <c r="I192" s="73"/>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1" x14ac:dyDescent="0.3">
      <c r="A193" s="71" t="s">
        <v>235</v>
      </c>
      <c r="B193" s="72"/>
      <c r="C193" s="72"/>
      <c r="D193" s="72"/>
      <c r="E193" s="72"/>
      <c r="F193" s="72"/>
      <c r="G193" s="72"/>
      <c r="H193" s="72"/>
      <c r="I193" s="73"/>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1" x14ac:dyDescent="0.3">
      <c r="A194" s="71" t="s">
        <v>221</v>
      </c>
      <c r="B194" s="72"/>
      <c r="C194" s="72"/>
      <c r="D194" s="72"/>
      <c r="E194" s="72"/>
      <c r="F194" s="72"/>
      <c r="G194" s="72"/>
      <c r="H194" s="72"/>
      <c r="I194" s="7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1" x14ac:dyDescent="0.3">
      <c r="A195" s="71" t="s">
        <v>238</v>
      </c>
      <c r="B195" s="72"/>
      <c r="C195" s="72"/>
      <c r="D195" s="72"/>
      <c r="E195" s="72"/>
      <c r="F195" s="72"/>
      <c r="G195" s="72"/>
      <c r="H195" s="72"/>
      <c r="I195" s="16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3">
      <c r="A196" s="68" t="str">
        <f>A195</f>
        <v>Stilt Floor For Entrance lobby &amp; Residential</v>
      </c>
      <c r="B196" s="68"/>
      <c r="C196" s="69">
        <v>1</v>
      </c>
      <c r="D196" s="70"/>
      <c r="E196" s="19" t="s">
        <v>222</v>
      </c>
      <c r="F196" s="69">
        <f>(1.525*2.3+3.15*5.15+1.1*2.375+3.3*2.325+3.05*3.05+3.175*3.35+3.05*3.35+1.1*1.375+(1.375*2.3+2.3*1.375+1.375*2.3)+(0.75*(2.325+3.05+3.05+3.15)))*10.764</f>
        <v>859.53231000000005</v>
      </c>
      <c r="G196" s="70"/>
      <c r="H196" s="19">
        <v>0</v>
      </c>
      <c r="I196" s="19">
        <f t="shared" ref="I196:I198" si="39">F196*(($I$130)+1)+H196</f>
        <v>1375.2516960000003</v>
      </c>
      <c r="J196" s="1"/>
      <c r="K196" s="1"/>
      <c r="L196" s="1"/>
      <c r="M196" s="1"/>
      <c r="N196" s="1"/>
      <c r="O196" s="1"/>
      <c r="P196" s="1"/>
      <c r="Q196" s="1"/>
      <c r="R196" s="1"/>
      <c r="S196" s="1"/>
      <c r="T196" s="1"/>
      <c r="U196" s="41" t="e">
        <f t="shared" ref="U196:U198" ca="1" si="40">V196&amp;""&amp;",..,"&amp;""&amp;W196</f>
        <v>#REF!</v>
      </c>
      <c r="V196" s="41" t="e">
        <f ca="1">(SUMPRODUCT(MID(0&amp;(LEFT(A195,SUM(LEN(A195)-LEN(SUBSTITUTE(A195,{"0","1","2","3"},""))))), LARGE(INDEX(ISNUMBER(--MID((LEFT(A195,SUM(LEN(A195)-LEN(SUBSTITUTE(A195,{"0","1","2","3"},""))))), ROW(INDIRECT("1:"&amp;LEN((LEFT(A195,SUM(LEN(A195)-LEN(SUBSTITUTE(A195,{"0","1","2","3"},"")))))))), 1)) * ROW(INDIRECT("1:"&amp;LEN((LEFT(A195,SUM(LEN(A195)-LEN(SUBSTITUTE(A195,{"0","1","2","3"},"")))))))), 0), ROW(INDIRECT("1:"&amp;LEN((LEFT(A195,SUM(LEN(A195)-LEN(SUBSTITUTE(A195,{"0","1","2","3"},"")))))))))+1, 1) * 10^ROW(INDIRECT("1:"&amp;LEN((LEFT(A195,SUM(LEN(A195)-LEN(SUBSTITUTE(A195,{"0","1","2","3"},""))))))))/10))*100+1</f>
        <v>#REF!</v>
      </c>
      <c r="W196" s="41" t="e">
        <f ca="1">(SUMPRODUCT(MID(0&amp;(--TRIM(RIGHT(SUBSTITUTE(LEFT(A195,_xlfn.AGGREGATE(16,6,FIND({0,1,2,3,4,5,6,7,8,9},A195,ROW(INDIRECT("1:"&amp;LEN(A195)))),1)),"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",LEN(A195))),LEN(A195)))))))/10))*100+1</f>
        <v>#NUM!</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3">
      <c r="A197" s="68" t="str">
        <f t="shared" ref="A197:A198" si="41">A196</f>
        <v>Stilt Floor For Entrance lobby &amp; Residential</v>
      </c>
      <c r="B197" s="68"/>
      <c r="C197" s="69">
        <v>2</v>
      </c>
      <c r="D197" s="70"/>
      <c r="E197" s="19" t="s">
        <v>223</v>
      </c>
      <c r="F197" s="69">
        <f>(3.05*3.35+3.05*6.35+2.15*2.6+3.05*3.05+0.9*2.15+(1.4*2.55+1.375*2.3)+(0.75*(3.05+3.05+2.15+3.05)))*10.764</f>
        <v>663.27767999999992</v>
      </c>
      <c r="G197" s="70"/>
      <c r="H197" s="19">
        <v>0</v>
      </c>
      <c r="I197" s="19">
        <f t="shared" si="39"/>
        <v>1061.2442879999999</v>
      </c>
      <c r="J197" s="1"/>
      <c r="K197" s="1"/>
      <c r="L197" s="1"/>
      <c r="M197" s="1"/>
      <c r="N197" s="1"/>
      <c r="O197" s="1"/>
      <c r="P197" s="1"/>
      <c r="Q197" s="1"/>
      <c r="R197" s="1"/>
      <c r="S197" s="1"/>
      <c r="T197" s="1"/>
      <c r="U197" s="41" t="e">
        <f t="shared" ca="1" si="40"/>
        <v>#REF!</v>
      </c>
      <c r="V197" s="41" t="e">
        <f ca="1">V196+1</f>
        <v>#REF!</v>
      </c>
      <c r="W197" s="41" t="e">
        <f ca="1">W196+1</f>
        <v>#NUM!</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3">
      <c r="A198" s="68" t="str">
        <f t="shared" si="41"/>
        <v>Stilt Floor For Entrance lobby &amp; Residential</v>
      </c>
      <c r="B198" s="68"/>
      <c r="C198" s="69">
        <v>3</v>
      </c>
      <c r="D198" s="70"/>
      <c r="E198" s="19" t="s">
        <v>222</v>
      </c>
      <c r="F198" s="69">
        <f>(1.525*2.3+3.15*5.15+1.1*2.375+3.3*2.325+3.05*3.05+3.175*3.35+3.05*3.35+1.1*1.375+(1.375*2.3+2.3*1.375+1.375*2.3)+(0.75*(2.325+3.05+3.05+3.15)))*10.764</f>
        <v>859.53231000000005</v>
      </c>
      <c r="G198" s="70"/>
      <c r="H198" s="19">
        <v>0</v>
      </c>
      <c r="I198" s="19">
        <f t="shared" si="39"/>
        <v>1375.2516960000003</v>
      </c>
      <c r="J198" s="1"/>
      <c r="K198" s="1"/>
      <c r="L198" s="1"/>
      <c r="M198" s="1"/>
      <c r="N198" s="1"/>
      <c r="O198" s="1"/>
      <c r="P198" s="1"/>
      <c r="Q198" s="1"/>
      <c r="R198" s="1"/>
      <c r="S198" s="1"/>
      <c r="T198" s="1"/>
      <c r="U198" s="41" t="e">
        <f t="shared" ca="1" si="40"/>
        <v>#REF!</v>
      </c>
      <c r="V198" s="41" t="e">
        <f t="shared" ref="V198:W198" ca="1" si="42">V197+1</f>
        <v>#REF!</v>
      </c>
      <c r="W198" s="41" t="e">
        <f t="shared" ca="1" si="42"/>
        <v>#NUM!</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1" x14ac:dyDescent="0.3">
      <c r="A199" s="71" t="s">
        <v>239</v>
      </c>
      <c r="B199" s="72"/>
      <c r="C199" s="72"/>
      <c r="D199" s="72"/>
      <c r="E199" s="72"/>
      <c r="F199" s="72"/>
      <c r="G199" s="72"/>
      <c r="H199" s="72"/>
      <c r="I199" s="16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3">
      <c r="A200" s="68" t="str">
        <f>A199</f>
        <v xml:space="preserve">1st Floor </v>
      </c>
      <c r="B200" s="68"/>
      <c r="C200" s="69">
        <v>1</v>
      </c>
      <c r="D200" s="70"/>
      <c r="E200" s="19" t="s">
        <v>222</v>
      </c>
      <c r="F200" s="69">
        <f>(1.525*2.3+3.15*5.15+1.1*2.375+3.3*2.325+3.05*3.05+3.175*3.35+3.05*3.35+1.1*1.375+(1.375*2.3+2.3*1.375+1.375*2.3)+(0.75*(2.325+3.05+3.05+3.15)))*10.764</f>
        <v>859.53231000000005</v>
      </c>
      <c r="G200" s="70"/>
      <c r="H200" s="19">
        <v>0</v>
      </c>
      <c r="I200" s="19">
        <f t="shared" ref="I200:I202" si="43">F200*(($I$130)+1)+H200</f>
        <v>1375.2516960000003</v>
      </c>
      <c r="J200" s="1"/>
      <c r="K200" s="1"/>
      <c r="L200" s="1"/>
      <c r="M200" s="1"/>
      <c r="N200" s="1"/>
      <c r="O200" s="1"/>
      <c r="P200" s="1"/>
      <c r="Q200" s="1"/>
      <c r="R200" s="1"/>
      <c r="S200" s="1"/>
      <c r="T200" s="1"/>
      <c r="U200" s="41" t="str">
        <f t="shared" ref="U200:U202" ca="1" si="44">V200&amp;""&amp;",..,"&amp;""&amp;W200</f>
        <v>101,..,101</v>
      </c>
      <c r="V200" s="41">
        <f ca="1">(SUMPRODUCT(MID(0&amp;(LEFT(A199,SUM(LEN(A199)-LEN(SUBSTITUTE(A199,{"0","1","2","3"},""))))), LARGE(INDEX(ISNUMBER(--MID((LEFT(A199,SUM(LEN(A199)-LEN(SUBSTITUTE(A199,{"0","1","2","3"},""))))), ROW(INDIRECT("1:"&amp;LEN((LEFT(A199,SUM(LEN(A199)-LEN(SUBSTITUTE(A199,{"0","1","2","3"},"")))))))), 1)) * ROW(INDIRECT("1:"&amp;LEN((LEFT(A199,SUM(LEN(A199)-LEN(SUBSTITUTE(A199,{"0","1","2","3"},"")))))))), 0), ROW(INDIRECT("1:"&amp;LEN((LEFT(A199,SUM(LEN(A199)-LEN(SUBSTITUTE(A199,{"0","1","2","3"},"")))))))))+1, 1) * 10^ROW(INDIRECT("1:"&amp;LEN((LEFT(A199,SUM(LEN(A199)-LEN(SUBSTITUTE(A199,{"0","1","2","3"},""))))))))/10))*100+1</f>
        <v>101</v>
      </c>
      <c r="W200" s="41">
        <f ca="1">(SUMPRODUCT(MID(0&amp;(--TRIM(RIGHT(SUBSTITUTE(LEFT(A199,_xlfn.AGGREGATE(16,6,FIND({0,1,2,3,4,5,6,7,8,9},A199,ROW(INDIRECT("1:"&amp;LEN(A199)))),1)),"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",LEN(A199))),LEN(A199)))))))/10))*100+1</f>
        <v>101</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3">
      <c r="A201" s="68" t="str">
        <f t="shared" ref="A201:A202" si="45">A200</f>
        <v xml:space="preserve">1st Floor </v>
      </c>
      <c r="B201" s="68"/>
      <c r="C201" s="69">
        <v>2</v>
      </c>
      <c r="D201" s="70"/>
      <c r="E201" s="19" t="s">
        <v>223</v>
      </c>
      <c r="F201" s="69">
        <f>(3.05*3.35+3.05*6.35+2.15*2.6+3.05*3.05+0.9*2.15+(1.4*2.55+1.375*2.3)+(0.75*(3.05+3.05+2.15+3.05)))*10.764</f>
        <v>663.27767999999992</v>
      </c>
      <c r="G201" s="70"/>
      <c r="H201" s="19">
        <v>0</v>
      </c>
      <c r="I201" s="19">
        <f t="shared" si="43"/>
        <v>1061.2442879999999</v>
      </c>
      <c r="J201" s="1"/>
      <c r="K201" s="1"/>
      <c r="L201" s="1"/>
      <c r="M201" s="1"/>
      <c r="N201" s="1"/>
      <c r="O201" s="1"/>
      <c r="P201" s="1"/>
      <c r="Q201" s="1"/>
      <c r="R201" s="1"/>
      <c r="S201" s="1"/>
      <c r="T201" s="1"/>
      <c r="U201" s="41" t="str">
        <f t="shared" ca="1" si="44"/>
        <v>102,..,102</v>
      </c>
      <c r="V201" s="41">
        <f ca="1">V200+1</f>
        <v>102</v>
      </c>
      <c r="W201" s="41">
        <f ca="1">W200+1</f>
        <v>102</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3">
      <c r="A202" s="68" t="str">
        <f t="shared" si="45"/>
        <v xml:space="preserve">1st Floor </v>
      </c>
      <c r="B202" s="68"/>
      <c r="C202" s="69">
        <v>3</v>
      </c>
      <c r="D202" s="70"/>
      <c r="E202" s="19" t="s">
        <v>222</v>
      </c>
      <c r="F202" s="69">
        <f>(1.525*2.3+3.15*5.15+1.1*2.375+3.3*2.325+3.05*3.05+3.175*3.35+3.05*3.35+1.1*1.375+(1.375*2.3+2.3*1.375+1.375*2.3)+(0.75*(2.325+3.05+3.05+3.15)))*10.764</f>
        <v>859.53231000000005</v>
      </c>
      <c r="G202" s="70"/>
      <c r="H202" s="19">
        <v>0</v>
      </c>
      <c r="I202" s="19">
        <f t="shared" si="43"/>
        <v>1375.2516960000003</v>
      </c>
      <c r="J202" s="1"/>
      <c r="K202" s="1"/>
      <c r="L202" s="1"/>
      <c r="M202" s="1"/>
      <c r="N202" s="1"/>
      <c r="O202" s="1"/>
      <c r="P202" s="1"/>
      <c r="Q202" s="1"/>
      <c r="R202" s="1"/>
      <c r="S202" s="1"/>
      <c r="T202" s="1"/>
      <c r="U202" s="41" t="str">
        <f t="shared" ca="1" si="44"/>
        <v>103,..,103</v>
      </c>
      <c r="V202" s="41">
        <f t="shared" ref="V202:W202" ca="1" si="46">V201+1</f>
        <v>103</v>
      </c>
      <c r="W202" s="41">
        <f t="shared" ca="1" si="46"/>
        <v>103</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1" x14ac:dyDescent="0.3">
      <c r="A203" s="71" t="s">
        <v>224</v>
      </c>
      <c r="B203" s="72"/>
      <c r="C203" s="72"/>
      <c r="D203" s="72"/>
      <c r="E203" s="72"/>
      <c r="F203" s="72"/>
      <c r="G203" s="72"/>
      <c r="H203" s="72"/>
      <c r="I203" s="16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3">
      <c r="A204" s="68" t="str">
        <f>A203</f>
        <v>2nd, 4th to 6th, 8th to 11th, 13th to 16th, 18th to 21st, 23rd to 26th, 28th to 31st Floor</v>
      </c>
      <c r="B204" s="68"/>
      <c r="C204" s="69">
        <v>1</v>
      </c>
      <c r="D204" s="70"/>
      <c r="E204" s="19" t="s">
        <v>222</v>
      </c>
      <c r="F204" s="69">
        <f>(1.525*2.3+3.15*5.15+1.1*2.375+3.3*2.325+3.05*3.05+3.175*3.35+3.05*3.35+1.1*1.375+(1.375*2.3+2.3*1.375+1.375*2.3)+(0.75*(2.325+3.05+3.05+3.15)))*10.764</f>
        <v>859.53231000000005</v>
      </c>
      <c r="G204" s="70"/>
      <c r="H204" s="19">
        <v>0</v>
      </c>
      <c r="I204" s="19">
        <f t="shared" ref="I204:I209" si="47">F204*(($I$130)+1)+H204</f>
        <v>1375.2516960000003</v>
      </c>
      <c r="J204" s="1"/>
      <c r="K204" s="1"/>
      <c r="L204" s="1"/>
      <c r="M204" s="1"/>
      <c r="N204" s="1"/>
      <c r="O204" s="1"/>
      <c r="P204" s="1"/>
      <c r="Q204" s="1"/>
      <c r="R204" s="1"/>
      <c r="S204" s="1"/>
      <c r="T204" s="1"/>
      <c r="U204" s="41" t="str">
        <f t="shared" ref="U204:U209" ca="1" si="48">V204&amp;""&amp;",..,"&amp;""&amp;W204</f>
        <v>24601,..,3101</v>
      </c>
      <c r="V204" s="41">
        <f ca="1">(SUMPRODUCT(MID(0&amp;(LEFT(A203,SUM(LEN(A203)-LEN(SUBSTITUTE(A203,{"0","1","2","3"},""))))), LARGE(INDEX(ISNUMBER(--MID((LEFT(A203,SUM(LEN(A203)-LEN(SUBSTITUTE(A203,{"0","1","2","3"},""))))), ROW(INDIRECT("1:"&amp;LEN((LEFT(A203,SUM(LEN(A203)-LEN(SUBSTITUTE(A203,{"0","1","2","3"},"")))))))), 1)) * ROW(INDIRECT("1:"&amp;LEN((LEFT(A203,SUM(LEN(A203)-LEN(SUBSTITUTE(A203,{"0","1","2","3"},"")))))))), 0), ROW(INDIRECT("1:"&amp;LEN((LEFT(A203,SUM(LEN(A203)-LEN(SUBSTITUTE(A203,{"0","1","2","3"},"")))))))))+1, 1) * 10^ROW(INDIRECT("1:"&amp;LEN((LEFT(A203,SUM(LEN(A203)-LEN(SUBSTITUTE(A203,{"0","1","2","3"},""))))))))/10))*100+1</f>
        <v>24601</v>
      </c>
      <c r="W204" s="41">
        <f ca="1">(SUMPRODUCT(MID(0&amp;(--TRIM(RIGHT(SUBSTITUTE(LEFT(A203,_xlfn.AGGREGATE(16,6,FIND({0,1,2,3,4,5,6,7,8,9},A203,ROW(INDIRECT("1:"&amp;LEN(A203)))),1)),"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",LEN(A203))),LEN(A203)))))))/10))*100+1</f>
        <v>3101</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3">
      <c r="A205" s="68" t="str">
        <f t="shared" ref="A205:A209" si="49">A204</f>
        <v>2nd, 4th to 6th, 8th to 11th, 13th to 16th, 18th to 21st, 23rd to 26th, 28th to 31st Floor</v>
      </c>
      <c r="B205" s="68"/>
      <c r="C205" s="69">
        <v>2</v>
      </c>
      <c r="D205" s="70"/>
      <c r="E205" s="19" t="s">
        <v>223</v>
      </c>
      <c r="F205" s="69">
        <f>(3.05*3.35+3.05*6.35+2.15*2.6+3.05*3.05+0.9*2.15+(1.4*2.55+1.375*2.3)+(0.75*(3.05+3.05+2.15+3.05)))*10.764</f>
        <v>663.27767999999992</v>
      </c>
      <c r="G205" s="70"/>
      <c r="H205" s="19">
        <v>0</v>
      </c>
      <c r="I205" s="19">
        <f t="shared" si="47"/>
        <v>1061.2442879999999</v>
      </c>
      <c r="J205" s="1"/>
      <c r="K205" s="1"/>
      <c r="L205" s="1"/>
      <c r="M205" s="1"/>
      <c r="N205" s="1"/>
      <c r="O205" s="1"/>
      <c r="P205" s="1"/>
      <c r="Q205" s="1"/>
      <c r="R205" s="1"/>
      <c r="S205" s="1"/>
      <c r="T205" s="1"/>
      <c r="U205" s="41" t="str">
        <f t="shared" ca="1" si="48"/>
        <v>24602,..,3102</v>
      </c>
      <c r="V205" s="41">
        <f ca="1">V204+1</f>
        <v>24602</v>
      </c>
      <c r="W205" s="41">
        <f ca="1">W204+1</f>
        <v>3102</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3">
      <c r="A206" s="68" t="str">
        <f t="shared" si="49"/>
        <v>2nd, 4th to 6th, 8th to 11th, 13th to 16th, 18th to 21st, 23rd to 26th, 28th to 31st Floor</v>
      </c>
      <c r="B206" s="68"/>
      <c r="C206" s="69">
        <v>3</v>
      </c>
      <c r="D206" s="70"/>
      <c r="E206" s="19" t="s">
        <v>222</v>
      </c>
      <c r="F206" s="69">
        <f>(1.525*2.3+3.15*5.15+1.1*2.375+3.3*2.325+3.05*3.05+3.175*3.35+3.05*3.35+1.1*1.375+(1.375*2.3+2.3*1.375+1.375*2.3)+(0.75*(2.325+3.05+3.05+3.15)))*10.764</f>
        <v>859.53231000000005</v>
      </c>
      <c r="G206" s="70"/>
      <c r="H206" s="19">
        <v>0</v>
      </c>
      <c r="I206" s="19">
        <f t="shared" si="47"/>
        <v>1375.2516960000003</v>
      </c>
      <c r="J206" s="1"/>
      <c r="K206" s="1"/>
      <c r="L206" s="1"/>
      <c r="M206" s="1"/>
      <c r="N206" s="1"/>
      <c r="O206" s="1"/>
      <c r="P206" s="1"/>
      <c r="Q206" s="1"/>
      <c r="R206" s="1"/>
      <c r="S206" s="1"/>
      <c r="T206" s="1"/>
      <c r="U206" s="41" t="str">
        <f t="shared" ca="1" si="48"/>
        <v>24603,..,3103</v>
      </c>
      <c r="V206" s="41">
        <f t="shared" ref="V206:W206" ca="1" si="50">V205+1</f>
        <v>24603</v>
      </c>
      <c r="W206" s="41">
        <f t="shared" ca="1" si="50"/>
        <v>3103</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3">
      <c r="A207" s="68" t="str">
        <f t="shared" si="49"/>
        <v>2nd, 4th to 6th, 8th to 11th, 13th to 16th, 18th to 21st, 23rd to 26th, 28th to 31st Floor</v>
      </c>
      <c r="B207" s="68"/>
      <c r="C207" s="69">
        <v>4</v>
      </c>
      <c r="D207" s="70"/>
      <c r="E207" s="19" t="s">
        <v>223</v>
      </c>
      <c r="F207" s="160">
        <f>(2.3*1.125+2.15*3.35+3.05*4.625+1.405*1+3.05*3.35+3.05*3.05+0.6*3.05+((1.375*2.3)*2)+(0.75*(3.05+2.15)))*10.764</f>
        <v>612.21595499999989</v>
      </c>
      <c r="G207" s="161"/>
      <c r="H207" s="19">
        <v>0</v>
      </c>
      <c r="I207" s="19">
        <f t="shared" si="47"/>
        <v>979.54552799999988</v>
      </c>
      <c r="J207" s="1"/>
      <c r="K207" s="1"/>
      <c r="L207" s="1"/>
      <c r="M207" s="1"/>
      <c r="N207" s="1"/>
      <c r="O207" s="1"/>
      <c r="P207" s="1"/>
      <c r="Q207" s="1"/>
      <c r="R207" s="1"/>
      <c r="S207" s="1"/>
      <c r="T207" s="1"/>
      <c r="U207" s="41" t="str">
        <f t="shared" ca="1" si="48"/>
        <v>24604,..,3104</v>
      </c>
      <c r="V207" s="41">
        <f t="shared" ref="V207:W207" ca="1" si="51">V206+1</f>
        <v>24604</v>
      </c>
      <c r="W207" s="41">
        <f t="shared" ca="1" si="51"/>
        <v>3104</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3">
      <c r="A208" s="68" t="str">
        <f t="shared" si="49"/>
        <v>2nd, 4th to 6th, 8th to 11th, 13th to 16th, 18th to 21st, 23rd to 26th, 28th to 31st Floor</v>
      </c>
      <c r="B208" s="68"/>
      <c r="C208" s="69">
        <v>5</v>
      </c>
      <c r="D208" s="70"/>
      <c r="E208" s="19" t="s">
        <v>222</v>
      </c>
      <c r="F208" s="160">
        <f>(2.3*3+3.05*3.65+2.3*2.65+2.9*3.25+2.45*2.6+2.9*3.25+1*2.3+1*2.45+(2*(2.3*1.525))+(0.75*(2.45+3.05+2.3)))*10.764</f>
        <v>720.7843499999999</v>
      </c>
      <c r="G208" s="161"/>
      <c r="H208" s="19">
        <v>0</v>
      </c>
      <c r="I208" s="19">
        <f t="shared" si="47"/>
        <v>1153.25496</v>
      </c>
      <c r="J208" s="1"/>
      <c r="K208" s="1"/>
      <c r="L208" s="1"/>
      <c r="M208" s="1"/>
      <c r="N208" s="1"/>
      <c r="O208" s="1"/>
      <c r="P208" s="1"/>
      <c r="Q208" s="1"/>
      <c r="R208" s="1"/>
      <c r="S208" s="1"/>
      <c r="T208" s="1"/>
      <c r="U208" s="41" t="str">
        <f t="shared" ca="1" si="48"/>
        <v>24605,..,3105</v>
      </c>
      <c r="V208" s="41">
        <f t="shared" ref="V208:W208" ca="1" si="52">V207+1</f>
        <v>24605</v>
      </c>
      <c r="W208" s="41">
        <f t="shared" ca="1" si="52"/>
        <v>3105</v>
      </c>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3">
      <c r="A209" s="68" t="str">
        <f t="shared" si="49"/>
        <v>2nd, 4th to 6th, 8th to 11th, 13th to 16th, 18th to 21st, 23rd to 26th, 28th to 31st Floor</v>
      </c>
      <c r="B209" s="68"/>
      <c r="C209" s="69">
        <v>6</v>
      </c>
      <c r="D209" s="70"/>
      <c r="E209" s="19" t="s">
        <v>223</v>
      </c>
      <c r="F209" s="160">
        <f>(2.3*1.125+2.15*3.35+3.05*4.625+1.405*1+3.05*3.35+3.05*3.05+0.6*1.4+((1.375*2.3)*2)+0.15*0.6+(0.75*(3.05+2.15+3.05)))*10.764</f>
        <v>627.15100499999994</v>
      </c>
      <c r="G209" s="161"/>
      <c r="H209" s="19">
        <v>0</v>
      </c>
      <c r="I209" s="19">
        <f t="shared" si="47"/>
        <v>1003.441608</v>
      </c>
      <c r="J209" s="1"/>
      <c r="K209" s="1"/>
      <c r="L209" s="1"/>
      <c r="M209" s="1"/>
      <c r="N209" s="1"/>
      <c r="O209" s="1"/>
      <c r="P209" s="1"/>
      <c r="Q209" s="1"/>
      <c r="R209" s="1"/>
      <c r="S209" s="1"/>
      <c r="T209" s="1"/>
      <c r="U209" s="41" t="str">
        <f t="shared" ca="1" si="48"/>
        <v>24606,..,3106</v>
      </c>
      <c r="V209" s="41">
        <f t="shared" ref="V209:W209" ca="1" si="53">V208+1</f>
        <v>24606</v>
      </c>
      <c r="W209" s="41">
        <f t="shared" ca="1" si="53"/>
        <v>3106</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1" x14ac:dyDescent="0.3">
      <c r="A210" s="71" t="s">
        <v>225</v>
      </c>
      <c r="B210" s="72"/>
      <c r="C210" s="72"/>
      <c r="D210" s="72"/>
      <c r="E210" s="72"/>
      <c r="F210" s="72"/>
      <c r="G210" s="72"/>
      <c r="H210" s="72"/>
      <c r="I210" s="16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3">
      <c r="A211" s="68" t="str">
        <f>A210</f>
        <v>3rd, 7th, 12th, 17th, 22nd, 27th &amp; 32nd Floor (Part Refuge Area)</v>
      </c>
      <c r="B211" s="68"/>
      <c r="C211" s="69">
        <v>1</v>
      </c>
      <c r="D211" s="70"/>
      <c r="E211" s="19" t="s">
        <v>222</v>
      </c>
      <c r="F211" s="69">
        <f>(1.525*2.3+3.15*5.15+1.1*2.375+3.3*2.325+3.05*3.05+3.175*3.35+3.05*3.35+1.1*1.375+(1.375*2.3+2.3*1.375+1.375*2.3)+(0.75*(2.325+3.05+3.05+3.15)))*10.764</f>
        <v>859.53231000000005</v>
      </c>
      <c r="G211" s="70"/>
      <c r="H211" s="19">
        <v>0</v>
      </c>
      <c r="I211" s="19">
        <f t="shared" ref="I211:I214" si="54">F211*(($I$130)+1)+H211</f>
        <v>1375.2516960000003</v>
      </c>
      <c r="J211" s="1"/>
      <c r="K211" s="1"/>
      <c r="L211" s="1"/>
      <c r="M211" s="1"/>
      <c r="N211" s="1"/>
      <c r="O211" s="1"/>
      <c r="P211" s="1"/>
      <c r="Q211" s="1"/>
      <c r="R211" s="1"/>
      <c r="S211" s="1"/>
      <c r="T211" s="1"/>
      <c r="U211" s="41" t="str">
        <f t="shared" ref="U211:U216" ca="1" si="55">V211&amp;""&amp;",..,"&amp;""&amp;W211</f>
        <v>3701,..,3201</v>
      </c>
      <c r="V211" s="41">
        <f ca="1">(SUMPRODUCT(MID(0&amp;(LEFT(A210,SUM(LEN(A210)-LEN(SUBSTITUTE(A210,{"0","1","2","3"},""))))), LARGE(INDEX(ISNUMBER(--MID((LEFT(A210,SUM(LEN(A210)-LEN(SUBSTITUTE(A210,{"0","1","2","3"},""))))), ROW(INDIRECT("1:"&amp;LEN((LEFT(A210,SUM(LEN(A210)-LEN(SUBSTITUTE(A210,{"0","1","2","3"},"")))))))), 1)) * ROW(INDIRECT("1:"&amp;LEN((LEFT(A210,SUM(LEN(A210)-LEN(SUBSTITUTE(A210,{"0","1","2","3"},"")))))))), 0), ROW(INDIRECT("1:"&amp;LEN((LEFT(A210,SUM(LEN(A210)-LEN(SUBSTITUTE(A210,{"0","1","2","3"},"")))))))))+1, 1) * 10^ROW(INDIRECT("1:"&amp;LEN((LEFT(A210,SUM(LEN(A210)-LEN(SUBSTITUTE(A210,{"0","1","2","3"},""))))))))/10))*100+1</f>
        <v>3701</v>
      </c>
      <c r="W211" s="41">
        <f ca="1">(SUMPRODUCT(MID(0&amp;(--TRIM(RIGHT(SUBSTITUTE(LEFT(A210,_xlfn.AGGREGATE(16,6,FIND({0,1,2,3,4,5,6,7,8,9},A210,ROW(INDIRECT("1:"&amp;LEN(A210)))),1)),"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",LEN(A210))),LEN(A210)))))))/10))*100+1</f>
        <v>3201</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3">
      <c r="A212" s="68" t="str">
        <f t="shared" ref="A212:A216" si="56">A211</f>
        <v>3rd, 7th, 12th, 17th, 22nd, 27th &amp; 32nd Floor (Part Refuge Area)</v>
      </c>
      <c r="B212" s="68"/>
      <c r="C212" s="69">
        <v>2</v>
      </c>
      <c r="D212" s="70"/>
      <c r="E212" s="19" t="s">
        <v>223</v>
      </c>
      <c r="F212" s="69">
        <f>(3.05*3.35+3.05*6.35+2.15*2.6+3.05*3.05+0.9*2.15+(1.4*2.55+1.375*2.3)+(0.75*(3.05+3.05+2.15+3.05)))*10.764</f>
        <v>663.27767999999992</v>
      </c>
      <c r="G212" s="70"/>
      <c r="H212" s="19">
        <v>0</v>
      </c>
      <c r="I212" s="19">
        <f t="shared" si="54"/>
        <v>1061.2442879999999</v>
      </c>
      <c r="J212" s="1"/>
      <c r="K212" s="1"/>
      <c r="L212" s="1"/>
      <c r="M212" s="1"/>
      <c r="N212" s="1"/>
      <c r="O212" s="1"/>
      <c r="P212" s="1"/>
      <c r="Q212" s="1"/>
      <c r="R212" s="1"/>
      <c r="S212" s="1"/>
      <c r="T212" s="1"/>
      <c r="U212" s="41" t="str">
        <f t="shared" ca="1" si="55"/>
        <v>3702,..,3202</v>
      </c>
      <c r="V212" s="41">
        <f ca="1">V211+1</f>
        <v>3702</v>
      </c>
      <c r="W212" s="41">
        <f ca="1">W211+1</f>
        <v>3202</v>
      </c>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3">
      <c r="A213" s="68" t="str">
        <f t="shared" si="56"/>
        <v>3rd, 7th, 12th, 17th, 22nd, 27th &amp; 32nd Floor (Part Refuge Area)</v>
      </c>
      <c r="B213" s="68"/>
      <c r="C213" s="69">
        <v>3</v>
      </c>
      <c r="D213" s="70"/>
      <c r="E213" s="19" t="s">
        <v>222</v>
      </c>
      <c r="F213" s="69">
        <f>(1.525*2.3+3.15*5.15+1.1*2.375+3.3*2.325+3.05*3.05+3.175*3.35+3.05*3.35+1.1*1.375+(1.375*2.3+2.3*1.375+1.375*2.3)+(0.75*(2.325+3.05+3.05+3.15)))*10.764</f>
        <v>859.53231000000005</v>
      </c>
      <c r="G213" s="70"/>
      <c r="H213" s="19">
        <v>0</v>
      </c>
      <c r="I213" s="19">
        <f t="shared" si="54"/>
        <v>1375.2516960000003</v>
      </c>
      <c r="J213" s="1"/>
      <c r="K213" s="1"/>
      <c r="L213" s="1"/>
      <c r="M213" s="1"/>
      <c r="N213" s="1"/>
      <c r="O213" s="1"/>
      <c r="P213" s="1"/>
      <c r="Q213" s="1"/>
      <c r="R213" s="1"/>
      <c r="S213" s="1"/>
      <c r="T213" s="1"/>
      <c r="U213" s="41" t="str">
        <f t="shared" ca="1" si="55"/>
        <v>3703,..,3203</v>
      </c>
      <c r="V213" s="41">
        <f t="shared" ref="V213:W213" ca="1" si="57">V212+1</f>
        <v>3703</v>
      </c>
      <c r="W213" s="41">
        <f t="shared" ca="1" si="57"/>
        <v>3203</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3">
      <c r="A214" s="68" t="str">
        <f t="shared" si="56"/>
        <v>3rd, 7th, 12th, 17th, 22nd, 27th &amp; 32nd Floor (Part Refuge Area)</v>
      </c>
      <c r="B214" s="68"/>
      <c r="C214" s="69">
        <v>4</v>
      </c>
      <c r="D214" s="70"/>
      <c r="E214" s="19" t="s">
        <v>223</v>
      </c>
      <c r="F214" s="160">
        <f>(2.3*1.125+2.15*3.35+3.05*4.625+1.405*1+3.05*3.35+3.05*3.05+0.6*3.05+((1.375*2.3)*2)+(0.75*(3.05+2.15)))*10.764</f>
        <v>612.21595499999989</v>
      </c>
      <c r="G214" s="161"/>
      <c r="H214" s="19">
        <v>0</v>
      </c>
      <c r="I214" s="19">
        <f t="shared" si="54"/>
        <v>979.54552799999988</v>
      </c>
      <c r="J214" s="1"/>
      <c r="K214" s="1"/>
      <c r="L214" s="1"/>
      <c r="M214" s="1"/>
      <c r="N214" s="1"/>
      <c r="O214" s="1"/>
      <c r="P214" s="1"/>
      <c r="Q214" s="1"/>
      <c r="R214" s="1"/>
      <c r="S214" s="1"/>
      <c r="T214" s="1"/>
      <c r="U214" s="41" t="str">
        <f t="shared" ca="1" si="55"/>
        <v>3704,..,3204</v>
      </c>
      <c r="V214" s="41">
        <f t="shared" ref="V214:W214" ca="1" si="58">V213+1</f>
        <v>3704</v>
      </c>
      <c r="W214" s="41">
        <f t="shared" ca="1" si="58"/>
        <v>3204</v>
      </c>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3">
      <c r="A215" s="68" t="str">
        <f t="shared" si="56"/>
        <v>3rd, 7th, 12th, 17th, 22nd, 27th &amp; 32nd Floor (Part Refuge Area)</v>
      </c>
      <c r="B215" s="68"/>
      <c r="C215" s="69">
        <v>5</v>
      </c>
      <c r="D215" s="70"/>
      <c r="E215" s="69" t="s">
        <v>226</v>
      </c>
      <c r="F215" s="163"/>
      <c r="G215" s="163"/>
      <c r="H215" s="163"/>
      <c r="I215" s="70"/>
      <c r="J215" s="1"/>
      <c r="K215" s="1"/>
      <c r="L215" s="1"/>
      <c r="M215" s="1"/>
      <c r="N215" s="1"/>
      <c r="O215" s="1"/>
      <c r="P215" s="1"/>
      <c r="Q215" s="1"/>
      <c r="R215" s="1"/>
      <c r="S215" s="1"/>
      <c r="T215" s="1"/>
      <c r="U215" s="41" t="str">
        <f t="shared" ca="1" si="55"/>
        <v>3705,..,3205</v>
      </c>
      <c r="V215" s="41">
        <f t="shared" ref="V215:W215" ca="1" si="59">V214+1</f>
        <v>3705</v>
      </c>
      <c r="W215" s="41">
        <f t="shared" ca="1" si="59"/>
        <v>3205</v>
      </c>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3">
      <c r="A216" s="68" t="str">
        <f t="shared" si="56"/>
        <v>3rd, 7th, 12th, 17th, 22nd, 27th &amp; 32nd Floor (Part Refuge Area)</v>
      </c>
      <c r="B216" s="68"/>
      <c r="C216" s="69">
        <v>6</v>
      </c>
      <c r="D216" s="70"/>
      <c r="E216" s="19" t="s">
        <v>223</v>
      </c>
      <c r="F216" s="160">
        <f>(2.3*1.125+2.15*3.35+3.05*4.625+1.405*1+3.05*3.35+3.05*3.05+0.6*1.4+((1.375*2.3)*2)+0.15*0.6+(0.75*(3.05+2.15+3.05)))*10.764</f>
        <v>627.15100499999994</v>
      </c>
      <c r="G216" s="161"/>
      <c r="H216" s="19">
        <v>0</v>
      </c>
      <c r="I216" s="19">
        <f t="shared" ref="I216" si="60">F216*(($I$130)+1)+H216</f>
        <v>1003.441608</v>
      </c>
      <c r="J216" s="1"/>
      <c r="K216" s="1"/>
      <c r="L216" s="1"/>
      <c r="M216" s="1"/>
      <c r="N216" s="1"/>
      <c r="O216" s="1"/>
      <c r="P216" s="1"/>
      <c r="Q216" s="1"/>
      <c r="R216" s="1"/>
      <c r="S216" s="1"/>
      <c r="T216" s="1"/>
      <c r="U216" s="41" t="str">
        <f t="shared" ca="1" si="55"/>
        <v>3706,..,3206</v>
      </c>
      <c r="V216" s="41">
        <f t="shared" ref="V216:W216" ca="1" si="61">V215+1</f>
        <v>3706</v>
      </c>
      <c r="W216" s="41">
        <f t="shared" ca="1" si="61"/>
        <v>3206</v>
      </c>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1" x14ac:dyDescent="0.3">
      <c r="A217" s="71" t="s">
        <v>227</v>
      </c>
      <c r="B217" s="72"/>
      <c r="C217" s="72"/>
      <c r="D217" s="72"/>
      <c r="E217" s="72"/>
      <c r="F217" s="72"/>
      <c r="G217" s="72"/>
      <c r="H217" s="72"/>
      <c r="I217" s="16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3">
      <c r="A218" s="68" t="str">
        <f>A217</f>
        <v>33rd to 36th &amp; 38th Floor</v>
      </c>
      <c r="B218" s="68"/>
      <c r="C218" s="69">
        <v>1</v>
      </c>
      <c r="D218" s="70"/>
      <c r="E218" s="19" t="s">
        <v>222</v>
      </c>
      <c r="F218" s="69">
        <f>(1.525*2.3+3.15*5.15+1.1*2.375+3.3*2.325+3.05*3.05+3.175*3.35+3.05*3.35+1.1*1.375+(1.375*2.3+2.3*1.375+1.375*2.3)+(0.75*(2.325+3.05+3.05+3.15)))*10.764</f>
        <v>859.53231000000005</v>
      </c>
      <c r="G218" s="70"/>
      <c r="H218" s="19">
        <v>0</v>
      </c>
      <c r="I218" s="19">
        <f t="shared" ref="I218:I223" si="62">F218*(($I$130)+1)+H218</f>
        <v>1375.2516960000003</v>
      </c>
      <c r="J218" s="1"/>
      <c r="K218" s="1"/>
      <c r="L218" s="1"/>
      <c r="M218" s="1"/>
      <c r="N218" s="1"/>
      <c r="O218" s="1"/>
      <c r="P218" s="1"/>
      <c r="Q218" s="1"/>
      <c r="R218" s="1"/>
      <c r="S218" s="1"/>
      <c r="T218" s="1"/>
      <c r="U218" s="41" t="str">
        <f t="shared" ref="U218:U223" ca="1" si="63">V218&amp;""&amp;",..,"&amp;""&amp;W218</f>
        <v>3301,..,3801</v>
      </c>
      <c r="V218" s="41">
        <f ca="1">(SUMPRODUCT(MID(0&amp;(LEFT(A217,SUM(LEN(A217)-LEN(SUBSTITUTE(A217,{"0","1","2","3"},""))))), LARGE(INDEX(ISNUMBER(--MID((LEFT(A217,SUM(LEN(A217)-LEN(SUBSTITUTE(A217,{"0","1","2","3"},""))))), ROW(INDIRECT("1:"&amp;LEN((LEFT(A217,SUM(LEN(A217)-LEN(SUBSTITUTE(A217,{"0","1","2","3"},"")))))))), 1)) * ROW(INDIRECT("1:"&amp;LEN((LEFT(A217,SUM(LEN(A217)-LEN(SUBSTITUTE(A217,{"0","1","2","3"},"")))))))), 0), ROW(INDIRECT("1:"&amp;LEN((LEFT(A217,SUM(LEN(A217)-LEN(SUBSTITUTE(A217,{"0","1","2","3"},"")))))))))+1, 1) * 10^ROW(INDIRECT("1:"&amp;LEN((LEFT(A217,SUM(LEN(A217)-LEN(SUBSTITUTE(A217,{"0","1","2","3"},""))))))))/10))*100+1</f>
        <v>3301</v>
      </c>
      <c r="W218" s="41">
        <f ca="1">(SUMPRODUCT(MID(0&amp;(--TRIM(RIGHT(SUBSTITUTE(LEFT(A217,_xlfn.AGGREGATE(16,6,FIND({0,1,2,3,4,5,6,7,8,9},A217,ROW(INDIRECT("1:"&amp;LEN(A217)))),1))," ",REPT(" ",LEN(A217))),LEN(A217)))), LARGE(INDEX(ISNUMBER(--MID((--TRIM(RIGHT(SUBSTITUTE(LEFT(A217,_xlfn.AGGREGATE(16,6,FIND({0,1,2,3,4,5,6,7,8,9},A217,ROW(INDIRECT("1:"&amp;LEN(A217)))),1))," ",REPT(" ",LEN(A217))),LEN(A217)))), ROW(INDIRECT("1:"&amp;LEN((--TRIM(RIGHT(SUBSTITUTE(LEFT(A217,_xlfn.AGGREGATE(16,6,FIND({0,1,2,3,4,5,6,7,8,9},A217,ROW(INDIRECT("1:"&amp;LEN(A217)))),1))," ",REPT(" ",LEN(A217))),LEN(A217))))))), 1)) * ROW(INDIRECT("1:"&amp;LEN((--TRIM(RIGHT(SUBSTITUTE(LEFT(A217,_xlfn.AGGREGATE(16,6,FIND({0,1,2,3,4,5,6,7,8,9},A217,ROW(INDIRECT("1:"&amp;LEN(A217)))),1))," ",REPT(" ",LEN(A217))),LEN(A217))))))), 0), ROW(INDIRECT("1:"&amp;LEN((--TRIM(RIGHT(SUBSTITUTE(LEFT(A217,_xlfn.AGGREGATE(16,6,FIND({0,1,2,3,4,5,6,7,8,9},A217,ROW(INDIRECT("1:"&amp;LEN(A217)))),1))," ",REPT(" ",LEN(A217))),LEN(A217))))))))+1, 1) * 10^ROW(INDIRECT("1:"&amp;LEN((--TRIM(RIGHT(SUBSTITUTE(LEFT(A217,_xlfn.AGGREGATE(16,6,FIND({0,1,2,3,4,5,6,7,8,9},A217,ROW(INDIRECT("1:"&amp;LEN(A217)))),1))," ",REPT(" ",LEN(A217))),LEN(A217)))))))/10))*100+1</f>
        <v>3801</v>
      </c>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3">
      <c r="A219" s="68" t="str">
        <f t="shared" ref="A219:A223" si="64">A218</f>
        <v>33rd to 36th &amp; 38th Floor</v>
      </c>
      <c r="B219" s="68"/>
      <c r="C219" s="69">
        <v>2</v>
      </c>
      <c r="D219" s="70"/>
      <c r="E219" s="19" t="s">
        <v>223</v>
      </c>
      <c r="F219" s="69">
        <f>(3.05*3.35+3.05*6.35+2.15*2.6+3.05*3.05+0.9*2.15+(1.4*2.55+1.375*2.3)+(0.75*(3.05+3.05+2.15+3.05)))*10.764</f>
        <v>663.27767999999992</v>
      </c>
      <c r="G219" s="70"/>
      <c r="H219" s="19">
        <v>0</v>
      </c>
      <c r="I219" s="19">
        <f t="shared" si="62"/>
        <v>1061.2442879999999</v>
      </c>
      <c r="J219" s="1"/>
      <c r="K219" s="1"/>
      <c r="L219" s="1"/>
      <c r="M219" s="1"/>
      <c r="N219" s="1"/>
      <c r="O219" s="1"/>
      <c r="P219" s="1"/>
      <c r="Q219" s="1"/>
      <c r="R219" s="1"/>
      <c r="S219" s="1"/>
      <c r="T219" s="1"/>
      <c r="U219" s="41" t="str">
        <f t="shared" ca="1" si="63"/>
        <v>3302,..,3802</v>
      </c>
      <c r="V219" s="41">
        <f ca="1">V218+1</f>
        <v>3302</v>
      </c>
      <c r="W219" s="41">
        <f ca="1">W218+1</f>
        <v>3802</v>
      </c>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3">
      <c r="A220" s="68" t="str">
        <f t="shared" si="64"/>
        <v>33rd to 36th &amp; 38th Floor</v>
      </c>
      <c r="B220" s="68"/>
      <c r="C220" s="69">
        <v>3</v>
      </c>
      <c r="D220" s="70"/>
      <c r="E220" s="19" t="s">
        <v>222</v>
      </c>
      <c r="F220" s="69">
        <f>(1.525*2.3+3.15*5.15+1.1*2.375+3.3*2.325+3.05*3.05+3.175*3.35+3.05*3.35+1.1*1.375+(1.375*2.3+2.3*1.375+1.375*2.3)+(0.75*(2.325+3.05+3.05+3.15)))*10.764</f>
        <v>859.53231000000005</v>
      </c>
      <c r="G220" s="70"/>
      <c r="H220" s="19">
        <v>0</v>
      </c>
      <c r="I220" s="19">
        <f t="shared" si="62"/>
        <v>1375.2516960000003</v>
      </c>
      <c r="J220" s="1"/>
      <c r="K220" s="1"/>
      <c r="L220" s="1"/>
      <c r="M220" s="1"/>
      <c r="N220" s="1"/>
      <c r="O220" s="1"/>
      <c r="P220" s="1"/>
      <c r="Q220" s="1"/>
      <c r="R220" s="1"/>
      <c r="S220" s="1"/>
      <c r="T220" s="1"/>
      <c r="U220" s="41" t="str">
        <f t="shared" ca="1" si="63"/>
        <v>3303,..,3803</v>
      </c>
      <c r="V220" s="41">
        <f t="shared" ref="V220:W220" ca="1" si="65">V219+1</f>
        <v>3303</v>
      </c>
      <c r="W220" s="41">
        <f t="shared" ca="1" si="65"/>
        <v>3803</v>
      </c>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3">
      <c r="A221" s="68" t="str">
        <f t="shared" si="64"/>
        <v>33rd to 36th &amp; 38th Floor</v>
      </c>
      <c r="B221" s="68"/>
      <c r="C221" s="69">
        <v>4</v>
      </c>
      <c r="D221" s="70"/>
      <c r="E221" s="19" t="s">
        <v>223</v>
      </c>
      <c r="F221" s="160">
        <f>(2.3*1.125+2.15*3.35+3.05*4.625+1.405*1+3.05*3.35+3.05*3.05+0.6*3.05+((1.375*2.3)*2)+(0.75*(3.05+2.15)))*10.764</f>
        <v>612.21595499999989</v>
      </c>
      <c r="G221" s="161"/>
      <c r="H221" s="19">
        <v>0</v>
      </c>
      <c r="I221" s="19">
        <f t="shared" si="62"/>
        <v>979.54552799999988</v>
      </c>
      <c r="J221" s="1"/>
      <c r="K221" s="1"/>
      <c r="L221" s="1"/>
      <c r="M221" s="1"/>
      <c r="N221" s="1"/>
      <c r="O221" s="1"/>
      <c r="P221" s="1"/>
      <c r="Q221" s="1"/>
      <c r="R221" s="1"/>
      <c r="S221" s="1"/>
      <c r="T221" s="1"/>
      <c r="U221" s="41" t="str">
        <f t="shared" ca="1" si="63"/>
        <v>3304,..,3804</v>
      </c>
      <c r="V221" s="41">
        <f t="shared" ref="V221:W221" ca="1" si="66">V220+1</f>
        <v>3304</v>
      </c>
      <c r="W221" s="41">
        <f t="shared" ca="1" si="66"/>
        <v>3804</v>
      </c>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3">
      <c r="A222" s="68" t="str">
        <f t="shared" si="64"/>
        <v>33rd to 36th &amp; 38th Floor</v>
      </c>
      <c r="B222" s="68"/>
      <c r="C222" s="69">
        <v>5</v>
      </c>
      <c r="D222" s="70"/>
      <c r="E222" s="19" t="s">
        <v>222</v>
      </c>
      <c r="F222" s="160">
        <f>(2.3*3+3.05*3.65+2.3*2.65+2.9*3.25+2.45*2.6+2.9*3.25+1*2.3+1*2.45+(2*(2.3*1.525))+(0.75*(2.45+3.05+2.3)))*10.764</f>
        <v>720.7843499999999</v>
      </c>
      <c r="G222" s="161"/>
      <c r="H222" s="19">
        <v>0</v>
      </c>
      <c r="I222" s="19">
        <f t="shared" si="62"/>
        <v>1153.25496</v>
      </c>
      <c r="J222" s="1"/>
      <c r="K222" s="1"/>
      <c r="L222" s="1"/>
      <c r="M222" s="1"/>
      <c r="N222" s="1"/>
      <c r="O222" s="1"/>
      <c r="P222" s="1"/>
      <c r="Q222" s="1"/>
      <c r="R222" s="1"/>
      <c r="S222" s="1"/>
      <c r="T222" s="1"/>
      <c r="U222" s="41" t="str">
        <f t="shared" ca="1" si="63"/>
        <v>3305,..,3805</v>
      </c>
      <c r="V222" s="41">
        <f t="shared" ref="V222:W222" ca="1" si="67">V221+1</f>
        <v>3305</v>
      </c>
      <c r="W222" s="41">
        <f t="shared" ca="1" si="67"/>
        <v>3805</v>
      </c>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3">
      <c r="A223" s="68" t="str">
        <f t="shared" si="64"/>
        <v>33rd to 36th &amp; 38th Floor</v>
      </c>
      <c r="B223" s="68"/>
      <c r="C223" s="69">
        <v>6</v>
      </c>
      <c r="D223" s="70"/>
      <c r="E223" s="19" t="s">
        <v>223</v>
      </c>
      <c r="F223" s="69">
        <f>(2.3*1.125+2.15*3.35+3.05*4.625+1.405*1+3.05*3.35+3.05*3.05+0.6*1.4+((1.375*2.3)*2)+0.15*0.6+(0.75*(3.05+2.15+3.05)))*10.764</f>
        <v>627.15100499999994</v>
      </c>
      <c r="G223" s="70"/>
      <c r="H223" s="19">
        <v>0</v>
      </c>
      <c r="I223" s="19">
        <f t="shared" si="62"/>
        <v>1003.441608</v>
      </c>
      <c r="J223" s="1"/>
      <c r="K223" s="1"/>
      <c r="L223" s="1"/>
      <c r="M223" s="1"/>
      <c r="N223" s="1"/>
      <c r="O223" s="1"/>
      <c r="P223" s="1"/>
      <c r="Q223" s="1"/>
      <c r="R223" s="1"/>
      <c r="S223" s="1"/>
      <c r="T223" s="1"/>
      <c r="U223" s="41" t="str">
        <f t="shared" ca="1" si="63"/>
        <v>3306,..,3806</v>
      </c>
      <c r="V223" s="41">
        <f t="shared" ref="V223:W223" ca="1" si="68">V222+1</f>
        <v>3306</v>
      </c>
      <c r="W223" s="41">
        <f t="shared" ca="1" si="68"/>
        <v>3806</v>
      </c>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1" x14ac:dyDescent="0.3">
      <c r="A224" s="71" t="s">
        <v>228</v>
      </c>
      <c r="B224" s="72"/>
      <c r="C224" s="72"/>
      <c r="D224" s="72"/>
      <c r="E224" s="72"/>
      <c r="F224" s="72"/>
      <c r="G224" s="72"/>
      <c r="H224" s="72"/>
      <c r="I224" s="16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customHeight="1" x14ac:dyDescent="0.3">
      <c r="A225" s="68" t="str">
        <f>A224</f>
        <v>37th Floor (Part Refuge Area)</v>
      </c>
      <c r="B225" s="68"/>
      <c r="C225" s="69">
        <v>1</v>
      </c>
      <c r="D225" s="70"/>
      <c r="E225" s="19" t="s">
        <v>222</v>
      </c>
      <c r="F225" s="69">
        <f>(1.525*2.3+3.15*5.15+1.1*2.375+3.3*2.325+3.05*3.05+3.175*3.35+3.05*3.35+1.1*1.375+(1.375*2.3+2.3*1.375+1.375*2.3)+(0.75*(2.325+3.05+3.05+3.15)))*10.764</f>
        <v>859.53231000000005</v>
      </c>
      <c r="G225" s="70"/>
      <c r="H225" s="19">
        <v>0</v>
      </c>
      <c r="I225" s="19">
        <f t="shared" ref="I225:I228" si="69">F225*(($I$130)+1)+H225</f>
        <v>1375.2516960000003</v>
      </c>
      <c r="J225" s="1"/>
      <c r="K225" s="1"/>
      <c r="L225" s="1"/>
      <c r="M225" s="1"/>
      <c r="N225" s="1"/>
      <c r="O225" s="1"/>
      <c r="P225" s="1"/>
      <c r="Q225" s="1"/>
      <c r="R225" s="1"/>
      <c r="S225" s="1"/>
      <c r="T225" s="1"/>
      <c r="U225" s="41" t="str">
        <f t="shared" ref="U225:U230" ca="1" si="70">V225&amp;""&amp;",..,"&amp;""&amp;W225</f>
        <v>301,..,3701</v>
      </c>
      <c r="V225" s="41">
        <f ca="1">(SUMPRODUCT(MID(0&amp;(LEFT(A224,SUM(LEN(A224)-LEN(SUBSTITUTE(A224,{"0","1","2","3"},""))))), LARGE(INDEX(ISNUMBER(--MID((LEFT(A224,SUM(LEN(A224)-LEN(SUBSTITUTE(A224,{"0","1","2","3"},""))))), ROW(INDIRECT("1:"&amp;LEN((LEFT(A224,SUM(LEN(A224)-LEN(SUBSTITUTE(A224,{"0","1","2","3"},"")))))))), 1)) * ROW(INDIRECT("1:"&amp;LEN((LEFT(A224,SUM(LEN(A224)-LEN(SUBSTITUTE(A224,{"0","1","2","3"},"")))))))), 0), ROW(INDIRECT("1:"&amp;LEN((LEFT(A224,SUM(LEN(A224)-LEN(SUBSTITUTE(A224,{"0","1","2","3"},"")))))))))+1, 1) * 10^ROW(INDIRECT("1:"&amp;LEN((LEFT(A224,SUM(LEN(A224)-LEN(SUBSTITUTE(A224,{"0","1","2","3"},""))))))))/10))*100+1</f>
        <v>301</v>
      </c>
      <c r="W225" s="41">
        <f ca="1">(SUMPRODUCT(MID(0&amp;(--TRIM(RIGHT(SUBSTITUTE(LEFT(A224,_xlfn.AGGREGATE(16,6,FIND({0,1,2,3,4,5,6,7,8,9},A224,ROW(INDIRECT("1:"&amp;LEN(A224)))),1))," ",REPT(" ",LEN(A224))),LEN(A224)))), LARGE(INDEX(ISNUMBER(--MID((--TRIM(RIGHT(SUBSTITUTE(LEFT(A224,_xlfn.AGGREGATE(16,6,FIND({0,1,2,3,4,5,6,7,8,9},A224,ROW(INDIRECT("1:"&amp;LEN(A224)))),1))," ",REPT(" ",LEN(A224))),LEN(A224)))), ROW(INDIRECT("1:"&amp;LEN((--TRIM(RIGHT(SUBSTITUTE(LEFT(A224,_xlfn.AGGREGATE(16,6,FIND({0,1,2,3,4,5,6,7,8,9},A224,ROW(INDIRECT("1:"&amp;LEN(A224)))),1))," ",REPT(" ",LEN(A224))),LEN(A224))))))), 1)) * ROW(INDIRECT("1:"&amp;LEN((--TRIM(RIGHT(SUBSTITUTE(LEFT(A224,_xlfn.AGGREGATE(16,6,FIND({0,1,2,3,4,5,6,7,8,9},A224,ROW(INDIRECT("1:"&amp;LEN(A224)))),1))," ",REPT(" ",LEN(A224))),LEN(A224))))))), 0), ROW(INDIRECT("1:"&amp;LEN((--TRIM(RIGHT(SUBSTITUTE(LEFT(A224,_xlfn.AGGREGATE(16,6,FIND({0,1,2,3,4,5,6,7,8,9},A224,ROW(INDIRECT("1:"&amp;LEN(A224)))),1))," ",REPT(" ",LEN(A224))),LEN(A224))))))))+1, 1) * 10^ROW(INDIRECT("1:"&amp;LEN((--TRIM(RIGHT(SUBSTITUTE(LEFT(A224,_xlfn.AGGREGATE(16,6,FIND({0,1,2,3,4,5,6,7,8,9},A224,ROW(INDIRECT("1:"&amp;LEN(A224)))),1))," ",REPT(" ",LEN(A224))),LEN(A224)))))))/10))*100+1</f>
        <v>3701</v>
      </c>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customHeight="1" x14ac:dyDescent="0.3">
      <c r="A226" s="68" t="str">
        <f t="shared" ref="A226:A230" si="71">A225</f>
        <v>37th Floor (Part Refuge Area)</v>
      </c>
      <c r="B226" s="68"/>
      <c r="C226" s="69">
        <v>2</v>
      </c>
      <c r="D226" s="70"/>
      <c r="E226" s="19" t="s">
        <v>223</v>
      </c>
      <c r="F226" s="69">
        <f>(3.05*3.35+3.05*6.35+2.15*2.6+3.05*3.05+0.9*2.15+(1.4*2.55+1.375*2.3)+(0.75*(3.05+3.05+2.15+3.05)))*10.764</f>
        <v>663.27767999999992</v>
      </c>
      <c r="G226" s="70"/>
      <c r="H226" s="19">
        <v>0</v>
      </c>
      <c r="I226" s="19">
        <f t="shared" si="69"/>
        <v>1061.2442879999999</v>
      </c>
      <c r="J226" s="1"/>
      <c r="K226" s="1"/>
      <c r="L226" s="1"/>
      <c r="M226" s="1"/>
      <c r="N226" s="1"/>
      <c r="O226" s="1"/>
      <c r="P226" s="1"/>
      <c r="Q226" s="1"/>
      <c r="R226" s="1"/>
      <c r="S226" s="1"/>
      <c r="T226" s="1"/>
      <c r="U226" s="41" t="str">
        <f t="shared" ca="1" si="70"/>
        <v>302,..,3702</v>
      </c>
      <c r="V226" s="41">
        <f ca="1">V225+1</f>
        <v>302</v>
      </c>
      <c r="W226" s="41">
        <f ca="1">W225+1</f>
        <v>3702</v>
      </c>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3">
      <c r="A227" s="68" t="str">
        <f t="shared" si="71"/>
        <v>37th Floor (Part Refuge Area)</v>
      </c>
      <c r="B227" s="68"/>
      <c r="C227" s="69">
        <v>3</v>
      </c>
      <c r="D227" s="70"/>
      <c r="E227" s="19" t="s">
        <v>222</v>
      </c>
      <c r="F227" s="69">
        <f>(1.525*2.3+3.15*5.15+1.1*2.375+3.3*2.325+3.05*3.05+3.175*3.35+3.05*3.35+1.1*1.375+(1.375*2.3+2.3*1.375+1.375*2.3)+(0.75*(2.325+3.05+3.05+3.15)))*10.764</f>
        <v>859.53231000000005</v>
      </c>
      <c r="G227" s="70"/>
      <c r="H227" s="19">
        <v>0</v>
      </c>
      <c r="I227" s="19">
        <f t="shared" si="69"/>
        <v>1375.2516960000003</v>
      </c>
      <c r="J227" s="1"/>
      <c r="K227" s="1"/>
      <c r="L227" s="1"/>
      <c r="M227" s="1"/>
      <c r="N227" s="1"/>
      <c r="O227" s="1"/>
      <c r="P227" s="1"/>
      <c r="Q227" s="1"/>
      <c r="R227" s="1"/>
      <c r="S227" s="1"/>
      <c r="T227" s="1"/>
      <c r="U227" s="41" t="str">
        <f t="shared" ca="1" si="70"/>
        <v>303,..,3703</v>
      </c>
      <c r="V227" s="41">
        <f t="shared" ref="V227:W227" ca="1" si="72">V226+1</f>
        <v>303</v>
      </c>
      <c r="W227" s="41">
        <f t="shared" ca="1" si="72"/>
        <v>3703</v>
      </c>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customHeight="1" x14ac:dyDescent="0.3">
      <c r="A228" s="68" t="str">
        <f t="shared" si="71"/>
        <v>37th Floor (Part Refuge Area)</v>
      </c>
      <c r="B228" s="68"/>
      <c r="C228" s="69">
        <v>4</v>
      </c>
      <c r="D228" s="70"/>
      <c r="E228" s="19" t="s">
        <v>223</v>
      </c>
      <c r="F228" s="160">
        <f>(2.3*1.125+2.15*3.35+3.05*4.625+1.405*1+3.05*3.35+3.05*3.05+0.6*3.05+((1.375*2.3)*2)+(0.75*(3.05+2.15)))*10.764</f>
        <v>612.21595499999989</v>
      </c>
      <c r="G228" s="161"/>
      <c r="H228" s="19">
        <v>0</v>
      </c>
      <c r="I228" s="19">
        <f t="shared" si="69"/>
        <v>979.54552799999988</v>
      </c>
      <c r="J228" s="1"/>
      <c r="K228" s="1"/>
      <c r="L228" s="1"/>
      <c r="M228" s="1"/>
      <c r="N228" s="1"/>
      <c r="O228" s="1"/>
      <c r="P228" s="1"/>
      <c r="Q228" s="1"/>
      <c r="R228" s="1"/>
      <c r="S228" s="1"/>
      <c r="T228" s="1"/>
      <c r="U228" s="41" t="str">
        <f t="shared" ca="1" si="70"/>
        <v>304,..,3704</v>
      </c>
      <c r="V228" s="41">
        <f t="shared" ref="V228:W228" ca="1" si="73">V227+1</f>
        <v>304</v>
      </c>
      <c r="W228" s="41">
        <f t="shared" ca="1" si="73"/>
        <v>3704</v>
      </c>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3">
      <c r="A229" s="68" t="str">
        <f t="shared" si="71"/>
        <v>37th Floor (Part Refuge Area)</v>
      </c>
      <c r="B229" s="68"/>
      <c r="C229" s="69">
        <v>5</v>
      </c>
      <c r="D229" s="70"/>
      <c r="E229" s="69" t="s">
        <v>226</v>
      </c>
      <c r="F229" s="163"/>
      <c r="G229" s="163"/>
      <c r="H229" s="163"/>
      <c r="I229" s="70"/>
      <c r="J229" s="1"/>
      <c r="K229" s="1"/>
      <c r="L229" s="1"/>
      <c r="M229" s="1"/>
      <c r="N229" s="1"/>
      <c r="O229" s="1"/>
      <c r="P229" s="1"/>
      <c r="Q229" s="1"/>
      <c r="R229" s="1"/>
      <c r="S229" s="1"/>
      <c r="T229" s="1"/>
      <c r="U229" s="41" t="str">
        <f t="shared" ca="1" si="70"/>
        <v>305,..,3705</v>
      </c>
      <c r="V229" s="41">
        <f t="shared" ref="V229:W229" ca="1" si="74">V228+1</f>
        <v>305</v>
      </c>
      <c r="W229" s="41">
        <f t="shared" ca="1" si="74"/>
        <v>3705</v>
      </c>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3">
      <c r="A230" s="68" t="str">
        <f t="shared" si="71"/>
        <v>37th Floor (Part Refuge Area)</v>
      </c>
      <c r="B230" s="68"/>
      <c r="C230" s="69">
        <v>6</v>
      </c>
      <c r="D230" s="70"/>
      <c r="E230" s="19" t="s">
        <v>223</v>
      </c>
      <c r="F230" s="69">
        <f>(2.3*1.125+2.15*3.35+3.05*4.625+1.405*1+3.05*3.35+3.05*3.05+0.6*1.4+((1.375*2.3)*2)+0.15*0.6+(0.75*(3.05+2.15+3.05)))*10.764</f>
        <v>627.15100499999994</v>
      </c>
      <c r="G230" s="70"/>
      <c r="H230" s="19">
        <v>0</v>
      </c>
      <c r="I230" s="19">
        <f t="shared" ref="I230" si="75">F230*(($I$130)+1)+H230</f>
        <v>1003.441608</v>
      </c>
      <c r="J230" s="1"/>
      <c r="K230" s="1"/>
      <c r="L230" s="1"/>
      <c r="M230" s="1"/>
      <c r="N230" s="1"/>
      <c r="O230" s="1"/>
      <c r="P230" s="1"/>
      <c r="Q230" s="1"/>
      <c r="R230" s="1"/>
      <c r="S230" s="1"/>
      <c r="T230" s="1"/>
      <c r="U230" s="41" t="str">
        <f t="shared" ca="1" si="70"/>
        <v>306,..,3706</v>
      </c>
      <c r="V230" s="41">
        <f t="shared" ref="V230:W230" ca="1" si="76">V229+1</f>
        <v>306</v>
      </c>
      <c r="W230" s="41">
        <f t="shared" ca="1" si="76"/>
        <v>3706</v>
      </c>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1" x14ac:dyDescent="0.3">
      <c r="A231" s="71" t="s">
        <v>199</v>
      </c>
      <c r="B231" s="72"/>
      <c r="C231" s="72"/>
      <c r="D231" s="72"/>
      <c r="E231" s="72"/>
      <c r="F231" s="72"/>
      <c r="G231" s="72"/>
      <c r="H231" s="72"/>
      <c r="I231" s="73"/>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1" x14ac:dyDescent="0.3">
      <c r="A232" s="71" t="s">
        <v>234</v>
      </c>
      <c r="B232" s="72"/>
      <c r="C232" s="72"/>
      <c r="D232" s="72"/>
      <c r="E232" s="72"/>
      <c r="F232" s="72"/>
      <c r="G232" s="72"/>
      <c r="H232" s="72"/>
      <c r="I232" s="73"/>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1" x14ac:dyDescent="0.3">
      <c r="A233" s="71" t="s">
        <v>235</v>
      </c>
      <c r="B233" s="72"/>
      <c r="C233" s="72"/>
      <c r="D233" s="72"/>
      <c r="E233" s="72"/>
      <c r="F233" s="72"/>
      <c r="G233" s="72"/>
      <c r="H233" s="72"/>
      <c r="I233" s="73"/>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1" x14ac:dyDescent="0.3">
      <c r="A234" s="71" t="s">
        <v>221</v>
      </c>
      <c r="B234" s="72"/>
      <c r="C234" s="72"/>
      <c r="D234" s="72"/>
      <c r="E234" s="72"/>
      <c r="F234" s="72"/>
      <c r="G234" s="72"/>
      <c r="H234" s="72"/>
      <c r="I234" s="73"/>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1" x14ac:dyDescent="0.3">
      <c r="A235" s="71" t="s">
        <v>238</v>
      </c>
      <c r="B235" s="72"/>
      <c r="C235" s="72"/>
      <c r="D235" s="72"/>
      <c r="E235" s="72"/>
      <c r="F235" s="72"/>
      <c r="G235" s="72"/>
      <c r="H235" s="72"/>
      <c r="I235" s="16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3">
      <c r="A236" s="167" t="str">
        <f>A235</f>
        <v>Stilt Floor For Entrance lobby &amp; Residential</v>
      </c>
      <c r="B236" s="167"/>
      <c r="C236" s="160">
        <v>1</v>
      </c>
      <c r="D236" s="161"/>
      <c r="E236" s="51" t="s">
        <v>222</v>
      </c>
      <c r="F236" s="160">
        <f>(1.525*2.3+3.15*5.15+1.1*2.375+3.3*2.325+3.05*3.05+3.175*3.35+3.05*3.35+1.1*1.375+(1.375*2.3+2.3*1.375+1.375*2.3)+(0.75*(2.325+3.05+3.05+3.15)))*10.764</f>
        <v>859.53231000000005</v>
      </c>
      <c r="G236" s="161"/>
      <c r="H236" s="51">
        <v>0</v>
      </c>
      <c r="I236" s="51">
        <f t="shared" ref="I236:I238" si="77">F236*(($I$130)+1)+H236</f>
        <v>1375.2516960000003</v>
      </c>
      <c r="J236" s="1"/>
      <c r="K236" s="1"/>
      <c r="L236" s="1"/>
      <c r="M236" s="1"/>
      <c r="N236" s="1"/>
      <c r="O236" s="1"/>
      <c r="P236" s="1"/>
      <c r="Q236" s="1"/>
      <c r="R236" s="1"/>
      <c r="S236" s="1"/>
      <c r="T236" s="1"/>
      <c r="U236" s="41" t="e">
        <f t="shared" ref="U236:U238" ca="1" si="78">V236&amp;""&amp;",..,"&amp;""&amp;W236</f>
        <v>#REF!</v>
      </c>
      <c r="V236" s="41" t="e">
        <f ca="1">(SUMPRODUCT(MID(0&amp;(LEFT(A235,SUM(LEN(A235)-LEN(SUBSTITUTE(A235,{"0","1","2","3"},""))))), LARGE(INDEX(ISNUMBER(--MID((LEFT(A235,SUM(LEN(A235)-LEN(SUBSTITUTE(A235,{"0","1","2","3"},""))))), ROW(INDIRECT("1:"&amp;LEN((LEFT(A235,SUM(LEN(A235)-LEN(SUBSTITUTE(A235,{"0","1","2","3"},"")))))))), 1)) * ROW(INDIRECT("1:"&amp;LEN((LEFT(A235,SUM(LEN(A235)-LEN(SUBSTITUTE(A235,{"0","1","2","3"},"")))))))), 0), ROW(INDIRECT("1:"&amp;LEN((LEFT(A235,SUM(LEN(A235)-LEN(SUBSTITUTE(A235,{"0","1","2","3"},"")))))))))+1, 1) * 10^ROW(INDIRECT("1:"&amp;LEN((LEFT(A235,SUM(LEN(A235)-LEN(SUBSTITUTE(A235,{"0","1","2","3"},""))))))))/10))*100+1</f>
        <v>#REF!</v>
      </c>
      <c r="W236" s="41" t="e">
        <f ca="1">(SUMPRODUCT(MID(0&amp;(--TRIM(RIGHT(SUBSTITUTE(LEFT(A235,_xlfn.AGGREGATE(16,6,FIND({0,1,2,3,4,5,6,7,8,9},A235,ROW(INDIRECT("1:"&amp;LEN(A235)))),1))," ",REPT(" ",LEN(A235))),LEN(A235)))), LARGE(INDEX(ISNUMBER(--MID((--TRIM(RIGHT(SUBSTITUTE(LEFT(A235,_xlfn.AGGREGATE(16,6,FIND({0,1,2,3,4,5,6,7,8,9},A235,ROW(INDIRECT("1:"&amp;LEN(A235)))),1))," ",REPT(" ",LEN(A235))),LEN(A235)))), ROW(INDIRECT("1:"&amp;LEN((--TRIM(RIGHT(SUBSTITUTE(LEFT(A235,_xlfn.AGGREGATE(16,6,FIND({0,1,2,3,4,5,6,7,8,9},A235,ROW(INDIRECT("1:"&amp;LEN(A235)))),1))," ",REPT(" ",LEN(A235))),LEN(A235))))))), 1)) * ROW(INDIRECT("1:"&amp;LEN((--TRIM(RIGHT(SUBSTITUTE(LEFT(A235,_xlfn.AGGREGATE(16,6,FIND({0,1,2,3,4,5,6,7,8,9},A235,ROW(INDIRECT("1:"&amp;LEN(A235)))),1))," ",REPT(" ",LEN(A235))),LEN(A235))))))), 0), ROW(INDIRECT("1:"&amp;LEN((--TRIM(RIGHT(SUBSTITUTE(LEFT(A235,_xlfn.AGGREGATE(16,6,FIND({0,1,2,3,4,5,6,7,8,9},A235,ROW(INDIRECT("1:"&amp;LEN(A235)))),1))," ",REPT(" ",LEN(A235))),LEN(A235))))))))+1, 1) * 10^ROW(INDIRECT("1:"&amp;LEN((--TRIM(RIGHT(SUBSTITUTE(LEFT(A235,_xlfn.AGGREGATE(16,6,FIND({0,1,2,3,4,5,6,7,8,9},A235,ROW(INDIRECT("1:"&amp;LEN(A235)))),1))," ",REPT(" ",LEN(A235))),LEN(A235)))))))/10))*100+1</f>
        <v>#NUM!</v>
      </c>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3">
      <c r="A237" s="167" t="str">
        <f t="shared" ref="A237:A238" si="79">A236</f>
        <v>Stilt Floor For Entrance lobby &amp; Residential</v>
      </c>
      <c r="B237" s="167"/>
      <c r="C237" s="160">
        <v>2</v>
      </c>
      <c r="D237" s="161"/>
      <c r="E237" s="51" t="s">
        <v>223</v>
      </c>
      <c r="F237" s="160">
        <f>(3.05*3.35+3.05*6.35+2.15*2.6+3.05*3.05+0.9*2.15+(1.4*2.55+1.375*2.3)+(0.75*(3.05+3.05+2.15+3.05)))*10.764</f>
        <v>663.27767999999992</v>
      </c>
      <c r="G237" s="161"/>
      <c r="H237" s="51">
        <v>0</v>
      </c>
      <c r="I237" s="51">
        <f t="shared" si="77"/>
        <v>1061.2442879999999</v>
      </c>
      <c r="J237" s="1"/>
      <c r="K237" s="1"/>
      <c r="L237" s="1"/>
      <c r="M237" s="1"/>
      <c r="N237" s="1"/>
      <c r="O237" s="1"/>
      <c r="P237" s="1"/>
      <c r="Q237" s="1"/>
      <c r="R237" s="1"/>
      <c r="S237" s="1"/>
      <c r="T237" s="1"/>
      <c r="U237" s="41" t="e">
        <f t="shared" ca="1" si="78"/>
        <v>#REF!</v>
      </c>
      <c r="V237" s="41" t="e">
        <f ca="1">V236+1</f>
        <v>#REF!</v>
      </c>
      <c r="W237" s="41" t="e">
        <f ca="1">W236+1</f>
        <v>#NUM!</v>
      </c>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3">
      <c r="A238" s="167" t="str">
        <f t="shared" si="79"/>
        <v>Stilt Floor For Entrance lobby &amp; Residential</v>
      </c>
      <c r="B238" s="167"/>
      <c r="C238" s="160">
        <v>3</v>
      </c>
      <c r="D238" s="161"/>
      <c r="E238" s="51" t="s">
        <v>222</v>
      </c>
      <c r="F238" s="160">
        <f>(1.525*2.3+3.15*5.15+1.1*2.375+3.3*2.325+3.05*3.05+3.175*3.35+3.05*3.35+1.1*1.375+(1.375*2.3+2.3*1.375+1.375*2.3)+(0.75*(2.325+3.05+3.05+3.15)))*10.764</f>
        <v>859.53231000000005</v>
      </c>
      <c r="G238" s="161"/>
      <c r="H238" s="51">
        <v>0</v>
      </c>
      <c r="I238" s="51">
        <f t="shared" si="77"/>
        <v>1375.2516960000003</v>
      </c>
      <c r="J238" s="1"/>
      <c r="K238" s="1"/>
      <c r="L238" s="1"/>
      <c r="M238" s="1"/>
      <c r="N238" s="1"/>
      <c r="O238" s="1"/>
      <c r="P238" s="1"/>
      <c r="Q238" s="1"/>
      <c r="R238" s="1"/>
      <c r="S238" s="1"/>
      <c r="T238" s="1"/>
      <c r="U238" s="41" t="e">
        <f t="shared" ca="1" si="78"/>
        <v>#REF!</v>
      </c>
      <c r="V238" s="41" t="e">
        <f t="shared" ref="V238:W238" ca="1" si="80">V237+1</f>
        <v>#REF!</v>
      </c>
      <c r="W238" s="41" t="e">
        <f t="shared" ca="1" si="80"/>
        <v>#NUM!</v>
      </c>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1" x14ac:dyDescent="0.3">
      <c r="A239" s="164" t="s">
        <v>239</v>
      </c>
      <c r="B239" s="165"/>
      <c r="C239" s="165"/>
      <c r="D239" s="165"/>
      <c r="E239" s="165"/>
      <c r="F239" s="165"/>
      <c r="G239" s="165"/>
      <c r="H239" s="165"/>
      <c r="I239" s="166"/>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3">
      <c r="A240" s="167" t="str">
        <f>A239</f>
        <v xml:space="preserve">1st Floor </v>
      </c>
      <c r="B240" s="167"/>
      <c r="C240" s="160">
        <v>1</v>
      </c>
      <c r="D240" s="161"/>
      <c r="E240" s="51" t="s">
        <v>222</v>
      </c>
      <c r="F240" s="160">
        <f>(1.525*2.3+3.15*5.15+1.1*2.375+3.3*2.325+3.05*3.05+3.175*3.35+3.05*3.35+1.1*1.375+(1.375*2.3+2.3*1.375+1.375*2.3)+(0.75*(2.325+3.05+3.05+3.15)))*10.764</f>
        <v>859.53231000000005</v>
      </c>
      <c r="G240" s="161"/>
      <c r="H240" s="51">
        <v>0</v>
      </c>
      <c r="I240" s="51">
        <f t="shared" ref="I240:I242" si="81">F240*(($I$130)+1)+H240</f>
        <v>1375.2516960000003</v>
      </c>
      <c r="J240" s="1"/>
      <c r="K240" s="1"/>
      <c r="L240" s="1"/>
      <c r="M240" s="1"/>
      <c r="N240" s="1"/>
      <c r="O240" s="1"/>
      <c r="P240" s="1"/>
      <c r="Q240" s="1"/>
      <c r="R240" s="1"/>
      <c r="S240" s="1"/>
      <c r="T240" s="1"/>
      <c r="U240" s="41" t="str">
        <f t="shared" ref="U240:U242" ca="1" si="82">V240&amp;""&amp;",..,"&amp;""&amp;W240</f>
        <v>101,..,101</v>
      </c>
      <c r="V240" s="41">
        <f ca="1">(SUMPRODUCT(MID(0&amp;(LEFT(A239,SUM(LEN(A239)-LEN(SUBSTITUTE(A239,{"0","1","2","3"},""))))), LARGE(INDEX(ISNUMBER(--MID((LEFT(A239,SUM(LEN(A239)-LEN(SUBSTITUTE(A239,{"0","1","2","3"},""))))), ROW(INDIRECT("1:"&amp;LEN((LEFT(A239,SUM(LEN(A239)-LEN(SUBSTITUTE(A239,{"0","1","2","3"},"")))))))), 1)) * ROW(INDIRECT("1:"&amp;LEN((LEFT(A239,SUM(LEN(A239)-LEN(SUBSTITUTE(A239,{"0","1","2","3"},"")))))))), 0), ROW(INDIRECT("1:"&amp;LEN((LEFT(A239,SUM(LEN(A239)-LEN(SUBSTITUTE(A239,{"0","1","2","3"},"")))))))))+1, 1) * 10^ROW(INDIRECT("1:"&amp;LEN((LEFT(A239,SUM(LEN(A239)-LEN(SUBSTITUTE(A239,{"0","1","2","3"},""))))))))/10))*100+1</f>
        <v>101</v>
      </c>
      <c r="W240" s="41">
        <f ca="1">(SUMPRODUCT(MID(0&amp;(--TRIM(RIGHT(SUBSTITUTE(LEFT(A239,_xlfn.AGGREGATE(16,6,FIND({0,1,2,3,4,5,6,7,8,9},A239,ROW(INDIRECT("1:"&amp;LEN(A239)))),1))," ",REPT(" ",LEN(A239))),LEN(A239)))), LARGE(INDEX(ISNUMBER(--MID((--TRIM(RIGHT(SUBSTITUTE(LEFT(A239,_xlfn.AGGREGATE(16,6,FIND({0,1,2,3,4,5,6,7,8,9},A239,ROW(INDIRECT("1:"&amp;LEN(A239)))),1))," ",REPT(" ",LEN(A239))),LEN(A239)))), ROW(INDIRECT("1:"&amp;LEN((--TRIM(RIGHT(SUBSTITUTE(LEFT(A239,_xlfn.AGGREGATE(16,6,FIND({0,1,2,3,4,5,6,7,8,9},A239,ROW(INDIRECT("1:"&amp;LEN(A239)))),1))," ",REPT(" ",LEN(A239))),LEN(A239))))))), 1)) * ROW(INDIRECT("1:"&amp;LEN((--TRIM(RIGHT(SUBSTITUTE(LEFT(A239,_xlfn.AGGREGATE(16,6,FIND({0,1,2,3,4,5,6,7,8,9},A239,ROW(INDIRECT("1:"&amp;LEN(A239)))),1))," ",REPT(" ",LEN(A239))),LEN(A239))))))), 0), ROW(INDIRECT("1:"&amp;LEN((--TRIM(RIGHT(SUBSTITUTE(LEFT(A239,_xlfn.AGGREGATE(16,6,FIND({0,1,2,3,4,5,6,7,8,9},A239,ROW(INDIRECT("1:"&amp;LEN(A239)))),1))," ",REPT(" ",LEN(A239))),LEN(A239))))))))+1, 1) * 10^ROW(INDIRECT("1:"&amp;LEN((--TRIM(RIGHT(SUBSTITUTE(LEFT(A239,_xlfn.AGGREGATE(16,6,FIND({0,1,2,3,4,5,6,7,8,9},A239,ROW(INDIRECT("1:"&amp;LEN(A239)))),1))," ",REPT(" ",LEN(A239))),LEN(A239)))))))/10))*100+1</f>
        <v>101</v>
      </c>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3">
      <c r="A241" s="167" t="str">
        <f t="shared" ref="A241:A242" si="83">A240</f>
        <v xml:space="preserve">1st Floor </v>
      </c>
      <c r="B241" s="167"/>
      <c r="C241" s="160">
        <v>2</v>
      </c>
      <c r="D241" s="161"/>
      <c r="E241" s="51" t="s">
        <v>223</v>
      </c>
      <c r="F241" s="160">
        <f>(3.05*3.35+3.05*6.35+2.15*2.6+3.05*3.05+0.9*2.15+(1.4*2.55+1.375*2.3)+(0.75*(3.05+3.05+2.15+3.05)))*10.764</f>
        <v>663.27767999999992</v>
      </c>
      <c r="G241" s="161"/>
      <c r="H241" s="51">
        <v>0</v>
      </c>
      <c r="I241" s="51">
        <f t="shared" si="81"/>
        <v>1061.2442879999999</v>
      </c>
      <c r="J241" s="1"/>
      <c r="K241" s="1"/>
      <c r="L241" s="1"/>
      <c r="M241" s="1"/>
      <c r="N241" s="1"/>
      <c r="O241" s="1"/>
      <c r="P241" s="1"/>
      <c r="Q241" s="1"/>
      <c r="R241" s="1"/>
      <c r="S241" s="1"/>
      <c r="T241" s="1"/>
      <c r="U241" s="41" t="str">
        <f t="shared" ca="1" si="82"/>
        <v>102,..,102</v>
      </c>
      <c r="V241" s="41">
        <f ca="1">V240+1</f>
        <v>102</v>
      </c>
      <c r="W241" s="41">
        <f ca="1">W240+1</f>
        <v>102</v>
      </c>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3">
      <c r="A242" s="167" t="str">
        <f t="shared" si="83"/>
        <v xml:space="preserve">1st Floor </v>
      </c>
      <c r="B242" s="167"/>
      <c r="C242" s="160">
        <v>3</v>
      </c>
      <c r="D242" s="161"/>
      <c r="E242" s="51" t="s">
        <v>222</v>
      </c>
      <c r="F242" s="160">
        <f>(1.525*2.3+3.15*5.15+1.1*2.375+3.3*2.325+3.05*3.05+3.175*3.35+3.05*3.35+1.1*1.375+(1.375*2.3+2.3*1.375+1.375*2.3)+(0.75*(2.325+3.05+3.05+3.15)))*10.764</f>
        <v>859.53231000000005</v>
      </c>
      <c r="G242" s="161"/>
      <c r="H242" s="51">
        <v>0</v>
      </c>
      <c r="I242" s="51">
        <f t="shared" si="81"/>
        <v>1375.2516960000003</v>
      </c>
      <c r="J242" s="1"/>
      <c r="K242" s="1"/>
      <c r="L242" s="1"/>
      <c r="M242" s="1"/>
      <c r="N242" s="1"/>
      <c r="O242" s="1"/>
      <c r="P242" s="1"/>
      <c r="Q242" s="1"/>
      <c r="R242" s="1"/>
      <c r="S242" s="1"/>
      <c r="T242" s="1"/>
      <c r="U242" s="41" t="str">
        <f t="shared" ca="1" si="82"/>
        <v>103,..,103</v>
      </c>
      <c r="V242" s="41">
        <f t="shared" ref="V242:W242" ca="1" si="84">V241+1</f>
        <v>103</v>
      </c>
      <c r="W242" s="41">
        <f t="shared" ca="1" si="84"/>
        <v>103</v>
      </c>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1" x14ac:dyDescent="0.3">
      <c r="A243" s="71" t="s">
        <v>241</v>
      </c>
      <c r="B243" s="72"/>
      <c r="C243" s="72"/>
      <c r="D243" s="72"/>
      <c r="E243" s="72"/>
      <c r="F243" s="72"/>
      <c r="G243" s="72"/>
      <c r="H243" s="72"/>
      <c r="I243" s="16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customHeight="1" x14ac:dyDescent="0.3">
      <c r="A244" s="68" t="str">
        <f>A243</f>
        <v>2nd, 4th to 6th, 8th to 11th, 13th &amp; 14th Floor</v>
      </c>
      <c r="B244" s="68"/>
      <c r="C244" s="69">
        <v>1</v>
      </c>
      <c r="D244" s="70"/>
      <c r="E244" s="19" t="s">
        <v>222</v>
      </c>
      <c r="F244" s="69">
        <f>(1.525*2.3+3.15*5.15+1.1*2.375+3.3*2.325+3.05*3.05+3.175*3.35+3.05*3.35+1.1*1.375+(1.375*2.3+2.3*1.375+1.375*2.3)+(0.75*(2.325+3.05+3.05+3.15)))*10.764</f>
        <v>859.53231000000005</v>
      </c>
      <c r="G244" s="70"/>
      <c r="H244" s="19">
        <v>0</v>
      </c>
      <c r="I244" s="19">
        <f t="shared" ref="I244:I249" si="85">F244*(($I$130)+1)+H244</f>
        <v>1375.2516960000003</v>
      </c>
      <c r="J244" s="1"/>
      <c r="K244" s="1"/>
      <c r="L244" s="1"/>
      <c r="M244" s="1"/>
      <c r="N244" s="1"/>
      <c r="O244" s="1"/>
      <c r="P244" s="1"/>
      <c r="Q244" s="1"/>
      <c r="R244" s="1"/>
      <c r="S244" s="1"/>
      <c r="T244" s="1"/>
      <c r="U244" s="41" t="str">
        <f t="shared" ref="U244:U249" ca="1" si="86">V244&amp;""&amp;",..,"&amp;""&amp;W244</f>
        <v>2401,..,1401</v>
      </c>
      <c r="V244" s="41">
        <f ca="1">(SUMPRODUCT(MID(0&amp;(LEFT(A243,SUM(LEN(A243)-LEN(SUBSTITUTE(A243,{"0","1","2","3"},""))))), LARGE(INDEX(ISNUMBER(--MID((LEFT(A243,SUM(LEN(A243)-LEN(SUBSTITUTE(A243,{"0","1","2","3"},""))))), ROW(INDIRECT("1:"&amp;LEN((LEFT(A243,SUM(LEN(A243)-LEN(SUBSTITUTE(A243,{"0","1","2","3"},"")))))))), 1)) * ROW(INDIRECT("1:"&amp;LEN((LEFT(A243,SUM(LEN(A243)-LEN(SUBSTITUTE(A243,{"0","1","2","3"},"")))))))), 0), ROW(INDIRECT("1:"&amp;LEN((LEFT(A243,SUM(LEN(A243)-LEN(SUBSTITUTE(A243,{"0","1","2","3"},"")))))))))+1, 1) * 10^ROW(INDIRECT("1:"&amp;LEN((LEFT(A243,SUM(LEN(A243)-LEN(SUBSTITUTE(A243,{"0","1","2","3"},""))))))))/10))*100+1</f>
        <v>2401</v>
      </c>
      <c r="W244" s="41">
        <f ca="1">(SUMPRODUCT(MID(0&amp;(--TRIM(RIGHT(SUBSTITUTE(LEFT(A243,_xlfn.AGGREGATE(16,6,FIND({0,1,2,3,4,5,6,7,8,9},A243,ROW(INDIRECT("1:"&amp;LEN(A243)))),1))," ",REPT(" ",LEN(A243))),LEN(A243)))), LARGE(INDEX(ISNUMBER(--MID((--TRIM(RIGHT(SUBSTITUTE(LEFT(A243,_xlfn.AGGREGATE(16,6,FIND({0,1,2,3,4,5,6,7,8,9},A243,ROW(INDIRECT("1:"&amp;LEN(A243)))),1))," ",REPT(" ",LEN(A243))),LEN(A243)))), ROW(INDIRECT("1:"&amp;LEN((--TRIM(RIGHT(SUBSTITUTE(LEFT(A243,_xlfn.AGGREGATE(16,6,FIND({0,1,2,3,4,5,6,7,8,9},A243,ROW(INDIRECT("1:"&amp;LEN(A243)))),1))," ",REPT(" ",LEN(A243))),LEN(A243))))))), 1)) * ROW(INDIRECT("1:"&amp;LEN((--TRIM(RIGHT(SUBSTITUTE(LEFT(A243,_xlfn.AGGREGATE(16,6,FIND({0,1,2,3,4,5,6,7,8,9},A243,ROW(INDIRECT("1:"&amp;LEN(A243)))),1))," ",REPT(" ",LEN(A243))),LEN(A243))))))), 0), ROW(INDIRECT("1:"&amp;LEN((--TRIM(RIGHT(SUBSTITUTE(LEFT(A243,_xlfn.AGGREGATE(16,6,FIND({0,1,2,3,4,5,6,7,8,9},A243,ROW(INDIRECT("1:"&amp;LEN(A243)))),1))," ",REPT(" ",LEN(A243))),LEN(A243))))))))+1, 1) * 10^ROW(INDIRECT("1:"&amp;LEN((--TRIM(RIGHT(SUBSTITUTE(LEFT(A243,_xlfn.AGGREGATE(16,6,FIND({0,1,2,3,4,5,6,7,8,9},A243,ROW(INDIRECT("1:"&amp;LEN(A243)))),1))," ",REPT(" ",LEN(A243))),LEN(A243)))))))/10))*100+1</f>
        <v>1401</v>
      </c>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3">
      <c r="A245" s="68" t="str">
        <f t="shared" ref="A245:A249" si="87">A244</f>
        <v>2nd, 4th to 6th, 8th to 11th, 13th &amp; 14th Floor</v>
      </c>
      <c r="B245" s="68"/>
      <c r="C245" s="69">
        <v>2</v>
      </c>
      <c r="D245" s="70"/>
      <c r="E245" s="19" t="s">
        <v>223</v>
      </c>
      <c r="F245" s="69">
        <f>(3.05*3.35+3.05*6.35+2.15*2.6+3.05*3.05+0.9*2.15+(1.4*2.55+1.375*2.3)+(0.75*(3.05+3.05+2.15+3.05)))*10.764</f>
        <v>663.27767999999992</v>
      </c>
      <c r="G245" s="70"/>
      <c r="H245" s="19">
        <v>0</v>
      </c>
      <c r="I245" s="19">
        <f t="shared" si="85"/>
        <v>1061.2442879999999</v>
      </c>
      <c r="J245" s="1"/>
      <c r="K245" s="1"/>
      <c r="L245" s="1"/>
      <c r="M245" s="1"/>
      <c r="N245" s="1"/>
      <c r="O245" s="1"/>
      <c r="P245" s="1"/>
      <c r="Q245" s="1"/>
      <c r="R245" s="1"/>
      <c r="S245" s="1"/>
      <c r="T245" s="1"/>
      <c r="U245" s="41" t="str">
        <f t="shared" ca="1" si="86"/>
        <v>2402,..,1402</v>
      </c>
      <c r="V245" s="41">
        <f ca="1">V244+1</f>
        <v>2402</v>
      </c>
      <c r="W245" s="41">
        <f ca="1">W244+1</f>
        <v>1402</v>
      </c>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3">
      <c r="A246" s="68" t="str">
        <f t="shared" si="87"/>
        <v>2nd, 4th to 6th, 8th to 11th, 13th &amp; 14th Floor</v>
      </c>
      <c r="B246" s="68"/>
      <c r="C246" s="69">
        <v>3</v>
      </c>
      <c r="D246" s="70"/>
      <c r="E246" s="19" t="s">
        <v>222</v>
      </c>
      <c r="F246" s="69">
        <f>(1.525*2.3+3.15*5.15+1.1*2.375+3.3*2.325+3.05*3.05+3.175*3.35+3.05*3.35+1.1*1.375+(1.375*2.3+2.3*1.375+1.375*2.3)+(0.75*(2.325+3.05+3.05+3.15)))*10.764</f>
        <v>859.53231000000005</v>
      </c>
      <c r="G246" s="70"/>
      <c r="H246" s="19">
        <v>0</v>
      </c>
      <c r="I246" s="19">
        <f t="shared" si="85"/>
        <v>1375.2516960000003</v>
      </c>
      <c r="J246" s="1"/>
      <c r="K246" s="1"/>
      <c r="L246" s="1"/>
      <c r="M246" s="1"/>
      <c r="N246" s="1"/>
      <c r="O246" s="1"/>
      <c r="P246" s="1"/>
      <c r="Q246" s="1"/>
      <c r="R246" s="1"/>
      <c r="S246" s="1"/>
      <c r="T246" s="1"/>
      <c r="U246" s="41" t="str">
        <f t="shared" ca="1" si="86"/>
        <v>2403,..,1403</v>
      </c>
      <c r="V246" s="41">
        <f t="shared" ref="V246:W246" ca="1" si="88">V245+1</f>
        <v>2403</v>
      </c>
      <c r="W246" s="41">
        <f t="shared" ca="1" si="88"/>
        <v>1403</v>
      </c>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3">
      <c r="A247" s="68" t="str">
        <f t="shared" si="87"/>
        <v>2nd, 4th to 6th, 8th to 11th, 13th &amp; 14th Floor</v>
      </c>
      <c r="B247" s="68"/>
      <c r="C247" s="69" t="s">
        <v>255</v>
      </c>
      <c r="D247" s="70"/>
      <c r="E247" s="19" t="s">
        <v>240</v>
      </c>
      <c r="F247" s="160">
        <f>(0.85*1.125+2.15*3.35+3.05*4.625+1.405*1+3.05*3.35+((1.375*2.3)*2)+(0.75*(3.05+2.15)))*10.764</f>
        <v>474.82695000000001</v>
      </c>
      <c r="G247" s="161"/>
      <c r="H247" s="19">
        <v>0</v>
      </c>
      <c r="I247" s="19">
        <f t="shared" si="85"/>
        <v>759.72312000000011</v>
      </c>
      <c r="J247" s="1"/>
      <c r="K247" s="1"/>
      <c r="L247" s="1"/>
      <c r="M247" s="1"/>
      <c r="N247" s="1"/>
      <c r="O247" s="1"/>
      <c r="P247" s="1"/>
      <c r="Q247" s="1"/>
      <c r="R247" s="1"/>
      <c r="S247" s="1"/>
      <c r="T247" s="1"/>
      <c r="U247" s="41" t="str">
        <f t="shared" ca="1" si="86"/>
        <v>2404,..,1404</v>
      </c>
      <c r="V247" s="41">
        <f t="shared" ref="V247:W247" ca="1" si="89">V246+1</f>
        <v>2404</v>
      </c>
      <c r="W247" s="41">
        <f t="shared" ca="1" si="89"/>
        <v>1404</v>
      </c>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3">
      <c r="A248" s="68" t="str">
        <f t="shared" si="87"/>
        <v>2nd, 4th to 6th, 8th to 11th, 13th &amp; 14th Floor</v>
      </c>
      <c r="B248" s="68"/>
      <c r="C248" s="69" t="s">
        <v>257</v>
      </c>
      <c r="D248" s="70"/>
      <c r="E248" s="19" t="s">
        <v>223</v>
      </c>
      <c r="F248" s="160">
        <f>(3.05*3.65+2.3*2.65+2.9*2.925+2.45*2.925+1*2.3+(2.3*1.525+1.65*1.525)++(0.75*(2.9+3.05+2.3))+1.475*2.4)*10.764</f>
        <v>548.18360999999993</v>
      </c>
      <c r="G248" s="161"/>
      <c r="H248" s="19">
        <v>0</v>
      </c>
      <c r="I248" s="19">
        <f t="shared" si="85"/>
        <v>877.09377599999993</v>
      </c>
      <c r="J248" s="1"/>
      <c r="K248" s="1"/>
      <c r="L248" s="1"/>
      <c r="M248" s="1"/>
      <c r="N248" s="1"/>
      <c r="O248" s="1"/>
      <c r="P248" s="1"/>
      <c r="Q248" s="1"/>
      <c r="R248" s="1"/>
      <c r="S248" s="1"/>
      <c r="T248" s="1"/>
      <c r="U248" s="41" t="str">
        <f t="shared" ca="1" si="86"/>
        <v>2405,..,1405</v>
      </c>
      <c r="V248" s="41">
        <f t="shared" ref="V248:W248" ca="1" si="90">V247+1</f>
        <v>2405</v>
      </c>
      <c r="W248" s="41">
        <f t="shared" ca="1" si="90"/>
        <v>1405</v>
      </c>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3">
      <c r="A249" s="68" t="str">
        <f t="shared" si="87"/>
        <v>2nd, 4th to 6th, 8th to 11th, 13th &amp; 14th Floor</v>
      </c>
      <c r="B249" s="68"/>
      <c r="C249" s="69" t="s">
        <v>256</v>
      </c>
      <c r="D249" s="70"/>
      <c r="E249" s="19" t="s">
        <v>240</v>
      </c>
      <c r="F249" s="160">
        <f>(0.85*1.125+2.15*3.35+3.05*4.625+1.405*1+3.05*3.35+((1.375*2.3)*2)+(0.75*(3.05+2.15)))*10.764</f>
        <v>474.82695000000001</v>
      </c>
      <c r="G249" s="161"/>
      <c r="H249" s="19">
        <v>0</v>
      </c>
      <c r="I249" s="19">
        <f t="shared" si="85"/>
        <v>759.72312000000011</v>
      </c>
      <c r="J249" s="1"/>
      <c r="K249" s="1"/>
      <c r="L249" s="1"/>
      <c r="M249" s="1"/>
      <c r="N249" s="1"/>
      <c r="O249" s="1"/>
      <c r="P249" s="1"/>
      <c r="Q249" s="1"/>
      <c r="R249" s="1"/>
      <c r="S249" s="1"/>
      <c r="T249" s="1"/>
      <c r="U249" s="41" t="str">
        <f t="shared" ca="1" si="86"/>
        <v>2406,..,1406</v>
      </c>
      <c r="V249" s="41">
        <f t="shared" ref="V249:W249" ca="1" si="91">V248+1</f>
        <v>2406</v>
      </c>
      <c r="W249" s="41">
        <f t="shared" ca="1" si="91"/>
        <v>1406</v>
      </c>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1" x14ac:dyDescent="0.3">
      <c r="A250" s="71" t="s">
        <v>242</v>
      </c>
      <c r="B250" s="72"/>
      <c r="C250" s="72"/>
      <c r="D250" s="72"/>
      <c r="E250" s="72"/>
      <c r="F250" s="72"/>
      <c r="G250" s="72"/>
      <c r="H250" s="72"/>
      <c r="I250" s="16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3">
      <c r="A251" s="68" t="str">
        <f>A250</f>
        <v>3rd, 7th &amp; 12th Floor (Part Refuge Area)</v>
      </c>
      <c r="B251" s="68"/>
      <c r="C251" s="69">
        <v>1</v>
      </c>
      <c r="D251" s="70"/>
      <c r="E251" s="19" t="s">
        <v>222</v>
      </c>
      <c r="F251" s="69">
        <f>(1.525*2.3+3.15*5.15+1.1*2.375+3.3*2.325+3.05*3.05+3.175*3.35+3.05*3.35+1.1*1.375+(1.375*2.3+2.3*1.375+1.375*2.3)+(0.75*(2.325+3.05+3.05+3.15)))*10.764</f>
        <v>859.53231000000005</v>
      </c>
      <c r="G251" s="70"/>
      <c r="H251" s="19">
        <v>0</v>
      </c>
      <c r="I251" s="19">
        <f t="shared" ref="I251:I254" si="92">F251*(($I$130)+1)+H251</f>
        <v>1375.2516960000003</v>
      </c>
      <c r="J251" s="1"/>
      <c r="K251" s="1"/>
      <c r="L251" s="1"/>
      <c r="M251" s="1"/>
      <c r="N251" s="1"/>
      <c r="O251" s="1"/>
      <c r="P251" s="1"/>
      <c r="Q251" s="1"/>
      <c r="R251" s="1"/>
      <c r="S251" s="1"/>
      <c r="T251" s="1"/>
      <c r="U251" s="41" t="str">
        <f t="shared" ref="U251:U256" ca="1" si="93">V251&amp;""&amp;",..,"&amp;""&amp;W251</f>
        <v>301,..,1201</v>
      </c>
      <c r="V251" s="41">
        <f ca="1">(SUMPRODUCT(MID(0&amp;(LEFT(A250,SUM(LEN(A250)-LEN(SUBSTITUTE(A250,{"0","1","2","3"},""))))), LARGE(INDEX(ISNUMBER(--MID((LEFT(A250,SUM(LEN(A250)-LEN(SUBSTITUTE(A250,{"0","1","2","3"},""))))), ROW(INDIRECT("1:"&amp;LEN((LEFT(A250,SUM(LEN(A250)-LEN(SUBSTITUTE(A250,{"0","1","2","3"},"")))))))), 1)) * ROW(INDIRECT("1:"&amp;LEN((LEFT(A250,SUM(LEN(A250)-LEN(SUBSTITUTE(A250,{"0","1","2","3"},"")))))))), 0), ROW(INDIRECT("1:"&amp;LEN((LEFT(A250,SUM(LEN(A250)-LEN(SUBSTITUTE(A250,{"0","1","2","3"},"")))))))))+1, 1) * 10^ROW(INDIRECT("1:"&amp;LEN((LEFT(A250,SUM(LEN(A250)-LEN(SUBSTITUTE(A250,{"0","1","2","3"},""))))))))/10))*100+1</f>
        <v>301</v>
      </c>
      <c r="W251" s="41">
        <f ca="1">(SUMPRODUCT(MID(0&amp;(--TRIM(RIGHT(SUBSTITUTE(LEFT(A250,_xlfn.AGGREGATE(16,6,FIND({0,1,2,3,4,5,6,7,8,9},A250,ROW(INDIRECT("1:"&amp;LEN(A250)))),1))," ",REPT(" ",LEN(A250))),LEN(A250)))), LARGE(INDEX(ISNUMBER(--MID((--TRIM(RIGHT(SUBSTITUTE(LEFT(A250,_xlfn.AGGREGATE(16,6,FIND({0,1,2,3,4,5,6,7,8,9},A250,ROW(INDIRECT("1:"&amp;LEN(A250)))),1))," ",REPT(" ",LEN(A250))),LEN(A250)))), ROW(INDIRECT("1:"&amp;LEN((--TRIM(RIGHT(SUBSTITUTE(LEFT(A250,_xlfn.AGGREGATE(16,6,FIND({0,1,2,3,4,5,6,7,8,9},A250,ROW(INDIRECT("1:"&amp;LEN(A250)))),1))," ",REPT(" ",LEN(A250))),LEN(A250))))))), 1)) * ROW(INDIRECT("1:"&amp;LEN((--TRIM(RIGHT(SUBSTITUTE(LEFT(A250,_xlfn.AGGREGATE(16,6,FIND({0,1,2,3,4,5,6,7,8,9},A250,ROW(INDIRECT("1:"&amp;LEN(A250)))),1))," ",REPT(" ",LEN(A250))),LEN(A250))))))), 0), ROW(INDIRECT("1:"&amp;LEN((--TRIM(RIGHT(SUBSTITUTE(LEFT(A250,_xlfn.AGGREGATE(16,6,FIND({0,1,2,3,4,5,6,7,8,9},A250,ROW(INDIRECT("1:"&amp;LEN(A250)))),1))," ",REPT(" ",LEN(A250))),LEN(A250))))))))+1, 1) * 10^ROW(INDIRECT("1:"&amp;LEN((--TRIM(RIGHT(SUBSTITUTE(LEFT(A250,_xlfn.AGGREGATE(16,6,FIND({0,1,2,3,4,5,6,7,8,9},A250,ROW(INDIRECT("1:"&amp;LEN(A250)))),1))," ",REPT(" ",LEN(A250))),LEN(A250)))))))/10))*100+1</f>
        <v>1201</v>
      </c>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3">
      <c r="A252" s="68" t="str">
        <f t="shared" ref="A252:A256" si="94">A251</f>
        <v>3rd, 7th &amp; 12th Floor (Part Refuge Area)</v>
      </c>
      <c r="B252" s="68"/>
      <c r="C252" s="69">
        <v>2</v>
      </c>
      <c r="D252" s="70"/>
      <c r="E252" s="19" t="s">
        <v>223</v>
      </c>
      <c r="F252" s="69">
        <f>(3.05*3.35+3.05*6.35+2.15*2.6+3.05*3.05+0.9*2.15+(1.4*2.55+1.375*2.3)+(0.75*(3.05+3.05+2.15+3.05)))*10.764</f>
        <v>663.27767999999992</v>
      </c>
      <c r="G252" s="70"/>
      <c r="H252" s="19">
        <v>0</v>
      </c>
      <c r="I252" s="19">
        <f t="shared" si="92"/>
        <v>1061.2442879999999</v>
      </c>
      <c r="J252" s="1"/>
      <c r="K252" s="1"/>
      <c r="L252" s="1"/>
      <c r="M252" s="1"/>
      <c r="N252" s="1"/>
      <c r="O252" s="1"/>
      <c r="P252" s="1"/>
      <c r="Q252" s="1"/>
      <c r="R252" s="1"/>
      <c r="S252" s="1"/>
      <c r="T252" s="1"/>
      <c r="U252" s="41" t="str">
        <f t="shared" ca="1" si="93"/>
        <v>302,..,1202</v>
      </c>
      <c r="V252" s="41">
        <f ca="1">V251+1</f>
        <v>302</v>
      </c>
      <c r="W252" s="41">
        <f ca="1">W251+1</f>
        <v>1202</v>
      </c>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customHeight="1" x14ac:dyDescent="0.3">
      <c r="A253" s="68" t="str">
        <f t="shared" si="94"/>
        <v>3rd, 7th &amp; 12th Floor (Part Refuge Area)</v>
      </c>
      <c r="B253" s="68"/>
      <c r="C253" s="69">
        <v>3</v>
      </c>
      <c r="D253" s="70"/>
      <c r="E253" s="19" t="s">
        <v>222</v>
      </c>
      <c r="F253" s="69">
        <f>(1.525*2.3+3.15*5.15+1.1*2.375+3.3*2.325+3.05*3.05+3.175*3.35+3.05*3.35+1.1*1.375+(1.375*2.3+2.3*1.375+1.375*2.3)+(0.75*(2.325+3.05+3.05+3.15)))*10.764</f>
        <v>859.53231000000005</v>
      </c>
      <c r="G253" s="70"/>
      <c r="H253" s="19">
        <v>0</v>
      </c>
      <c r="I253" s="19">
        <f t="shared" si="92"/>
        <v>1375.2516960000003</v>
      </c>
      <c r="J253" s="1"/>
      <c r="K253" s="1"/>
      <c r="L253" s="1"/>
      <c r="M253" s="1"/>
      <c r="N253" s="1"/>
      <c r="O253" s="1"/>
      <c r="P253" s="1"/>
      <c r="Q253" s="1"/>
      <c r="R253" s="1"/>
      <c r="S253" s="1"/>
      <c r="T253" s="1"/>
      <c r="U253" s="41" t="str">
        <f t="shared" ca="1" si="93"/>
        <v>303,..,1203</v>
      </c>
      <c r="V253" s="41">
        <f t="shared" ref="V253:W253" ca="1" si="95">V252+1</f>
        <v>303</v>
      </c>
      <c r="W253" s="41">
        <f t="shared" ca="1" si="95"/>
        <v>1203</v>
      </c>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customHeight="1" x14ac:dyDescent="0.3">
      <c r="A254" s="68" t="str">
        <f t="shared" si="94"/>
        <v>3rd, 7th &amp; 12th Floor (Part Refuge Area)</v>
      </c>
      <c r="B254" s="68"/>
      <c r="C254" s="69" t="s">
        <v>255</v>
      </c>
      <c r="D254" s="70"/>
      <c r="E254" s="19" t="s">
        <v>240</v>
      </c>
      <c r="F254" s="160">
        <f>(0.85*1.125+2.15*3.35+3.05*4.625+1.405*1+3.05*3.35+((1.375*2.3)*2)+(0.75*(3.05+2.15)))*10.764</f>
        <v>474.82695000000001</v>
      </c>
      <c r="G254" s="161"/>
      <c r="H254" s="19">
        <v>0</v>
      </c>
      <c r="I254" s="19">
        <f t="shared" si="92"/>
        <v>759.72312000000011</v>
      </c>
      <c r="J254" s="1"/>
      <c r="K254" s="1"/>
      <c r="L254" s="1"/>
      <c r="M254" s="1"/>
      <c r="N254" s="1"/>
      <c r="O254" s="1"/>
      <c r="P254" s="1"/>
      <c r="Q254" s="1"/>
      <c r="R254" s="1"/>
      <c r="S254" s="1"/>
      <c r="T254" s="1"/>
      <c r="U254" s="41" t="str">
        <f t="shared" ca="1" si="93"/>
        <v>304,..,1204</v>
      </c>
      <c r="V254" s="41">
        <f t="shared" ref="V254:W254" ca="1" si="96">V253+1</f>
        <v>304</v>
      </c>
      <c r="W254" s="41">
        <f t="shared" ca="1" si="96"/>
        <v>1204</v>
      </c>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customHeight="1" x14ac:dyDescent="0.3">
      <c r="A255" s="68" t="str">
        <f t="shared" si="94"/>
        <v>3rd, 7th &amp; 12th Floor (Part Refuge Area)</v>
      </c>
      <c r="B255" s="68"/>
      <c r="C255" s="69">
        <v>5</v>
      </c>
      <c r="D255" s="70"/>
      <c r="E255" s="69" t="s">
        <v>226</v>
      </c>
      <c r="F255" s="163"/>
      <c r="G255" s="163"/>
      <c r="H255" s="163"/>
      <c r="I255" s="70"/>
      <c r="J255" s="1"/>
      <c r="K255" s="1"/>
      <c r="L255" s="1"/>
      <c r="M255" s="1"/>
      <c r="N255" s="1"/>
      <c r="O255" s="1"/>
      <c r="P255" s="1"/>
      <c r="Q255" s="1"/>
      <c r="R255" s="1"/>
      <c r="S255" s="1"/>
      <c r="T255" s="1"/>
      <c r="U255" s="41" t="str">
        <f t="shared" ca="1" si="93"/>
        <v>305,..,1205</v>
      </c>
      <c r="V255" s="41">
        <f t="shared" ref="V255:W255" ca="1" si="97">V254+1</f>
        <v>305</v>
      </c>
      <c r="W255" s="41">
        <f t="shared" ca="1" si="97"/>
        <v>1205</v>
      </c>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customHeight="1" x14ac:dyDescent="0.3">
      <c r="A256" s="68" t="str">
        <f t="shared" si="94"/>
        <v>3rd, 7th &amp; 12th Floor (Part Refuge Area)</v>
      </c>
      <c r="B256" s="68"/>
      <c r="C256" s="69" t="s">
        <v>256</v>
      </c>
      <c r="D256" s="70"/>
      <c r="E256" s="19" t="s">
        <v>240</v>
      </c>
      <c r="F256" s="160">
        <f>(0.85*1.125+2.15*3.35+3.05*4.625+1.405*1+3.05*3.35+((1.375*2.3)*2)+(0.75*(3.05+2.15)))*10.764</f>
        <v>474.82695000000001</v>
      </c>
      <c r="G256" s="161"/>
      <c r="H256" s="19">
        <v>0</v>
      </c>
      <c r="I256" s="19">
        <f t="shared" ref="I256" si="98">F256*(($I$130)+1)+H256</f>
        <v>759.72312000000011</v>
      </c>
      <c r="J256" s="1"/>
      <c r="K256" s="1"/>
      <c r="L256" s="1"/>
      <c r="M256" s="1"/>
      <c r="N256" s="1"/>
      <c r="O256" s="1"/>
      <c r="P256" s="1"/>
      <c r="Q256" s="1"/>
      <c r="R256" s="1"/>
      <c r="S256" s="1"/>
      <c r="T256" s="1"/>
      <c r="U256" s="41" t="str">
        <f t="shared" ca="1" si="93"/>
        <v>306,..,1206</v>
      </c>
      <c r="V256" s="41">
        <f t="shared" ref="V256:W256" ca="1" si="99">V255+1</f>
        <v>306</v>
      </c>
      <c r="W256" s="41">
        <f t="shared" ca="1" si="99"/>
        <v>1206</v>
      </c>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1" x14ac:dyDescent="0.3">
      <c r="A257" s="71" t="s">
        <v>243</v>
      </c>
      <c r="B257" s="72"/>
      <c r="C257" s="72"/>
      <c r="D257" s="72"/>
      <c r="E257" s="72"/>
      <c r="F257" s="72"/>
      <c r="G257" s="72"/>
      <c r="H257" s="72"/>
      <c r="I257" s="16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3">
      <c r="A258" s="68" t="str">
        <f>A257</f>
        <v>15th Floor</v>
      </c>
      <c r="B258" s="68"/>
      <c r="C258" s="69">
        <v>1</v>
      </c>
      <c r="D258" s="70"/>
      <c r="E258" s="19" t="s">
        <v>222</v>
      </c>
      <c r="F258" s="69">
        <f>(1.525*2.3+3.15*5.15+1.1*2.375+3.3*2.325+3.05*3.05+3.175*3.35+3.05*3.35+1.1*1.375+(1.375*2.3+2.3*1.375+1.375*2.3)+(0.75*(2.325+3.05+3.05+3.15)))*10.764</f>
        <v>859.53231000000005</v>
      </c>
      <c r="G258" s="70"/>
      <c r="H258" s="19">
        <v>0</v>
      </c>
      <c r="I258" s="19">
        <f t="shared" ref="I258:I263" si="100">F258*(($I$130)+1)+H258</f>
        <v>1375.2516960000003</v>
      </c>
      <c r="J258" s="1"/>
      <c r="K258" s="1"/>
      <c r="L258" s="1"/>
      <c r="M258" s="1"/>
      <c r="N258" s="1"/>
      <c r="O258" s="1"/>
      <c r="P258" s="1"/>
      <c r="Q258" s="1"/>
      <c r="R258" s="1"/>
      <c r="S258" s="1"/>
      <c r="T258" s="1"/>
      <c r="U258" s="41" t="str">
        <f t="shared" ref="U258:U263" ca="1" si="101">V258&amp;""&amp;",..,"&amp;""&amp;W258</f>
        <v>101,..,1501</v>
      </c>
      <c r="V258" s="41">
        <f ca="1">(SUMPRODUCT(MID(0&amp;(LEFT(A257,SUM(LEN(A257)-LEN(SUBSTITUTE(A257,{"0","1","2","3"},""))))), LARGE(INDEX(ISNUMBER(--MID((LEFT(A257,SUM(LEN(A257)-LEN(SUBSTITUTE(A257,{"0","1","2","3"},""))))), ROW(INDIRECT("1:"&amp;LEN((LEFT(A257,SUM(LEN(A257)-LEN(SUBSTITUTE(A257,{"0","1","2","3"},"")))))))), 1)) * ROW(INDIRECT("1:"&amp;LEN((LEFT(A257,SUM(LEN(A257)-LEN(SUBSTITUTE(A257,{"0","1","2","3"},"")))))))), 0), ROW(INDIRECT("1:"&amp;LEN((LEFT(A257,SUM(LEN(A257)-LEN(SUBSTITUTE(A257,{"0","1","2","3"},"")))))))))+1, 1) * 10^ROW(INDIRECT("1:"&amp;LEN((LEFT(A257,SUM(LEN(A257)-LEN(SUBSTITUTE(A257,{"0","1","2","3"},""))))))))/10))*100+1</f>
        <v>101</v>
      </c>
      <c r="W258" s="41">
        <f ca="1">(SUMPRODUCT(MID(0&amp;(--TRIM(RIGHT(SUBSTITUTE(LEFT(A257,_xlfn.AGGREGATE(16,6,FIND({0,1,2,3,4,5,6,7,8,9},A257,ROW(INDIRECT("1:"&amp;LEN(A257)))),1))," ",REPT(" ",LEN(A257))),LEN(A257)))), LARGE(INDEX(ISNUMBER(--MID((--TRIM(RIGHT(SUBSTITUTE(LEFT(A257,_xlfn.AGGREGATE(16,6,FIND({0,1,2,3,4,5,6,7,8,9},A257,ROW(INDIRECT("1:"&amp;LEN(A257)))),1))," ",REPT(" ",LEN(A257))),LEN(A257)))), ROW(INDIRECT("1:"&amp;LEN((--TRIM(RIGHT(SUBSTITUTE(LEFT(A257,_xlfn.AGGREGATE(16,6,FIND({0,1,2,3,4,5,6,7,8,9},A257,ROW(INDIRECT("1:"&amp;LEN(A257)))),1))," ",REPT(" ",LEN(A257))),LEN(A257))))))), 1)) * ROW(INDIRECT("1:"&amp;LEN((--TRIM(RIGHT(SUBSTITUTE(LEFT(A257,_xlfn.AGGREGATE(16,6,FIND({0,1,2,3,4,5,6,7,8,9},A257,ROW(INDIRECT("1:"&amp;LEN(A257)))),1))," ",REPT(" ",LEN(A257))),LEN(A257))))))), 0), ROW(INDIRECT("1:"&amp;LEN((--TRIM(RIGHT(SUBSTITUTE(LEFT(A257,_xlfn.AGGREGATE(16,6,FIND({0,1,2,3,4,5,6,7,8,9},A257,ROW(INDIRECT("1:"&amp;LEN(A257)))),1))," ",REPT(" ",LEN(A257))),LEN(A257))))))))+1, 1) * 10^ROW(INDIRECT("1:"&amp;LEN((--TRIM(RIGHT(SUBSTITUTE(LEFT(A257,_xlfn.AGGREGATE(16,6,FIND({0,1,2,3,4,5,6,7,8,9},A257,ROW(INDIRECT("1:"&amp;LEN(A257)))),1))," ",REPT(" ",LEN(A257))),LEN(A257)))))))/10))*100+1</f>
        <v>1501</v>
      </c>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3">
      <c r="A259" s="68" t="str">
        <f t="shared" ref="A259:A263" si="102">A258</f>
        <v>15th Floor</v>
      </c>
      <c r="B259" s="68"/>
      <c r="C259" s="69">
        <v>2</v>
      </c>
      <c r="D259" s="70"/>
      <c r="E259" s="19" t="s">
        <v>223</v>
      </c>
      <c r="F259" s="69">
        <f>(3.05*3.35+3.05*6.35+2.15*2.6+3.05*3.05+0.9*2.15+(1.4*2.55+1.375*2.3)+(0.75*(3.05+3.05+2.15+3.05)))*10.764</f>
        <v>663.27767999999992</v>
      </c>
      <c r="G259" s="70"/>
      <c r="H259" s="19">
        <v>0</v>
      </c>
      <c r="I259" s="19">
        <f t="shared" si="100"/>
        <v>1061.2442879999999</v>
      </c>
      <c r="J259" s="1"/>
      <c r="K259" s="1"/>
      <c r="L259" s="1"/>
      <c r="M259" s="1"/>
      <c r="N259" s="1"/>
      <c r="O259" s="1"/>
      <c r="P259" s="1"/>
      <c r="Q259" s="1"/>
      <c r="R259" s="1"/>
      <c r="S259" s="1"/>
      <c r="T259" s="1"/>
      <c r="U259" s="41" t="str">
        <f t="shared" ca="1" si="101"/>
        <v>102,..,1502</v>
      </c>
      <c r="V259" s="41">
        <f ca="1">V258+1</f>
        <v>102</v>
      </c>
      <c r="W259" s="41">
        <f ca="1">W258+1</f>
        <v>1502</v>
      </c>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3">
      <c r="A260" s="68" t="str">
        <f t="shared" si="102"/>
        <v>15th Floor</v>
      </c>
      <c r="B260" s="68"/>
      <c r="C260" s="69">
        <v>3</v>
      </c>
      <c r="D260" s="70"/>
      <c r="E260" s="19" t="s">
        <v>222</v>
      </c>
      <c r="F260" s="69">
        <f>(1.525*2.3+3.15*5.15+1.1*2.375+3.3*2.325+3.05*3.05+3.175*3.35+3.05*3.35+1.1*1.375+(1.375*2.3+2.3*1.375+1.375*2.3)+(0.75*(2.325+3.05+3.05+3.15)))*10.764</f>
        <v>859.53231000000005</v>
      </c>
      <c r="G260" s="70"/>
      <c r="H260" s="19">
        <v>0</v>
      </c>
      <c r="I260" s="19">
        <f t="shared" si="100"/>
        <v>1375.2516960000003</v>
      </c>
      <c r="J260" s="1"/>
      <c r="K260" s="1"/>
      <c r="L260" s="1"/>
      <c r="M260" s="1"/>
      <c r="N260" s="1"/>
      <c r="O260" s="1"/>
      <c r="P260" s="1"/>
      <c r="Q260" s="1"/>
      <c r="R260" s="1"/>
      <c r="S260" s="1"/>
      <c r="T260" s="1"/>
      <c r="U260" s="41" t="str">
        <f t="shared" ca="1" si="101"/>
        <v>103,..,1503</v>
      </c>
      <c r="V260" s="41">
        <f t="shared" ref="V260:W260" ca="1" si="103">V259+1</f>
        <v>103</v>
      </c>
      <c r="W260" s="41">
        <f t="shared" ca="1" si="103"/>
        <v>1503</v>
      </c>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3">
      <c r="A261" s="68" t="str">
        <f t="shared" si="102"/>
        <v>15th Floor</v>
      </c>
      <c r="B261" s="68"/>
      <c r="C261" s="69" t="s">
        <v>255</v>
      </c>
      <c r="D261" s="70"/>
      <c r="E261" s="19" t="s">
        <v>240</v>
      </c>
      <c r="F261" s="160">
        <f>(0.85*1.125+2.15*3.35+3.05*4.625+1.405*1+3.05*3.35+((1.375*2.3)*2)+(0.75*(3.05+2.15)))*10.764</f>
        <v>474.82695000000001</v>
      </c>
      <c r="G261" s="161"/>
      <c r="H261" s="19">
        <v>0</v>
      </c>
      <c r="I261" s="19">
        <f t="shared" si="100"/>
        <v>759.72312000000011</v>
      </c>
      <c r="J261" s="1"/>
      <c r="K261" s="1"/>
      <c r="L261" s="1"/>
      <c r="M261" s="1"/>
      <c r="N261" s="1"/>
      <c r="O261" s="1"/>
      <c r="P261" s="1"/>
      <c r="Q261" s="1"/>
      <c r="R261" s="1"/>
      <c r="S261" s="1"/>
      <c r="T261" s="1"/>
      <c r="U261" s="41" t="str">
        <f t="shared" ca="1" si="101"/>
        <v>104,..,1504</v>
      </c>
      <c r="V261" s="41">
        <f t="shared" ref="V261:W261" ca="1" si="104">V260+1</f>
        <v>104</v>
      </c>
      <c r="W261" s="41">
        <f t="shared" ca="1" si="104"/>
        <v>1504</v>
      </c>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3">
      <c r="A262" s="68" t="str">
        <f t="shared" si="102"/>
        <v>15th Floor</v>
      </c>
      <c r="B262" s="68"/>
      <c r="C262" s="69">
        <v>5</v>
      </c>
      <c r="D262" s="70"/>
      <c r="E262" s="19" t="s">
        <v>223</v>
      </c>
      <c r="F262" s="69">
        <f>(3.05*3.65+2.3*2.65+2.9*2.925+2.45*2.925+1*2.3+(2.3*1.525+1.65*1.525)++(0.75*(2.9+3.05+2.3))+1.475*2.4)*10.764</f>
        <v>548.18360999999993</v>
      </c>
      <c r="G262" s="70"/>
      <c r="H262" s="19">
        <v>0</v>
      </c>
      <c r="I262" s="19">
        <f t="shared" si="100"/>
        <v>877.09377599999993</v>
      </c>
      <c r="J262" s="1"/>
      <c r="K262" s="1"/>
      <c r="L262" s="1"/>
      <c r="M262" s="1"/>
      <c r="N262" s="1"/>
      <c r="O262" s="1"/>
      <c r="P262" s="1"/>
      <c r="Q262" s="1"/>
      <c r="R262" s="1"/>
      <c r="S262" s="1"/>
      <c r="T262" s="1"/>
      <c r="U262" s="41" t="str">
        <f t="shared" ca="1" si="101"/>
        <v>105,..,1505</v>
      </c>
      <c r="V262" s="41">
        <f t="shared" ref="V262:W262" ca="1" si="105">V261+1</f>
        <v>105</v>
      </c>
      <c r="W262" s="41">
        <f t="shared" ca="1" si="105"/>
        <v>1505</v>
      </c>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customHeight="1" x14ac:dyDescent="0.3">
      <c r="A263" s="68" t="str">
        <f t="shared" si="102"/>
        <v>15th Floor</v>
      </c>
      <c r="B263" s="68"/>
      <c r="C263" s="69">
        <v>6</v>
      </c>
      <c r="D263" s="70"/>
      <c r="E263" s="19" t="s">
        <v>240</v>
      </c>
      <c r="F263" s="160">
        <f>(0.85*1.125+2.15*3.35+3.05*4.625+1.405*1+3.05*3.35+((1.375*2.3)*2)+(0.75*(3.05+2.15)))*10.764</f>
        <v>474.82695000000001</v>
      </c>
      <c r="G263" s="161"/>
      <c r="H263" s="19">
        <v>0</v>
      </c>
      <c r="I263" s="19">
        <f t="shared" si="100"/>
        <v>759.72312000000011</v>
      </c>
      <c r="J263" s="1"/>
      <c r="K263" s="1"/>
      <c r="L263" s="1"/>
      <c r="M263" s="1"/>
      <c r="N263" s="1"/>
      <c r="O263" s="1"/>
      <c r="P263" s="1"/>
      <c r="Q263" s="1"/>
      <c r="R263" s="1"/>
      <c r="S263" s="1"/>
      <c r="T263" s="1"/>
      <c r="U263" s="41" t="str">
        <f t="shared" ca="1" si="101"/>
        <v>106,..,1506</v>
      </c>
      <c r="V263" s="41">
        <f t="shared" ref="V263:W263" ca="1" si="106">V262+1</f>
        <v>106</v>
      </c>
      <c r="W263" s="41">
        <f t="shared" ca="1" si="106"/>
        <v>1506</v>
      </c>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1" x14ac:dyDescent="0.3">
      <c r="A264" s="71" t="s">
        <v>245</v>
      </c>
      <c r="B264" s="72"/>
      <c r="C264" s="72"/>
      <c r="D264" s="72"/>
      <c r="E264" s="72"/>
      <c r="F264" s="72"/>
      <c r="G264" s="72"/>
      <c r="H264" s="72"/>
      <c r="I264" s="16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customHeight="1" x14ac:dyDescent="0.3">
      <c r="A265" s="68" t="str">
        <f>A264</f>
        <v>17th Floor (Part Refuge Area)</v>
      </c>
      <c r="B265" s="68"/>
      <c r="C265" s="69">
        <v>1</v>
      </c>
      <c r="D265" s="70"/>
      <c r="E265" s="19" t="s">
        <v>222</v>
      </c>
      <c r="F265" s="69">
        <f>(1.525*2.3+3.15*5.15+1.1*2.375+3.3*2.325+3.05*3.05+3.175*3.35+3.05*3.35+1.1*1.375+(1.375*2.3+2.3*1.375+1.375*2.3)+(0.75*(2.325+3.05+3.05+3.15)))*10.764</f>
        <v>859.53231000000005</v>
      </c>
      <c r="G265" s="70"/>
      <c r="H265" s="19">
        <v>0</v>
      </c>
      <c r="I265" s="19">
        <f t="shared" ref="I265:I268" si="107">F265*(($I$130)+1)+H265</f>
        <v>1375.2516960000003</v>
      </c>
      <c r="J265" s="1"/>
      <c r="K265" s="1"/>
      <c r="L265" s="1"/>
      <c r="M265" s="1"/>
      <c r="N265" s="1"/>
      <c r="O265" s="1"/>
      <c r="P265" s="1"/>
      <c r="Q265" s="1"/>
      <c r="R265" s="1"/>
      <c r="S265" s="1"/>
      <c r="T265" s="1"/>
      <c r="U265" s="41" t="str">
        <f t="shared" ref="U265:U270" ca="1" si="108">V265&amp;""&amp;",..,"&amp;""&amp;W265</f>
        <v>101,..,1701</v>
      </c>
      <c r="V265" s="41">
        <f ca="1">(SUMPRODUCT(MID(0&amp;(LEFT(A264,SUM(LEN(A264)-LEN(SUBSTITUTE(A264,{"0","1","2","3"},""))))), LARGE(INDEX(ISNUMBER(--MID((LEFT(A264,SUM(LEN(A264)-LEN(SUBSTITUTE(A264,{"0","1","2","3"},""))))), ROW(INDIRECT("1:"&amp;LEN((LEFT(A264,SUM(LEN(A264)-LEN(SUBSTITUTE(A264,{"0","1","2","3"},"")))))))), 1)) * ROW(INDIRECT("1:"&amp;LEN((LEFT(A264,SUM(LEN(A264)-LEN(SUBSTITUTE(A264,{"0","1","2","3"},"")))))))), 0), ROW(INDIRECT("1:"&amp;LEN((LEFT(A264,SUM(LEN(A264)-LEN(SUBSTITUTE(A264,{"0","1","2","3"},"")))))))))+1, 1) * 10^ROW(INDIRECT("1:"&amp;LEN((LEFT(A264,SUM(LEN(A264)-LEN(SUBSTITUTE(A264,{"0","1","2","3"},""))))))))/10))*100+1</f>
        <v>101</v>
      </c>
      <c r="W265" s="41">
        <f ca="1">(SUMPRODUCT(MID(0&amp;(--TRIM(RIGHT(SUBSTITUTE(LEFT(A264,_xlfn.AGGREGATE(16,6,FIND({0,1,2,3,4,5,6,7,8,9},A264,ROW(INDIRECT("1:"&amp;LEN(A264)))),1))," ",REPT(" ",LEN(A264))),LEN(A264)))), LARGE(INDEX(ISNUMBER(--MID((--TRIM(RIGHT(SUBSTITUTE(LEFT(A264,_xlfn.AGGREGATE(16,6,FIND({0,1,2,3,4,5,6,7,8,9},A264,ROW(INDIRECT("1:"&amp;LEN(A264)))),1))," ",REPT(" ",LEN(A264))),LEN(A264)))), ROW(INDIRECT("1:"&amp;LEN((--TRIM(RIGHT(SUBSTITUTE(LEFT(A264,_xlfn.AGGREGATE(16,6,FIND({0,1,2,3,4,5,6,7,8,9},A264,ROW(INDIRECT("1:"&amp;LEN(A264)))),1))," ",REPT(" ",LEN(A264))),LEN(A264))))))), 1)) * ROW(INDIRECT("1:"&amp;LEN((--TRIM(RIGHT(SUBSTITUTE(LEFT(A264,_xlfn.AGGREGATE(16,6,FIND({0,1,2,3,4,5,6,7,8,9},A264,ROW(INDIRECT("1:"&amp;LEN(A264)))),1))," ",REPT(" ",LEN(A264))),LEN(A264))))))), 0), ROW(INDIRECT("1:"&amp;LEN((--TRIM(RIGHT(SUBSTITUTE(LEFT(A264,_xlfn.AGGREGATE(16,6,FIND({0,1,2,3,4,5,6,7,8,9},A264,ROW(INDIRECT("1:"&amp;LEN(A264)))),1))," ",REPT(" ",LEN(A264))),LEN(A264))))))))+1, 1) * 10^ROW(INDIRECT("1:"&amp;LEN((--TRIM(RIGHT(SUBSTITUTE(LEFT(A264,_xlfn.AGGREGATE(16,6,FIND({0,1,2,3,4,5,6,7,8,9},A264,ROW(INDIRECT("1:"&amp;LEN(A264)))),1))," ",REPT(" ",LEN(A264))),LEN(A264)))))))/10))*100+1</f>
        <v>1701</v>
      </c>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customHeight="1" x14ac:dyDescent="0.3">
      <c r="A266" s="68" t="str">
        <f t="shared" ref="A266:A270" si="109">A265</f>
        <v>17th Floor (Part Refuge Area)</v>
      </c>
      <c r="B266" s="68"/>
      <c r="C266" s="69">
        <v>2</v>
      </c>
      <c r="D266" s="70"/>
      <c r="E266" s="19" t="s">
        <v>223</v>
      </c>
      <c r="F266" s="69">
        <f>(3.05*3.35+3.05*6.35+2.15*2.6+3.05*3.05+0.9*2.15+(1.4*2.55+1.375*2.3)+(0.75*(3.05+3.05+2.15+3.05)))*10.764</f>
        <v>663.27767999999992</v>
      </c>
      <c r="G266" s="70"/>
      <c r="H266" s="19">
        <v>0</v>
      </c>
      <c r="I266" s="19">
        <f t="shared" si="107"/>
        <v>1061.2442879999999</v>
      </c>
      <c r="J266" s="1"/>
      <c r="K266" s="1"/>
      <c r="L266" s="1"/>
      <c r="M266" s="1"/>
      <c r="N266" s="1"/>
      <c r="O266" s="1"/>
      <c r="P266" s="1"/>
      <c r="Q266" s="1"/>
      <c r="R266" s="1"/>
      <c r="S266" s="1"/>
      <c r="T266" s="1"/>
      <c r="U266" s="41" t="str">
        <f t="shared" ca="1" si="108"/>
        <v>102,..,1702</v>
      </c>
      <c r="V266" s="41">
        <f ca="1">V265+1</f>
        <v>102</v>
      </c>
      <c r="W266" s="41">
        <f ca="1">W265+1</f>
        <v>1702</v>
      </c>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customHeight="1" x14ac:dyDescent="0.3">
      <c r="A267" s="68" t="str">
        <f t="shared" si="109"/>
        <v>17th Floor (Part Refuge Area)</v>
      </c>
      <c r="B267" s="68"/>
      <c r="C267" s="69">
        <v>3</v>
      </c>
      <c r="D267" s="70"/>
      <c r="E267" s="19" t="s">
        <v>222</v>
      </c>
      <c r="F267" s="69">
        <f>(1.525*2.3+3.15*5.15+1.1*2.375+3.3*2.325+3.05*3.05+3.175*3.35+3.05*3.35+1.1*1.375+(1.375*2.3+2.3*1.375+1.375*2.3)+(0.75*(2.325+3.05+3.05+3.15)))*10.764</f>
        <v>859.53231000000005</v>
      </c>
      <c r="G267" s="70"/>
      <c r="H267" s="19">
        <v>0</v>
      </c>
      <c r="I267" s="19">
        <f t="shared" si="107"/>
        <v>1375.2516960000003</v>
      </c>
      <c r="J267" s="1"/>
      <c r="K267" s="1"/>
      <c r="L267" s="1"/>
      <c r="M267" s="1"/>
      <c r="N267" s="1"/>
      <c r="O267" s="1"/>
      <c r="P267" s="1"/>
      <c r="Q267" s="1"/>
      <c r="R267" s="1"/>
      <c r="S267" s="1"/>
      <c r="T267" s="1"/>
      <c r="U267" s="41" t="str">
        <f t="shared" ca="1" si="108"/>
        <v>103,..,1703</v>
      </c>
      <c r="V267" s="41">
        <f t="shared" ref="V267:W267" ca="1" si="110">V266+1</f>
        <v>103</v>
      </c>
      <c r="W267" s="41">
        <f t="shared" ca="1" si="110"/>
        <v>1703</v>
      </c>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customHeight="1" x14ac:dyDescent="0.3">
      <c r="A268" s="68" t="str">
        <f t="shared" si="109"/>
        <v>17th Floor (Part Refuge Area)</v>
      </c>
      <c r="B268" s="68"/>
      <c r="C268" s="69">
        <v>4</v>
      </c>
      <c r="D268" s="70"/>
      <c r="E268" s="19" t="s">
        <v>240</v>
      </c>
      <c r="F268" s="160">
        <f>(0.85*1.125+2.15*3.35+3.05*4.625+1.405*1+3.05*3.35+((1.375*2.3)*2)+(0.75*(3.05+2.15)))*10.764</f>
        <v>474.82695000000001</v>
      </c>
      <c r="G268" s="161"/>
      <c r="H268" s="19">
        <v>0</v>
      </c>
      <c r="I268" s="19">
        <f t="shared" si="107"/>
        <v>759.72312000000011</v>
      </c>
      <c r="J268" s="1"/>
      <c r="K268" s="1"/>
      <c r="L268" s="1"/>
      <c r="M268" s="1"/>
      <c r="N268" s="1"/>
      <c r="O268" s="1"/>
      <c r="P268" s="1"/>
      <c r="Q268" s="1"/>
      <c r="R268" s="1"/>
      <c r="S268" s="1"/>
      <c r="T268" s="1"/>
      <c r="U268" s="41" t="str">
        <f t="shared" ca="1" si="108"/>
        <v>104,..,1704</v>
      </c>
      <c r="V268" s="41">
        <f t="shared" ref="V268:W268" ca="1" si="111">V267+1</f>
        <v>104</v>
      </c>
      <c r="W268" s="41">
        <f t="shared" ca="1" si="111"/>
        <v>1704</v>
      </c>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customHeight="1" x14ac:dyDescent="0.3">
      <c r="A269" s="68" t="str">
        <f t="shared" si="109"/>
        <v>17th Floor (Part Refuge Area)</v>
      </c>
      <c r="B269" s="68"/>
      <c r="C269" s="69">
        <v>5</v>
      </c>
      <c r="D269" s="70"/>
      <c r="E269" s="69" t="s">
        <v>226</v>
      </c>
      <c r="F269" s="163"/>
      <c r="G269" s="163"/>
      <c r="H269" s="163"/>
      <c r="I269" s="70"/>
      <c r="J269" s="1"/>
      <c r="K269" s="1"/>
      <c r="L269" s="1"/>
      <c r="M269" s="1"/>
      <c r="N269" s="1"/>
      <c r="O269" s="1"/>
      <c r="P269" s="1"/>
      <c r="Q269" s="1"/>
      <c r="R269" s="1"/>
      <c r="S269" s="1"/>
      <c r="T269" s="1"/>
      <c r="U269" s="41" t="str">
        <f t="shared" ca="1" si="108"/>
        <v>105,..,1705</v>
      </c>
      <c r="V269" s="41">
        <f t="shared" ref="V269:W269" ca="1" si="112">V268+1</f>
        <v>105</v>
      </c>
      <c r="W269" s="41">
        <f t="shared" ca="1" si="112"/>
        <v>1705</v>
      </c>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customHeight="1" x14ac:dyDescent="0.3">
      <c r="A270" s="68" t="str">
        <f t="shared" si="109"/>
        <v>17th Floor (Part Refuge Area)</v>
      </c>
      <c r="B270" s="68"/>
      <c r="C270" s="69">
        <v>6</v>
      </c>
      <c r="D270" s="70"/>
      <c r="E270" s="19" t="s">
        <v>240</v>
      </c>
      <c r="F270" s="160">
        <f>(0.85*1.125+2.15*3.35+3.05*4.625+1.405*1+3.05*3.35+((1.375*2.3)*2)+(0.75*(3.05+2.15)))*10.764</f>
        <v>474.82695000000001</v>
      </c>
      <c r="G270" s="161"/>
      <c r="H270" s="19">
        <v>0</v>
      </c>
      <c r="I270" s="19">
        <f t="shared" ref="I270" si="113">F270*(($I$130)+1)+H270</f>
        <v>759.72312000000011</v>
      </c>
      <c r="J270" s="1"/>
      <c r="K270" s="1"/>
      <c r="L270" s="1"/>
      <c r="M270" s="1"/>
      <c r="N270" s="1"/>
      <c r="O270" s="1"/>
      <c r="P270" s="1"/>
      <c r="Q270" s="1"/>
      <c r="R270" s="1"/>
      <c r="S270" s="1"/>
      <c r="T270" s="1"/>
      <c r="U270" s="41" t="str">
        <f t="shared" ca="1" si="108"/>
        <v>106,..,1706</v>
      </c>
      <c r="V270" s="41">
        <f t="shared" ref="V270:W270" ca="1" si="114">V269+1</f>
        <v>106</v>
      </c>
      <c r="W270" s="41">
        <f t="shared" ca="1" si="114"/>
        <v>1706</v>
      </c>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1" x14ac:dyDescent="0.3">
      <c r="A271" s="71" t="s">
        <v>244</v>
      </c>
      <c r="B271" s="72"/>
      <c r="C271" s="72"/>
      <c r="D271" s="72"/>
      <c r="E271" s="72"/>
      <c r="F271" s="72"/>
      <c r="G271" s="72"/>
      <c r="H271" s="72"/>
      <c r="I271" s="16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customHeight="1" x14ac:dyDescent="0.3">
      <c r="A272" s="68" t="str">
        <f>A271</f>
        <v>16th, 18th, 19th Floor</v>
      </c>
      <c r="B272" s="68"/>
      <c r="C272" s="69">
        <v>1</v>
      </c>
      <c r="D272" s="70"/>
      <c r="E272" s="19" t="s">
        <v>222</v>
      </c>
      <c r="F272" s="69">
        <f>(1.525*2.3+3.15*5.15+1.1*2.375+3.3*2.325+3.05*3.05+3.175*3.35+3.05*3.35+1.1*1.375+(1.375*2.3+2.3*1.375+1.375*2.3)+(0.75*(2.325+3.05+3.05+3.15)))*10.764</f>
        <v>859.53231000000005</v>
      </c>
      <c r="G272" s="70"/>
      <c r="H272" s="19">
        <v>0</v>
      </c>
      <c r="I272" s="19">
        <f t="shared" ref="I272:I277" si="115">F272*(($I$130)+1)+H272</f>
        <v>1375.2516960000003</v>
      </c>
      <c r="J272" s="1"/>
      <c r="K272" s="1"/>
      <c r="L272" s="1"/>
      <c r="M272" s="1"/>
      <c r="N272" s="1"/>
      <c r="O272" s="1"/>
      <c r="P272" s="1"/>
      <c r="Q272" s="1"/>
      <c r="R272" s="1"/>
      <c r="S272" s="1"/>
      <c r="T272" s="1"/>
      <c r="U272" s="41" t="str">
        <f t="shared" ref="U272:U277" ca="1" si="116">V272&amp;""&amp;",..,"&amp;""&amp;W272</f>
        <v>1601,..,1901</v>
      </c>
      <c r="V272" s="41">
        <f ca="1">(SUMPRODUCT(MID(0&amp;(LEFT(A271,SUM(LEN(A271)-LEN(SUBSTITUTE(A271,{"0","1","2","3"},""))))), LARGE(INDEX(ISNUMBER(--MID((LEFT(A271,SUM(LEN(A271)-LEN(SUBSTITUTE(A271,{"0","1","2","3"},""))))), ROW(INDIRECT("1:"&amp;LEN((LEFT(A271,SUM(LEN(A271)-LEN(SUBSTITUTE(A271,{"0","1","2","3"},"")))))))), 1)) * ROW(INDIRECT("1:"&amp;LEN((LEFT(A271,SUM(LEN(A271)-LEN(SUBSTITUTE(A271,{"0","1","2","3"},"")))))))), 0), ROW(INDIRECT("1:"&amp;LEN((LEFT(A271,SUM(LEN(A271)-LEN(SUBSTITUTE(A271,{"0","1","2","3"},"")))))))))+1, 1) * 10^ROW(INDIRECT("1:"&amp;LEN((LEFT(A271,SUM(LEN(A271)-LEN(SUBSTITUTE(A271,{"0","1","2","3"},""))))))))/10))*100+1</f>
        <v>1601</v>
      </c>
      <c r="W272" s="41">
        <f ca="1">(SUMPRODUCT(MID(0&amp;(--TRIM(RIGHT(SUBSTITUTE(LEFT(A271,_xlfn.AGGREGATE(16,6,FIND({0,1,2,3,4,5,6,7,8,9},A271,ROW(INDIRECT("1:"&amp;LEN(A271)))),1))," ",REPT(" ",LEN(A271))),LEN(A271)))), LARGE(INDEX(ISNUMBER(--MID((--TRIM(RIGHT(SUBSTITUTE(LEFT(A271,_xlfn.AGGREGATE(16,6,FIND({0,1,2,3,4,5,6,7,8,9},A271,ROW(INDIRECT("1:"&amp;LEN(A271)))),1))," ",REPT(" ",LEN(A271))),LEN(A271)))), ROW(INDIRECT("1:"&amp;LEN((--TRIM(RIGHT(SUBSTITUTE(LEFT(A271,_xlfn.AGGREGATE(16,6,FIND({0,1,2,3,4,5,6,7,8,9},A271,ROW(INDIRECT("1:"&amp;LEN(A271)))),1))," ",REPT(" ",LEN(A271))),LEN(A271))))))), 1)) * ROW(INDIRECT("1:"&amp;LEN((--TRIM(RIGHT(SUBSTITUTE(LEFT(A271,_xlfn.AGGREGATE(16,6,FIND({0,1,2,3,4,5,6,7,8,9},A271,ROW(INDIRECT("1:"&amp;LEN(A271)))),1))," ",REPT(" ",LEN(A271))),LEN(A271))))))), 0), ROW(INDIRECT("1:"&amp;LEN((--TRIM(RIGHT(SUBSTITUTE(LEFT(A271,_xlfn.AGGREGATE(16,6,FIND({0,1,2,3,4,5,6,7,8,9},A271,ROW(INDIRECT("1:"&amp;LEN(A271)))),1))," ",REPT(" ",LEN(A271))),LEN(A271))))))))+1, 1) * 10^ROW(INDIRECT("1:"&amp;LEN((--TRIM(RIGHT(SUBSTITUTE(LEFT(A271,_xlfn.AGGREGATE(16,6,FIND({0,1,2,3,4,5,6,7,8,9},A271,ROW(INDIRECT("1:"&amp;LEN(A271)))),1))," ",REPT(" ",LEN(A271))),LEN(A271)))))))/10))*100+1</f>
        <v>1901</v>
      </c>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customHeight="1" x14ac:dyDescent="0.3">
      <c r="A273" s="68" t="str">
        <f t="shared" ref="A273:A277" si="117">A272</f>
        <v>16th, 18th, 19th Floor</v>
      </c>
      <c r="B273" s="68"/>
      <c r="C273" s="69">
        <v>2</v>
      </c>
      <c r="D273" s="70"/>
      <c r="E273" s="19" t="s">
        <v>223</v>
      </c>
      <c r="F273" s="69">
        <f>(3.05*3.35+3.05*6.35+2.15*2.6+3.05*3.05+0.9*2.15+(1.4*2.55+1.375*2.3)+(0.75*(3.05+3.05+2.15+3.05)))*10.764</f>
        <v>663.27767999999992</v>
      </c>
      <c r="G273" s="70"/>
      <c r="H273" s="19">
        <v>0</v>
      </c>
      <c r="I273" s="19">
        <f t="shared" si="115"/>
        <v>1061.2442879999999</v>
      </c>
      <c r="J273" s="1"/>
      <c r="K273" s="1"/>
      <c r="L273" s="1"/>
      <c r="M273" s="1"/>
      <c r="N273" s="1"/>
      <c r="O273" s="1"/>
      <c r="P273" s="1"/>
      <c r="Q273" s="1"/>
      <c r="R273" s="1"/>
      <c r="S273" s="1"/>
      <c r="T273" s="1"/>
      <c r="U273" s="41" t="str">
        <f t="shared" ca="1" si="116"/>
        <v>1602,..,1902</v>
      </c>
      <c r="V273" s="41">
        <f ca="1">V272+1</f>
        <v>1602</v>
      </c>
      <c r="W273" s="41">
        <f ca="1">W272+1</f>
        <v>1902</v>
      </c>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customHeight="1" x14ac:dyDescent="0.3">
      <c r="A274" s="68" t="str">
        <f t="shared" si="117"/>
        <v>16th, 18th, 19th Floor</v>
      </c>
      <c r="B274" s="68"/>
      <c r="C274" s="69">
        <v>3</v>
      </c>
      <c r="D274" s="70"/>
      <c r="E274" s="19" t="s">
        <v>222</v>
      </c>
      <c r="F274" s="69">
        <f>(1.525*2.3+3.15*5.15+1.1*2.375+3.3*2.325+3.05*3.05+3.175*3.35+3.05*3.35+1.1*1.375+(1.375*2.3+2.3*1.375+1.375*2.3)+(0.75*(2.325+3.05+3.05+3.15)))*10.764</f>
        <v>859.53231000000005</v>
      </c>
      <c r="G274" s="70"/>
      <c r="H274" s="19">
        <v>0</v>
      </c>
      <c r="I274" s="19">
        <f t="shared" si="115"/>
        <v>1375.2516960000003</v>
      </c>
      <c r="J274" s="1"/>
      <c r="K274" s="1"/>
      <c r="L274" s="1"/>
      <c r="M274" s="1"/>
      <c r="N274" s="1"/>
      <c r="O274" s="1"/>
      <c r="P274" s="1"/>
      <c r="Q274" s="1"/>
      <c r="R274" s="1"/>
      <c r="S274" s="1"/>
      <c r="T274" s="1"/>
      <c r="U274" s="41" t="str">
        <f t="shared" ca="1" si="116"/>
        <v>1603,..,1903</v>
      </c>
      <c r="V274" s="41">
        <f t="shared" ref="V274:W274" ca="1" si="118">V273+1</f>
        <v>1603</v>
      </c>
      <c r="W274" s="41">
        <f t="shared" ca="1" si="118"/>
        <v>1903</v>
      </c>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customHeight="1" x14ac:dyDescent="0.3">
      <c r="A275" s="68" t="str">
        <f t="shared" si="117"/>
        <v>16th, 18th, 19th Floor</v>
      </c>
      <c r="B275" s="68"/>
      <c r="C275" s="69">
        <v>4</v>
      </c>
      <c r="D275" s="70"/>
      <c r="E275" s="19" t="s">
        <v>240</v>
      </c>
      <c r="F275" s="160">
        <f>(0.85*1.125+2.15*3.35+3.05*4.625+1.405*1+3.05*3.35+((1.375*2.3)*2)+(0.75*(3.05+2.15)))*10.764</f>
        <v>474.82695000000001</v>
      </c>
      <c r="G275" s="161"/>
      <c r="H275" s="19">
        <v>0</v>
      </c>
      <c r="I275" s="19">
        <f t="shared" si="115"/>
        <v>759.72312000000011</v>
      </c>
      <c r="J275" s="1"/>
      <c r="K275" s="1"/>
      <c r="L275" s="1"/>
      <c r="M275" s="1"/>
      <c r="N275" s="1"/>
      <c r="O275" s="1"/>
      <c r="P275" s="1"/>
      <c r="Q275" s="1"/>
      <c r="R275" s="1"/>
      <c r="S275" s="1"/>
      <c r="T275" s="1"/>
      <c r="U275" s="41" t="str">
        <f t="shared" ca="1" si="116"/>
        <v>1604,..,1904</v>
      </c>
      <c r="V275" s="41">
        <f t="shared" ref="V275:W275" ca="1" si="119">V274+1</f>
        <v>1604</v>
      </c>
      <c r="W275" s="41">
        <f t="shared" ca="1" si="119"/>
        <v>1904</v>
      </c>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customHeight="1" x14ac:dyDescent="0.3">
      <c r="A276" s="68" t="str">
        <f t="shared" si="117"/>
        <v>16th, 18th, 19th Floor</v>
      </c>
      <c r="B276" s="68"/>
      <c r="C276" s="69">
        <v>5</v>
      </c>
      <c r="D276" s="70"/>
      <c r="E276" s="19" t="s">
        <v>223</v>
      </c>
      <c r="F276" s="69">
        <f>(3.05*3.65+2.3*2.65+2.9*2.925+2.45*2.925+1*2.3+(2.3*1.525+1.65*1.525)++(0.75*(2.9+3.05+2.3))+1.475*2.4)*10.764</f>
        <v>548.18360999999993</v>
      </c>
      <c r="G276" s="70"/>
      <c r="H276" s="19">
        <v>0</v>
      </c>
      <c r="I276" s="19">
        <f t="shared" si="115"/>
        <v>877.09377599999993</v>
      </c>
      <c r="J276" s="1"/>
      <c r="K276" s="1"/>
      <c r="L276" s="1"/>
      <c r="M276" s="1"/>
      <c r="N276" s="1"/>
      <c r="O276" s="1"/>
      <c r="P276" s="1"/>
      <c r="Q276" s="1"/>
      <c r="R276" s="1"/>
      <c r="S276" s="1"/>
      <c r="T276" s="1"/>
      <c r="U276" s="41" t="str">
        <f t="shared" ca="1" si="116"/>
        <v>1605,..,1905</v>
      </c>
      <c r="V276" s="41">
        <f t="shared" ref="V276:W276" ca="1" si="120">V275+1</f>
        <v>1605</v>
      </c>
      <c r="W276" s="41">
        <f t="shared" ca="1" si="120"/>
        <v>1905</v>
      </c>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3">
      <c r="A277" s="68" t="str">
        <f t="shared" si="117"/>
        <v>16th, 18th, 19th Floor</v>
      </c>
      <c r="B277" s="68"/>
      <c r="C277" s="69">
        <v>6</v>
      </c>
      <c r="D277" s="70"/>
      <c r="E277" s="19" t="s">
        <v>240</v>
      </c>
      <c r="F277" s="160">
        <f>(0.85*1.125+2.15*3.35+3.05*4.625+1.405*1+3.05*3.35+((1.375*2.3)*2)+(0.75*(3.05+2.15)))*10.764</f>
        <v>474.82695000000001</v>
      </c>
      <c r="G277" s="161"/>
      <c r="H277" s="19">
        <v>0</v>
      </c>
      <c r="I277" s="19">
        <f t="shared" si="115"/>
        <v>759.72312000000011</v>
      </c>
      <c r="J277" s="1"/>
      <c r="K277" s="1"/>
      <c r="L277" s="1"/>
      <c r="M277" s="1"/>
      <c r="N277" s="1"/>
      <c r="O277" s="1"/>
      <c r="P277" s="1"/>
      <c r="Q277" s="1"/>
      <c r="R277" s="1"/>
      <c r="S277" s="1"/>
      <c r="T277" s="1"/>
      <c r="U277" s="41" t="str">
        <f t="shared" ca="1" si="116"/>
        <v>1606,..,1906</v>
      </c>
      <c r="V277" s="41">
        <f t="shared" ref="V277:W277" ca="1" si="121">V276+1</f>
        <v>1606</v>
      </c>
      <c r="W277" s="41">
        <f t="shared" ca="1" si="121"/>
        <v>1906</v>
      </c>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1" x14ac:dyDescent="0.3">
      <c r="A278" s="71" t="s">
        <v>246</v>
      </c>
      <c r="B278" s="72"/>
      <c r="C278" s="72"/>
      <c r="D278" s="72"/>
      <c r="E278" s="72"/>
      <c r="F278" s="72"/>
      <c r="G278" s="72"/>
      <c r="H278" s="72"/>
      <c r="I278" s="16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customHeight="1" x14ac:dyDescent="0.3">
      <c r="A279" s="68" t="str">
        <f>A278</f>
        <v>20th, 21st, 23rd to 26th, 28th to 31st Floor</v>
      </c>
      <c r="B279" s="68"/>
      <c r="C279" s="69">
        <v>1</v>
      </c>
      <c r="D279" s="70"/>
      <c r="E279" s="19" t="s">
        <v>222</v>
      </c>
      <c r="F279" s="69">
        <f>(1.525*2.3+3.15*5.15+1.1*2.375+3.3*2.325+3.05*3.05+3.175*3.35+3.05*3.35+1.1*1.375+(1.375*2.3+2.3*1.375+1.375*2.3)+(0.75*(2.325+3.05+3.05+3.15)))*10.764</f>
        <v>859.53231000000005</v>
      </c>
      <c r="G279" s="70"/>
      <c r="H279" s="19">
        <v>0</v>
      </c>
      <c r="I279" s="19">
        <f t="shared" ref="I279:I284" si="122">F279*(($I$130)+1)+H279</f>
        <v>1375.2516960000003</v>
      </c>
      <c r="J279" s="1"/>
      <c r="K279" s="1"/>
      <c r="L279" s="1"/>
      <c r="M279" s="1"/>
      <c r="N279" s="1"/>
      <c r="O279" s="1"/>
      <c r="P279" s="1"/>
      <c r="Q279" s="1"/>
      <c r="R279" s="1"/>
      <c r="S279" s="1"/>
      <c r="T279" s="1"/>
      <c r="U279" s="41" t="str">
        <f t="shared" ref="U279:U284" ca="1" si="123">V279&amp;""&amp;",..,"&amp;""&amp;W279</f>
        <v>202101,..,3101</v>
      </c>
      <c r="V279" s="41">
        <f ca="1">(SUMPRODUCT(MID(0&amp;(LEFT(A278,SUM(LEN(A278)-LEN(SUBSTITUTE(A278,{"0","1","2","3"},""))))), LARGE(INDEX(ISNUMBER(--MID((LEFT(A278,SUM(LEN(A278)-LEN(SUBSTITUTE(A278,{"0","1","2","3"},""))))), ROW(INDIRECT("1:"&amp;LEN((LEFT(A278,SUM(LEN(A278)-LEN(SUBSTITUTE(A278,{"0","1","2","3"},"")))))))), 1)) * ROW(INDIRECT("1:"&amp;LEN((LEFT(A278,SUM(LEN(A278)-LEN(SUBSTITUTE(A278,{"0","1","2","3"},"")))))))), 0), ROW(INDIRECT("1:"&amp;LEN((LEFT(A278,SUM(LEN(A278)-LEN(SUBSTITUTE(A278,{"0","1","2","3"},"")))))))))+1, 1) * 10^ROW(INDIRECT("1:"&amp;LEN((LEFT(A278,SUM(LEN(A278)-LEN(SUBSTITUTE(A278,{"0","1","2","3"},""))))))))/10))*100+1</f>
        <v>202101</v>
      </c>
      <c r="W279" s="41">
        <f ca="1">(SUMPRODUCT(MID(0&amp;(--TRIM(RIGHT(SUBSTITUTE(LEFT(A278,_xlfn.AGGREGATE(16,6,FIND({0,1,2,3,4,5,6,7,8,9},A278,ROW(INDIRECT("1:"&amp;LEN(A278)))),1))," ",REPT(" ",LEN(A278))),LEN(A278)))), LARGE(INDEX(ISNUMBER(--MID((--TRIM(RIGHT(SUBSTITUTE(LEFT(A278,_xlfn.AGGREGATE(16,6,FIND({0,1,2,3,4,5,6,7,8,9},A278,ROW(INDIRECT("1:"&amp;LEN(A278)))),1))," ",REPT(" ",LEN(A278))),LEN(A278)))), ROW(INDIRECT("1:"&amp;LEN((--TRIM(RIGHT(SUBSTITUTE(LEFT(A278,_xlfn.AGGREGATE(16,6,FIND({0,1,2,3,4,5,6,7,8,9},A278,ROW(INDIRECT("1:"&amp;LEN(A278)))),1))," ",REPT(" ",LEN(A278))),LEN(A278))))))), 1)) * ROW(INDIRECT("1:"&amp;LEN((--TRIM(RIGHT(SUBSTITUTE(LEFT(A278,_xlfn.AGGREGATE(16,6,FIND({0,1,2,3,4,5,6,7,8,9},A278,ROW(INDIRECT("1:"&amp;LEN(A278)))),1))," ",REPT(" ",LEN(A278))),LEN(A278))))))), 0), ROW(INDIRECT("1:"&amp;LEN((--TRIM(RIGHT(SUBSTITUTE(LEFT(A278,_xlfn.AGGREGATE(16,6,FIND({0,1,2,3,4,5,6,7,8,9},A278,ROW(INDIRECT("1:"&amp;LEN(A278)))),1))," ",REPT(" ",LEN(A278))),LEN(A278))))))))+1, 1) * 10^ROW(INDIRECT("1:"&amp;LEN((--TRIM(RIGHT(SUBSTITUTE(LEFT(A278,_xlfn.AGGREGATE(16,6,FIND({0,1,2,3,4,5,6,7,8,9},A278,ROW(INDIRECT("1:"&amp;LEN(A278)))),1))," ",REPT(" ",LEN(A278))),LEN(A278)))))))/10))*100+1</f>
        <v>3101</v>
      </c>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3">
      <c r="A280" s="68" t="str">
        <f t="shared" ref="A280:A284" si="124">A279</f>
        <v>20th, 21st, 23rd to 26th, 28th to 31st Floor</v>
      </c>
      <c r="B280" s="68"/>
      <c r="C280" s="69">
        <v>2</v>
      </c>
      <c r="D280" s="70"/>
      <c r="E280" s="19" t="s">
        <v>223</v>
      </c>
      <c r="F280" s="69">
        <f>(3.05*3.35+3.05*6.35+2.15*2.6+3.05*3.05+0.9*2.15+(1.4*2.55+1.375*2.3)+(0.75*(3.05+3.05+2.15+3.05)))*10.764</f>
        <v>663.27767999999992</v>
      </c>
      <c r="G280" s="70"/>
      <c r="H280" s="19">
        <v>0</v>
      </c>
      <c r="I280" s="19">
        <f t="shared" si="122"/>
        <v>1061.2442879999999</v>
      </c>
      <c r="J280" s="1"/>
      <c r="K280" s="1"/>
      <c r="L280" s="1"/>
      <c r="M280" s="1"/>
      <c r="N280" s="1"/>
      <c r="O280" s="1"/>
      <c r="P280" s="1"/>
      <c r="Q280" s="1"/>
      <c r="R280" s="1"/>
      <c r="S280" s="1"/>
      <c r="T280" s="1"/>
      <c r="U280" s="41" t="str">
        <f t="shared" ca="1" si="123"/>
        <v>202102,..,3102</v>
      </c>
      <c r="V280" s="41">
        <f ca="1">V279+1</f>
        <v>202102</v>
      </c>
      <c r="W280" s="41">
        <f ca="1">W279+1</f>
        <v>3102</v>
      </c>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3">
      <c r="A281" s="68" t="str">
        <f t="shared" si="124"/>
        <v>20th, 21st, 23rd to 26th, 28th to 31st Floor</v>
      </c>
      <c r="B281" s="68"/>
      <c r="C281" s="69">
        <v>3</v>
      </c>
      <c r="D281" s="70"/>
      <c r="E281" s="19" t="s">
        <v>222</v>
      </c>
      <c r="F281" s="69">
        <f>(1.525*2.3+3.15*5.15+1.1*2.375+3.3*2.325+3.05*3.05+3.175*3.35+3.05*3.35+1.1*1.375+(1.375*2.3+2.3*1.375+1.375*2.3)+(0.75*(2.325+3.05+3.05+3.15)))*10.764</f>
        <v>859.53231000000005</v>
      </c>
      <c r="G281" s="70"/>
      <c r="H281" s="19">
        <v>0</v>
      </c>
      <c r="I281" s="19">
        <f t="shared" si="122"/>
        <v>1375.2516960000003</v>
      </c>
      <c r="J281" s="1"/>
      <c r="K281" s="1"/>
      <c r="L281" s="1"/>
      <c r="M281" s="1"/>
      <c r="N281" s="1"/>
      <c r="O281" s="1"/>
      <c r="P281" s="1"/>
      <c r="Q281" s="1"/>
      <c r="R281" s="1"/>
      <c r="S281" s="1"/>
      <c r="T281" s="1"/>
      <c r="U281" s="41" t="str">
        <f t="shared" ca="1" si="123"/>
        <v>202103,..,3103</v>
      </c>
      <c r="V281" s="41">
        <f t="shared" ref="V281:W281" ca="1" si="125">V280+1</f>
        <v>202103</v>
      </c>
      <c r="W281" s="41">
        <f t="shared" ca="1" si="125"/>
        <v>3103</v>
      </c>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3">
      <c r="A282" s="68" t="str">
        <f t="shared" si="124"/>
        <v>20th, 21st, 23rd to 26th, 28th to 31st Floor</v>
      </c>
      <c r="B282" s="68"/>
      <c r="C282" s="69">
        <v>4</v>
      </c>
      <c r="D282" s="70"/>
      <c r="E282" s="19" t="s">
        <v>223</v>
      </c>
      <c r="F282" s="160">
        <f>(2.3*1.125+2.15*3.35+3.05*4.625+1.405*1+3.05*3.35+3.05*3.05+0.6*3.05+((1.375*2.3)*2)+(0.75*(3.05+2.15)))*10.764</f>
        <v>612.21595499999989</v>
      </c>
      <c r="G282" s="161"/>
      <c r="H282" s="19">
        <v>0</v>
      </c>
      <c r="I282" s="19">
        <f t="shared" si="122"/>
        <v>979.54552799999988</v>
      </c>
      <c r="J282" s="1"/>
      <c r="K282" s="1"/>
      <c r="L282" s="1"/>
      <c r="M282" s="1"/>
      <c r="N282" s="1"/>
      <c r="O282" s="1"/>
      <c r="P282" s="1"/>
      <c r="Q282" s="1"/>
      <c r="R282" s="1"/>
      <c r="S282" s="1"/>
      <c r="T282" s="1"/>
      <c r="U282" s="41" t="str">
        <f t="shared" ca="1" si="123"/>
        <v>202104,..,3104</v>
      </c>
      <c r="V282" s="41">
        <f t="shared" ref="V282:W282" ca="1" si="126">V281+1</f>
        <v>202104</v>
      </c>
      <c r="W282" s="41">
        <f t="shared" ca="1" si="126"/>
        <v>3104</v>
      </c>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customHeight="1" x14ac:dyDescent="0.3">
      <c r="A283" s="68" t="str">
        <f t="shared" si="124"/>
        <v>20th, 21st, 23rd to 26th, 28th to 31st Floor</v>
      </c>
      <c r="B283" s="68"/>
      <c r="C283" s="69">
        <v>5</v>
      </c>
      <c r="D283" s="70"/>
      <c r="E283" s="19" t="s">
        <v>222</v>
      </c>
      <c r="F283" s="160">
        <f>(2.3*3+3.05*3.65+2.3*2.65+2.9*3.25+2.45*2.6+2.9*3.25+1*2.3+1*2.45+(2*(2.3*1.525))+(0.75*(2.45+3.05+2.3)))*10.764</f>
        <v>720.7843499999999</v>
      </c>
      <c r="G283" s="161"/>
      <c r="H283" s="19">
        <v>0</v>
      </c>
      <c r="I283" s="19">
        <f t="shared" si="122"/>
        <v>1153.25496</v>
      </c>
      <c r="J283" s="1"/>
      <c r="K283" s="1"/>
      <c r="L283" s="1"/>
      <c r="M283" s="1"/>
      <c r="N283" s="1"/>
      <c r="O283" s="1"/>
      <c r="P283" s="1"/>
      <c r="Q283" s="1"/>
      <c r="R283" s="1"/>
      <c r="S283" s="1"/>
      <c r="T283" s="1"/>
      <c r="U283" s="41" t="str">
        <f t="shared" ca="1" si="123"/>
        <v>202105,..,3105</v>
      </c>
      <c r="V283" s="41">
        <f t="shared" ref="V283:W283" ca="1" si="127">V282+1</f>
        <v>202105</v>
      </c>
      <c r="W283" s="41">
        <f t="shared" ca="1" si="127"/>
        <v>3105</v>
      </c>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3">
      <c r="A284" s="68" t="str">
        <f t="shared" si="124"/>
        <v>20th, 21st, 23rd to 26th, 28th to 31st Floor</v>
      </c>
      <c r="B284" s="68"/>
      <c r="C284" s="69">
        <v>6</v>
      </c>
      <c r="D284" s="70"/>
      <c r="E284" s="19" t="s">
        <v>223</v>
      </c>
      <c r="F284" s="69">
        <f>(2.3*1.125+2.15*3.35+3.05*4.625+1.405*1+3.05*3.35+3.05*3.05+0.6*1.4+((1.375*2.3)*2)+0.15*0.6+(0.75*(3.05+2.15+3.05)))*10.764</f>
        <v>627.15100499999994</v>
      </c>
      <c r="G284" s="70"/>
      <c r="H284" s="19">
        <v>0</v>
      </c>
      <c r="I284" s="19">
        <f t="shared" si="122"/>
        <v>1003.441608</v>
      </c>
      <c r="J284" s="1"/>
      <c r="K284" s="1"/>
      <c r="L284" s="1"/>
      <c r="M284" s="1"/>
      <c r="N284" s="1"/>
      <c r="O284" s="1"/>
      <c r="P284" s="1"/>
      <c r="Q284" s="1"/>
      <c r="R284" s="1"/>
      <c r="S284" s="1"/>
      <c r="T284" s="1"/>
      <c r="U284" s="41" t="str">
        <f t="shared" ca="1" si="123"/>
        <v>202106,..,3106</v>
      </c>
      <c r="V284" s="41">
        <f t="shared" ref="V284:W284" ca="1" si="128">V283+1</f>
        <v>202106</v>
      </c>
      <c r="W284" s="41">
        <f t="shared" ca="1" si="128"/>
        <v>3106</v>
      </c>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1" x14ac:dyDescent="0.3">
      <c r="A285" s="71" t="s">
        <v>247</v>
      </c>
      <c r="B285" s="72"/>
      <c r="C285" s="72"/>
      <c r="D285" s="72"/>
      <c r="E285" s="72"/>
      <c r="F285" s="72"/>
      <c r="G285" s="72"/>
      <c r="H285" s="72"/>
      <c r="I285" s="16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3">
      <c r="A286" s="68" t="str">
        <f>A285</f>
        <v>22nd, 27th &amp; 32nd Floor (Part Refuge Area)</v>
      </c>
      <c r="B286" s="68"/>
      <c r="C286" s="69">
        <v>1</v>
      </c>
      <c r="D286" s="70"/>
      <c r="E286" s="19" t="s">
        <v>222</v>
      </c>
      <c r="F286" s="69">
        <f>(1.525*2.3+3.15*5.15+1.1*2.375+3.3*2.325+3.05*3.05+3.175*3.35+3.05*3.35+1.1*1.375+(1.375*2.3+2.3*1.375+1.375*2.3)+(0.75*(2.325+3.05+3.05+3.15)))*10.764</f>
        <v>859.53231000000005</v>
      </c>
      <c r="G286" s="70"/>
      <c r="H286" s="19">
        <v>0</v>
      </c>
      <c r="I286" s="19">
        <f t="shared" ref="I286:I289" si="129">F286*(($I$130)+1)+H286</f>
        <v>1375.2516960000003</v>
      </c>
      <c r="J286" s="1"/>
      <c r="K286" s="1"/>
      <c r="L286" s="1"/>
      <c r="M286" s="1"/>
      <c r="N286" s="1"/>
      <c r="O286" s="1"/>
      <c r="P286" s="1"/>
      <c r="Q286" s="1"/>
      <c r="R286" s="1"/>
      <c r="S286" s="1"/>
      <c r="T286" s="1"/>
      <c r="U286" s="41" t="str">
        <f t="shared" ref="U286:U291" ca="1" si="130">V286&amp;""&amp;",..,"&amp;""&amp;W286</f>
        <v>2201,..,3201</v>
      </c>
      <c r="V286" s="41">
        <f ca="1">(SUMPRODUCT(MID(0&amp;(LEFT(A285,SUM(LEN(A285)-LEN(SUBSTITUTE(A285,{"0","1","2","3"},""))))), LARGE(INDEX(ISNUMBER(--MID((LEFT(A285,SUM(LEN(A285)-LEN(SUBSTITUTE(A285,{"0","1","2","3"},""))))), ROW(INDIRECT("1:"&amp;LEN((LEFT(A285,SUM(LEN(A285)-LEN(SUBSTITUTE(A285,{"0","1","2","3"},"")))))))), 1)) * ROW(INDIRECT("1:"&amp;LEN((LEFT(A285,SUM(LEN(A285)-LEN(SUBSTITUTE(A285,{"0","1","2","3"},"")))))))), 0), ROW(INDIRECT("1:"&amp;LEN((LEFT(A285,SUM(LEN(A285)-LEN(SUBSTITUTE(A285,{"0","1","2","3"},"")))))))))+1, 1) * 10^ROW(INDIRECT("1:"&amp;LEN((LEFT(A285,SUM(LEN(A285)-LEN(SUBSTITUTE(A285,{"0","1","2","3"},""))))))))/10))*100+1</f>
        <v>2201</v>
      </c>
      <c r="W286" s="41">
        <f ca="1">(SUMPRODUCT(MID(0&amp;(--TRIM(RIGHT(SUBSTITUTE(LEFT(A285,_xlfn.AGGREGATE(16,6,FIND({0,1,2,3,4,5,6,7,8,9},A285,ROW(INDIRECT("1:"&amp;LEN(A285)))),1))," ",REPT(" ",LEN(A285))),LEN(A285)))), LARGE(INDEX(ISNUMBER(--MID((--TRIM(RIGHT(SUBSTITUTE(LEFT(A285,_xlfn.AGGREGATE(16,6,FIND({0,1,2,3,4,5,6,7,8,9},A285,ROW(INDIRECT("1:"&amp;LEN(A285)))),1))," ",REPT(" ",LEN(A285))),LEN(A285)))), ROW(INDIRECT("1:"&amp;LEN((--TRIM(RIGHT(SUBSTITUTE(LEFT(A285,_xlfn.AGGREGATE(16,6,FIND({0,1,2,3,4,5,6,7,8,9},A285,ROW(INDIRECT("1:"&amp;LEN(A285)))),1))," ",REPT(" ",LEN(A285))),LEN(A285))))))), 1)) * ROW(INDIRECT("1:"&amp;LEN((--TRIM(RIGHT(SUBSTITUTE(LEFT(A285,_xlfn.AGGREGATE(16,6,FIND({0,1,2,3,4,5,6,7,8,9},A285,ROW(INDIRECT("1:"&amp;LEN(A285)))),1))," ",REPT(" ",LEN(A285))),LEN(A285))))))), 0), ROW(INDIRECT("1:"&amp;LEN((--TRIM(RIGHT(SUBSTITUTE(LEFT(A285,_xlfn.AGGREGATE(16,6,FIND({0,1,2,3,4,5,6,7,8,9},A285,ROW(INDIRECT("1:"&amp;LEN(A285)))),1))," ",REPT(" ",LEN(A285))),LEN(A285))))))))+1, 1) * 10^ROW(INDIRECT("1:"&amp;LEN((--TRIM(RIGHT(SUBSTITUTE(LEFT(A285,_xlfn.AGGREGATE(16,6,FIND({0,1,2,3,4,5,6,7,8,9},A285,ROW(INDIRECT("1:"&amp;LEN(A285)))),1))," ",REPT(" ",LEN(A285))),LEN(A285)))))))/10))*100+1</f>
        <v>3201</v>
      </c>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3">
      <c r="A287" s="68" t="str">
        <f t="shared" ref="A287:A291" si="131">A286</f>
        <v>22nd, 27th &amp; 32nd Floor (Part Refuge Area)</v>
      </c>
      <c r="B287" s="68"/>
      <c r="C287" s="69">
        <v>2</v>
      </c>
      <c r="D287" s="70"/>
      <c r="E287" s="19" t="s">
        <v>223</v>
      </c>
      <c r="F287" s="69">
        <f>(3.05*3.35+3.05*6.35+2.15*2.6+3.05*3.05+0.9*2.15+(1.4*2.55+1.375*2.3)+(0.75*(3.05+3.05+2.15+3.05)))*10.764</f>
        <v>663.27767999999992</v>
      </c>
      <c r="G287" s="70"/>
      <c r="H287" s="19">
        <v>0</v>
      </c>
      <c r="I287" s="19">
        <f t="shared" si="129"/>
        <v>1061.2442879999999</v>
      </c>
      <c r="J287" s="1"/>
      <c r="K287" s="1"/>
      <c r="L287" s="1"/>
      <c r="M287" s="1"/>
      <c r="N287" s="1"/>
      <c r="O287" s="1"/>
      <c r="P287" s="1"/>
      <c r="Q287" s="1"/>
      <c r="R287" s="1"/>
      <c r="S287" s="1"/>
      <c r="T287" s="1"/>
      <c r="U287" s="41" t="str">
        <f t="shared" ca="1" si="130"/>
        <v>2202,..,3202</v>
      </c>
      <c r="V287" s="41">
        <f ca="1">V286+1</f>
        <v>2202</v>
      </c>
      <c r="W287" s="41">
        <f ca="1">W286+1</f>
        <v>3202</v>
      </c>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3">
      <c r="A288" s="68" t="str">
        <f t="shared" si="131"/>
        <v>22nd, 27th &amp; 32nd Floor (Part Refuge Area)</v>
      </c>
      <c r="B288" s="68"/>
      <c r="C288" s="69">
        <v>3</v>
      </c>
      <c r="D288" s="70"/>
      <c r="E288" s="19" t="s">
        <v>222</v>
      </c>
      <c r="F288" s="69">
        <f>(1.525*2.3+3.15*5.15+1.1*2.375+3.3*2.325+3.05*3.05+3.175*3.35+3.05*3.35+1.1*1.375+(1.375*2.3+2.3*1.375+1.375*2.3)+(0.75*(2.325+3.05+3.05+3.15)))*10.764</f>
        <v>859.53231000000005</v>
      </c>
      <c r="G288" s="70"/>
      <c r="H288" s="19">
        <v>0</v>
      </c>
      <c r="I288" s="19">
        <f t="shared" si="129"/>
        <v>1375.2516960000003</v>
      </c>
      <c r="J288" s="1"/>
      <c r="K288" s="1"/>
      <c r="L288" s="1"/>
      <c r="M288" s="1"/>
      <c r="N288" s="1"/>
      <c r="O288" s="1"/>
      <c r="P288" s="1"/>
      <c r="Q288" s="1"/>
      <c r="R288" s="1"/>
      <c r="S288" s="1"/>
      <c r="T288" s="1"/>
      <c r="U288" s="41" t="str">
        <f t="shared" ca="1" si="130"/>
        <v>2203,..,3203</v>
      </c>
      <c r="V288" s="41">
        <f t="shared" ref="V288:W288" ca="1" si="132">V287+1</f>
        <v>2203</v>
      </c>
      <c r="W288" s="41">
        <f t="shared" ca="1" si="132"/>
        <v>3203</v>
      </c>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customHeight="1" x14ac:dyDescent="0.3">
      <c r="A289" s="68" t="str">
        <f t="shared" si="131"/>
        <v>22nd, 27th &amp; 32nd Floor (Part Refuge Area)</v>
      </c>
      <c r="B289" s="68"/>
      <c r="C289" s="69">
        <v>4</v>
      </c>
      <c r="D289" s="70"/>
      <c r="E289" s="19" t="s">
        <v>223</v>
      </c>
      <c r="F289" s="160">
        <f>(2.3*1.125+2.15*3.35+3.05*4.625+1.405*1+3.05*3.35+3.05*3.05+0.6*3.05+((1.375*2.3)*2)+(0.75*(3.05+2.15)))*10.764</f>
        <v>612.21595499999989</v>
      </c>
      <c r="G289" s="161"/>
      <c r="H289" s="19">
        <v>0</v>
      </c>
      <c r="I289" s="19">
        <f t="shared" si="129"/>
        <v>979.54552799999988</v>
      </c>
      <c r="J289" s="1"/>
      <c r="K289" s="1"/>
      <c r="L289" s="1"/>
      <c r="M289" s="1"/>
      <c r="N289" s="1"/>
      <c r="O289" s="1"/>
      <c r="P289" s="1"/>
      <c r="Q289" s="1"/>
      <c r="R289" s="1"/>
      <c r="S289" s="1"/>
      <c r="T289" s="1"/>
      <c r="U289" s="41" t="str">
        <f t="shared" ca="1" si="130"/>
        <v>2204,..,3204</v>
      </c>
      <c r="V289" s="41">
        <f t="shared" ref="V289:W289" ca="1" si="133">V288+1</f>
        <v>2204</v>
      </c>
      <c r="W289" s="41">
        <f t="shared" ca="1" si="133"/>
        <v>3204</v>
      </c>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customHeight="1" x14ac:dyDescent="0.3">
      <c r="A290" s="68" t="str">
        <f t="shared" si="131"/>
        <v>22nd, 27th &amp; 32nd Floor (Part Refuge Area)</v>
      </c>
      <c r="B290" s="68"/>
      <c r="C290" s="69">
        <v>5</v>
      </c>
      <c r="D290" s="70"/>
      <c r="E290" s="69" t="s">
        <v>226</v>
      </c>
      <c r="F290" s="163"/>
      <c r="G290" s="163"/>
      <c r="H290" s="163"/>
      <c r="I290" s="70"/>
      <c r="J290" s="1"/>
      <c r="K290" s="1"/>
      <c r="L290" s="1"/>
      <c r="M290" s="1"/>
      <c r="N290" s="1"/>
      <c r="O290" s="1"/>
      <c r="P290" s="1"/>
      <c r="Q290" s="1"/>
      <c r="R290" s="1"/>
      <c r="S290" s="1"/>
      <c r="T290" s="1"/>
      <c r="U290" s="41" t="str">
        <f t="shared" ca="1" si="130"/>
        <v>2205,..,3205</v>
      </c>
      <c r="V290" s="41">
        <f t="shared" ref="V290:W290" ca="1" si="134">V289+1</f>
        <v>2205</v>
      </c>
      <c r="W290" s="41">
        <f t="shared" ca="1" si="134"/>
        <v>3205</v>
      </c>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3">
      <c r="A291" s="68" t="str">
        <f t="shared" si="131"/>
        <v>22nd, 27th &amp; 32nd Floor (Part Refuge Area)</v>
      </c>
      <c r="B291" s="68"/>
      <c r="C291" s="69">
        <v>6</v>
      </c>
      <c r="D291" s="70"/>
      <c r="E291" s="19" t="s">
        <v>223</v>
      </c>
      <c r="F291" s="69">
        <f>(2.3*1.125+2.15*3.35+3.05*4.625+1.405*1+3.05*3.35+3.05*3.05+0.6*1.4+((1.375*2.3)*2)+0.15*0.6+(0.75*(3.05+2.15+3.05)))*10.764</f>
        <v>627.15100499999994</v>
      </c>
      <c r="G291" s="70"/>
      <c r="H291" s="19">
        <v>0</v>
      </c>
      <c r="I291" s="19">
        <f t="shared" ref="I291" si="135">F291*(($I$130)+1)+H291</f>
        <v>1003.441608</v>
      </c>
      <c r="J291" s="1"/>
      <c r="K291" s="1"/>
      <c r="L291" s="1"/>
      <c r="M291" s="1"/>
      <c r="N291" s="1"/>
      <c r="O291" s="1"/>
      <c r="P291" s="1"/>
      <c r="Q291" s="1"/>
      <c r="R291" s="1"/>
      <c r="S291" s="1"/>
      <c r="T291" s="1"/>
      <c r="U291" s="41" t="str">
        <f t="shared" ca="1" si="130"/>
        <v>2206,..,3206</v>
      </c>
      <c r="V291" s="41">
        <f t="shared" ref="V291:W291" ca="1" si="136">V290+1</f>
        <v>2206</v>
      </c>
      <c r="W291" s="41">
        <f t="shared" ca="1" si="136"/>
        <v>3206</v>
      </c>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1" x14ac:dyDescent="0.3">
      <c r="A292" s="71" t="s">
        <v>248</v>
      </c>
      <c r="B292" s="72"/>
      <c r="C292" s="72"/>
      <c r="D292" s="72"/>
      <c r="E292" s="72"/>
      <c r="F292" s="72"/>
      <c r="G292" s="72"/>
      <c r="H292" s="72"/>
      <c r="I292" s="16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customHeight="1" x14ac:dyDescent="0.3">
      <c r="A293" s="68" t="str">
        <f>A292</f>
        <v>33rd Floor</v>
      </c>
      <c r="B293" s="68"/>
      <c r="C293" s="69">
        <v>1</v>
      </c>
      <c r="D293" s="70"/>
      <c r="E293" s="19" t="s">
        <v>222</v>
      </c>
      <c r="F293" s="69">
        <f>(1.525*2.3+3.15*5.15+1.1*2.375+3.3*2.325+3.05*3.05+3.175*3.35+3.05*3.35+1.1*1.375+(1.375*2.3+2.3*1.375+1.375*2.3)+(0.75*(2.325+3.05+3.05+3.15)))*10.764</f>
        <v>859.53231000000005</v>
      </c>
      <c r="G293" s="70"/>
      <c r="H293" s="19">
        <v>0</v>
      </c>
      <c r="I293" s="19">
        <f>F293*(($I$130)+1)+H293</f>
        <v>1375.2516960000003</v>
      </c>
      <c r="J293" s="1"/>
      <c r="K293" s="1"/>
      <c r="L293" s="1"/>
      <c r="M293" s="1"/>
      <c r="N293" s="1"/>
      <c r="O293" s="1"/>
      <c r="P293" s="1"/>
      <c r="Q293" s="1"/>
      <c r="R293" s="1"/>
      <c r="S293" s="1"/>
      <c r="T293" s="1"/>
      <c r="U293" s="41" t="str">
        <f t="shared" ref="U293:U298" ca="1" si="137">V293&amp;""&amp;",..,"&amp;""&amp;W293</f>
        <v>3301,..,3301</v>
      </c>
      <c r="V293" s="41">
        <f ca="1">(SUMPRODUCT(MID(0&amp;(LEFT(A292,SUM(LEN(A292)-LEN(SUBSTITUTE(A292,{"0","1","2","3"},""))))), LARGE(INDEX(ISNUMBER(--MID((LEFT(A292,SUM(LEN(A292)-LEN(SUBSTITUTE(A292,{"0","1","2","3"},""))))), ROW(INDIRECT("1:"&amp;LEN((LEFT(A292,SUM(LEN(A292)-LEN(SUBSTITUTE(A292,{"0","1","2","3"},"")))))))), 1)) * ROW(INDIRECT("1:"&amp;LEN((LEFT(A292,SUM(LEN(A292)-LEN(SUBSTITUTE(A292,{"0","1","2","3"},"")))))))), 0), ROW(INDIRECT("1:"&amp;LEN((LEFT(A292,SUM(LEN(A292)-LEN(SUBSTITUTE(A292,{"0","1","2","3"},"")))))))))+1, 1) * 10^ROW(INDIRECT("1:"&amp;LEN((LEFT(A292,SUM(LEN(A292)-LEN(SUBSTITUTE(A292,{"0","1","2","3"},""))))))))/10))*100+1</f>
        <v>3301</v>
      </c>
      <c r="W293" s="41">
        <f ca="1">(SUMPRODUCT(MID(0&amp;(--TRIM(RIGHT(SUBSTITUTE(LEFT(A292,_xlfn.AGGREGATE(16,6,FIND({0,1,2,3,4,5,6,7,8,9},A292,ROW(INDIRECT("1:"&amp;LEN(A292)))),1))," ",REPT(" ",LEN(A292))),LEN(A292)))), LARGE(INDEX(ISNUMBER(--MID((--TRIM(RIGHT(SUBSTITUTE(LEFT(A292,_xlfn.AGGREGATE(16,6,FIND({0,1,2,3,4,5,6,7,8,9},A292,ROW(INDIRECT("1:"&amp;LEN(A292)))),1))," ",REPT(" ",LEN(A292))),LEN(A292)))), ROW(INDIRECT("1:"&amp;LEN((--TRIM(RIGHT(SUBSTITUTE(LEFT(A292,_xlfn.AGGREGATE(16,6,FIND({0,1,2,3,4,5,6,7,8,9},A292,ROW(INDIRECT("1:"&amp;LEN(A292)))),1))," ",REPT(" ",LEN(A292))),LEN(A292))))))), 1)) * ROW(INDIRECT("1:"&amp;LEN((--TRIM(RIGHT(SUBSTITUTE(LEFT(A292,_xlfn.AGGREGATE(16,6,FIND({0,1,2,3,4,5,6,7,8,9},A292,ROW(INDIRECT("1:"&amp;LEN(A292)))),1))," ",REPT(" ",LEN(A292))),LEN(A292))))))), 0), ROW(INDIRECT("1:"&amp;LEN((--TRIM(RIGHT(SUBSTITUTE(LEFT(A292,_xlfn.AGGREGATE(16,6,FIND({0,1,2,3,4,5,6,7,8,9},A292,ROW(INDIRECT("1:"&amp;LEN(A292)))),1))," ",REPT(" ",LEN(A292))),LEN(A292))))))))+1, 1) * 10^ROW(INDIRECT("1:"&amp;LEN((--TRIM(RIGHT(SUBSTITUTE(LEFT(A292,_xlfn.AGGREGATE(16,6,FIND({0,1,2,3,4,5,6,7,8,9},A292,ROW(INDIRECT("1:"&amp;LEN(A292)))),1))," ",REPT(" ",LEN(A292))),LEN(A292)))))))/10))*100+1</f>
        <v>3301</v>
      </c>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customHeight="1" x14ac:dyDescent="0.3">
      <c r="A294" s="68" t="str">
        <f t="shared" ref="A294:A298" si="138">A293</f>
        <v>33rd Floor</v>
      </c>
      <c r="B294" s="68"/>
      <c r="C294" s="69">
        <v>2</v>
      </c>
      <c r="D294" s="70"/>
      <c r="E294" s="19" t="s">
        <v>223</v>
      </c>
      <c r="F294" s="69">
        <f>(3.05*3.35+3.05*6.35+2.15*2.6+3.05*3.05+0.9*2.15+(1.4*2.55+1.375*2.3)+(0.75*(3.05+3.05+2.15+3.05)))*10.764</f>
        <v>663.27767999999992</v>
      </c>
      <c r="G294" s="70"/>
      <c r="H294" s="19">
        <v>0</v>
      </c>
      <c r="I294" s="19">
        <f>F294*(($I$130)+1)+H294</f>
        <v>1061.2442879999999</v>
      </c>
      <c r="J294" s="1"/>
      <c r="K294" s="1"/>
      <c r="L294" s="1"/>
      <c r="M294" s="1"/>
      <c r="N294" s="1"/>
      <c r="O294" s="1"/>
      <c r="P294" s="1"/>
      <c r="Q294" s="1"/>
      <c r="R294" s="1"/>
      <c r="S294" s="1"/>
      <c r="T294" s="1"/>
      <c r="U294" s="41" t="str">
        <f t="shared" ca="1" si="137"/>
        <v>3302,..,3302</v>
      </c>
      <c r="V294" s="41">
        <f ca="1">V293+1</f>
        <v>3302</v>
      </c>
      <c r="W294" s="41">
        <f ca="1">W293+1</f>
        <v>3302</v>
      </c>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customHeight="1" x14ac:dyDescent="0.3">
      <c r="A295" s="68" t="str">
        <f t="shared" si="138"/>
        <v>33rd Floor</v>
      </c>
      <c r="B295" s="68"/>
      <c r="C295" s="69">
        <v>3</v>
      </c>
      <c r="D295" s="70"/>
      <c r="E295" s="19" t="s">
        <v>222</v>
      </c>
      <c r="F295" s="69">
        <f>(1.525*2.3+3.15*5.15+1.1*2.375+3.3*2.325+3.05*3.05+3.175*3.35+3.05*3.35+1.1*1.375+(1.375*2.3+2.3*1.375+1.375*2.3)+(0.75*(2.325+3.05+3.05+3.15)))*10.764</f>
        <v>859.53231000000005</v>
      </c>
      <c r="G295" s="70"/>
      <c r="H295" s="19">
        <v>0</v>
      </c>
      <c r="I295" s="19">
        <f>F295*(($I$130)+1)+H295</f>
        <v>1375.2516960000003</v>
      </c>
      <c r="J295" s="1"/>
      <c r="K295" s="1"/>
      <c r="L295" s="1"/>
      <c r="M295" s="1"/>
      <c r="N295" s="1"/>
      <c r="O295" s="1"/>
      <c r="P295" s="1"/>
      <c r="Q295" s="1"/>
      <c r="R295" s="1"/>
      <c r="S295" s="1"/>
      <c r="T295" s="1"/>
      <c r="U295" s="41" t="str">
        <f t="shared" ca="1" si="137"/>
        <v>3303,..,3303</v>
      </c>
      <c r="V295" s="41">
        <f t="shared" ref="V295:W295" ca="1" si="139">V294+1</f>
        <v>3303</v>
      </c>
      <c r="W295" s="41">
        <f t="shared" ca="1" si="139"/>
        <v>3303</v>
      </c>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customHeight="1" x14ac:dyDescent="0.3">
      <c r="A296" s="68" t="str">
        <f t="shared" si="138"/>
        <v>33rd Floor</v>
      </c>
      <c r="B296" s="68"/>
      <c r="C296" s="69" t="s">
        <v>255</v>
      </c>
      <c r="D296" s="70"/>
      <c r="E296" s="19" t="s">
        <v>240</v>
      </c>
      <c r="F296" s="160">
        <f>(0.85*1.125+2.15*3.35+3.05*4.625+1.405*1+3.05*3.35+((1.375*2.3)*2)+(0.75*(3.05+2.15)))*10.764</f>
        <v>474.82695000000001</v>
      </c>
      <c r="G296" s="161"/>
      <c r="H296" s="19">
        <f>(3.05*3.05+0.6*3.05)*10.764</f>
        <v>119.83022999999997</v>
      </c>
      <c r="I296" s="19">
        <f>F296*(($I$130)+1)+H296/2</f>
        <v>819.63823500000012</v>
      </c>
      <c r="J296" s="1"/>
      <c r="K296" s="1"/>
      <c r="L296" s="1"/>
      <c r="M296" s="1"/>
      <c r="N296" s="1"/>
      <c r="O296" s="1"/>
      <c r="P296" s="1"/>
      <c r="Q296" s="1"/>
      <c r="R296" s="1"/>
      <c r="S296" s="1"/>
      <c r="T296" s="1"/>
      <c r="U296" s="41" t="str">
        <f t="shared" ca="1" si="137"/>
        <v>3304,..,3304</v>
      </c>
      <c r="V296" s="41">
        <f t="shared" ref="V296:W296" ca="1" si="140">V295+1</f>
        <v>3304</v>
      </c>
      <c r="W296" s="41">
        <f t="shared" ca="1" si="140"/>
        <v>3304</v>
      </c>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customHeight="1" x14ac:dyDescent="0.3">
      <c r="A297" s="68" t="str">
        <f t="shared" si="138"/>
        <v>33rd Floor</v>
      </c>
      <c r="B297" s="68"/>
      <c r="C297" s="69" t="s">
        <v>257</v>
      </c>
      <c r="D297" s="70"/>
      <c r="E297" s="19" t="s">
        <v>223</v>
      </c>
      <c r="F297" s="69">
        <f>(3.05*3.65+2.3*2.65+2.9*2.925+2.45*2.925+1*2.3+(2.3*1.525+1.65*1.525)++(0.75*(2.9+3.05+2.3))+1.475*2.4)*10.764</f>
        <v>548.18360999999993</v>
      </c>
      <c r="G297" s="70"/>
      <c r="H297" s="19">
        <f>(2.9*1.05+3.7*2.9+0.4*2.9)*10.764</f>
        <v>160.76033999999999</v>
      </c>
      <c r="I297" s="19">
        <f>F297*(($I$130)+1)+H297/2</f>
        <v>957.47394599999996</v>
      </c>
      <c r="J297" s="1"/>
      <c r="K297" s="1"/>
      <c r="L297" s="1"/>
      <c r="M297" s="1"/>
      <c r="N297" s="1"/>
      <c r="O297" s="1"/>
      <c r="P297" s="1"/>
      <c r="Q297" s="1"/>
      <c r="R297" s="1"/>
      <c r="S297" s="1"/>
      <c r="T297" s="1"/>
      <c r="U297" s="41" t="str">
        <f t="shared" ca="1" si="137"/>
        <v>3305,..,3305</v>
      </c>
      <c r="V297" s="41">
        <f t="shared" ref="V297:W297" ca="1" si="141">V296+1</f>
        <v>3305</v>
      </c>
      <c r="W297" s="41">
        <f t="shared" ca="1" si="141"/>
        <v>3305</v>
      </c>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customHeight="1" x14ac:dyDescent="0.3">
      <c r="A298" s="68" t="str">
        <f t="shared" si="138"/>
        <v>33rd Floor</v>
      </c>
      <c r="B298" s="68"/>
      <c r="C298" s="69" t="s">
        <v>256</v>
      </c>
      <c r="D298" s="70"/>
      <c r="E298" s="19" t="s">
        <v>240</v>
      </c>
      <c r="F298" s="160">
        <f>(0.85*1.125+2.15*3.35+3.05*4.625+1.405*1+3.05*3.35+((1.375*2.3)*2)+(0.75*(3.05+2.15)))*10.764</f>
        <v>474.82695000000001</v>
      </c>
      <c r="G298" s="161"/>
      <c r="H298" s="19">
        <f>(3.05*3.05+0.6*3.05)*10.764</f>
        <v>119.83022999999997</v>
      </c>
      <c r="I298" s="19">
        <f>F298*(($I$130)+1)+H298/2</f>
        <v>819.63823500000012</v>
      </c>
      <c r="J298" s="1"/>
      <c r="K298" s="1"/>
      <c r="L298" s="1"/>
      <c r="M298" s="1"/>
      <c r="N298" s="1"/>
      <c r="O298" s="1"/>
      <c r="P298" s="1"/>
      <c r="Q298" s="1"/>
      <c r="R298" s="1"/>
      <c r="S298" s="1"/>
      <c r="T298" s="1"/>
      <c r="U298" s="41" t="str">
        <f t="shared" ca="1" si="137"/>
        <v>3306,..,3306</v>
      </c>
      <c r="V298" s="41">
        <f t="shared" ref="V298:W298" ca="1" si="142">V297+1</f>
        <v>3306</v>
      </c>
      <c r="W298" s="41">
        <f t="shared" ca="1" si="142"/>
        <v>3306</v>
      </c>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1" x14ac:dyDescent="0.3">
      <c r="A299" s="71" t="s">
        <v>249</v>
      </c>
      <c r="B299" s="72"/>
      <c r="C299" s="72"/>
      <c r="D299" s="72"/>
      <c r="E299" s="72"/>
      <c r="F299" s="72"/>
      <c r="G299" s="72"/>
      <c r="H299" s="72"/>
      <c r="I299" s="16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customHeight="1" x14ac:dyDescent="0.3">
      <c r="A300" s="68" t="str">
        <f>A299</f>
        <v>34th &amp; 35th Floor</v>
      </c>
      <c r="B300" s="68"/>
      <c r="C300" s="69">
        <v>1</v>
      </c>
      <c r="D300" s="70"/>
      <c r="E300" s="19" t="s">
        <v>222</v>
      </c>
      <c r="F300" s="69">
        <f>(1.525*2.3+3.15*5.15+1.1*2.375+3.3*2.325+3.05*3.05+3.175*3.35+3.05*3.35+1.1*1.375+(1.375*2.3+2.3*1.375+1.375*2.3)+(0.75*(2.325+3.05+3.05+3.15)))*10.764</f>
        <v>859.53231000000005</v>
      </c>
      <c r="G300" s="70"/>
      <c r="H300" s="19">
        <v>0</v>
      </c>
      <c r="I300" s="19">
        <f t="shared" ref="I300:I305" si="143">F300*(($I$130)+1)+H300</f>
        <v>1375.2516960000003</v>
      </c>
      <c r="J300" s="1"/>
      <c r="K300" s="1"/>
      <c r="L300" s="1"/>
      <c r="M300" s="1"/>
      <c r="N300" s="1"/>
      <c r="O300" s="1"/>
      <c r="P300" s="1"/>
      <c r="Q300" s="1"/>
      <c r="R300" s="1"/>
      <c r="S300" s="1"/>
      <c r="T300" s="1"/>
      <c r="U300" s="41" t="str">
        <f t="shared" ref="U300:U305" ca="1" si="144">V300&amp;""&amp;",..,"&amp;""&amp;W300</f>
        <v>3401,..,3501</v>
      </c>
      <c r="V300" s="41">
        <f ca="1">(SUMPRODUCT(MID(0&amp;(LEFT(A299,SUM(LEN(A299)-LEN(SUBSTITUTE(A299,{"0","1","2","3"},""))))), LARGE(INDEX(ISNUMBER(--MID((LEFT(A299,SUM(LEN(A299)-LEN(SUBSTITUTE(A299,{"0","1","2","3"},""))))), ROW(INDIRECT("1:"&amp;LEN((LEFT(A299,SUM(LEN(A299)-LEN(SUBSTITUTE(A299,{"0","1","2","3"},"")))))))), 1)) * ROW(INDIRECT("1:"&amp;LEN((LEFT(A299,SUM(LEN(A299)-LEN(SUBSTITUTE(A299,{"0","1","2","3"},"")))))))), 0), ROW(INDIRECT("1:"&amp;LEN((LEFT(A299,SUM(LEN(A299)-LEN(SUBSTITUTE(A299,{"0","1","2","3"},"")))))))))+1, 1) * 10^ROW(INDIRECT("1:"&amp;LEN((LEFT(A299,SUM(LEN(A299)-LEN(SUBSTITUTE(A299,{"0","1","2","3"},""))))))))/10))*100+1</f>
        <v>3401</v>
      </c>
      <c r="W300" s="41">
        <f ca="1">(SUMPRODUCT(MID(0&amp;(--TRIM(RIGHT(SUBSTITUTE(LEFT(A299,_xlfn.AGGREGATE(16,6,FIND({0,1,2,3,4,5,6,7,8,9},A299,ROW(INDIRECT("1:"&amp;LEN(A299)))),1))," ",REPT(" ",LEN(A299))),LEN(A299)))), LARGE(INDEX(ISNUMBER(--MID((--TRIM(RIGHT(SUBSTITUTE(LEFT(A299,_xlfn.AGGREGATE(16,6,FIND({0,1,2,3,4,5,6,7,8,9},A299,ROW(INDIRECT("1:"&amp;LEN(A299)))),1))," ",REPT(" ",LEN(A299))),LEN(A299)))), ROW(INDIRECT("1:"&amp;LEN((--TRIM(RIGHT(SUBSTITUTE(LEFT(A299,_xlfn.AGGREGATE(16,6,FIND({0,1,2,3,4,5,6,7,8,9},A299,ROW(INDIRECT("1:"&amp;LEN(A299)))),1))," ",REPT(" ",LEN(A299))),LEN(A299))))))), 1)) * ROW(INDIRECT("1:"&amp;LEN((--TRIM(RIGHT(SUBSTITUTE(LEFT(A299,_xlfn.AGGREGATE(16,6,FIND({0,1,2,3,4,5,6,7,8,9},A299,ROW(INDIRECT("1:"&amp;LEN(A299)))),1))," ",REPT(" ",LEN(A299))),LEN(A299))))))), 0), ROW(INDIRECT("1:"&amp;LEN((--TRIM(RIGHT(SUBSTITUTE(LEFT(A299,_xlfn.AGGREGATE(16,6,FIND({0,1,2,3,4,5,6,7,8,9},A299,ROW(INDIRECT("1:"&amp;LEN(A299)))),1))," ",REPT(" ",LEN(A299))),LEN(A299))))))))+1, 1) * 10^ROW(INDIRECT("1:"&amp;LEN((--TRIM(RIGHT(SUBSTITUTE(LEFT(A299,_xlfn.AGGREGATE(16,6,FIND({0,1,2,3,4,5,6,7,8,9},A299,ROW(INDIRECT("1:"&amp;LEN(A299)))),1))," ",REPT(" ",LEN(A299))),LEN(A299)))))))/10))*100+1</f>
        <v>3501</v>
      </c>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3">
      <c r="A301" s="68" t="str">
        <f t="shared" ref="A301:A305" si="145">A300</f>
        <v>34th &amp; 35th Floor</v>
      </c>
      <c r="B301" s="68"/>
      <c r="C301" s="69">
        <v>2</v>
      </c>
      <c r="D301" s="70"/>
      <c r="E301" s="19" t="s">
        <v>223</v>
      </c>
      <c r="F301" s="69">
        <f>(3.05*3.35+3.05*6.35+2.15*2.6+3.05*3.05+0.9*2.15+(1.4*2.55+1.375*2.3)+(0.75*(3.05+3.05+2.15+3.05)))*10.764</f>
        <v>663.27767999999992</v>
      </c>
      <c r="G301" s="70"/>
      <c r="H301" s="19">
        <v>0</v>
      </c>
      <c r="I301" s="19">
        <f t="shared" si="143"/>
        <v>1061.2442879999999</v>
      </c>
      <c r="J301" s="1"/>
      <c r="K301" s="1"/>
      <c r="L301" s="1"/>
      <c r="M301" s="1"/>
      <c r="N301" s="1"/>
      <c r="O301" s="1"/>
      <c r="P301" s="1"/>
      <c r="Q301" s="1"/>
      <c r="R301" s="1"/>
      <c r="S301" s="1"/>
      <c r="T301" s="1"/>
      <c r="U301" s="41" t="str">
        <f t="shared" ca="1" si="144"/>
        <v>3402,..,3502</v>
      </c>
      <c r="V301" s="41">
        <f ca="1">V300+1</f>
        <v>3402</v>
      </c>
      <c r="W301" s="41">
        <f ca="1">W300+1</f>
        <v>3502</v>
      </c>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3">
      <c r="A302" s="68" t="str">
        <f t="shared" si="145"/>
        <v>34th &amp; 35th Floor</v>
      </c>
      <c r="B302" s="68"/>
      <c r="C302" s="69">
        <v>3</v>
      </c>
      <c r="D302" s="70"/>
      <c r="E302" s="19" t="s">
        <v>222</v>
      </c>
      <c r="F302" s="69">
        <f>(1.525*2.3+3.15*5.15+1.1*2.375+3.3*2.325+3.05*3.05+3.175*3.35+3.05*3.35+1.1*1.375+(1.375*2.3+2.3*1.375+1.375*2.3)+(0.75*(2.325+3.05+3.05+3.15)))*10.764</f>
        <v>859.53231000000005</v>
      </c>
      <c r="G302" s="70"/>
      <c r="H302" s="19">
        <v>0</v>
      </c>
      <c r="I302" s="19">
        <f t="shared" si="143"/>
        <v>1375.2516960000003</v>
      </c>
      <c r="J302" s="1"/>
      <c r="K302" s="1"/>
      <c r="L302" s="1"/>
      <c r="M302" s="1"/>
      <c r="N302" s="1"/>
      <c r="O302" s="1"/>
      <c r="P302" s="1"/>
      <c r="Q302" s="1"/>
      <c r="R302" s="1"/>
      <c r="S302" s="1"/>
      <c r="T302" s="1"/>
      <c r="U302" s="41" t="str">
        <f t="shared" ca="1" si="144"/>
        <v>3403,..,3503</v>
      </c>
      <c r="V302" s="41">
        <f t="shared" ref="V302:W302" ca="1" si="146">V301+1</f>
        <v>3403</v>
      </c>
      <c r="W302" s="41">
        <f t="shared" ca="1" si="146"/>
        <v>3503</v>
      </c>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0.25" customHeight="1" x14ac:dyDescent="0.3">
      <c r="A303" s="68" t="str">
        <f t="shared" si="145"/>
        <v>34th &amp; 35th Floor</v>
      </c>
      <c r="B303" s="68"/>
      <c r="C303" s="69" t="s">
        <v>255</v>
      </c>
      <c r="D303" s="70"/>
      <c r="E303" s="19" t="s">
        <v>240</v>
      </c>
      <c r="F303" s="160">
        <f>(0.85*1.125+2.15*3.35+3.05*4.625+1.405*1+3.05*3.35+((1.375*2.3)*2)+(0.75*(3.05+2.15)))*10.764</f>
        <v>474.82695000000001</v>
      </c>
      <c r="G303" s="161"/>
      <c r="H303" s="19">
        <v>0</v>
      </c>
      <c r="I303" s="19">
        <f t="shared" si="143"/>
        <v>759.72312000000011</v>
      </c>
      <c r="J303" s="1"/>
      <c r="K303" s="1"/>
      <c r="L303" s="1"/>
      <c r="M303" s="1"/>
      <c r="N303" s="1"/>
      <c r="O303" s="1"/>
      <c r="P303" s="1"/>
      <c r="Q303" s="1"/>
      <c r="R303" s="1"/>
      <c r="S303" s="1"/>
      <c r="T303" s="1"/>
      <c r="U303" s="41" t="str">
        <f t="shared" ca="1" si="144"/>
        <v>3404,..,3504</v>
      </c>
      <c r="V303" s="41">
        <f t="shared" ref="V303:W303" ca="1" si="147">V302+1</f>
        <v>3404</v>
      </c>
      <c r="W303" s="41">
        <f t="shared" ca="1" si="147"/>
        <v>3504</v>
      </c>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customHeight="1" x14ac:dyDescent="0.3">
      <c r="A304" s="68" t="str">
        <f t="shared" si="145"/>
        <v>34th &amp; 35th Floor</v>
      </c>
      <c r="B304" s="68"/>
      <c r="C304" s="69" t="s">
        <v>257</v>
      </c>
      <c r="D304" s="70"/>
      <c r="E304" s="19" t="s">
        <v>223</v>
      </c>
      <c r="F304" s="69">
        <f>(3.05*3.65+2.3*2.65+2.9*2.925+2.45*2.925+1*2.3+(2.3*1.525+1.65*1.525)++(0.75*(2.9+3.05+2.3))+1.475*2.4)*10.764</f>
        <v>548.18360999999993</v>
      </c>
      <c r="G304" s="70"/>
      <c r="H304" s="19">
        <v>0</v>
      </c>
      <c r="I304" s="19">
        <f t="shared" si="143"/>
        <v>877.09377599999993</v>
      </c>
      <c r="J304" s="1"/>
      <c r="K304" s="1"/>
      <c r="L304" s="1"/>
      <c r="M304" s="1"/>
      <c r="N304" s="1"/>
      <c r="O304" s="1"/>
      <c r="P304" s="1"/>
      <c r="Q304" s="1"/>
      <c r="R304" s="1"/>
      <c r="S304" s="1"/>
      <c r="T304" s="1"/>
      <c r="U304" s="41" t="str">
        <f t="shared" ca="1" si="144"/>
        <v>3405,..,3505</v>
      </c>
      <c r="V304" s="41">
        <f t="shared" ref="V304:W304" ca="1" si="148">V303+1</f>
        <v>3405</v>
      </c>
      <c r="W304" s="41">
        <f t="shared" ca="1" si="148"/>
        <v>3505</v>
      </c>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customHeight="1" x14ac:dyDescent="0.3">
      <c r="A305" s="68" t="str">
        <f t="shared" si="145"/>
        <v>34th &amp; 35th Floor</v>
      </c>
      <c r="B305" s="68"/>
      <c r="C305" s="69" t="s">
        <v>256</v>
      </c>
      <c r="D305" s="70"/>
      <c r="E305" s="19" t="s">
        <v>240</v>
      </c>
      <c r="F305" s="160">
        <f>(0.85*1.125+2.15*3.35+3.05*4.625+1.405*1+3.05*3.35+((1.375*2.3)*2)+(0.75*(3.05+2.15)))*10.764</f>
        <v>474.82695000000001</v>
      </c>
      <c r="G305" s="161"/>
      <c r="H305" s="19">
        <v>0</v>
      </c>
      <c r="I305" s="19">
        <f t="shared" si="143"/>
        <v>759.72312000000011</v>
      </c>
      <c r="J305" s="1"/>
      <c r="K305" s="1"/>
      <c r="L305" s="1"/>
      <c r="M305" s="1"/>
      <c r="N305" s="1"/>
      <c r="O305" s="1"/>
      <c r="P305" s="1"/>
      <c r="Q305" s="1"/>
      <c r="R305" s="1"/>
      <c r="S305" s="1"/>
      <c r="T305" s="1"/>
      <c r="U305" s="41" t="str">
        <f t="shared" ca="1" si="144"/>
        <v>3406,..,3506</v>
      </c>
      <c r="V305" s="41">
        <f t="shared" ref="V305:W305" ca="1" si="149">V304+1</f>
        <v>3406</v>
      </c>
      <c r="W305" s="41">
        <f t="shared" ca="1" si="149"/>
        <v>3506</v>
      </c>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1" x14ac:dyDescent="0.3">
      <c r="A306" s="71" t="s">
        <v>250</v>
      </c>
      <c r="B306" s="72"/>
      <c r="C306" s="72"/>
      <c r="D306" s="72"/>
      <c r="E306" s="72"/>
      <c r="F306" s="72"/>
      <c r="G306" s="72"/>
      <c r="H306" s="72"/>
      <c r="I306" s="16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customHeight="1" x14ac:dyDescent="0.3">
      <c r="A307" s="68" t="str">
        <f>A306</f>
        <v>36th Floor</v>
      </c>
      <c r="B307" s="68"/>
      <c r="C307" s="69">
        <v>1</v>
      </c>
      <c r="D307" s="70"/>
      <c r="E307" s="19" t="s">
        <v>222</v>
      </c>
      <c r="F307" s="69">
        <f>(1.525*2.3+3.15*5.15+1.1*2.375+3.3*2.325+3.05*3.05+3.175*3.35+3.05*3.35+1.1*1.375+(1.375*2.3+2.3*1.375+1.375*2.3)+(0.75*(2.325+3.05+3.05+3.15)))*10.764</f>
        <v>859.53231000000005</v>
      </c>
      <c r="G307" s="70"/>
      <c r="H307" s="19">
        <v>0</v>
      </c>
      <c r="I307" s="19">
        <f t="shared" ref="I307:I312" si="150">F307*(($I$130)+1)+H307</f>
        <v>1375.2516960000003</v>
      </c>
      <c r="J307" s="1"/>
      <c r="K307" s="1"/>
      <c r="L307" s="1"/>
      <c r="M307" s="1"/>
      <c r="N307" s="1"/>
      <c r="O307" s="1"/>
      <c r="P307" s="1"/>
      <c r="Q307" s="1"/>
      <c r="R307" s="1"/>
      <c r="S307" s="1"/>
      <c r="T307" s="1"/>
      <c r="U307" s="41" t="str">
        <f t="shared" ref="U307:U312" ca="1" si="151">V307&amp;""&amp;",..,"&amp;""&amp;W307</f>
        <v>301,..,3601</v>
      </c>
      <c r="V307" s="41">
        <f ca="1">(SUMPRODUCT(MID(0&amp;(LEFT(A306,SUM(LEN(A306)-LEN(SUBSTITUTE(A306,{"0","1","2","3"},""))))), LARGE(INDEX(ISNUMBER(--MID((LEFT(A306,SUM(LEN(A306)-LEN(SUBSTITUTE(A306,{"0","1","2","3"},""))))), ROW(INDIRECT("1:"&amp;LEN((LEFT(A306,SUM(LEN(A306)-LEN(SUBSTITUTE(A306,{"0","1","2","3"},"")))))))), 1)) * ROW(INDIRECT("1:"&amp;LEN((LEFT(A306,SUM(LEN(A306)-LEN(SUBSTITUTE(A306,{"0","1","2","3"},"")))))))), 0), ROW(INDIRECT("1:"&amp;LEN((LEFT(A306,SUM(LEN(A306)-LEN(SUBSTITUTE(A306,{"0","1","2","3"},"")))))))))+1, 1) * 10^ROW(INDIRECT("1:"&amp;LEN((LEFT(A306,SUM(LEN(A306)-LEN(SUBSTITUTE(A306,{"0","1","2","3"},""))))))))/10))*100+1</f>
        <v>301</v>
      </c>
      <c r="W307" s="41">
        <f ca="1">(SUMPRODUCT(MID(0&amp;(--TRIM(RIGHT(SUBSTITUTE(LEFT(A306,_xlfn.AGGREGATE(16,6,FIND({0,1,2,3,4,5,6,7,8,9},A306,ROW(INDIRECT("1:"&amp;LEN(A306)))),1))," ",REPT(" ",LEN(A306))),LEN(A306)))), LARGE(INDEX(ISNUMBER(--MID((--TRIM(RIGHT(SUBSTITUTE(LEFT(A306,_xlfn.AGGREGATE(16,6,FIND({0,1,2,3,4,5,6,7,8,9},A306,ROW(INDIRECT("1:"&amp;LEN(A306)))),1))," ",REPT(" ",LEN(A306))),LEN(A306)))), ROW(INDIRECT("1:"&amp;LEN((--TRIM(RIGHT(SUBSTITUTE(LEFT(A306,_xlfn.AGGREGATE(16,6,FIND({0,1,2,3,4,5,6,7,8,9},A306,ROW(INDIRECT("1:"&amp;LEN(A306)))),1))," ",REPT(" ",LEN(A306))),LEN(A306))))))), 1)) * ROW(INDIRECT("1:"&amp;LEN((--TRIM(RIGHT(SUBSTITUTE(LEFT(A306,_xlfn.AGGREGATE(16,6,FIND({0,1,2,3,4,5,6,7,8,9},A306,ROW(INDIRECT("1:"&amp;LEN(A306)))),1))," ",REPT(" ",LEN(A306))),LEN(A306))))))), 0), ROW(INDIRECT("1:"&amp;LEN((--TRIM(RIGHT(SUBSTITUTE(LEFT(A306,_xlfn.AGGREGATE(16,6,FIND({0,1,2,3,4,5,6,7,8,9},A306,ROW(INDIRECT("1:"&amp;LEN(A306)))),1))," ",REPT(" ",LEN(A306))),LEN(A306))))))))+1, 1) * 10^ROW(INDIRECT("1:"&amp;LEN((--TRIM(RIGHT(SUBSTITUTE(LEFT(A306,_xlfn.AGGREGATE(16,6,FIND({0,1,2,3,4,5,6,7,8,9},A306,ROW(INDIRECT("1:"&amp;LEN(A306)))),1))," ",REPT(" ",LEN(A306))),LEN(A306)))))))/10))*100+1</f>
        <v>3601</v>
      </c>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customHeight="1" x14ac:dyDescent="0.3">
      <c r="A308" s="68" t="str">
        <f t="shared" ref="A308:A312" si="152">A307</f>
        <v>36th Floor</v>
      </c>
      <c r="B308" s="68"/>
      <c r="C308" s="69">
        <v>2</v>
      </c>
      <c r="D308" s="70"/>
      <c r="E308" s="19" t="s">
        <v>223</v>
      </c>
      <c r="F308" s="69">
        <f>(3.05*3.35+3.05*6.35+2.15*2.6+3.05*3.05+0.9*2.15+(1.4*2.55+1.375*2.3)+(0.75*(3.05+3.05+2.15+3.05)))*10.764</f>
        <v>663.27767999999992</v>
      </c>
      <c r="G308" s="70"/>
      <c r="H308" s="19">
        <v>0</v>
      </c>
      <c r="I308" s="19">
        <f t="shared" si="150"/>
        <v>1061.2442879999999</v>
      </c>
      <c r="J308" s="1"/>
      <c r="K308" s="1"/>
      <c r="L308" s="1"/>
      <c r="M308" s="1"/>
      <c r="N308" s="1"/>
      <c r="O308" s="1"/>
      <c r="P308" s="1"/>
      <c r="Q308" s="1"/>
      <c r="R308" s="1"/>
      <c r="S308" s="1"/>
      <c r="T308" s="1"/>
      <c r="U308" s="41" t="str">
        <f t="shared" ca="1" si="151"/>
        <v>302,..,3602</v>
      </c>
      <c r="V308" s="41">
        <f ca="1">V307+1</f>
        <v>302</v>
      </c>
      <c r="W308" s="41">
        <f ca="1">W307+1</f>
        <v>3602</v>
      </c>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customHeight="1" x14ac:dyDescent="0.3">
      <c r="A309" s="68" t="str">
        <f t="shared" si="152"/>
        <v>36th Floor</v>
      </c>
      <c r="B309" s="68"/>
      <c r="C309" s="69">
        <v>3</v>
      </c>
      <c r="D309" s="70"/>
      <c r="E309" s="19" t="s">
        <v>222</v>
      </c>
      <c r="F309" s="69">
        <f>(1.525*2.3+3.15*5.15+1.1*2.375+3.3*2.325+3.05*3.05+3.175*3.35+3.05*3.35+1.1*1.375+(1.375*2.3+2.3*1.375+1.375*2.3)+(0.75*(2.325+3.05+3.05+3.15)))*10.764</f>
        <v>859.53231000000005</v>
      </c>
      <c r="G309" s="70"/>
      <c r="H309" s="19">
        <v>0</v>
      </c>
      <c r="I309" s="19">
        <f t="shared" si="150"/>
        <v>1375.2516960000003</v>
      </c>
      <c r="J309" s="1"/>
      <c r="K309" s="1"/>
      <c r="L309" s="1"/>
      <c r="M309" s="1"/>
      <c r="N309" s="1"/>
      <c r="O309" s="1"/>
      <c r="P309" s="1"/>
      <c r="Q309" s="1"/>
      <c r="R309" s="1"/>
      <c r="S309" s="1"/>
      <c r="T309" s="1"/>
      <c r="U309" s="41" t="str">
        <f t="shared" ca="1" si="151"/>
        <v>303,..,3603</v>
      </c>
      <c r="V309" s="41">
        <f t="shared" ref="V309:W309" ca="1" si="153">V308+1</f>
        <v>303</v>
      </c>
      <c r="W309" s="41">
        <f t="shared" ca="1" si="153"/>
        <v>3603</v>
      </c>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customHeight="1" x14ac:dyDescent="0.3">
      <c r="A310" s="68" t="str">
        <f t="shared" si="152"/>
        <v>36th Floor</v>
      </c>
      <c r="B310" s="68"/>
      <c r="C310" s="69">
        <v>4</v>
      </c>
      <c r="D310" s="70"/>
      <c r="E310" s="19" t="s">
        <v>240</v>
      </c>
      <c r="F310" s="160">
        <f>(0.85*1.125+2.15*3.35+3.05*4.625+1.405*1+3.05*3.35+((1.375*2.3)*2)+(0.75*(3.05+2.15)))*10.764</f>
        <v>474.82695000000001</v>
      </c>
      <c r="G310" s="161"/>
      <c r="H310" s="19">
        <v>0</v>
      </c>
      <c r="I310" s="19">
        <f t="shared" si="150"/>
        <v>759.72312000000011</v>
      </c>
      <c r="J310" s="1"/>
      <c r="K310" s="1"/>
      <c r="L310" s="1"/>
      <c r="M310" s="1"/>
      <c r="N310" s="1"/>
      <c r="O310" s="1"/>
      <c r="P310" s="1"/>
      <c r="Q310" s="1"/>
      <c r="R310" s="1"/>
      <c r="S310" s="1"/>
      <c r="T310" s="1"/>
      <c r="U310" s="41" t="str">
        <f t="shared" ca="1" si="151"/>
        <v>304,..,3604</v>
      </c>
      <c r="V310" s="41">
        <f t="shared" ref="V310:W310" ca="1" si="154">V309+1</f>
        <v>304</v>
      </c>
      <c r="W310" s="41">
        <f t="shared" ca="1" si="154"/>
        <v>3604</v>
      </c>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0.25" customHeight="1" x14ac:dyDescent="0.3">
      <c r="A311" s="68" t="str">
        <f t="shared" si="152"/>
        <v>36th Floor</v>
      </c>
      <c r="B311" s="68"/>
      <c r="C311" s="69" t="s">
        <v>258</v>
      </c>
      <c r="D311" s="70"/>
      <c r="E311" s="19" t="s">
        <v>223</v>
      </c>
      <c r="F311" s="69">
        <f>(3.05*3.65+2.3*2.65+2.9*2.925+2.45*2.925+1*2.3+(2.3*1.525+1.65*1.525)++(0.75*(2.9+3.05+2.3))+1.475*2.4)*10.764</f>
        <v>548.18360999999993</v>
      </c>
      <c r="G311" s="70"/>
      <c r="H311" s="19">
        <v>0</v>
      </c>
      <c r="I311" s="19">
        <f t="shared" si="150"/>
        <v>877.09377599999993</v>
      </c>
      <c r="J311" s="1"/>
      <c r="K311" s="1"/>
      <c r="L311" s="1"/>
      <c r="M311" s="1"/>
      <c r="N311" s="1"/>
      <c r="O311" s="1"/>
      <c r="P311" s="1"/>
      <c r="Q311" s="1"/>
      <c r="R311" s="1"/>
      <c r="S311" s="1"/>
      <c r="T311" s="1"/>
      <c r="U311" s="41" t="str">
        <f t="shared" ca="1" si="151"/>
        <v>305,..,3605</v>
      </c>
      <c r="V311" s="41">
        <f t="shared" ref="V311:W311" ca="1" si="155">V310+1</f>
        <v>305</v>
      </c>
      <c r="W311" s="41">
        <f t="shared" ca="1" si="155"/>
        <v>3605</v>
      </c>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0.25" customHeight="1" x14ac:dyDescent="0.3">
      <c r="A312" s="68" t="str">
        <f t="shared" si="152"/>
        <v>36th Floor</v>
      </c>
      <c r="B312" s="68"/>
      <c r="C312" s="69">
        <v>6</v>
      </c>
      <c r="D312" s="70"/>
      <c r="E312" s="19" t="s">
        <v>240</v>
      </c>
      <c r="F312" s="160">
        <f>(0.85*1.125+2.15*3.35+3.05*4.625+1.405*1+3.05*3.35+((1.375*2.3)*2)+(0.75*(3.05+2.15)))*10.764</f>
        <v>474.82695000000001</v>
      </c>
      <c r="G312" s="161"/>
      <c r="H312" s="19">
        <v>0</v>
      </c>
      <c r="I312" s="19">
        <f t="shared" si="150"/>
        <v>759.72312000000011</v>
      </c>
      <c r="J312" s="1"/>
      <c r="K312" s="1"/>
      <c r="L312" s="1"/>
      <c r="M312" s="1"/>
      <c r="N312" s="1"/>
      <c r="O312" s="1"/>
      <c r="P312" s="1"/>
      <c r="Q312" s="1"/>
      <c r="R312" s="1"/>
      <c r="S312" s="1"/>
      <c r="T312" s="1"/>
      <c r="U312" s="41" t="str">
        <f t="shared" ca="1" si="151"/>
        <v>306,..,3606</v>
      </c>
      <c r="V312" s="41">
        <f t="shared" ref="V312:W312" ca="1" si="156">V311+1</f>
        <v>306</v>
      </c>
      <c r="W312" s="41">
        <f t="shared" ca="1" si="156"/>
        <v>3606</v>
      </c>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1" x14ac:dyDescent="0.3">
      <c r="A313" s="71" t="s">
        <v>228</v>
      </c>
      <c r="B313" s="72"/>
      <c r="C313" s="72"/>
      <c r="D313" s="72"/>
      <c r="E313" s="72"/>
      <c r="F313" s="72"/>
      <c r="G313" s="72"/>
      <c r="H313" s="72"/>
      <c r="I313" s="16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0.25" customHeight="1" x14ac:dyDescent="0.3">
      <c r="A314" s="68" t="str">
        <f>A313</f>
        <v>37th Floor (Part Refuge Area)</v>
      </c>
      <c r="B314" s="68"/>
      <c r="C314" s="69">
        <v>1</v>
      </c>
      <c r="D314" s="70"/>
      <c r="E314" s="19" t="s">
        <v>222</v>
      </c>
      <c r="F314" s="69">
        <f>(1.525*2.3+3.15*5.15+1.1*2.375+3.3*2.325+3.05*3.05+3.175*3.35+3.05*3.35+1.1*1.375+(1.375*2.3+2.3*1.375+1.375*2.3)+(0.75*(2.325+3.05+3.05+3.15)))*10.764</f>
        <v>859.53231000000005</v>
      </c>
      <c r="G314" s="70"/>
      <c r="H314" s="19">
        <v>0</v>
      </c>
      <c r="I314" s="19">
        <f t="shared" ref="I314:I317" si="157">F314*(($I$130)+1)+H314</f>
        <v>1375.2516960000003</v>
      </c>
      <c r="J314" s="1"/>
      <c r="K314" s="1"/>
      <c r="L314" s="1"/>
      <c r="M314" s="1"/>
      <c r="N314" s="1"/>
      <c r="O314" s="1"/>
      <c r="P314" s="1"/>
      <c r="Q314" s="1"/>
      <c r="R314" s="1"/>
      <c r="S314" s="1"/>
      <c r="T314" s="1"/>
      <c r="U314" s="41" t="str">
        <f t="shared" ref="U314:U319" ca="1" si="158">V314&amp;""&amp;",..,"&amp;""&amp;W314</f>
        <v>301,..,3701</v>
      </c>
      <c r="V314" s="41">
        <f ca="1">(SUMPRODUCT(MID(0&amp;(LEFT(A313,SUM(LEN(A313)-LEN(SUBSTITUTE(A313,{"0","1","2","3"},""))))), LARGE(INDEX(ISNUMBER(--MID((LEFT(A313,SUM(LEN(A313)-LEN(SUBSTITUTE(A313,{"0","1","2","3"},""))))), ROW(INDIRECT("1:"&amp;LEN((LEFT(A313,SUM(LEN(A313)-LEN(SUBSTITUTE(A313,{"0","1","2","3"},"")))))))), 1)) * ROW(INDIRECT("1:"&amp;LEN((LEFT(A313,SUM(LEN(A313)-LEN(SUBSTITUTE(A313,{"0","1","2","3"},"")))))))), 0), ROW(INDIRECT("1:"&amp;LEN((LEFT(A313,SUM(LEN(A313)-LEN(SUBSTITUTE(A313,{"0","1","2","3"},"")))))))))+1, 1) * 10^ROW(INDIRECT("1:"&amp;LEN((LEFT(A313,SUM(LEN(A313)-LEN(SUBSTITUTE(A313,{"0","1","2","3"},""))))))))/10))*100+1</f>
        <v>301</v>
      </c>
      <c r="W314" s="41">
        <f ca="1">(SUMPRODUCT(MID(0&amp;(--TRIM(RIGHT(SUBSTITUTE(LEFT(A313,_xlfn.AGGREGATE(16,6,FIND({0,1,2,3,4,5,6,7,8,9},A313,ROW(INDIRECT("1:"&amp;LEN(A313)))),1))," ",REPT(" ",LEN(A313))),LEN(A313)))), LARGE(INDEX(ISNUMBER(--MID((--TRIM(RIGHT(SUBSTITUTE(LEFT(A313,_xlfn.AGGREGATE(16,6,FIND({0,1,2,3,4,5,6,7,8,9},A313,ROW(INDIRECT("1:"&amp;LEN(A313)))),1))," ",REPT(" ",LEN(A313))),LEN(A313)))), ROW(INDIRECT("1:"&amp;LEN((--TRIM(RIGHT(SUBSTITUTE(LEFT(A313,_xlfn.AGGREGATE(16,6,FIND({0,1,2,3,4,5,6,7,8,9},A313,ROW(INDIRECT("1:"&amp;LEN(A313)))),1))," ",REPT(" ",LEN(A313))),LEN(A313))))))), 1)) * ROW(INDIRECT("1:"&amp;LEN((--TRIM(RIGHT(SUBSTITUTE(LEFT(A313,_xlfn.AGGREGATE(16,6,FIND({0,1,2,3,4,5,6,7,8,9},A313,ROW(INDIRECT("1:"&amp;LEN(A313)))),1))," ",REPT(" ",LEN(A313))),LEN(A313))))))), 0), ROW(INDIRECT("1:"&amp;LEN((--TRIM(RIGHT(SUBSTITUTE(LEFT(A313,_xlfn.AGGREGATE(16,6,FIND({0,1,2,3,4,5,6,7,8,9},A313,ROW(INDIRECT("1:"&amp;LEN(A313)))),1))," ",REPT(" ",LEN(A313))),LEN(A313))))))))+1, 1) * 10^ROW(INDIRECT("1:"&amp;LEN((--TRIM(RIGHT(SUBSTITUTE(LEFT(A313,_xlfn.AGGREGATE(16,6,FIND({0,1,2,3,4,5,6,7,8,9},A313,ROW(INDIRECT("1:"&amp;LEN(A313)))),1))," ",REPT(" ",LEN(A313))),LEN(A313)))))))/10))*100+1</f>
        <v>3701</v>
      </c>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customHeight="1" x14ac:dyDescent="0.3">
      <c r="A315" s="68" t="str">
        <f t="shared" ref="A315:A319" si="159">A314</f>
        <v>37th Floor (Part Refuge Area)</v>
      </c>
      <c r="B315" s="68"/>
      <c r="C315" s="69">
        <v>2</v>
      </c>
      <c r="D315" s="70"/>
      <c r="E315" s="19" t="s">
        <v>223</v>
      </c>
      <c r="F315" s="69">
        <f>(3.05*3.35+3.05*6.35+2.15*2.6+3.05*3.05+0.9*2.15+(1.4*2.55+1.375*2.3)+(0.75*(3.05+3.05+2.15+3.05)))*10.764</f>
        <v>663.27767999999992</v>
      </c>
      <c r="G315" s="70"/>
      <c r="H315" s="19">
        <v>0</v>
      </c>
      <c r="I315" s="19">
        <f t="shared" si="157"/>
        <v>1061.2442879999999</v>
      </c>
      <c r="J315" s="1"/>
      <c r="K315" s="1"/>
      <c r="L315" s="1"/>
      <c r="M315" s="1"/>
      <c r="N315" s="1"/>
      <c r="O315" s="1"/>
      <c r="P315" s="1"/>
      <c r="Q315" s="1"/>
      <c r="R315" s="1"/>
      <c r="S315" s="1"/>
      <c r="T315" s="1"/>
      <c r="U315" s="41" t="str">
        <f t="shared" ca="1" si="158"/>
        <v>302,..,3702</v>
      </c>
      <c r="V315" s="41">
        <f ca="1">V314+1</f>
        <v>302</v>
      </c>
      <c r="W315" s="41">
        <f ca="1">W314+1</f>
        <v>3702</v>
      </c>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customHeight="1" x14ac:dyDescent="0.3">
      <c r="A316" s="68" t="str">
        <f t="shared" si="159"/>
        <v>37th Floor (Part Refuge Area)</v>
      </c>
      <c r="B316" s="68"/>
      <c r="C316" s="69">
        <v>3</v>
      </c>
      <c r="D316" s="70"/>
      <c r="E316" s="19" t="s">
        <v>222</v>
      </c>
      <c r="F316" s="69">
        <f>(1.525*2.3+3.15*5.15+1.1*2.375+3.3*2.325+3.05*3.05+3.175*3.35+3.05*3.35+1.1*1.375+(1.375*2.3+2.3*1.375+1.375*2.3)+(0.75*(2.325+3.05+3.05+3.15)))*10.764</f>
        <v>859.53231000000005</v>
      </c>
      <c r="G316" s="70"/>
      <c r="H316" s="19">
        <v>0</v>
      </c>
      <c r="I316" s="19">
        <f t="shared" si="157"/>
        <v>1375.2516960000003</v>
      </c>
      <c r="J316" s="1"/>
      <c r="K316" s="1"/>
      <c r="L316" s="1"/>
      <c r="M316" s="1"/>
      <c r="N316" s="1"/>
      <c r="O316" s="1"/>
      <c r="P316" s="1"/>
      <c r="Q316" s="1"/>
      <c r="R316" s="1"/>
      <c r="S316" s="1"/>
      <c r="T316" s="1"/>
      <c r="U316" s="41" t="str">
        <f t="shared" ca="1" si="158"/>
        <v>303,..,3703</v>
      </c>
      <c r="V316" s="41">
        <f t="shared" ref="V316:W316" ca="1" si="160">V315+1</f>
        <v>303</v>
      </c>
      <c r="W316" s="41">
        <f t="shared" ca="1" si="160"/>
        <v>3703</v>
      </c>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0.25" customHeight="1" x14ac:dyDescent="0.3">
      <c r="A317" s="68" t="str">
        <f t="shared" si="159"/>
        <v>37th Floor (Part Refuge Area)</v>
      </c>
      <c r="B317" s="68"/>
      <c r="C317" s="69">
        <v>4</v>
      </c>
      <c r="D317" s="70"/>
      <c r="E317" s="19" t="s">
        <v>240</v>
      </c>
      <c r="F317" s="160">
        <f>(0.85*1.125+2.15*3.35+3.05*4.625+1.405*1+3.05*3.35+((1.375*2.3)*2)+(0.75*(3.05+2.15)))*10.764</f>
        <v>474.82695000000001</v>
      </c>
      <c r="G317" s="161"/>
      <c r="H317" s="19">
        <v>0</v>
      </c>
      <c r="I317" s="19">
        <f t="shared" si="157"/>
        <v>759.72312000000011</v>
      </c>
      <c r="J317" s="1"/>
      <c r="K317" s="1"/>
      <c r="L317" s="1"/>
      <c r="M317" s="1"/>
      <c r="N317" s="1"/>
      <c r="O317" s="1"/>
      <c r="P317" s="1"/>
      <c r="Q317" s="1"/>
      <c r="R317" s="1"/>
      <c r="S317" s="1"/>
      <c r="T317" s="1"/>
      <c r="U317" s="41" t="str">
        <f t="shared" ca="1" si="158"/>
        <v>304,..,3704</v>
      </c>
      <c r="V317" s="41">
        <f t="shared" ref="V317:W317" ca="1" si="161">V316+1</f>
        <v>304</v>
      </c>
      <c r="W317" s="41">
        <f t="shared" ca="1" si="161"/>
        <v>3704</v>
      </c>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customHeight="1" x14ac:dyDescent="0.3">
      <c r="A318" s="68" t="str">
        <f t="shared" si="159"/>
        <v>37th Floor (Part Refuge Area)</v>
      </c>
      <c r="B318" s="68"/>
      <c r="C318" s="69">
        <v>5</v>
      </c>
      <c r="D318" s="70"/>
      <c r="E318" s="69" t="s">
        <v>226</v>
      </c>
      <c r="F318" s="163"/>
      <c r="G318" s="163"/>
      <c r="H318" s="163"/>
      <c r="I318" s="70"/>
      <c r="J318" s="1"/>
      <c r="K318" s="1"/>
      <c r="L318" s="1"/>
      <c r="M318" s="1"/>
      <c r="N318" s="1"/>
      <c r="O318" s="1"/>
      <c r="P318" s="1"/>
      <c r="Q318" s="1"/>
      <c r="R318" s="1"/>
      <c r="S318" s="1"/>
      <c r="T318" s="1"/>
      <c r="U318" s="41" t="str">
        <f t="shared" ca="1" si="158"/>
        <v>305,..,3705</v>
      </c>
      <c r="V318" s="41">
        <f t="shared" ref="V318:W318" ca="1" si="162">V317+1</f>
        <v>305</v>
      </c>
      <c r="W318" s="41">
        <f t="shared" ca="1" si="162"/>
        <v>3705</v>
      </c>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customHeight="1" x14ac:dyDescent="0.3">
      <c r="A319" s="68" t="str">
        <f t="shared" si="159"/>
        <v>37th Floor (Part Refuge Area)</v>
      </c>
      <c r="B319" s="68"/>
      <c r="C319" s="69">
        <v>6</v>
      </c>
      <c r="D319" s="70"/>
      <c r="E319" s="19" t="s">
        <v>240</v>
      </c>
      <c r="F319" s="160">
        <f>(0.85*1.125+2.15*3.35+3.05*4.625+1.405*1+3.05*3.35+((1.375*2.3)*2)+(0.75*(3.05+2.15)))*10.764</f>
        <v>474.82695000000001</v>
      </c>
      <c r="G319" s="161"/>
      <c r="H319" s="19">
        <v>0</v>
      </c>
      <c r="I319" s="19">
        <f t="shared" ref="I319" si="163">F319*(($I$130)+1)+H319</f>
        <v>759.72312000000011</v>
      </c>
      <c r="J319" s="1"/>
      <c r="K319" s="1"/>
      <c r="L319" s="1"/>
      <c r="M319" s="1"/>
      <c r="N319" s="1"/>
      <c r="O319" s="1"/>
      <c r="P319" s="1"/>
      <c r="Q319" s="1"/>
      <c r="R319" s="1"/>
      <c r="S319" s="1"/>
      <c r="T319" s="1"/>
      <c r="U319" s="41" t="str">
        <f t="shared" ca="1" si="158"/>
        <v>306,..,3706</v>
      </c>
      <c r="V319" s="41">
        <f t="shared" ref="V319:W319" ca="1" si="164">V318+1</f>
        <v>306</v>
      </c>
      <c r="W319" s="41">
        <f t="shared" ca="1" si="164"/>
        <v>3706</v>
      </c>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1" x14ac:dyDescent="0.3">
      <c r="A320" s="71" t="s">
        <v>251</v>
      </c>
      <c r="B320" s="72"/>
      <c r="C320" s="72"/>
      <c r="D320" s="72"/>
      <c r="E320" s="72"/>
      <c r="F320" s="72"/>
      <c r="G320" s="72"/>
      <c r="H320" s="72"/>
      <c r="I320" s="16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customHeight="1" x14ac:dyDescent="0.3">
      <c r="A321" s="68" t="str">
        <f>A320</f>
        <v>38th Floor</v>
      </c>
      <c r="B321" s="68"/>
      <c r="C321" s="69">
        <v>1</v>
      </c>
      <c r="D321" s="70"/>
      <c r="E321" s="19" t="s">
        <v>222</v>
      </c>
      <c r="F321" s="69">
        <f>(1.525*2.3+3.15*5.15+1.1*2.375+3.3*2.325+3.05*3.05+3.175*3.35+3.05*3.35+1.1*1.375+(1.375*2.3+2.3*1.375+1.375*2.3)+(0.75*(2.325+3.05+3.05+3.15)))*10.764</f>
        <v>859.53231000000005</v>
      </c>
      <c r="G321" s="70"/>
      <c r="H321" s="19">
        <v>0</v>
      </c>
      <c r="I321" s="19">
        <f t="shared" ref="I321:I326" si="165">F321*(($I$130)+1)+H321</f>
        <v>1375.2516960000003</v>
      </c>
      <c r="J321" s="1"/>
      <c r="K321" s="1"/>
      <c r="L321" s="1"/>
      <c r="M321" s="1"/>
      <c r="N321" s="1"/>
      <c r="O321" s="1"/>
      <c r="P321" s="1"/>
      <c r="Q321" s="1"/>
      <c r="R321" s="1"/>
      <c r="S321" s="1"/>
      <c r="T321" s="1"/>
      <c r="U321" s="41" t="str">
        <f t="shared" ref="U321:U326" ca="1" si="166">V321&amp;""&amp;",..,"&amp;""&amp;W321</f>
        <v>301,..,3801</v>
      </c>
      <c r="V321" s="41">
        <f ca="1">(SUMPRODUCT(MID(0&amp;(LEFT(A320,SUM(LEN(A320)-LEN(SUBSTITUTE(A320,{"0","1","2","3"},""))))), LARGE(INDEX(ISNUMBER(--MID((LEFT(A320,SUM(LEN(A320)-LEN(SUBSTITUTE(A320,{"0","1","2","3"},""))))), ROW(INDIRECT("1:"&amp;LEN((LEFT(A320,SUM(LEN(A320)-LEN(SUBSTITUTE(A320,{"0","1","2","3"},"")))))))), 1)) * ROW(INDIRECT("1:"&amp;LEN((LEFT(A320,SUM(LEN(A320)-LEN(SUBSTITUTE(A320,{"0","1","2","3"},"")))))))), 0), ROW(INDIRECT("1:"&amp;LEN((LEFT(A320,SUM(LEN(A320)-LEN(SUBSTITUTE(A320,{"0","1","2","3"},"")))))))))+1, 1) * 10^ROW(INDIRECT("1:"&amp;LEN((LEFT(A320,SUM(LEN(A320)-LEN(SUBSTITUTE(A320,{"0","1","2","3"},""))))))))/10))*100+1</f>
        <v>301</v>
      </c>
      <c r="W321" s="41">
        <f ca="1">(SUMPRODUCT(MID(0&amp;(--TRIM(RIGHT(SUBSTITUTE(LEFT(A320,_xlfn.AGGREGATE(16,6,FIND({0,1,2,3,4,5,6,7,8,9},A320,ROW(INDIRECT("1:"&amp;LEN(A320)))),1))," ",REPT(" ",LEN(A320))),LEN(A320)))), LARGE(INDEX(ISNUMBER(--MID((--TRIM(RIGHT(SUBSTITUTE(LEFT(A320,_xlfn.AGGREGATE(16,6,FIND({0,1,2,3,4,5,6,7,8,9},A320,ROW(INDIRECT("1:"&amp;LEN(A320)))),1))," ",REPT(" ",LEN(A320))),LEN(A320)))), ROW(INDIRECT("1:"&amp;LEN((--TRIM(RIGHT(SUBSTITUTE(LEFT(A320,_xlfn.AGGREGATE(16,6,FIND({0,1,2,3,4,5,6,7,8,9},A320,ROW(INDIRECT("1:"&amp;LEN(A320)))),1))," ",REPT(" ",LEN(A320))),LEN(A320))))))), 1)) * ROW(INDIRECT("1:"&amp;LEN((--TRIM(RIGHT(SUBSTITUTE(LEFT(A320,_xlfn.AGGREGATE(16,6,FIND({0,1,2,3,4,5,6,7,8,9},A320,ROW(INDIRECT("1:"&amp;LEN(A320)))),1))," ",REPT(" ",LEN(A320))),LEN(A320))))))), 0), ROW(INDIRECT("1:"&amp;LEN((--TRIM(RIGHT(SUBSTITUTE(LEFT(A320,_xlfn.AGGREGATE(16,6,FIND({0,1,2,3,4,5,6,7,8,9},A320,ROW(INDIRECT("1:"&amp;LEN(A320)))),1))," ",REPT(" ",LEN(A320))),LEN(A320))))))))+1, 1) * 10^ROW(INDIRECT("1:"&amp;LEN((--TRIM(RIGHT(SUBSTITUTE(LEFT(A320,_xlfn.AGGREGATE(16,6,FIND({0,1,2,3,4,5,6,7,8,9},A320,ROW(INDIRECT("1:"&amp;LEN(A320)))),1))," ",REPT(" ",LEN(A320))),LEN(A320)))))))/10))*100+1</f>
        <v>3801</v>
      </c>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customHeight="1" x14ac:dyDescent="0.3">
      <c r="A322" s="68" t="str">
        <f t="shared" ref="A322:A326" si="167">A321</f>
        <v>38th Floor</v>
      </c>
      <c r="B322" s="68"/>
      <c r="C322" s="69">
        <v>2</v>
      </c>
      <c r="D322" s="70"/>
      <c r="E322" s="19" t="s">
        <v>223</v>
      </c>
      <c r="F322" s="69">
        <f>(3.05*3.35+3.05*6.35+2.15*2.6+3.05*3.05+0.9*2.15+(1.4*2.55+1.375*2.3)+(0.75*(3.05+3.05+2.15+3.05)))*10.764</f>
        <v>663.27767999999992</v>
      </c>
      <c r="G322" s="70"/>
      <c r="H322" s="19">
        <v>0</v>
      </c>
      <c r="I322" s="19">
        <f t="shared" si="165"/>
        <v>1061.2442879999999</v>
      </c>
      <c r="J322" s="1"/>
      <c r="K322" s="1"/>
      <c r="L322" s="1"/>
      <c r="M322" s="1"/>
      <c r="N322" s="1"/>
      <c r="O322" s="1"/>
      <c r="P322" s="1"/>
      <c r="Q322" s="1"/>
      <c r="R322" s="1"/>
      <c r="S322" s="1"/>
      <c r="T322" s="1"/>
      <c r="U322" s="41" t="str">
        <f t="shared" ca="1" si="166"/>
        <v>302,..,3802</v>
      </c>
      <c r="V322" s="41">
        <f ca="1">V321+1</f>
        <v>302</v>
      </c>
      <c r="W322" s="41">
        <f ca="1">W321+1</f>
        <v>3802</v>
      </c>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3">
      <c r="A323" s="68" t="str">
        <f t="shared" si="167"/>
        <v>38th Floor</v>
      </c>
      <c r="B323" s="68"/>
      <c r="C323" s="69">
        <v>3</v>
      </c>
      <c r="D323" s="70"/>
      <c r="E323" s="19" t="s">
        <v>222</v>
      </c>
      <c r="F323" s="69">
        <f>(1.525*2.3+3.15*5.15+1.1*2.375+3.3*2.325+3.05*3.05+3.175*3.35+3.05*3.35+1.1*1.375+(1.375*2.3+2.3*1.375+1.375*2.3)+(0.75*(2.325+3.05+3.05+3.15)))*10.764</f>
        <v>859.53231000000005</v>
      </c>
      <c r="G323" s="70"/>
      <c r="H323" s="19">
        <v>0</v>
      </c>
      <c r="I323" s="19">
        <f t="shared" si="165"/>
        <v>1375.2516960000003</v>
      </c>
      <c r="J323" s="1"/>
      <c r="K323" s="1"/>
      <c r="L323" s="1"/>
      <c r="M323" s="1"/>
      <c r="N323" s="1"/>
      <c r="O323" s="1"/>
      <c r="P323" s="1"/>
      <c r="Q323" s="1"/>
      <c r="R323" s="1"/>
      <c r="S323" s="1"/>
      <c r="T323" s="1"/>
      <c r="U323" s="41" t="str">
        <f t="shared" ca="1" si="166"/>
        <v>303,..,3803</v>
      </c>
      <c r="V323" s="41">
        <f t="shared" ref="V323:W323" ca="1" si="168">V322+1</f>
        <v>303</v>
      </c>
      <c r="W323" s="41">
        <f t="shared" ca="1" si="168"/>
        <v>3803</v>
      </c>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customHeight="1" x14ac:dyDescent="0.3">
      <c r="A324" s="68" t="str">
        <f t="shared" si="167"/>
        <v>38th Floor</v>
      </c>
      <c r="B324" s="68"/>
      <c r="C324" s="69">
        <v>4</v>
      </c>
      <c r="D324" s="70"/>
      <c r="E324" s="19" t="s">
        <v>223</v>
      </c>
      <c r="F324" s="160">
        <f>(2.3*1.125+2.15*3.35+3.05*4.625+1.405*1+3.05*3.35+3.05*3.05+0.6*3.05+((1.375*2.3)*2)+(0.75*(3.05+2.15)))*10.764</f>
        <v>612.21595499999989</v>
      </c>
      <c r="G324" s="161"/>
      <c r="H324" s="19">
        <v>0</v>
      </c>
      <c r="I324" s="19">
        <f t="shared" si="165"/>
        <v>979.54552799999988</v>
      </c>
      <c r="J324" s="1"/>
      <c r="K324" s="1"/>
      <c r="L324" s="1"/>
      <c r="M324" s="1"/>
      <c r="N324" s="1"/>
      <c r="O324" s="1"/>
      <c r="P324" s="1"/>
      <c r="Q324" s="1"/>
      <c r="R324" s="1"/>
      <c r="S324" s="1"/>
      <c r="T324" s="1"/>
      <c r="U324" s="41" t="str">
        <f t="shared" ca="1" si="166"/>
        <v>304,..,3804</v>
      </c>
      <c r="V324" s="41">
        <f t="shared" ref="V324:W324" ca="1" si="169">V323+1</f>
        <v>304</v>
      </c>
      <c r="W324" s="41">
        <f t="shared" ca="1" si="169"/>
        <v>3804</v>
      </c>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0.25" customHeight="1" x14ac:dyDescent="0.3">
      <c r="A325" s="68" t="str">
        <f t="shared" si="167"/>
        <v>38th Floor</v>
      </c>
      <c r="B325" s="68"/>
      <c r="C325" s="69">
        <v>5</v>
      </c>
      <c r="D325" s="70"/>
      <c r="E325" s="19" t="s">
        <v>222</v>
      </c>
      <c r="F325" s="160">
        <f>(2.3*3+3.05*3.65+2.3*2.65+2.9*3.25+2.45*2.6+2.9*3.25+1*2.3+1*2.45+(2*(2.3*1.525))+(0.75*(2.45+3.05+2.3)))*10.764</f>
        <v>720.7843499999999</v>
      </c>
      <c r="G325" s="161"/>
      <c r="H325" s="19">
        <v>0</v>
      </c>
      <c r="I325" s="19">
        <f t="shared" si="165"/>
        <v>1153.25496</v>
      </c>
      <c r="J325" s="1"/>
      <c r="K325" s="1"/>
      <c r="L325" s="1"/>
      <c r="M325" s="1"/>
      <c r="N325" s="1"/>
      <c r="O325" s="1"/>
      <c r="P325" s="1"/>
      <c r="Q325" s="1"/>
      <c r="R325" s="1"/>
      <c r="S325" s="1"/>
      <c r="T325" s="1"/>
      <c r="U325" s="41" t="str">
        <f t="shared" ca="1" si="166"/>
        <v>305,..,3805</v>
      </c>
      <c r="V325" s="41">
        <f t="shared" ref="V325:W325" ca="1" si="170">V324+1</f>
        <v>305</v>
      </c>
      <c r="W325" s="41">
        <f t="shared" ca="1" si="170"/>
        <v>3805</v>
      </c>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customHeight="1" x14ac:dyDescent="0.3">
      <c r="A326" s="68" t="str">
        <f t="shared" si="167"/>
        <v>38th Floor</v>
      </c>
      <c r="B326" s="68"/>
      <c r="C326" s="69">
        <v>6</v>
      </c>
      <c r="D326" s="70"/>
      <c r="E326" s="19" t="s">
        <v>223</v>
      </c>
      <c r="F326" s="69">
        <f>(2.3*1.125+2.15*3.35+3.05*4.625+1.405*1+3.05*3.35+3.05*3.05+0.6*1.4+((1.375*2.3)*2)+0.15*0.6+(0.75*(3.05+2.15+3.05)))*10.764</f>
        <v>627.15100499999994</v>
      </c>
      <c r="G326" s="70"/>
      <c r="H326" s="19">
        <v>0</v>
      </c>
      <c r="I326" s="19">
        <f t="shared" si="165"/>
        <v>1003.441608</v>
      </c>
      <c r="J326" s="1"/>
      <c r="K326" s="1"/>
      <c r="L326" s="1"/>
      <c r="M326" s="1"/>
      <c r="N326" s="1"/>
      <c r="O326" s="1"/>
      <c r="P326" s="1"/>
      <c r="Q326" s="1"/>
      <c r="R326" s="1"/>
      <c r="S326" s="1"/>
      <c r="T326" s="1"/>
      <c r="U326" s="41" t="str">
        <f t="shared" ca="1" si="166"/>
        <v>306,..,3806</v>
      </c>
      <c r="V326" s="41">
        <f t="shared" ref="V326:W326" ca="1" si="171">V325+1</f>
        <v>306</v>
      </c>
      <c r="W326" s="41">
        <f t="shared" ca="1" si="171"/>
        <v>3806</v>
      </c>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1" x14ac:dyDescent="0.3">
      <c r="A327" s="71" t="s">
        <v>233</v>
      </c>
      <c r="B327" s="72"/>
      <c r="C327" s="72"/>
      <c r="D327" s="72"/>
      <c r="E327" s="72"/>
      <c r="F327" s="72"/>
      <c r="G327" s="72"/>
      <c r="H327" s="72"/>
      <c r="I327" s="16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1" x14ac:dyDescent="0.3">
      <c r="A328" s="71" t="s">
        <v>232</v>
      </c>
      <c r="B328" s="72"/>
      <c r="C328" s="72"/>
      <c r="D328" s="72"/>
      <c r="E328" s="72"/>
      <c r="F328" s="72"/>
      <c r="G328" s="72"/>
      <c r="H328" s="72"/>
      <c r="I328" s="16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ht="21" x14ac:dyDescent="0.3">
      <c r="A329" s="67" t="s">
        <v>72</v>
      </c>
      <c r="B329" s="67"/>
      <c r="C329" s="67"/>
      <c r="D329" s="67"/>
      <c r="E329" s="67"/>
      <c r="F329" s="67"/>
      <c r="G329" s="67"/>
      <c r="H329" s="67"/>
      <c r="I329" s="67"/>
    </row>
    <row r="330" spans="1:151 16227:16384" ht="156.6" customHeight="1" x14ac:dyDescent="0.3">
      <c r="A330" s="9" t="s">
        <v>80</v>
      </c>
      <c r="B330" s="12" t="s">
        <v>4</v>
      </c>
      <c r="C330" s="93" t="s">
        <v>281</v>
      </c>
      <c r="D330" s="93"/>
      <c r="E330" s="93"/>
      <c r="F330" s="93"/>
      <c r="G330" s="93"/>
      <c r="H330" s="93"/>
      <c r="I330" s="93"/>
    </row>
    <row r="331" spans="1:151 16227:16384" ht="21" x14ac:dyDescent="0.3">
      <c r="A331" s="132" t="s">
        <v>81</v>
      </c>
      <c r="B331" s="132"/>
      <c r="C331" s="132"/>
      <c r="D331" s="132"/>
      <c r="E331" s="132"/>
      <c r="F331" s="132"/>
      <c r="G331" s="132"/>
      <c r="H331" s="132"/>
      <c r="I331" s="132"/>
    </row>
    <row r="332" spans="1:151 16227:16384" ht="21" x14ac:dyDescent="0.3">
      <c r="A332" s="83" t="s">
        <v>73</v>
      </c>
      <c r="B332" s="83"/>
      <c r="C332" s="83"/>
      <c r="D332" s="2" t="s">
        <v>4</v>
      </c>
      <c r="E332" s="113" t="str">
        <f>E3</f>
        <v>Godrej Exquisite (Tower No 1 to 3)</v>
      </c>
      <c r="F332" s="114"/>
      <c r="G332" s="114"/>
      <c r="H332" s="114"/>
      <c r="I332" s="115"/>
    </row>
    <row r="333" spans="1:151 16227:16384" ht="42" customHeight="1" x14ac:dyDescent="0.3">
      <c r="A333" s="83" t="s">
        <v>133</v>
      </c>
      <c r="B333" s="83"/>
      <c r="C333" s="83"/>
      <c r="D333" s="2" t="s">
        <v>4</v>
      </c>
      <c r="E333" s="113" t="str">
        <f>E9</f>
        <v>Godrej Exquisite, Survey No.206/2, 141/5, Near Waghbil Bus Stop &amp; Jalaja Hotel, Ghodbundar Road, Village- Kavesar, Thane West, Thane – 400607</v>
      </c>
      <c r="F333" s="114"/>
      <c r="G333" s="114"/>
      <c r="H333" s="114"/>
      <c r="I333" s="115"/>
    </row>
    <row r="334" spans="1:151 16227:16384" ht="20.25" customHeight="1" x14ac:dyDescent="0.3">
      <c r="A334" s="142" t="s">
        <v>139</v>
      </c>
      <c r="B334" s="142"/>
      <c r="C334" s="142"/>
      <c r="D334" s="15" t="s">
        <v>4</v>
      </c>
      <c r="E334" s="143" t="str">
        <f>I3</f>
        <v>04/07/2025 @12:05 PM</v>
      </c>
      <c r="F334" s="144"/>
      <c r="G334" s="144"/>
      <c r="H334" s="144"/>
      <c r="I334" s="145"/>
    </row>
    <row r="335" spans="1:151 16227:16384" ht="21" x14ac:dyDescent="0.3">
      <c r="A335" s="28"/>
      <c r="B335" s="29"/>
      <c r="C335" s="29"/>
      <c r="D335" s="29"/>
      <c r="E335" s="29"/>
      <c r="F335" s="29"/>
      <c r="G335" s="29"/>
      <c r="H335" s="29"/>
      <c r="I335" s="24"/>
    </row>
    <row r="336" spans="1:151 16227:16384" ht="21" x14ac:dyDescent="0.3">
      <c r="A336" s="30"/>
      <c r="B336" s="31"/>
      <c r="C336" s="31"/>
      <c r="D336" s="31"/>
      <c r="E336" s="31"/>
      <c r="F336" s="31"/>
      <c r="G336" s="31"/>
      <c r="H336" s="31"/>
      <c r="I336" s="25"/>
    </row>
    <row r="337" spans="1:9" ht="21" x14ac:dyDescent="0.3">
      <c r="A337" s="30"/>
      <c r="B337" s="31"/>
      <c r="C337" s="31"/>
      <c r="D337" s="31"/>
      <c r="E337" s="31"/>
      <c r="F337" s="31"/>
      <c r="G337" s="31"/>
      <c r="H337" s="31"/>
      <c r="I337" s="25"/>
    </row>
    <row r="338" spans="1:9" ht="21" x14ac:dyDescent="0.3">
      <c r="A338" s="30"/>
      <c r="B338" s="31"/>
      <c r="C338" s="31"/>
      <c r="D338" s="31"/>
      <c r="E338" s="31"/>
      <c r="F338" s="31"/>
      <c r="G338" s="31"/>
      <c r="H338" s="31"/>
      <c r="I338" s="25"/>
    </row>
    <row r="339" spans="1:9" ht="21" x14ac:dyDescent="0.3">
      <c r="A339" s="30"/>
      <c r="B339" s="31"/>
      <c r="C339" s="31"/>
      <c r="D339" s="31"/>
      <c r="E339" s="31"/>
      <c r="F339" s="31"/>
      <c r="G339" s="31"/>
      <c r="H339" s="31"/>
      <c r="I339" s="25"/>
    </row>
    <row r="340" spans="1:9" ht="21" x14ac:dyDescent="0.3">
      <c r="A340" s="30"/>
      <c r="B340" s="31"/>
      <c r="C340" s="31"/>
      <c r="D340" s="31"/>
      <c r="E340" s="31"/>
      <c r="F340" s="31"/>
      <c r="G340" s="31"/>
      <c r="H340" s="31"/>
      <c r="I340" s="25"/>
    </row>
    <row r="341" spans="1:9" ht="21" x14ac:dyDescent="0.3">
      <c r="A341" s="30"/>
      <c r="B341" s="31"/>
      <c r="C341" s="31"/>
      <c r="D341" s="31"/>
      <c r="E341" s="31"/>
      <c r="F341" s="31"/>
      <c r="G341" s="31"/>
      <c r="H341" s="31"/>
      <c r="I341" s="25"/>
    </row>
    <row r="342" spans="1:9" ht="21" x14ac:dyDescent="0.3">
      <c r="A342" s="30"/>
      <c r="B342" s="31"/>
      <c r="C342" s="31"/>
      <c r="D342" s="31"/>
      <c r="E342" s="31"/>
      <c r="F342" s="31"/>
      <c r="G342" s="31"/>
      <c r="H342" s="31"/>
      <c r="I342" s="25"/>
    </row>
    <row r="343" spans="1:9" ht="21" x14ac:dyDescent="0.3">
      <c r="A343" s="30"/>
      <c r="B343" s="31"/>
      <c r="C343" s="31"/>
      <c r="D343" s="31"/>
      <c r="E343" s="31"/>
      <c r="F343" s="31"/>
      <c r="G343" s="31"/>
      <c r="H343" s="31"/>
      <c r="I343" s="25"/>
    </row>
    <row r="344" spans="1:9" ht="21" x14ac:dyDescent="0.3">
      <c r="A344" s="30"/>
      <c r="B344" s="31"/>
      <c r="C344" s="31"/>
      <c r="D344" s="31"/>
      <c r="E344" s="31"/>
      <c r="F344" s="31"/>
      <c r="G344" s="31"/>
      <c r="H344" s="31"/>
      <c r="I344" s="25"/>
    </row>
    <row r="345" spans="1:9" ht="21" x14ac:dyDescent="0.3">
      <c r="A345" s="30"/>
      <c r="B345" s="31"/>
      <c r="C345" s="31"/>
      <c r="D345" s="31"/>
      <c r="E345" s="31"/>
      <c r="F345" s="31"/>
      <c r="G345" s="31"/>
      <c r="H345" s="31"/>
      <c r="I345" s="25"/>
    </row>
    <row r="346" spans="1:9" ht="21" x14ac:dyDescent="0.3">
      <c r="A346" s="30"/>
      <c r="B346" s="31"/>
      <c r="C346" s="31"/>
      <c r="D346" s="31"/>
      <c r="E346" s="31"/>
      <c r="F346" s="31"/>
      <c r="G346" s="31"/>
      <c r="H346" s="31"/>
      <c r="I346" s="25"/>
    </row>
    <row r="347" spans="1:9" ht="21" x14ac:dyDescent="0.3">
      <c r="A347" s="30"/>
      <c r="B347" s="31"/>
      <c r="C347" s="31"/>
      <c r="D347" s="31"/>
      <c r="E347" s="31"/>
      <c r="F347" s="31"/>
      <c r="G347" s="31"/>
      <c r="H347" s="31"/>
      <c r="I347" s="25"/>
    </row>
    <row r="348" spans="1:9" ht="21" x14ac:dyDescent="0.3">
      <c r="A348" s="30"/>
      <c r="B348" s="31"/>
      <c r="C348" s="31"/>
      <c r="D348" s="31"/>
      <c r="E348" s="31"/>
      <c r="F348" s="31"/>
      <c r="G348" s="31"/>
      <c r="H348" s="31"/>
      <c r="I348" s="25"/>
    </row>
    <row r="349" spans="1:9" ht="21" x14ac:dyDescent="0.3">
      <c r="A349" s="30"/>
      <c r="B349" s="31"/>
      <c r="C349" s="31"/>
      <c r="D349" s="31"/>
      <c r="E349" s="31"/>
      <c r="F349" s="31"/>
      <c r="G349" s="31"/>
      <c r="H349" s="31"/>
      <c r="I349" s="25"/>
    </row>
    <row r="350" spans="1:9" ht="21" x14ac:dyDescent="0.3">
      <c r="A350" s="30"/>
      <c r="B350" s="31"/>
      <c r="C350" s="31"/>
      <c r="D350" s="31"/>
      <c r="E350" s="31"/>
      <c r="F350" s="31"/>
      <c r="G350" s="31"/>
      <c r="H350" s="31"/>
      <c r="I350" s="25"/>
    </row>
    <row r="351" spans="1:9" ht="21" x14ac:dyDescent="0.3">
      <c r="A351" s="30"/>
      <c r="B351" s="31"/>
      <c r="C351" s="31"/>
      <c r="D351" s="31"/>
      <c r="E351" s="31"/>
      <c r="F351" s="31"/>
      <c r="G351" s="31"/>
      <c r="H351" s="31"/>
      <c r="I351" s="25"/>
    </row>
    <row r="352" spans="1:9" ht="21" x14ac:dyDescent="0.3">
      <c r="A352" s="30"/>
      <c r="B352" s="31"/>
      <c r="C352" s="31"/>
      <c r="D352" s="31"/>
      <c r="E352" s="31"/>
      <c r="F352" s="31"/>
      <c r="G352" s="31"/>
      <c r="H352" s="31"/>
      <c r="I352" s="25"/>
    </row>
    <row r="353" spans="1:9" ht="21" x14ac:dyDescent="0.3">
      <c r="A353" s="30"/>
      <c r="B353" s="31"/>
      <c r="C353" s="31"/>
      <c r="D353" s="31"/>
      <c r="E353" s="31"/>
      <c r="F353" s="31"/>
      <c r="G353" s="31"/>
      <c r="H353" s="31"/>
      <c r="I353" s="25"/>
    </row>
    <row r="354" spans="1:9" ht="21" x14ac:dyDescent="0.3">
      <c r="A354" s="30"/>
      <c r="B354" s="31"/>
      <c r="C354" s="31"/>
      <c r="D354" s="31"/>
      <c r="E354" s="31"/>
      <c r="F354" s="31"/>
      <c r="G354" s="31"/>
      <c r="H354" s="31"/>
      <c r="I354" s="25"/>
    </row>
    <row r="355" spans="1:9" ht="21" x14ac:dyDescent="0.3">
      <c r="A355" s="30"/>
      <c r="B355" s="31"/>
      <c r="C355" s="31"/>
      <c r="D355" s="31"/>
      <c r="E355" s="31"/>
      <c r="F355" s="31"/>
      <c r="G355" s="31"/>
      <c r="H355" s="31"/>
      <c r="I355" s="25"/>
    </row>
    <row r="356" spans="1:9" ht="21" x14ac:dyDescent="0.3">
      <c r="A356" s="30"/>
      <c r="B356" s="31"/>
      <c r="C356" s="31"/>
      <c r="D356" s="31"/>
      <c r="E356" s="31"/>
      <c r="F356" s="31"/>
      <c r="G356" s="31"/>
      <c r="H356" s="31"/>
      <c r="I356" s="25"/>
    </row>
    <row r="357" spans="1:9" ht="21" x14ac:dyDescent="0.3">
      <c r="A357" s="30"/>
      <c r="B357" s="31"/>
      <c r="C357" s="31"/>
      <c r="D357" s="31"/>
      <c r="E357" s="31"/>
      <c r="F357" s="31"/>
      <c r="G357" s="31"/>
      <c r="H357" s="31"/>
      <c r="I357" s="25"/>
    </row>
    <row r="358" spans="1:9" ht="21" x14ac:dyDescent="0.3">
      <c r="A358" s="30"/>
      <c r="B358" s="31"/>
      <c r="C358" s="31"/>
      <c r="D358" s="31"/>
      <c r="E358" s="31"/>
      <c r="F358" s="31"/>
      <c r="G358" s="31"/>
      <c r="H358" s="31"/>
      <c r="I358" s="25"/>
    </row>
    <row r="359" spans="1:9" ht="21" x14ac:dyDescent="0.3">
      <c r="A359" s="30"/>
      <c r="B359" s="31"/>
      <c r="C359" s="31"/>
      <c r="D359" s="31"/>
      <c r="E359" s="31"/>
      <c r="F359" s="31"/>
      <c r="G359" s="31"/>
      <c r="H359" s="31"/>
      <c r="I359" s="25"/>
    </row>
    <row r="360" spans="1:9" ht="21" x14ac:dyDescent="0.3">
      <c r="A360" s="30"/>
      <c r="B360" s="31"/>
      <c r="C360" s="31"/>
      <c r="D360" s="31"/>
      <c r="E360" s="31"/>
      <c r="F360" s="31"/>
      <c r="G360" s="31"/>
      <c r="H360" s="31"/>
      <c r="I360" s="25"/>
    </row>
    <row r="361" spans="1:9" ht="21" x14ac:dyDescent="0.3">
      <c r="A361" s="30"/>
      <c r="B361" s="31"/>
      <c r="C361" s="31"/>
      <c r="D361" s="31"/>
      <c r="E361" s="31"/>
      <c r="F361" s="31"/>
      <c r="G361" s="31"/>
      <c r="H361" s="31"/>
      <c r="I361" s="25"/>
    </row>
    <row r="362" spans="1:9" ht="21" x14ac:dyDescent="0.3">
      <c r="A362" s="30"/>
      <c r="B362" s="31"/>
      <c r="C362" s="31"/>
      <c r="D362" s="31"/>
      <c r="E362" s="31"/>
      <c r="F362" s="31"/>
      <c r="G362" s="31"/>
      <c r="H362" s="31"/>
      <c r="I362" s="25"/>
    </row>
    <row r="363" spans="1:9" ht="21" hidden="1" x14ac:dyDescent="0.3">
      <c r="A363" s="30"/>
      <c r="B363" s="31"/>
      <c r="C363" s="31"/>
      <c r="D363" s="31"/>
      <c r="E363" s="31"/>
      <c r="F363" s="31"/>
      <c r="G363" s="31"/>
      <c r="H363" s="31"/>
      <c r="I363" s="25"/>
    </row>
    <row r="364" spans="1:9" ht="21" hidden="1" x14ac:dyDescent="0.3">
      <c r="A364" s="30"/>
      <c r="B364" s="31"/>
      <c r="C364" s="31"/>
      <c r="D364" s="31"/>
      <c r="E364" s="31"/>
      <c r="F364" s="31"/>
      <c r="G364" s="31"/>
      <c r="H364" s="31"/>
      <c r="I364" s="25"/>
    </row>
    <row r="365" spans="1:9" ht="21" hidden="1" x14ac:dyDescent="0.3">
      <c r="A365" s="30"/>
      <c r="B365" s="31"/>
      <c r="C365" s="31"/>
      <c r="D365" s="31"/>
      <c r="E365" s="31"/>
      <c r="F365" s="31"/>
      <c r="G365" s="31"/>
      <c r="H365" s="31"/>
      <c r="I365" s="25"/>
    </row>
    <row r="366" spans="1:9" ht="21" hidden="1" x14ac:dyDescent="0.3">
      <c r="A366" s="30"/>
      <c r="B366" s="31"/>
      <c r="C366" s="31"/>
      <c r="D366" s="31"/>
      <c r="E366" s="31"/>
      <c r="F366" s="31"/>
      <c r="G366" s="31"/>
      <c r="H366" s="31"/>
      <c r="I366" s="25"/>
    </row>
    <row r="367" spans="1:9" ht="21" hidden="1" x14ac:dyDescent="0.3">
      <c r="A367" s="30"/>
      <c r="B367" s="31"/>
      <c r="C367" s="31"/>
      <c r="D367" s="31"/>
      <c r="E367" s="31"/>
      <c r="F367" s="31"/>
      <c r="G367" s="31"/>
      <c r="H367" s="31"/>
      <c r="I367" s="25"/>
    </row>
    <row r="368" spans="1:9" ht="21" hidden="1" x14ac:dyDescent="0.3">
      <c r="A368" s="30"/>
      <c r="B368" s="31"/>
      <c r="C368" s="31"/>
      <c r="D368" s="31"/>
      <c r="E368" s="31"/>
      <c r="F368" s="31"/>
      <c r="G368" s="31"/>
      <c r="H368" s="31"/>
      <c r="I368" s="25"/>
    </row>
    <row r="369" spans="1:9" ht="21" hidden="1" x14ac:dyDescent="0.3">
      <c r="A369" s="30"/>
      <c r="B369" s="31"/>
      <c r="C369" s="31"/>
      <c r="D369" s="31"/>
      <c r="E369" s="31"/>
      <c r="F369" s="31"/>
      <c r="G369" s="31"/>
      <c r="H369" s="31"/>
      <c r="I369" s="25"/>
    </row>
    <row r="370" spans="1:9" ht="21" hidden="1" x14ac:dyDescent="0.3">
      <c r="A370" s="30"/>
      <c r="B370" s="31"/>
      <c r="C370" s="31"/>
      <c r="D370" s="31"/>
      <c r="E370" s="31"/>
      <c r="F370" s="31"/>
      <c r="G370" s="31"/>
      <c r="H370" s="31"/>
      <c r="I370" s="25"/>
    </row>
    <row r="371" spans="1:9" ht="21" hidden="1" x14ac:dyDescent="0.3">
      <c r="A371" s="30"/>
      <c r="B371" s="31"/>
      <c r="C371" s="31"/>
      <c r="D371" s="31"/>
      <c r="E371" s="31"/>
      <c r="F371" s="31"/>
      <c r="G371" s="31"/>
      <c r="H371" s="31"/>
      <c r="I371" s="25"/>
    </row>
    <row r="372" spans="1:9" ht="21" hidden="1" x14ac:dyDescent="0.3">
      <c r="A372" s="30"/>
      <c r="B372" s="31"/>
      <c r="C372" s="31"/>
      <c r="D372" s="31"/>
      <c r="E372" s="31"/>
      <c r="F372" s="31"/>
      <c r="G372" s="31"/>
      <c r="H372" s="31"/>
      <c r="I372" s="25"/>
    </row>
    <row r="373" spans="1:9" ht="21" hidden="1" x14ac:dyDescent="0.3">
      <c r="A373" s="30"/>
      <c r="B373" s="31"/>
      <c r="C373" s="31"/>
      <c r="D373" s="31"/>
      <c r="E373" s="31"/>
      <c r="F373" s="31"/>
      <c r="G373" s="31"/>
      <c r="H373" s="31"/>
      <c r="I373" s="25"/>
    </row>
    <row r="374" spans="1:9" s="60" customFormat="1" ht="21" x14ac:dyDescent="0.3">
      <c r="A374" s="57"/>
      <c r="B374" s="58"/>
      <c r="C374" s="58"/>
      <c r="D374" s="58"/>
      <c r="E374" s="58"/>
      <c r="F374" s="58"/>
      <c r="G374" s="58"/>
      <c r="H374" s="58"/>
      <c r="I374" s="59"/>
    </row>
    <row r="375" spans="1:9" ht="21" x14ac:dyDescent="0.3">
      <c r="A375" s="139" t="s">
        <v>82</v>
      </c>
      <c r="B375" s="140"/>
      <c r="C375" s="140"/>
      <c r="D375" s="140"/>
      <c r="E375" s="140"/>
      <c r="F375" s="140"/>
      <c r="G375" s="140"/>
      <c r="H375" s="140"/>
      <c r="I375" s="141"/>
    </row>
    <row r="376" spans="1:9" ht="21" x14ac:dyDescent="0.3">
      <c r="A376" s="28"/>
      <c r="B376" s="29"/>
      <c r="C376" s="29"/>
      <c r="D376" s="29"/>
      <c r="E376" s="29"/>
      <c r="F376" s="29"/>
      <c r="G376" s="29"/>
      <c r="H376" s="29"/>
      <c r="I376" s="24"/>
    </row>
    <row r="377" spans="1:9" ht="21" x14ac:dyDescent="0.3">
      <c r="A377" s="30"/>
      <c r="B377" s="31"/>
      <c r="C377" s="31"/>
      <c r="D377" s="31"/>
      <c r="E377" s="31"/>
      <c r="F377" s="31"/>
      <c r="G377" s="31"/>
      <c r="H377" s="31"/>
      <c r="I377" s="25"/>
    </row>
    <row r="378" spans="1:9" ht="21" x14ac:dyDescent="0.3">
      <c r="A378" s="30"/>
      <c r="B378" s="31"/>
      <c r="C378" s="31"/>
      <c r="D378" s="31"/>
      <c r="E378" s="31"/>
      <c r="F378" s="31"/>
      <c r="G378" s="31"/>
      <c r="H378" s="31"/>
      <c r="I378" s="25"/>
    </row>
    <row r="379" spans="1:9" ht="21" x14ac:dyDescent="0.3">
      <c r="A379" s="30"/>
      <c r="B379" s="31"/>
      <c r="C379" s="31"/>
      <c r="D379" s="31"/>
      <c r="E379" s="31"/>
      <c r="F379" s="31"/>
      <c r="G379" s="31"/>
      <c r="H379" s="31"/>
      <c r="I379" s="25"/>
    </row>
    <row r="380" spans="1:9" ht="21" x14ac:dyDescent="0.3">
      <c r="A380" s="30"/>
      <c r="B380" s="31"/>
      <c r="C380" s="31"/>
      <c r="D380" s="31"/>
      <c r="E380" s="31"/>
      <c r="F380" s="31"/>
      <c r="G380" s="31"/>
      <c r="H380" s="31"/>
      <c r="I380" s="25"/>
    </row>
    <row r="381" spans="1:9" ht="21" x14ac:dyDescent="0.3">
      <c r="A381" s="30"/>
      <c r="B381" s="31"/>
      <c r="C381" s="31"/>
      <c r="D381" s="31"/>
      <c r="E381" s="31"/>
      <c r="F381" s="31"/>
      <c r="G381" s="31"/>
      <c r="H381" s="31"/>
      <c r="I381" s="25"/>
    </row>
    <row r="382" spans="1:9" ht="21" x14ac:dyDescent="0.3">
      <c r="A382" s="30"/>
      <c r="B382" s="31"/>
      <c r="C382" s="31"/>
      <c r="D382" s="31"/>
      <c r="E382" s="31"/>
      <c r="F382" s="31"/>
      <c r="G382" s="31"/>
      <c r="H382" s="31"/>
      <c r="I382" s="25"/>
    </row>
    <row r="383" spans="1:9" ht="21" x14ac:dyDescent="0.3">
      <c r="A383" s="30"/>
      <c r="B383" s="31"/>
      <c r="C383" s="31"/>
      <c r="D383" s="31"/>
      <c r="E383" s="31"/>
      <c r="F383" s="31"/>
      <c r="G383" s="31"/>
      <c r="H383" s="31"/>
      <c r="I383" s="25"/>
    </row>
    <row r="384" spans="1:9" ht="21" x14ac:dyDescent="0.3">
      <c r="A384" s="30"/>
      <c r="B384" s="31"/>
      <c r="C384" s="31"/>
      <c r="D384" s="31"/>
      <c r="E384" s="31"/>
      <c r="F384" s="31"/>
      <c r="G384" s="31"/>
      <c r="H384" s="31"/>
      <c r="I384" s="25"/>
    </row>
    <row r="385" spans="1:9" ht="21" x14ac:dyDescent="0.3">
      <c r="A385" s="30"/>
      <c r="B385" s="31"/>
      <c r="C385" s="31"/>
      <c r="D385" s="31"/>
      <c r="E385" s="31"/>
      <c r="F385" s="31"/>
      <c r="G385" s="31"/>
      <c r="H385" s="31"/>
      <c r="I385" s="25"/>
    </row>
    <row r="386" spans="1:9" ht="21" x14ac:dyDescent="0.3">
      <c r="A386" s="30"/>
      <c r="B386" s="31"/>
      <c r="C386" s="31"/>
      <c r="D386" s="31"/>
      <c r="E386" s="31"/>
      <c r="F386" s="31"/>
      <c r="G386" s="31"/>
      <c r="H386" s="31"/>
      <c r="I386" s="25"/>
    </row>
    <row r="387" spans="1:9" ht="21" x14ac:dyDescent="0.3">
      <c r="A387" s="30"/>
      <c r="B387" s="31"/>
      <c r="C387" s="31"/>
      <c r="D387" s="31"/>
      <c r="E387" s="31"/>
      <c r="F387" s="31"/>
      <c r="G387" s="31"/>
      <c r="H387" s="31"/>
      <c r="I387" s="25"/>
    </row>
    <row r="388" spans="1:9" ht="21" x14ac:dyDescent="0.3">
      <c r="A388" s="30"/>
      <c r="B388" s="31"/>
      <c r="C388" s="31"/>
      <c r="D388" s="31"/>
      <c r="E388" s="31"/>
      <c r="F388" s="31"/>
      <c r="G388" s="31"/>
      <c r="H388" s="31"/>
      <c r="I388" s="25"/>
    </row>
    <row r="389" spans="1:9" ht="21" x14ac:dyDescent="0.3">
      <c r="A389" s="30"/>
      <c r="B389" s="31"/>
      <c r="C389" s="31"/>
      <c r="D389" s="31"/>
      <c r="E389" s="31"/>
      <c r="F389" s="31"/>
      <c r="G389" s="31"/>
      <c r="H389" s="31"/>
      <c r="I389" s="25"/>
    </row>
    <row r="390" spans="1:9" ht="21" x14ac:dyDescent="0.3">
      <c r="A390" s="30"/>
      <c r="B390" s="31"/>
      <c r="C390" s="31"/>
      <c r="D390" s="31"/>
      <c r="E390" s="31"/>
      <c r="F390" s="31"/>
      <c r="G390" s="31"/>
      <c r="H390" s="31"/>
      <c r="I390" s="25"/>
    </row>
    <row r="391" spans="1:9" ht="21" x14ac:dyDescent="0.3">
      <c r="A391" s="30"/>
      <c r="B391" s="31"/>
      <c r="C391" s="31"/>
      <c r="D391" s="31"/>
      <c r="E391" s="31"/>
      <c r="F391" s="31"/>
      <c r="G391" s="31"/>
      <c r="H391" s="31"/>
      <c r="I391" s="25"/>
    </row>
    <row r="392" spans="1:9" ht="21" x14ac:dyDescent="0.3">
      <c r="A392" s="30"/>
      <c r="B392" s="31"/>
      <c r="C392" s="31"/>
      <c r="D392" s="31"/>
      <c r="E392" s="31"/>
      <c r="F392" s="31"/>
      <c r="G392" s="31"/>
      <c r="H392" s="31"/>
      <c r="I392" s="25"/>
    </row>
    <row r="393" spans="1:9" ht="21" x14ac:dyDescent="0.3">
      <c r="A393" s="30"/>
      <c r="B393" s="31"/>
      <c r="C393" s="31"/>
      <c r="D393" s="31"/>
      <c r="E393" s="31"/>
      <c r="F393" s="31"/>
      <c r="G393" s="31"/>
      <c r="H393" s="31"/>
      <c r="I393" s="25"/>
    </row>
    <row r="394" spans="1:9" ht="21" x14ac:dyDescent="0.3">
      <c r="A394" s="30"/>
      <c r="B394" s="31"/>
      <c r="C394" s="31"/>
      <c r="D394" s="31"/>
      <c r="E394" s="31"/>
      <c r="F394" s="31"/>
      <c r="G394" s="31"/>
      <c r="H394" s="31"/>
      <c r="I394" s="25"/>
    </row>
    <row r="395" spans="1:9" ht="21" x14ac:dyDescent="0.3">
      <c r="A395" s="30"/>
      <c r="B395" s="31"/>
      <c r="C395" s="31"/>
      <c r="D395" s="31"/>
      <c r="E395" s="31"/>
      <c r="F395" s="31"/>
      <c r="G395" s="31"/>
      <c r="H395" s="31"/>
      <c r="I395" s="25"/>
    </row>
    <row r="396" spans="1:9" ht="21" x14ac:dyDescent="0.3">
      <c r="A396" s="30"/>
      <c r="B396" s="31"/>
      <c r="C396" s="31"/>
      <c r="D396" s="31"/>
      <c r="E396" s="31"/>
      <c r="F396" s="31"/>
      <c r="G396" s="31"/>
      <c r="H396" s="31"/>
      <c r="I396" s="25"/>
    </row>
    <row r="397" spans="1:9" ht="21" x14ac:dyDescent="0.3">
      <c r="A397" s="30"/>
      <c r="B397" s="31"/>
      <c r="C397" s="31"/>
      <c r="D397" s="31"/>
      <c r="E397" s="31"/>
      <c r="F397" s="31"/>
      <c r="G397" s="31"/>
      <c r="H397" s="31"/>
      <c r="I397" s="25"/>
    </row>
    <row r="398" spans="1:9" ht="21" x14ac:dyDescent="0.3">
      <c r="A398" s="30"/>
      <c r="B398" s="31"/>
      <c r="C398" s="31"/>
      <c r="D398" s="31"/>
      <c r="E398" s="31"/>
      <c r="F398" s="31"/>
      <c r="G398" s="31"/>
      <c r="H398" s="31"/>
      <c r="I398" s="25"/>
    </row>
    <row r="399" spans="1:9" ht="21" x14ac:dyDescent="0.3">
      <c r="A399" s="30"/>
      <c r="B399" s="31"/>
      <c r="C399" s="31"/>
      <c r="D399" s="31"/>
      <c r="E399" s="31"/>
      <c r="F399" s="31"/>
      <c r="G399" s="31"/>
      <c r="H399" s="31"/>
      <c r="I399" s="25"/>
    </row>
    <row r="400" spans="1:9" ht="21" x14ac:dyDescent="0.3">
      <c r="A400" s="30"/>
      <c r="B400" s="31"/>
      <c r="C400" s="31"/>
      <c r="D400" s="31"/>
      <c r="E400" s="31"/>
      <c r="F400" s="31"/>
      <c r="G400" s="31"/>
      <c r="H400" s="31"/>
      <c r="I400" s="25"/>
    </row>
    <row r="401" spans="1:9" ht="21" x14ac:dyDescent="0.3">
      <c r="A401" s="30"/>
      <c r="B401" s="31"/>
      <c r="C401" s="31"/>
      <c r="D401" s="31"/>
      <c r="E401" s="31"/>
      <c r="F401" s="31"/>
      <c r="G401" s="31"/>
      <c r="H401" s="31"/>
      <c r="I401" s="25"/>
    </row>
    <row r="402" spans="1:9" ht="21" x14ac:dyDescent="0.3">
      <c r="A402" s="30"/>
      <c r="B402" s="31"/>
      <c r="C402" s="31"/>
      <c r="D402" s="31"/>
      <c r="E402" s="31"/>
      <c r="F402" s="31"/>
      <c r="G402" s="31"/>
      <c r="H402" s="31"/>
      <c r="I402" s="25"/>
    </row>
    <row r="403" spans="1:9" ht="21" x14ac:dyDescent="0.3">
      <c r="A403" s="67" t="s">
        <v>28</v>
      </c>
      <c r="B403" s="67"/>
      <c r="C403" s="67"/>
      <c r="D403" s="67"/>
      <c r="E403" s="67"/>
      <c r="F403" s="67"/>
      <c r="G403" s="67"/>
      <c r="H403" s="67"/>
      <c r="I403" s="67"/>
    </row>
    <row r="404" spans="1:9" ht="21" x14ac:dyDescent="0.3">
      <c r="A404" s="146" t="s">
        <v>84</v>
      </c>
      <c r="B404" s="147"/>
      <c r="C404" s="147"/>
      <c r="D404" s="147"/>
      <c r="E404" s="147"/>
      <c r="F404" s="147"/>
      <c r="G404" s="147"/>
      <c r="H404" s="147"/>
      <c r="I404" s="148"/>
    </row>
    <row r="405" spans="1:9" ht="21" x14ac:dyDescent="0.3">
      <c r="A405" s="136" t="s">
        <v>85</v>
      </c>
      <c r="B405" s="137"/>
      <c r="C405" s="137"/>
      <c r="D405" s="137"/>
      <c r="E405" s="137"/>
      <c r="F405" s="137"/>
      <c r="G405" s="137"/>
      <c r="H405" s="137"/>
      <c r="I405" s="138"/>
    </row>
    <row r="406" spans="1:9" ht="45" customHeight="1" x14ac:dyDescent="0.3">
      <c r="A406" s="136" t="s">
        <v>86</v>
      </c>
      <c r="B406" s="137"/>
      <c r="C406" s="137"/>
      <c r="D406" s="137"/>
      <c r="E406" s="137"/>
      <c r="F406" s="137"/>
      <c r="G406" s="137"/>
      <c r="H406" s="137"/>
      <c r="I406" s="138"/>
    </row>
    <row r="407" spans="1:9" ht="42.75" customHeight="1" x14ac:dyDescent="0.3">
      <c r="A407" s="136" t="s">
        <v>87</v>
      </c>
      <c r="B407" s="137"/>
      <c r="C407" s="137"/>
      <c r="D407" s="137"/>
      <c r="E407" s="137"/>
      <c r="F407" s="137"/>
      <c r="G407" s="137"/>
      <c r="H407" s="137"/>
      <c r="I407" s="138"/>
    </row>
    <row r="408" spans="1:9" ht="21" x14ac:dyDescent="0.3">
      <c r="A408" s="136" t="s">
        <v>88</v>
      </c>
      <c r="B408" s="137"/>
      <c r="C408" s="137"/>
      <c r="D408" s="137"/>
      <c r="E408" s="137"/>
      <c r="F408" s="137"/>
      <c r="G408" s="137"/>
      <c r="H408" s="137"/>
      <c r="I408" s="138"/>
    </row>
    <row r="409" spans="1:9" ht="21" x14ac:dyDescent="0.3">
      <c r="A409" s="136" t="s">
        <v>89</v>
      </c>
      <c r="B409" s="137"/>
      <c r="C409" s="137"/>
      <c r="D409" s="137"/>
      <c r="E409" s="137"/>
      <c r="F409" s="137"/>
      <c r="G409" s="137"/>
      <c r="H409" s="137"/>
      <c r="I409" s="138"/>
    </row>
    <row r="410" spans="1:9" ht="45" customHeight="1" x14ac:dyDescent="0.3">
      <c r="A410" s="136" t="s">
        <v>90</v>
      </c>
      <c r="B410" s="137"/>
      <c r="C410" s="137"/>
      <c r="D410" s="137"/>
      <c r="E410" s="137"/>
      <c r="F410" s="137"/>
      <c r="G410" s="137"/>
      <c r="H410" s="137"/>
      <c r="I410" s="138"/>
    </row>
    <row r="411" spans="1:9" ht="45" customHeight="1" x14ac:dyDescent="0.3">
      <c r="A411" s="136" t="s">
        <v>91</v>
      </c>
      <c r="B411" s="137"/>
      <c r="C411" s="137"/>
      <c r="D411" s="137"/>
      <c r="E411" s="137"/>
      <c r="F411" s="137"/>
      <c r="G411" s="137"/>
      <c r="H411" s="137"/>
      <c r="I411" s="138"/>
    </row>
    <row r="412" spans="1:9" ht="21" x14ac:dyDescent="0.3">
      <c r="A412" s="133" t="s">
        <v>92</v>
      </c>
      <c r="B412" s="134"/>
      <c r="C412" s="134"/>
      <c r="D412" s="134"/>
      <c r="E412" s="134"/>
      <c r="F412" s="134"/>
      <c r="G412" s="134"/>
      <c r="H412" s="134"/>
      <c r="I412" s="135"/>
    </row>
    <row r="413" spans="1:9" ht="70.5" customHeight="1" x14ac:dyDescent="0.3">
      <c r="A413" s="61" t="s">
        <v>275</v>
      </c>
      <c r="B413" s="61"/>
      <c r="C413" s="61"/>
      <c r="D413" s="2" t="s">
        <v>4</v>
      </c>
      <c r="E413" s="21" t="s">
        <v>277</v>
      </c>
      <c r="F413" s="56" t="s">
        <v>276</v>
      </c>
      <c r="G413" s="2" t="s">
        <v>4</v>
      </c>
      <c r="H413" s="62"/>
      <c r="I413" s="62"/>
    </row>
  </sheetData>
  <mergeCells count="802">
    <mergeCell ref="A326:B326"/>
    <mergeCell ref="C326:D326"/>
    <mergeCell ref="F326:G326"/>
    <mergeCell ref="A118:B118"/>
    <mergeCell ref="C118:D118"/>
    <mergeCell ref="F118:G118"/>
    <mergeCell ref="A119:B119"/>
    <mergeCell ref="C119:D119"/>
    <mergeCell ref="F119:G119"/>
    <mergeCell ref="A120:B120"/>
    <mergeCell ref="C120:D120"/>
    <mergeCell ref="F120:G120"/>
    <mergeCell ref="A121:B121"/>
    <mergeCell ref="C121:D121"/>
    <mergeCell ref="F121:G121"/>
    <mergeCell ref="A125:B125"/>
    <mergeCell ref="C125:D125"/>
    <mergeCell ref="F125:G125"/>
    <mergeCell ref="A126:B126"/>
    <mergeCell ref="C126:D126"/>
    <mergeCell ref="F126:G126"/>
    <mergeCell ref="A323:B323"/>
    <mergeCell ref="C323:D323"/>
    <mergeCell ref="F323:G323"/>
    <mergeCell ref="A324:B324"/>
    <mergeCell ref="C324:D324"/>
    <mergeCell ref="F324:G324"/>
    <mergeCell ref="A325:B325"/>
    <mergeCell ref="C325:D325"/>
    <mergeCell ref="F325:G325"/>
    <mergeCell ref="A319:B319"/>
    <mergeCell ref="C319:D319"/>
    <mergeCell ref="F319:G319"/>
    <mergeCell ref="A320:I320"/>
    <mergeCell ref="A321:B321"/>
    <mergeCell ref="C321:D321"/>
    <mergeCell ref="F321:G321"/>
    <mergeCell ref="A322:B322"/>
    <mergeCell ref="C322:D322"/>
    <mergeCell ref="F322:G322"/>
    <mergeCell ref="A316:B316"/>
    <mergeCell ref="C316:D316"/>
    <mergeCell ref="F316:G316"/>
    <mergeCell ref="A317:B317"/>
    <mergeCell ref="C317:D317"/>
    <mergeCell ref="F317:G317"/>
    <mergeCell ref="A318:B318"/>
    <mergeCell ref="C318:D318"/>
    <mergeCell ref="E318:I318"/>
    <mergeCell ref="A312:B312"/>
    <mergeCell ref="C312:D312"/>
    <mergeCell ref="F312:G312"/>
    <mergeCell ref="A313:I313"/>
    <mergeCell ref="A314:B314"/>
    <mergeCell ref="C314:D314"/>
    <mergeCell ref="F314:G314"/>
    <mergeCell ref="A315:B315"/>
    <mergeCell ref="C315:D315"/>
    <mergeCell ref="F315:G315"/>
    <mergeCell ref="A309:B309"/>
    <mergeCell ref="C309:D309"/>
    <mergeCell ref="F309:G309"/>
    <mergeCell ref="A310:B310"/>
    <mergeCell ref="C310:D310"/>
    <mergeCell ref="F310:G310"/>
    <mergeCell ref="A311:B311"/>
    <mergeCell ref="C311:D311"/>
    <mergeCell ref="F311:G311"/>
    <mergeCell ref="A305:B305"/>
    <mergeCell ref="C305:D305"/>
    <mergeCell ref="F305:G305"/>
    <mergeCell ref="A306:I306"/>
    <mergeCell ref="A307:B307"/>
    <mergeCell ref="C307:D307"/>
    <mergeCell ref="F307:G307"/>
    <mergeCell ref="A308:B308"/>
    <mergeCell ref="C308:D308"/>
    <mergeCell ref="F308:G308"/>
    <mergeCell ref="A302:B302"/>
    <mergeCell ref="C302:D302"/>
    <mergeCell ref="F302:G302"/>
    <mergeCell ref="A303:B303"/>
    <mergeCell ref="C303:D303"/>
    <mergeCell ref="F303:G303"/>
    <mergeCell ref="A304:B304"/>
    <mergeCell ref="C304:D304"/>
    <mergeCell ref="F304:G304"/>
    <mergeCell ref="A298:B298"/>
    <mergeCell ref="C298:D298"/>
    <mergeCell ref="F298:G298"/>
    <mergeCell ref="A299:I299"/>
    <mergeCell ref="A300:B300"/>
    <mergeCell ref="C300:D300"/>
    <mergeCell ref="F300:G300"/>
    <mergeCell ref="A301:B301"/>
    <mergeCell ref="C301:D301"/>
    <mergeCell ref="F301:G301"/>
    <mergeCell ref="A295:B295"/>
    <mergeCell ref="C295:D295"/>
    <mergeCell ref="F295:G295"/>
    <mergeCell ref="A296:B296"/>
    <mergeCell ref="C296:D296"/>
    <mergeCell ref="F296:G296"/>
    <mergeCell ref="A297:B297"/>
    <mergeCell ref="C297:D297"/>
    <mergeCell ref="F297:G297"/>
    <mergeCell ref="A285:I285"/>
    <mergeCell ref="A286:B286"/>
    <mergeCell ref="C286:D286"/>
    <mergeCell ref="F286:G286"/>
    <mergeCell ref="A287:B287"/>
    <mergeCell ref="C287:D287"/>
    <mergeCell ref="F287:G287"/>
    <mergeCell ref="A288:B288"/>
    <mergeCell ref="A294:B294"/>
    <mergeCell ref="C294:D294"/>
    <mergeCell ref="F294:G294"/>
    <mergeCell ref="A292:I292"/>
    <mergeCell ref="A293:B293"/>
    <mergeCell ref="C293:D293"/>
    <mergeCell ref="F293:G293"/>
    <mergeCell ref="A289:B289"/>
    <mergeCell ref="C289:D289"/>
    <mergeCell ref="F289:G289"/>
    <mergeCell ref="A290:B290"/>
    <mergeCell ref="C290:D290"/>
    <mergeCell ref="E290:I290"/>
    <mergeCell ref="A291:B291"/>
    <mergeCell ref="C291:D291"/>
    <mergeCell ref="F291:G291"/>
    <mergeCell ref="C281:D281"/>
    <mergeCell ref="F281:G281"/>
    <mergeCell ref="A282:B282"/>
    <mergeCell ref="C282:D282"/>
    <mergeCell ref="F282:G282"/>
    <mergeCell ref="A283:B283"/>
    <mergeCell ref="C283:D283"/>
    <mergeCell ref="F283:G283"/>
    <mergeCell ref="A284:B284"/>
    <mergeCell ref="C284:D284"/>
    <mergeCell ref="F284:G284"/>
    <mergeCell ref="A228:B228"/>
    <mergeCell ref="C228:D228"/>
    <mergeCell ref="F228:G228"/>
    <mergeCell ref="A229:B229"/>
    <mergeCell ref="C229:D229"/>
    <mergeCell ref="E229:I229"/>
    <mergeCell ref="A230:B230"/>
    <mergeCell ref="C230:D230"/>
    <mergeCell ref="F230:G230"/>
    <mergeCell ref="A224:I224"/>
    <mergeCell ref="A225:B225"/>
    <mergeCell ref="C225:D225"/>
    <mergeCell ref="F225:G225"/>
    <mergeCell ref="A226:B226"/>
    <mergeCell ref="C226:D226"/>
    <mergeCell ref="F226:G226"/>
    <mergeCell ref="A227:B227"/>
    <mergeCell ref="C227:D227"/>
    <mergeCell ref="F227:G227"/>
    <mergeCell ref="A221:B221"/>
    <mergeCell ref="C221:D221"/>
    <mergeCell ref="F221:G221"/>
    <mergeCell ref="A222:B222"/>
    <mergeCell ref="C222:D222"/>
    <mergeCell ref="F222:G222"/>
    <mergeCell ref="A223:B223"/>
    <mergeCell ref="C223:D223"/>
    <mergeCell ref="F223:G223"/>
    <mergeCell ref="A217:I217"/>
    <mergeCell ref="A218:B218"/>
    <mergeCell ref="C218:D218"/>
    <mergeCell ref="F218:G218"/>
    <mergeCell ref="A219:B219"/>
    <mergeCell ref="C219:D219"/>
    <mergeCell ref="F219:G219"/>
    <mergeCell ref="A220:B220"/>
    <mergeCell ref="C220:D220"/>
    <mergeCell ref="F220:G220"/>
    <mergeCell ref="A214:B214"/>
    <mergeCell ref="C214:D214"/>
    <mergeCell ref="F214:G214"/>
    <mergeCell ref="A215:B215"/>
    <mergeCell ref="C215:D215"/>
    <mergeCell ref="E215:I215"/>
    <mergeCell ref="A216:B216"/>
    <mergeCell ref="C216:D216"/>
    <mergeCell ref="F216:G216"/>
    <mergeCell ref="A210:I210"/>
    <mergeCell ref="A211:B211"/>
    <mergeCell ref="C211:D211"/>
    <mergeCell ref="F211:G211"/>
    <mergeCell ref="A212:B212"/>
    <mergeCell ref="C212:D212"/>
    <mergeCell ref="F212:G212"/>
    <mergeCell ref="A213:B213"/>
    <mergeCell ref="C213:D213"/>
    <mergeCell ref="F213:G213"/>
    <mergeCell ref="A207:B207"/>
    <mergeCell ref="C207:D207"/>
    <mergeCell ref="F207:G207"/>
    <mergeCell ref="A208:B208"/>
    <mergeCell ref="C208:D208"/>
    <mergeCell ref="F208:G208"/>
    <mergeCell ref="A209:B209"/>
    <mergeCell ref="C209:D209"/>
    <mergeCell ref="F209:G209"/>
    <mergeCell ref="A203:I203"/>
    <mergeCell ref="A204:B204"/>
    <mergeCell ref="C204:D204"/>
    <mergeCell ref="F204:G204"/>
    <mergeCell ref="A205:B205"/>
    <mergeCell ref="C205:D205"/>
    <mergeCell ref="F205:G205"/>
    <mergeCell ref="A206:B206"/>
    <mergeCell ref="C206:D206"/>
    <mergeCell ref="F206:G206"/>
    <mergeCell ref="A242:B242"/>
    <mergeCell ref="C242:D242"/>
    <mergeCell ref="F242:G242"/>
    <mergeCell ref="A327:I327"/>
    <mergeCell ref="A328:I328"/>
    <mergeCell ref="A191:I191"/>
    <mergeCell ref="A193:I193"/>
    <mergeCell ref="A194:I194"/>
    <mergeCell ref="A195:I195"/>
    <mergeCell ref="A271:I271"/>
    <mergeCell ref="A264:I264"/>
    <mergeCell ref="A265:B265"/>
    <mergeCell ref="C265:D265"/>
    <mergeCell ref="F265:G265"/>
    <mergeCell ref="A266:B266"/>
    <mergeCell ref="C266:D266"/>
    <mergeCell ref="F266:G266"/>
    <mergeCell ref="A267:B267"/>
    <mergeCell ref="C267:D267"/>
    <mergeCell ref="F267:G267"/>
    <mergeCell ref="A268:B268"/>
    <mergeCell ref="C268:D268"/>
    <mergeCell ref="F268:G268"/>
    <mergeCell ref="A269:B269"/>
    <mergeCell ref="A190:I190"/>
    <mergeCell ref="A157:I157"/>
    <mergeCell ref="A158:B158"/>
    <mergeCell ref="C158:D158"/>
    <mergeCell ref="F158:G158"/>
    <mergeCell ref="A159:B159"/>
    <mergeCell ref="C159:D159"/>
    <mergeCell ref="F159:G159"/>
    <mergeCell ref="A160:B160"/>
    <mergeCell ref="C160:D160"/>
    <mergeCell ref="F160:G160"/>
    <mergeCell ref="A186:B186"/>
    <mergeCell ref="C186:D186"/>
    <mergeCell ref="F186:G186"/>
    <mergeCell ref="A187:B187"/>
    <mergeCell ref="C187:D187"/>
    <mergeCell ref="E187:I187"/>
    <mergeCell ref="A188:B188"/>
    <mergeCell ref="C188:D188"/>
    <mergeCell ref="F188:G188"/>
    <mergeCell ref="A182:I182"/>
    <mergeCell ref="A183:B183"/>
    <mergeCell ref="C183:D183"/>
    <mergeCell ref="F181:G181"/>
    <mergeCell ref="A189:I189"/>
    <mergeCell ref="F183:G183"/>
    <mergeCell ref="A184:B184"/>
    <mergeCell ref="C184:D184"/>
    <mergeCell ref="F184:G184"/>
    <mergeCell ref="A185:B185"/>
    <mergeCell ref="C185:D185"/>
    <mergeCell ref="F185:G185"/>
    <mergeCell ref="A179:B179"/>
    <mergeCell ref="C179:D179"/>
    <mergeCell ref="F179:G179"/>
    <mergeCell ref="A180:B180"/>
    <mergeCell ref="C180:D180"/>
    <mergeCell ref="F180:G180"/>
    <mergeCell ref="A181:B181"/>
    <mergeCell ref="C181:D181"/>
    <mergeCell ref="C288:D288"/>
    <mergeCell ref="F288:G288"/>
    <mergeCell ref="A261:B261"/>
    <mergeCell ref="C261:D261"/>
    <mergeCell ref="F261:G261"/>
    <mergeCell ref="A262:B262"/>
    <mergeCell ref="C262:D262"/>
    <mergeCell ref="F262:G262"/>
    <mergeCell ref="A263:B263"/>
    <mergeCell ref="C263:D263"/>
    <mergeCell ref="F263:G263"/>
    <mergeCell ref="C269:D269"/>
    <mergeCell ref="E269:I269"/>
    <mergeCell ref="A270:B270"/>
    <mergeCell ref="C270:D270"/>
    <mergeCell ref="F270:G270"/>
    <mergeCell ref="A278:I278"/>
    <mergeCell ref="A279:B279"/>
    <mergeCell ref="C279:D279"/>
    <mergeCell ref="F279:G279"/>
    <mergeCell ref="A280:B280"/>
    <mergeCell ref="C280:D280"/>
    <mergeCell ref="F280:G280"/>
    <mergeCell ref="A281:B281"/>
    <mergeCell ref="A257:I257"/>
    <mergeCell ref="A258:B258"/>
    <mergeCell ref="C258:D258"/>
    <mergeCell ref="F258:G258"/>
    <mergeCell ref="A259:B259"/>
    <mergeCell ref="C259:D259"/>
    <mergeCell ref="F259:G259"/>
    <mergeCell ref="A260:B260"/>
    <mergeCell ref="C260:D260"/>
    <mergeCell ref="F260:G260"/>
    <mergeCell ref="A254:B254"/>
    <mergeCell ref="C254:D254"/>
    <mergeCell ref="F254:G254"/>
    <mergeCell ref="A255:B255"/>
    <mergeCell ref="C255:D255"/>
    <mergeCell ref="E255:I255"/>
    <mergeCell ref="A256:B256"/>
    <mergeCell ref="C256:D256"/>
    <mergeCell ref="F256:G256"/>
    <mergeCell ref="A250:I250"/>
    <mergeCell ref="A251:B251"/>
    <mergeCell ref="C251:D251"/>
    <mergeCell ref="F251:G251"/>
    <mergeCell ref="A252:B252"/>
    <mergeCell ref="C252:D252"/>
    <mergeCell ref="F252:G252"/>
    <mergeCell ref="A253:B253"/>
    <mergeCell ref="C253:D253"/>
    <mergeCell ref="F253:G253"/>
    <mergeCell ref="A247:B247"/>
    <mergeCell ref="C247:D247"/>
    <mergeCell ref="F247:G247"/>
    <mergeCell ref="A248:B248"/>
    <mergeCell ref="C248:D248"/>
    <mergeCell ref="F248:G248"/>
    <mergeCell ref="A249:B249"/>
    <mergeCell ref="C249:D249"/>
    <mergeCell ref="F249:G249"/>
    <mergeCell ref="A243:I243"/>
    <mergeCell ref="A244:B244"/>
    <mergeCell ref="C244:D244"/>
    <mergeCell ref="F244:G244"/>
    <mergeCell ref="A245:B245"/>
    <mergeCell ref="C245:D245"/>
    <mergeCell ref="F245:G245"/>
    <mergeCell ref="A246:B246"/>
    <mergeCell ref="C246:D246"/>
    <mergeCell ref="F246:G246"/>
    <mergeCell ref="A178:B178"/>
    <mergeCell ref="C178:D178"/>
    <mergeCell ref="F178:G178"/>
    <mergeCell ref="A233:I233"/>
    <mergeCell ref="A239:I239"/>
    <mergeCell ref="A240:B240"/>
    <mergeCell ref="C240:D240"/>
    <mergeCell ref="F240:G240"/>
    <mergeCell ref="A241:B241"/>
    <mergeCell ref="C241:D241"/>
    <mergeCell ref="F241:G241"/>
    <mergeCell ref="A231:I231"/>
    <mergeCell ref="A232:I232"/>
    <mergeCell ref="A234:I234"/>
    <mergeCell ref="A235:I235"/>
    <mergeCell ref="A236:B236"/>
    <mergeCell ref="C236:D236"/>
    <mergeCell ref="F236:G236"/>
    <mergeCell ref="A237:B237"/>
    <mergeCell ref="C237:D237"/>
    <mergeCell ref="F237:G237"/>
    <mergeCell ref="A238:B238"/>
    <mergeCell ref="C238:D238"/>
    <mergeCell ref="F238:G238"/>
    <mergeCell ref="A174:B174"/>
    <mergeCell ref="C174:D174"/>
    <mergeCell ref="F174:G174"/>
    <mergeCell ref="E173:I173"/>
    <mergeCell ref="A175:I175"/>
    <mergeCell ref="A176:B176"/>
    <mergeCell ref="C176:D176"/>
    <mergeCell ref="F176:G176"/>
    <mergeCell ref="A177:B177"/>
    <mergeCell ref="C177:D177"/>
    <mergeCell ref="F177:G177"/>
    <mergeCell ref="A172:B172"/>
    <mergeCell ref="C172:D172"/>
    <mergeCell ref="F172:G172"/>
    <mergeCell ref="A173:B173"/>
    <mergeCell ref="C173:D173"/>
    <mergeCell ref="A154:B154"/>
    <mergeCell ref="C154:D154"/>
    <mergeCell ref="F154:G154"/>
    <mergeCell ref="A156:B156"/>
    <mergeCell ref="A170:B170"/>
    <mergeCell ref="C170:D170"/>
    <mergeCell ref="F170:G170"/>
    <mergeCell ref="A171:B171"/>
    <mergeCell ref="C171:D171"/>
    <mergeCell ref="F171:G171"/>
    <mergeCell ref="A150:B150"/>
    <mergeCell ref="C150:D150"/>
    <mergeCell ref="F150:G150"/>
    <mergeCell ref="A151:B151"/>
    <mergeCell ref="C151:D151"/>
    <mergeCell ref="F151:G151"/>
    <mergeCell ref="F167:G167"/>
    <mergeCell ref="A164:B164"/>
    <mergeCell ref="C164:D164"/>
    <mergeCell ref="F164:G164"/>
    <mergeCell ref="A165:B165"/>
    <mergeCell ref="C165:D165"/>
    <mergeCell ref="F165:G165"/>
    <mergeCell ref="A166:B166"/>
    <mergeCell ref="C166:D166"/>
    <mergeCell ref="F166:G166"/>
    <mergeCell ref="A167:B167"/>
    <mergeCell ref="C167:D167"/>
    <mergeCell ref="A152:I152"/>
    <mergeCell ref="A161:I161"/>
    <mergeCell ref="A162:B162"/>
    <mergeCell ref="A200:B200"/>
    <mergeCell ref="C200:D200"/>
    <mergeCell ref="F200:G200"/>
    <mergeCell ref="A201:B201"/>
    <mergeCell ref="C201:D201"/>
    <mergeCell ref="F201:G201"/>
    <mergeCell ref="A148:B148"/>
    <mergeCell ref="C148:D148"/>
    <mergeCell ref="F148:G148"/>
    <mergeCell ref="A149:B149"/>
    <mergeCell ref="C149:D149"/>
    <mergeCell ref="F149:G149"/>
    <mergeCell ref="A169:B169"/>
    <mergeCell ref="C169:D169"/>
    <mergeCell ref="F169:G169"/>
    <mergeCell ref="C162:D162"/>
    <mergeCell ref="F162:G162"/>
    <mergeCell ref="A163:B163"/>
    <mergeCell ref="C163:D163"/>
    <mergeCell ref="F163:G163"/>
    <mergeCell ref="A168:I168"/>
    <mergeCell ref="A155:B155"/>
    <mergeCell ref="C155:D155"/>
    <mergeCell ref="A153:I153"/>
    <mergeCell ref="A276:B276"/>
    <mergeCell ref="C276:D276"/>
    <mergeCell ref="F276:G276"/>
    <mergeCell ref="A277:B277"/>
    <mergeCell ref="C277:D277"/>
    <mergeCell ref="F277:G277"/>
    <mergeCell ref="A272:B272"/>
    <mergeCell ref="C272:D272"/>
    <mergeCell ref="F272:G272"/>
    <mergeCell ref="A273:B273"/>
    <mergeCell ref="C273:D273"/>
    <mergeCell ref="F273:G273"/>
    <mergeCell ref="A274:B274"/>
    <mergeCell ref="C274:D274"/>
    <mergeCell ref="F274:G274"/>
    <mergeCell ref="A131:I131"/>
    <mergeCell ref="A142:B142"/>
    <mergeCell ref="C142:D142"/>
    <mergeCell ref="F142:G142"/>
    <mergeCell ref="A138:B138"/>
    <mergeCell ref="C138:D138"/>
    <mergeCell ref="F138:G138"/>
    <mergeCell ref="A192:I192"/>
    <mergeCell ref="A275:B275"/>
    <mergeCell ref="C275:D275"/>
    <mergeCell ref="F275:G275"/>
    <mergeCell ref="A199:I199"/>
    <mergeCell ref="A196:B196"/>
    <mergeCell ref="C196:D196"/>
    <mergeCell ref="F196:G196"/>
    <mergeCell ref="A197:B197"/>
    <mergeCell ref="C197:D197"/>
    <mergeCell ref="F197:G197"/>
    <mergeCell ref="A198:B198"/>
    <mergeCell ref="C198:D198"/>
    <mergeCell ref="F198:G198"/>
    <mergeCell ref="A202:B202"/>
    <mergeCell ref="C202:D202"/>
    <mergeCell ref="F202:G202"/>
    <mergeCell ref="A145:B145"/>
    <mergeCell ref="C145:D145"/>
    <mergeCell ref="F145:G145"/>
    <mergeCell ref="A146:B146"/>
    <mergeCell ref="C146:D146"/>
    <mergeCell ref="F146:G146"/>
    <mergeCell ref="F141:G141"/>
    <mergeCell ref="A134:B134"/>
    <mergeCell ref="A135:B135"/>
    <mergeCell ref="A136:B136"/>
    <mergeCell ref="A137:B137"/>
    <mergeCell ref="A147:B147"/>
    <mergeCell ref="C156:D156"/>
    <mergeCell ref="F156:G156"/>
    <mergeCell ref="F135:G135"/>
    <mergeCell ref="C133:D133"/>
    <mergeCell ref="F133:G133"/>
    <mergeCell ref="C134:D134"/>
    <mergeCell ref="F134:G134"/>
    <mergeCell ref="C135:D135"/>
    <mergeCell ref="C139:D139"/>
    <mergeCell ref="F139:G139"/>
    <mergeCell ref="C140:D140"/>
    <mergeCell ref="F140:G140"/>
    <mergeCell ref="F155:G155"/>
    <mergeCell ref="C147:D147"/>
    <mergeCell ref="F147:G147"/>
    <mergeCell ref="A139:B139"/>
    <mergeCell ref="A140:B140"/>
    <mergeCell ref="A141:B141"/>
    <mergeCell ref="A133:B133"/>
    <mergeCell ref="A143:I143"/>
    <mergeCell ref="A144:B144"/>
    <mergeCell ref="C144:D144"/>
    <mergeCell ref="F144:G144"/>
    <mergeCell ref="H35:I35"/>
    <mergeCell ref="H44:I44"/>
    <mergeCell ref="H72:I83"/>
    <mergeCell ref="A115:F115"/>
    <mergeCell ref="A114:F114"/>
    <mergeCell ref="H51:I51"/>
    <mergeCell ref="H49:I49"/>
    <mergeCell ref="A113:I113"/>
    <mergeCell ref="F85:G85"/>
    <mergeCell ref="F86:G86"/>
    <mergeCell ref="F87:G87"/>
    <mergeCell ref="A109:C109"/>
    <mergeCell ref="H109:I109"/>
    <mergeCell ref="A110:C110"/>
    <mergeCell ref="H110:I110"/>
    <mergeCell ref="A111:C111"/>
    <mergeCell ref="H111:I111"/>
    <mergeCell ref="A112:C112"/>
    <mergeCell ref="H112:I112"/>
    <mergeCell ref="A103:C103"/>
    <mergeCell ref="A107:C107"/>
    <mergeCell ref="H107:I107"/>
    <mergeCell ref="A108:C108"/>
    <mergeCell ref="A73:B73"/>
    <mergeCell ref="F53:G53"/>
    <mergeCell ref="F54:G54"/>
    <mergeCell ref="A55:B55"/>
    <mergeCell ref="C55:D55"/>
    <mergeCell ref="F55:G55"/>
    <mergeCell ref="H46:I46"/>
    <mergeCell ref="H36:I36"/>
    <mergeCell ref="A36:C36"/>
    <mergeCell ref="E45:G45"/>
    <mergeCell ref="C43:D43"/>
    <mergeCell ref="C44:D44"/>
    <mergeCell ref="C50:I50"/>
    <mergeCell ref="C19:E19"/>
    <mergeCell ref="C20:E20"/>
    <mergeCell ref="C21:E21"/>
    <mergeCell ref="A106:C106"/>
    <mergeCell ref="A34:C34"/>
    <mergeCell ref="C92:D92"/>
    <mergeCell ref="C93:D93"/>
    <mergeCell ref="C94:D94"/>
    <mergeCell ref="C95:D95"/>
    <mergeCell ref="C22:E22"/>
    <mergeCell ref="C24:I24"/>
    <mergeCell ref="F69:G69"/>
    <mergeCell ref="F70:G70"/>
    <mergeCell ref="A69:C70"/>
    <mergeCell ref="D69:D70"/>
    <mergeCell ref="C83:D83"/>
    <mergeCell ref="E44:G44"/>
    <mergeCell ref="H56:I67"/>
    <mergeCell ref="A57:B57"/>
    <mergeCell ref="H34:I34"/>
    <mergeCell ref="A68:I68"/>
    <mergeCell ref="A71:B71"/>
    <mergeCell ref="A72:B72"/>
    <mergeCell ref="F71:G71"/>
    <mergeCell ref="E332:I332"/>
    <mergeCell ref="C330:I330"/>
    <mergeCell ref="A329:I329"/>
    <mergeCell ref="H14:I14"/>
    <mergeCell ref="G38:H38"/>
    <mergeCell ref="A39:C39"/>
    <mergeCell ref="A35:C35"/>
    <mergeCell ref="A40:C40"/>
    <mergeCell ref="A38:C38"/>
    <mergeCell ref="H16:I16"/>
    <mergeCell ref="H17:I17"/>
    <mergeCell ref="H15:I15"/>
    <mergeCell ref="H18:I18"/>
    <mergeCell ref="H19:I19"/>
    <mergeCell ref="H31:I31"/>
    <mergeCell ref="H22:I22"/>
    <mergeCell ref="G39:H39"/>
    <mergeCell ref="C28:E28"/>
    <mergeCell ref="C29:E29"/>
    <mergeCell ref="C14:E14"/>
    <mergeCell ref="C15:E15"/>
    <mergeCell ref="C16:E16"/>
    <mergeCell ref="C17:E17"/>
    <mergeCell ref="C18:E18"/>
    <mergeCell ref="A412:I412"/>
    <mergeCell ref="A405:I405"/>
    <mergeCell ref="A406:I406"/>
    <mergeCell ref="A407:I407"/>
    <mergeCell ref="A408:I408"/>
    <mergeCell ref="A333:C333"/>
    <mergeCell ref="A403:I403"/>
    <mergeCell ref="A409:I409"/>
    <mergeCell ref="A375:I375"/>
    <mergeCell ref="A334:C334"/>
    <mergeCell ref="E334:I334"/>
    <mergeCell ref="E333:I333"/>
    <mergeCell ref="A404:I404"/>
    <mergeCell ref="A410:I410"/>
    <mergeCell ref="A411:I411"/>
    <mergeCell ref="A1:I1"/>
    <mergeCell ref="A4:C4"/>
    <mergeCell ref="A332:C332"/>
    <mergeCell ref="H27:I27"/>
    <mergeCell ref="H28:I28"/>
    <mergeCell ref="A37:I37"/>
    <mergeCell ref="H48:I48"/>
    <mergeCell ref="A42:I42"/>
    <mergeCell ref="A47:I47"/>
    <mergeCell ref="A117:I117"/>
    <mergeCell ref="H115:I115"/>
    <mergeCell ref="A2:C2"/>
    <mergeCell ref="E2:F2"/>
    <mergeCell ref="A41:C41"/>
    <mergeCell ref="H41:I41"/>
    <mergeCell ref="E4:F4"/>
    <mergeCell ref="E12:I12"/>
    <mergeCell ref="A6:C6"/>
    <mergeCell ref="A7:C7"/>
    <mergeCell ref="A8:C8"/>
    <mergeCell ref="E8:I8"/>
    <mergeCell ref="H7:I7"/>
    <mergeCell ref="E9:I9"/>
    <mergeCell ref="A331:I331"/>
    <mergeCell ref="G2:H2"/>
    <mergeCell ref="G3:H3"/>
    <mergeCell ref="G4:H4"/>
    <mergeCell ref="H45:I45"/>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A129:B130"/>
    <mergeCell ref="C30:E30"/>
    <mergeCell ref="C31:E31"/>
    <mergeCell ref="C32:I32"/>
    <mergeCell ref="C48:E48"/>
    <mergeCell ref="C49:E49"/>
    <mergeCell ref="C51:E51"/>
    <mergeCell ref="C81:D81"/>
    <mergeCell ref="C82:D82"/>
    <mergeCell ref="C73:D73"/>
    <mergeCell ref="C74:D74"/>
    <mergeCell ref="C75:D75"/>
    <mergeCell ref="C77:D77"/>
    <mergeCell ref="C78:D78"/>
    <mergeCell ref="C80:D80"/>
    <mergeCell ref="A52:I52"/>
    <mergeCell ref="F129:G130"/>
    <mergeCell ref="E129:E130"/>
    <mergeCell ref="C129:D130"/>
    <mergeCell ref="C99:D99"/>
    <mergeCell ref="A116:F116"/>
    <mergeCell ref="H106:I106"/>
    <mergeCell ref="E43:G43"/>
    <mergeCell ref="H129:H130"/>
    <mergeCell ref="A128:I128"/>
    <mergeCell ref="F122:G122"/>
    <mergeCell ref="F123:G123"/>
    <mergeCell ref="F124:G124"/>
    <mergeCell ref="F127:G127"/>
    <mergeCell ref="A122:B122"/>
    <mergeCell ref="C122:D122"/>
    <mergeCell ref="A123:B123"/>
    <mergeCell ref="C123:D123"/>
    <mergeCell ref="A124:B124"/>
    <mergeCell ref="C124:D124"/>
    <mergeCell ref="A127:B127"/>
    <mergeCell ref="C127:D127"/>
    <mergeCell ref="A105:C105"/>
    <mergeCell ref="F103:F105"/>
    <mergeCell ref="A98:B98"/>
    <mergeCell ref="C98:D98"/>
    <mergeCell ref="A99:B99"/>
    <mergeCell ref="H116:I116"/>
    <mergeCell ref="F56:G67"/>
    <mergeCell ref="C23:I23"/>
    <mergeCell ref="A100:G100"/>
    <mergeCell ref="H100:I100"/>
    <mergeCell ref="A88:B88"/>
    <mergeCell ref="A89:B89"/>
    <mergeCell ref="A91:B91"/>
    <mergeCell ref="A92:B92"/>
    <mergeCell ref="A93:B93"/>
    <mergeCell ref="A94:B94"/>
    <mergeCell ref="A95:B95"/>
    <mergeCell ref="A96:B96"/>
    <mergeCell ref="A97:B97"/>
    <mergeCell ref="C45:D45"/>
    <mergeCell ref="A46:B46"/>
    <mergeCell ref="C46:D46"/>
    <mergeCell ref="E46:G46"/>
    <mergeCell ref="A53:C54"/>
    <mergeCell ref="C71:D71"/>
    <mergeCell ref="C72:D72"/>
    <mergeCell ref="A43:B43"/>
    <mergeCell ref="A44:B44"/>
    <mergeCell ref="A45:B45"/>
    <mergeCell ref="C56:D56"/>
    <mergeCell ref="A56:B56"/>
    <mergeCell ref="A66:B66"/>
    <mergeCell ref="C66:D66"/>
    <mergeCell ref="A67:B67"/>
    <mergeCell ref="C67:D67"/>
    <mergeCell ref="C57:D57"/>
    <mergeCell ref="A58:B58"/>
    <mergeCell ref="C58:D58"/>
    <mergeCell ref="A59:B59"/>
    <mergeCell ref="C59:D59"/>
    <mergeCell ref="A60:B60"/>
    <mergeCell ref="C61:D61"/>
    <mergeCell ref="A62:B62"/>
    <mergeCell ref="C62:D62"/>
    <mergeCell ref="A63:B63"/>
    <mergeCell ref="C63:D63"/>
    <mergeCell ref="A64:B64"/>
    <mergeCell ref="D53:D54"/>
    <mergeCell ref="C64:D64"/>
    <mergeCell ref="A65:B65"/>
    <mergeCell ref="C65:D65"/>
    <mergeCell ref="C60:D60"/>
    <mergeCell ref="A61:B61"/>
    <mergeCell ref="H114:I114"/>
    <mergeCell ref="A74:B74"/>
    <mergeCell ref="A75:B75"/>
    <mergeCell ref="A76:B76"/>
    <mergeCell ref="C76:D76"/>
    <mergeCell ref="A87:B87"/>
    <mergeCell ref="F88:G99"/>
    <mergeCell ref="H88:I99"/>
    <mergeCell ref="A90:B90"/>
    <mergeCell ref="C97:D97"/>
    <mergeCell ref="C96:D96"/>
    <mergeCell ref="F72:G83"/>
    <mergeCell ref="C87:D87"/>
    <mergeCell ref="C89:D89"/>
    <mergeCell ref="C90:D90"/>
    <mergeCell ref="C91:D91"/>
    <mergeCell ref="A85:C86"/>
    <mergeCell ref="H108:I108"/>
    <mergeCell ref="D85:D86"/>
    <mergeCell ref="A413:C413"/>
    <mergeCell ref="H413:I413"/>
    <mergeCell ref="A77:B77"/>
    <mergeCell ref="A78:B78"/>
    <mergeCell ref="A79:B79"/>
    <mergeCell ref="C79:D79"/>
    <mergeCell ref="A80:B80"/>
    <mergeCell ref="A81:B81"/>
    <mergeCell ref="A82:B82"/>
    <mergeCell ref="A83:B83"/>
    <mergeCell ref="A84:I84"/>
    <mergeCell ref="C136:D136"/>
    <mergeCell ref="F136:G136"/>
    <mergeCell ref="C137:D137"/>
    <mergeCell ref="F137:G137"/>
    <mergeCell ref="A132:I132"/>
    <mergeCell ref="C141:D141"/>
    <mergeCell ref="C88:D88"/>
    <mergeCell ref="H103:I105"/>
    <mergeCell ref="A101:I101"/>
    <mergeCell ref="A102:C102"/>
    <mergeCell ref="H102:I102"/>
    <mergeCell ref="G103:G105"/>
    <mergeCell ref="A104:C104"/>
  </mergeCell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&amp;F&amp;C
&amp;R&amp;"Times New Roman,Bold"&amp;16&amp;P</oddFooter>
  </headerFooter>
  <rowBreaks count="4" manualBreakCount="4">
    <brk id="51" max="16383" man="1"/>
    <brk id="83" max="16383" man="1"/>
    <brk id="330" max="8" man="1"/>
    <brk id="374"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Kunal Kadam</cp:lastModifiedBy>
  <cp:lastPrinted>2025-07-07T09:58:30Z</cp:lastPrinted>
  <dcterms:created xsi:type="dcterms:W3CDTF">2010-11-23T11:42:48Z</dcterms:created>
  <dcterms:modified xsi:type="dcterms:W3CDTF">2025-07-07T09:59:36Z</dcterms:modified>
</cp:coreProperties>
</file>