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K:\VSJ Work\July 25\Godrej Old\"/>
    </mc:Choice>
  </mc:AlternateContent>
  <xr:revisionPtr revIDLastSave="0" documentId="13_ncr:1_{470D534D-4447-433D-8AE2-6E74900497FC}"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Report!$A$1:$H$401</definedName>
  </definedNames>
  <calcPr calcId="191029"/>
</workbook>
</file>

<file path=xl/calcChain.xml><?xml version="1.0" encoding="utf-8"?>
<calcChain xmlns="http://schemas.openxmlformats.org/spreadsheetml/2006/main">
  <c r="L4" i="3" l="1"/>
  <c r="G115" i="3"/>
  <c r="D265" i="3" l="1"/>
  <c r="D263" i="3"/>
  <c r="E135" i="3"/>
  <c r="I213" i="3"/>
  <c r="I163" i="3"/>
  <c r="F252" i="3"/>
  <c r="E252" i="3"/>
  <c r="F251" i="3"/>
  <c r="E251" i="3"/>
  <c r="E249" i="3"/>
  <c r="H249" i="3" s="1"/>
  <c r="E248" i="3"/>
  <c r="H248" i="3" s="1"/>
  <c r="F247" i="3"/>
  <c r="E247" i="3"/>
  <c r="E246" i="3"/>
  <c r="H246" i="3" s="1"/>
  <c r="E245" i="3"/>
  <c r="H245" i="3" s="1"/>
  <c r="F244" i="3"/>
  <c r="E244" i="3"/>
  <c r="H244" i="3" s="1"/>
  <c r="A245" i="3"/>
  <c r="A246" i="3" s="1"/>
  <c r="A247" i="3" s="1"/>
  <c r="A248" i="3" s="1"/>
  <c r="A249" i="3" s="1"/>
  <c r="A250" i="3" s="1"/>
  <c r="A251" i="3" s="1"/>
  <c r="A252" i="3" s="1"/>
  <c r="F241" i="3"/>
  <c r="E241" i="3"/>
  <c r="F240" i="3"/>
  <c r="E240" i="3"/>
  <c r="E239" i="3"/>
  <c r="H239" i="3" s="1"/>
  <c r="E238" i="3"/>
  <c r="H238" i="3" s="1"/>
  <c r="F237" i="3"/>
  <c r="E237" i="3"/>
  <c r="E236" i="3"/>
  <c r="H236" i="3" s="1"/>
  <c r="E235" i="3"/>
  <c r="H235" i="3" s="1"/>
  <c r="A235" i="3"/>
  <c r="A236" i="3" s="1"/>
  <c r="A237" i="3" s="1"/>
  <c r="A238" i="3" s="1"/>
  <c r="A239" i="3" s="1"/>
  <c r="A240" i="3" s="1"/>
  <c r="A241" i="3" s="1"/>
  <c r="A242" i="3" s="1"/>
  <c r="F234" i="3"/>
  <c r="E234" i="3"/>
  <c r="H234" i="3" s="1"/>
  <c r="F230" i="3"/>
  <c r="E230" i="3"/>
  <c r="E229" i="3"/>
  <c r="H229" i="3" s="1"/>
  <c r="E228" i="3"/>
  <c r="H228" i="3" s="1"/>
  <c r="F227" i="3"/>
  <c r="E227" i="3"/>
  <c r="E226" i="3"/>
  <c r="E225" i="3"/>
  <c r="F224" i="3"/>
  <c r="E224" i="3"/>
  <c r="H226" i="3"/>
  <c r="H225" i="3"/>
  <c r="A225" i="3"/>
  <c r="A226" i="3" s="1"/>
  <c r="A227" i="3" s="1"/>
  <c r="A228" i="3" s="1"/>
  <c r="A229" i="3" s="1"/>
  <c r="A230" i="3" s="1"/>
  <c r="A231" i="3" s="1"/>
  <c r="A232" i="3" s="1"/>
  <c r="F222" i="3"/>
  <c r="E222" i="3"/>
  <c r="F221" i="3"/>
  <c r="E221" i="3"/>
  <c r="F220" i="3"/>
  <c r="E220" i="3"/>
  <c r="E219" i="3"/>
  <c r="H219" i="3" s="1"/>
  <c r="E218" i="3"/>
  <c r="H218" i="3" s="1"/>
  <c r="F217" i="3"/>
  <c r="E217" i="3"/>
  <c r="E216" i="3"/>
  <c r="H216" i="3" s="1"/>
  <c r="E215" i="3"/>
  <c r="F214" i="3"/>
  <c r="E214" i="3"/>
  <c r="H214" i="3" s="1"/>
  <c r="A215" i="3"/>
  <c r="A216" i="3" s="1"/>
  <c r="A217" i="3" s="1"/>
  <c r="A218" i="3" s="1"/>
  <c r="A219" i="3" s="1"/>
  <c r="A220" i="3" s="1"/>
  <c r="A221" i="3" s="1"/>
  <c r="A222" i="3" s="1"/>
  <c r="F210" i="3"/>
  <c r="H210" i="3" s="1"/>
  <c r="E210" i="3"/>
  <c r="E209" i="3"/>
  <c r="H209" i="3" s="1"/>
  <c r="E208" i="3"/>
  <c r="F207" i="3"/>
  <c r="E207" i="3"/>
  <c r="F204" i="3"/>
  <c r="E204" i="3"/>
  <c r="A205" i="3"/>
  <c r="A206" i="3" s="1"/>
  <c r="A207" i="3" s="1"/>
  <c r="A208" i="3" s="1"/>
  <c r="A209" i="3" s="1"/>
  <c r="A210" i="3" s="1"/>
  <c r="A211" i="3" s="1"/>
  <c r="A212" i="3" s="1"/>
  <c r="E188" i="3"/>
  <c r="F188" i="3"/>
  <c r="H188" i="3" s="1"/>
  <c r="E189" i="3"/>
  <c r="F189" i="3"/>
  <c r="E190" i="3"/>
  <c r="F190" i="3"/>
  <c r="E191" i="3"/>
  <c r="F191" i="3"/>
  <c r="E180" i="3"/>
  <c r="F180" i="3"/>
  <c r="E181" i="3"/>
  <c r="F181" i="3"/>
  <c r="E182" i="3"/>
  <c r="F182" i="3"/>
  <c r="E183" i="3"/>
  <c r="F183" i="3"/>
  <c r="E184" i="3"/>
  <c r="F184" i="3"/>
  <c r="E185" i="3"/>
  <c r="F185" i="3"/>
  <c r="E172" i="3"/>
  <c r="F172" i="3"/>
  <c r="E173" i="3"/>
  <c r="F173" i="3"/>
  <c r="E174" i="3"/>
  <c r="F174" i="3"/>
  <c r="E175" i="3"/>
  <c r="F175" i="3"/>
  <c r="E176" i="3"/>
  <c r="F176" i="3"/>
  <c r="E164" i="3"/>
  <c r="F164" i="3"/>
  <c r="E165" i="3"/>
  <c r="F165" i="3"/>
  <c r="E166" i="3"/>
  <c r="F166" i="3"/>
  <c r="E167" i="3"/>
  <c r="F167" i="3"/>
  <c r="E168" i="3"/>
  <c r="F168" i="3"/>
  <c r="E169" i="3"/>
  <c r="F169" i="3"/>
  <c r="E170" i="3"/>
  <c r="F170" i="3"/>
  <c r="E156" i="3"/>
  <c r="F156" i="3"/>
  <c r="E157" i="3"/>
  <c r="F157" i="3"/>
  <c r="E158" i="3"/>
  <c r="F158" i="3"/>
  <c r="E159" i="3"/>
  <c r="F159" i="3"/>
  <c r="E160" i="3"/>
  <c r="F160" i="3"/>
  <c r="A189" i="3"/>
  <c r="A190" i="3" s="1"/>
  <c r="A191" i="3" s="1"/>
  <c r="A192" i="3" s="1"/>
  <c r="A193" i="3" s="1"/>
  <c r="A194" i="3" s="1"/>
  <c r="A181" i="3"/>
  <c r="A182" i="3" s="1"/>
  <c r="A183" i="3" s="1"/>
  <c r="A184" i="3" s="1"/>
  <c r="A185" i="3" s="1"/>
  <c r="A186" i="3" s="1"/>
  <c r="A173" i="3"/>
  <c r="A174" i="3" s="1"/>
  <c r="A175" i="3" s="1"/>
  <c r="A176" i="3" s="1"/>
  <c r="A177" i="3" s="1"/>
  <c r="A178" i="3" s="1"/>
  <c r="A165" i="3"/>
  <c r="A166" i="3" s="1"/>
  <c r="A167" i="3" s="1"/>
  <c r="A168" i="3" s="1"/>
  <c r="A169" i="3" s="1"/>
  <c r="A170" i="3" s="1"/>
  <c r="H215" i="3"/>
  <c r="H208" i="3"/>
  <c r="A157" i="3"/>
  <c r="A158" i="3" s="1"/>
  <c r="A159" i="3" s="1"/>
  <c r="A160" i="3" s="1"/>
  <c r="A161" i="3" s="1"/>
  <c r="A162" i="3" s="1"/>
  <c r="F150" i="3"/>
  <c r="E150" i="3"/>
  <c r="E124" i="3" s="1"/>
  <c r="F149" i="3"/>
  <c r="E149" i="3"/>
  <c r="F148" i="3"/>
  <c r="E148" i="3"/>
  <c r="A149" i="3"/>
  <c r="A150" i="3" s="1"/>
  <c r="A151" i="3" s="1"/>
  <c r="A152" i="3" s="1"/>
  <c r="A153" i="3" s="1"/>
  <c r="A154" i="3" s="1"/>
  <c r="E142" i="3"/>
  <c r="H142" i="3" s="1"/>
  <c r="E141" i="3"/>
  <c r="E140" i="3"/>
  <c r="E139" i="3"/>
  <c r="E138" i="3"/>
  <c r="E137" i="3"/>
  <c r="E136" i="3"/>
  <c r="E134" i="3"/>
  <c r="V188" i="3"/>
  <c r="V224" i="3"/>
  <c r="U244" i="3"/>
  <c r="U180" i="3"/>
  <c r="V234" i="3"/>
  <c r="V180" i="3"/>
  <c r="U234" i="3"/>
  <c r="U204" i="3"/>
  <c r="U172" i="3"/>
  <c r="U214" i="3"/>
  <c r="V204" i="3"/>
  <c r="U188" i="3"/>
  <c r="V244" i="3"/>
  <c r="V214" i="3"/>
  <c r="V172" i="3"/>
  <c r="U224" i="3"/>
  <c r="H224" i="3" l="1"/>
  <c r="H181" i="3"/>
  <c r="H204" i="3"/>
  <c r="H220" i="3"/>
  <c r="H174" i="3"/>
  <c r="H173" i="3"/>
  <c r="H191" i="3"/>
  <c r="H221" i="3"/>
  <c r="H227" i="3"/>
  <c r="H230" i="3"/>
  <c r="H247" i="3"/>
  <c r="H185" i="3"/>
  <c r="H189" i="3"/>
  <c r="H172" i="3"/>
  <c r="H190" i="3"/>
  <c r="H217" i="3"/>
  <c r="H237" i="3"/>
  <c r="H176" i="3"/>
  <c r="H207" i="3"/>
  <c r="H251" i="3"/>
  <c r="E119" i="3"/>
  <c r="H240" i="3"/>
  <c r="H252" i="3"/>
  <c r="H222" i="3"/>
  <c r="H241" i="3"/>
  <c r="H182" i="3"/>
  <c r="E125" i="3"/>
  <c r="E126" i="3" s="1"/>
  <c r="E127" i="3" s="1"/>
  <c r="H175" i="3"/>
  <c r="H184" i="3"/>
  <c r="H180" i="3"/>
  <c r="H183" i="3"/>
  <c r="V235" i="3"/>
  <c r="V236" i="3" s="1"/>
  <c r="V237" i="3" s="1"/>
  <c r="V238" i="3" s="1"/>
  <c r="V239" i="3" s="1"/>
  <c r="V240" i="3" s="1"/>
  <c r="V241" i="3" s="1"/>
  <c r="V242" i="3" s="1"/>
  <c r="T234" i="3"/>
  <c r="U235" i="3"/>
  <c r="T224" i="3"/>
  <c r="U225" i="3"/>
  <c r="V225" i="3"/>
  <c r="V226" i="3" s="1"/>
  <c r="V227" i="3" s="1"/>
  <c r="V228" i="3" s="1"/>
  <c r="V229" i="3" s="1"/>
  <c r="V230" i="3" s="1"/>
  <c r="V231" i="3" s="1"/>
  <c r="V232" i="3" s="1"/>
  <c r="V189" i="3"/>
  <c r="V190" i="3" s="1"/>
  <c r="V191" i="3" s="1"/>
  <c r="V192" i="3" s="1"/>
  <c r="V193" i="3" s="1"/>
  <c r="V194" i="3" s="1"/>
  <c r="U189" i="3"/>
  <c r="T188" i="3"/>
  <c r="U181" i="3"/>
  <c r="T180" i="3"/>
  <c r="V181" i="3"/>
  <c r="V182" i="3" s="1"/>
  <c r="V183" i="3" s="1"/>
  <c r="V184" i="3" s="1"/>
  <c r="V185" i="3" s="1"/>
  <c r="V186" i="3" s="1"/>
  <c r="U173" i="3"/>
  <c r="T172" i="3"/>
  <c r="V173" i="3"/>
  <c r="V174" i="3" s="1"/>
  <c r="V175" i="3" s="1"/>
  <c r="V176" i="3" s="1"/>
  <c r="V177" i="3" s="1"/>
  <c r="V178" i="3" s="1"/>
  <c r="T244" i="3"/>
  <c r="U245" i="3"/>
  <c r="V245" i="3"/>
  <c r="V246" i="3" s="1"/>
  <c r="V247" i="3" s="1"/>
  <c r="V248" i="3" s="1"/>
  <c r="V249" i="3" s="1"/>
  <c r="V250" i="3" s="1"/>
  <c r="V251" i="3" s="1"/>
  <c r="V252" i="3" s="1"/>
  <c r="T214" i="3"/>
  <c r="U215" i="3"/>
  <c r="V215" i="3"/>
  <c r="V216" i="3" s="1"/>
  <c r="V217" i="3" s="1"/>
  <c r="V218" i="3" s="1"/>
  <c r="V219" i="3" s="1"/>
  <c r="V220" i="3" s="1"/>
  <c r="V221" i="3" s="1"/>
  <c r="V222" i="3" s="1"/>
  <c r="U205" i="3"/>
  <c r="T204" i="3"/>
  <c r="V205" i="3"/>
  <c r="V206" i="3" s="1"/>
  <c r="V207" i="3" s="1"/>
  <c r="V208" i="3" s="1"/>
  <c r="V209" i="3" s="1"/>
  <c r="V210" i="3" s="1"/>
  <c r="V211" i="3" s="1"/>
  <c r="V212" i="3" s="1"/>
  <c r="G125" i="3" l="1"/>
  <c r="T235" i="3"/>
  <c r="U236" i="3"/>
  <c r="T225" i="3"/>
  <c r="U226" i="3"/>
  <c r="U190" i="3"/>
  <c r="T189" i="3"/>
  <c r="U182" i="3"/>
  <c r="T181" i="3"/>
  <c r="U174" i="3"/>
  <c r="T173" i="3"/>
  <c r="T245" i="3"/>
  <c r="U246" i="3"/>
  <c r="U216" i="3"/>
  <c r="T215" i="3"/>
  <c r="T205" i="3"/>
  <c r="U206" i="3"/>
  <c r="U237" i="3" l="1"/>
  <c r="T236" i="3"/>
  <c r="U227" i="3"/>
  <c r="T226" i="3"/>
  <c r="U191" i="3"/>
  <c r="T190" i="3"/>
  <c r="U183" i="3"/>
  <c r="T182" i="3"/>
  <c r="U175" i="3"/>
  <c r="T174" i="3"/>
  <c r="T246" i="3"/>
  <c r="U247" i="3"/>
  <c r="T216" i="3"/>
  <c r="U217" i="3"/>
  <c r="T206" i="3"/>
  <c r="U207" i="3"/>
  <c r="T237" i="3" l="1"/>
  <c r="U238" i="3"/>
  <c r="T227" i="3"/>
  <c r="U228" i="3"/>
  <c r="U192" i="3"/>
  <c r="T191" i="3"/>
  <c r="U184" i="3"/>
  <c r="T183" i="3"/>
  <c r="U176" i="3"/>
  <c r="T175" i="3"/>
  <c r="U248" i="3"/>
  <c r="T247" i="3"/>
  <c r="T217" i="3"/>
  <c r="U218" i="3"/>
  <c r="U208" i="3"/>
  <c r="T207" i="3"/>
  <c r="U239" i="3" l="1"/>
  <c r="T238" i="3"/>
  <c r="T228" i="3"/>
  <c r="U229" i="3"/>
  <c r="U193" i="3"/>
  <c r="T192" i="3"/>
  <c r="U185" i="3"/>
  <c r="T184" i="3"/>
  <c r="U177" i="3"/>
  <c r="T176" i="3"/>
  <c r="T248" i="3"/>
  <c r="U249" i="3"/>
  <c r="U219" i="3"/>
  <c r="T218" i="3"/>
  <c r="T208" i="3"/>
  <c r="U209" i="3"/>
  <c r="U240" i="3" l="1"/>
  <c r="T239" i="3"/>
  <c r="U230" i="3"/>
  <c r="T229" i="3"/>
  <c r="U194" i="3"/>
  <c r="T194" i="3" s="1"/>
  <c r="T193" i="3"/>
  <c r="T185" i="3"/>
  <c r="U186" i="3"/>
  <c r="T186" i="3" s="1"/>
  <c r="U178" i="3"/>
  <c r="T178" i="3" s="1"/>
  <c r="T177" i="3"/>
  <c r="T249" i="3"/>
  <c r="U250" i="3"/>
  <c r="U220" i="3"/>
  <c r="T219" i="3"/>
  <c r="T209" i="3"/>
  <c r="U210" i="3"/>
  <c r="T240" i="3" l="1"/>
  <c r="U241" i="3"/>
  <c r="U231" i="3"/>
  <c r="T230" i="3"/>
  <c r="U251" i="3"/>
  <c r="T250" i="3"/>
  <c r="T220" i="3"/>
  <c r="U221" i="3"/>
  <c r="U211" i="3"/>
  <c r="T210" i="3"/>
  <c r="T251" i="3" l="1"/>
  <c r="U252" i="3"/>
  <c r="T252" i="3" s="1"/>
  <c r="U242" i="3"/>
  <c r="T242" i="3" s="1"/>
  <c r="T241" i="3"/>
  <c r="U232" i="3"/>
  <c r="T232" i="3" s="1"/>
  <c r="T231" i="3"/>
  <c r="T221" i="3"/>
  <c r="U222" i="3"/>
  <c r="T222" i="3" s="1"/>
  <c r="T211" i="3"/>
  <c r="U212" i="3"/>
  <c r="T212" i="3" s="1"/>
  <c r="A93" i="3" l="1"/>
  <c r="A77" i="3"/>
  <c r="A61" i="3"/>
  <c r="D62" i="3" s="1"/>
  <c r="I57" i="3"/>
  <c r="J70" i="3" l="1"/>
  <c r="J68" i="3"/>
  <c r="J69" i="3"/>
  <c r="J71" i="3"/>
  <c r="H78" i="3"/>
  <c r="H62" i="3"/>
  <c r="J64" i="3" l="1"/>
  <c r="J65" i="3"/>
  <c r="C64" i="3" s="1"/>
  <c r="D64" i="3" s="1"/>
  <c r="D73" i="3"/>
  <c r="J66" i="3"/>
  <c r="D75" i="3"/>
  <c r="D69" i="3"/>
  <c r="D72" i="3"/>
  <c r="D68" i="3"/>
  <c r="D67" i="3"/>
  <c r="D74" i="3"/>
  <c r="D66" i="3"/>
  <c r="J63" i="3"/>
  <c r="D71" i="3"/>
  <c r="D70" i="3"/>
  <c r="D84" i="3"/>
  <c r="J80" i="3"/>
  <c r="D87" i="3"/>
  <c r="D83" i="3"/>
  <c r="J81" i="3"/>
  <c r="C80" i="3" s="1"/>
  <c r="D80" i="3" s="1"/>
  <c r="J79" i="3"/>
  <c r="D86" i="3"/>
  <c r="D85" i="3"/>
  <c r="D91" i="3"/>
  <c r="D90" i="3"/>
  <c r="D88" i="3"/>
  <c r="D89" i="3"/>
  <c r="D82" i="3"/>
  <c r="D78" i="3"/>
  <c r="J67" i="3" l="1"/>
  <c r="J72" i="3" s="1"/>
  <c r="J73" i="3" s="1"/>
  <c r="C65" i="3" s="1"/>
  <c r="E64" i="3" s="1"/>
  <c r="I61" i="3" s="1"/>
  <c r="G64" i="3" s="1"/>
  <c r="J86" i="3"/>
  <c r="J87" i="3"/>
  <c r="J84" i="3"/>
  <c r="J85" i="3"/>
  <c r="J82" i="3"/>
  <c r="H94" i="3"/>
  <c r="D65" i="3" l="1"/>
  <c r="J83" i="3"/>
  <c r="J88" i="3" s="1"/>
  <c r="J89" i="3" s="1"/>
  <c r="C81" i="3" s="1"/>
  <c r="E80" i="3" s="1"/>
  <c r="G108" i="3" s="1"/>
  <c r="J97" i="3"/>
  <c r="C96" i="3" s="1"/>
  <c r="D96" i="3" s="1"/>
  <c r="J95" i="3"/>
  <c r="J96" i="3"/>
  <c r="D107" i="3"/>
  <c r="D104" i="3"/>
  <c r="D105" i="3"/>
  <c r="D106" i="3"/>
  <c r="D103" i="3"/>
  <c r="D102" i="3"/>
  <c r="D101" i="3"/>
  <c r="D100" i="3"/>
  <c r="D98" i="3"/>
  <c r="D99" i="3"/>
  <c r="D94" i="3"/>
  <c r="D81" i="3" l="1"/>
  <c r="J102" i="3"/>
  <c r="J101" i="3"/>
  <c r="J100" i="3"/>
  <c r="J103" i="3"/>
  <c r="J98" i="3"/>
  <c r="J99" i="3" s="1"/>
  <c r="J104" i="3" s="1"/>
  <c r="J105" i="3" s="1"/>
  <c r="C97" i="3" s="1"/>
  <c r="I77" i="3"/>
  <c r="G80" i="3" s="1"/>
  <c r="D97" i="3" l="1"/>
  <c r="E96" i="3"/>
  <c r="I93" i="3" l="1"/>
  <c r="G96" i="3" s="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134" i="3"/>
  <c r="E42" i="6" l="1"/>
  <c r="I42" i="6"/>
  <c r="H42" i="6" s="1"/>
  <c r="L42" i="6"/>
  <c r="K42" i="6" s="1"/>
  <c r="E44" i="6" l="1"/>
  <c r="D42" i="6"/>
  <c r="D44" i="6" s="1"/>
  <c r="C26" i="3"/>
  <c r="C18" i="3"/>
  <c r="H170" i="3"/>
  <c r="H169" i="3"/>
  <c r="H168" i="3"/>
  <c r="H167" i="3"/>
  <c r="H166" i="3"/>
  <c r="H165" i="3"/>
  <c r="H164" i="3"/>
  <c r="H160" i="3"/>
  <c r="H159" i="3"/>
  <c r="H158" i="3"/>
  <c r="H157" i="3"/>
  <c r="H156" i="3"/>
  <c r="H150" i="3"/>
  <c r="H149" i="3"/>
  <c r="H148" i="3"/>
  <c r="H126" i="3"/>
  <c r="H135" i="3"/>
  <c r="H136" i="3"/>
  <c r="H137" i="3"/>
  <c r="H138" i="3"/>
  <c r="H139" i="3"/>
  <c r="H140" i="3"/>
  <c r="H141" i="3"/>
  <c r="G119" i="3" l="1"/>
  <c r="G124" i="3"/>
  <c r="G126" i="3" s="1"/>
  <c r="G127" i="3" s="1"/>
  <c r="G121" i="3"/>
  <c r="E121" i="3"/>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E18" i="4"/>
  <c r="E15" i="4"/>
  <c r="E17" i="4"/>
  <c r="E11" i="4"/>
  <c r="K6" i="4"/>
  <c r="E9" i="4"/>
  <c r="K8" i="4"/>
  <c r="C7" i="4" s="1"/>
  <c r="E14" i="4"/>
  <c r="E12" i="4"/>
  <c r="E16" i="4"/>
  <c r="E10" i="4"/>
  <c r="K9" i="4"/>
  <c r="K10" i="4" s="1"/>
  <c r="K11" i="4" s="1"/>
  <c r="E13" i="4"/>
  <c r="K7" i="4"/>
  <c r="K12" i="4" l="1"/>
  <c r="K16" i="4" s="1"/>
  <c r="C8" i="4" s="1"/>
  <c r="E8" i="4" s="1"/>
  <c r="E7" i="4"/>
  <c r="A135" i="3"/>
  <c r="A136" i="3" s="1"/>
  <c r="A137" i="3" s="1"/>
  <c r="A138" i="3" s="1"/>
  <c r="A139" i="3" s="1"/>
  <c r="A140" i="3" s="1"/>
  <c r="A141" i="3" s="1"/>
  <c r="A142" i="3" s="1"/>
  <c r="F7" i="4" l="1"/>
  <c r="J4" i="4" s="1"/>
  <c r="H7" i="4" s="1"/>
  <c r="G4" i="3" l="1"/>
  <c r="H121" i="3" l="1"/>
  <c r="D264" i="3" l="1"/>
  <c r="G116" i="3"/>
  <c r="U148" i="3"/>
  <c r="V148" i="3"/>
  <c r="V164" i="3"/>
  <c r="V156" i="3"/>
  <c r="U156" i="3"/>
  <c r="U164" i="3"/>
  <c r="T164" i="3" l="1"/>
  <c r="U165" i="3"/>
  <c r="V165" i="3"/>
  <c r="V166" i="3" s="1"/>
  <c r="V167" i="3" s="1"/>
  <c r="V168" i="3" s="1"/>
  <c r="V169" i="3" s="1"/>
  <c r="V170" i="3" s="1"/>
  <c r="T156" i="3"/>
  <c r="U157" i="3"/>
  <c r="V157" i="3"/>
  <c r="V158" i="3" s="1"/>
  <c r="V159" i="3" s="1"/>
  <c r="V160" i="3" s="1"/>
  <c r="V161" i="3" s="1"/>
  <c r="V162" i="3" s="1"/>
  <c r="V149" i="3"/>
  <c r="V150" i="3" s="1"/>
  <c r="V151" i="3" s="1"/>
  <c r="V152" i="3" s="1"/>
  <c r="V153" i="3" s="1"/>
  <c r="V154" i="3" s="1"/>
  <c r="U149" i="3"/>
  <c r="T148" i="3"/>
  <c r="T165" i="3" l="1"/>
  <c r="U166" i="3"/>
  <c r="T166" i="3" s="1"/>
  <c r="T157" i="3"/>
  <c r="U158" i="3"/>
  <c r="T158" i="3" s="1"/>
  <c r="U150" i="3"/>
  <c r="T149" i="3"/>
  <c r="U167" i="3" l="1"/>
  <c r="T167" i="3" s="1"/>
  <c r="U159" i="3"/>
  <c r="T159" i="3" s="1"/>
  <c r="U151" i="3"/>
  <c r="T150" i="3"/>
  <c r="U168" i="3" l="1"/>
  <c r="T168" i="3" s="1"/>
  <c r="U160" i="3"/>
  <c r="T160" i="3" s="1"/>
  <c r="U152" i="3"/>
  <c r="T151" i="3"/>
  <c r="U169" i="3" l="1"/>
  <c r="T169" i="3" s="1"/>
  <c r="U161" i="3"/>
  <c r="T161" i="3" s="1"/>
  <c r="U153" i="3"/>
  <c r="T152" i="3"/>
  <c r="U170" i="3" l="1"/>
  <c r="T170" i="3" s="1"/>
  <c r="U162" i="3"/>
  <c r="T162" i="3" s="1"/>
  <c r="U154" i="3"/>
  <c r="T153" i="3"/>
  <c r="T15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14" authorId="0" shapeId="0" xr:uid="{00000000-0006-0000-0000-000007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<sst xmlns="http://schemas.openxmlformats.org/spreadsheetml/2006/main" count="765" uniqueCount="378">
  <si>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</si>
  <si>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</si>
  <si>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</si>
  <si>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</si>
  <si>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</si>
  <si>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</si>
  <si>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</si>
  <si>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</si>
  <si>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</si>
  <si>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</si>
  <si>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</si>
  <si>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</si>
  <si>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</si>
  <si>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</si>
  <si>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</si>
  <si>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</si>
  <si>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</si>
  <si>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</si>
  <si>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</si>
  <si>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</si>
  <si>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</si>
  <si>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</si>
  <si>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</si>
  <si>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</si>
  <si>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</si>
  <si>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</si>
  <si>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</si>
  <si>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</si>
  <si>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</si>
  <si>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</si>
  <si>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</si>
  <si>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</si>
  <si>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</si>
  <si>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</si>
  <si>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</si>
  <si>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</si>
  <si>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</si>
  <si>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</si>
  <si>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</si>
  <si>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</si>
  <si>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</si>
  <si>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</si>
  <si>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</si>
  <si>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</si>
  <si>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</si>
  <si>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</si>
  <si>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</si>
  <si>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</si>
  <si>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</si>
  <si>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</si>
  <si>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</si>
  <si>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</si>
  <si>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</si>
  <si>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</si>
  <si>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</si>
  <si>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</si>
  <si>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</si>
  <si>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</si>
  <si>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</si>
  <si>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</si>
  <si>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</si>
  <si>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</si>
  <si>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</si>
  <si>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</si>
  <si>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</si>
  <si>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</si>
  <si>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</si>
  <si>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</si>
  <si>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</si>
  <si>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</si>
  <si>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</si>
  <si>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</si>
  <si>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</si>
  <si>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</si>
  <si>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</si>
  <si>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</si>
  <si>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</si>
  <si>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</si>
  <si>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</si>
  <si>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</si>
  <si>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</si>
  <si>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</si>
  <si>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</si>
  <si>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</si>
  <si>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</si>
  <si>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</si>
  <si>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</si>
  <si>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</si>
  <si>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</si>
  <si>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</si>
  <si>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</si>
  <si>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</si>
  <si>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</si>
  <si>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</si>
  <si>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</si>
  <si>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</si>
  <si>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</si>
  <si>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</si>
  <si>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</si>
  <si>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</si>
  <si>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</si>
  <si>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</si>
  <si>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</si>
  <si>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</si>
  <si>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</si>
  <si>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</si>
  <si>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</si>
  <si>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</si>
  <si>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</si>
  <si>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</si>
  <si>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</si>
  <si>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</si>
  <si>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</si>
  <si>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</si>
  <si>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</si>
  <si>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</si>
  <si>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</si>
  <si>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</si>
  <si>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</si>
  <si>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</si>
  <si>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</si>
  <si>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</si>
  <si>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</si>
  <si>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</si>
  <si>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</si>
  <si>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</si>
  <si>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</si>
  <si>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</si>
  <si>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</si>
  <si>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</si>
  <si>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</si>
  <si>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</si>
  <si>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</si>
  <si>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</si>
  <si>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</si>
  <si>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</si>
  <si>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</si>
  <si>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</si>
  <si>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</si>
  <si>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</si>
  <si>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</si>
  <si>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</si>
  <si>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</si>
  <si>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</si>
  <si>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</si>
  <si>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</si>
  <si>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</si>
  <si>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</si>
  <si>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</si>
  <si>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</si>
  <si>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</si>
  <si>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</si>
  <si>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</si>
  <si>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</si>
  <si>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</si>
  <si>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</si>
  <si>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</si>
  <si>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</si>
  <si>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</si>
  <si>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(Building name, CTS No., Plot No., Survey No., Road., Locality/Village., Near by Landmark., City., District., Taluka., Pin Code -)</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</si>
  <si>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</si>
  <si>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</si>
  <si>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</si>
  <si>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</si>
  <si>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</si>
  <si>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</si>
  <si>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</si>
  <si>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</si>
  <si>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</si>
  <si>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</si>
  <si>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</si>
  <si>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</si>
  <si>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</si>
  <si>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</si>
  <si>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</si>
  <si>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</si>
  <si>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</si>
  <si>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</si>
  <si>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</si>
  <si>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</si>
  <si>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</si>
  <si>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</si>
  <si>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</si>
  <si>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</si>
  <si>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</si>
  <si>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</si>
  <si>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</si>
  <si>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</si>
  <si>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</si>
  <si>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</si>
  <si>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</si>
  <si>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</si>
  <si>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</si>
  <si>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</si>
  <si>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</si>
  <si>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</si>
  <si>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</si>
  <si>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</si>
  <si>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</si>
  <si>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</si>
  <si>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</si>
  <si>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</si>
  <si>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</si>
  <si>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</si>
  <si>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</si>
  <si>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</si>
  <si>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</si>
  <si>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</si>
  <si>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</si>
  <si>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</si>
  <si>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</si>
  <si>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</si>
  <si>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</si>
  <si>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</si>
  <si>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</si>
  <si>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</si>
  <si>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</si>
  <si>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</si>
  <si>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</si>
  <si>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</si>
  <si>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</si>
  <si>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</si>
  <si>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</si>
  <si>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</si>
  <si>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</si>
  <si>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</si>
  <si>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</si>
  <si>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</si>
  <si>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</si>
  <si>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</si>
  <si>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</si>
  <si>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</si>
  <si>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</si>
  <si>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</si>
  <si>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</si>
  <si>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</si>
  <si>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</si>
  <si>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</si>
  <si>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</si>
  <si>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</si>
  <si>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</si>
  <si>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</si>
  <si>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</si>
  <si>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</si>
  <si>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</si>
  <si>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</si>
  <si>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</si>
  <si>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</si>
  <si>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</si>
  <si>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</si>
  <si>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</si>
  <si>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</si>
  <si>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</si>
  <si>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</si>
  <si>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</si>
  <si>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</si>
  <si>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</si>
  <si>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</si>
  <si>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</si>
  <si>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</si>
  <si>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</si>
  <si>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</si>
  <si>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</si>
  <si>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</si>
  <si>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</si>
  <si>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</si>
  <si>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</si>
  <si>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</si>
  <si>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</si>
  <si>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</si>
  <si>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</si>
  <si>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</si>
  <si>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</si>
  <si>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</si>
  <si>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</si>
  <si>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</si>
  <si>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</si>
  <si>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</si>
  <si>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</si>
  <si>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</si>
  <si>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</si>
  <si>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</si>
  <si>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</si>
  <si>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</si>
  <si>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</si>
  <si>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</si>
  <si>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</si>
  <si>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</si>
  <si>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</si>
  <si>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</si>
  <si>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</si>
  <si>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</si>
  <si>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</si>
  <si>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</si>
  <si>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</si>
  <si>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</si>
  <si>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</si>
  <si>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</si>
  <si>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</si>
  <si>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</si>
  <si>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</si>
  <si>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</si>
  <si>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</si>
  <si>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</si>
  <si>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Shivam Developers</t>
  </si>
  <si>
    <t>Slum Rehabilitation Authority</t>
  </si>
  <si>
    <t>P51800051172</t>
  </si>
  <si>
    <t>Proposed Sale Built up Area (In Sq.Mt)</t>
  </si>
  <si>
    <t>Total Built up Area (In Sq.Mt)</t>
  </si>
  <si>
    <t>19.196747,72.867706</t>
  </si>
  <si>
    <t>https://maps.app.goo.gl/RynfimscsvRmQrev6</t>
  </si>
  <si>
    <t>Spring Grove Towers</t>
  </si>
  <si>
    <t>18.30M</t>
  </si>
  <si>
    <t>0.70KM from Mhada Colony Bus Stop</t>
  </si>
  <si>
    <t>About 0.13KM from 
Mumbai Public School</t>
  </si>
  <si>
    <t xml:space="preserve">About 0.65KM form Agrawal Hospital </t>
  </si>
  <si>
    <t>1. Approx. 0.55KM from 
Centrium Mall.
2. Approx. 2.10KM from D Mart.</t>
  </si>
  <si>
    <t>3.80KM from Kandivali Railway Station
4.5KM from Malad Railway Station</t>
  </si>
  <si>
    <t>Basketball Court, Jogging Track, Billiards Table, Swimming Pools, Gymnasium, Tennis Court, Kid’s Play Area.</t>
  </si>
  <si>
    <t>Sale Building Wing A, B, C &amp; D</t>
  </si>
  <si>
    <t>18.30 m. Wide Road</t>
  </si>
  <si>
    <t>9.00 M. Wide Road/ Rehab Building</t>
  </si>
  <si>
    <t>9.00 M. Wide Road/Other Plot</t>
  </si>
  <si>
    <t>Paton Tower</t>
  </si>
  <si>
    <t>Godrej Nest</t>
  </si>
  <si>
    <t>Slum</t>
  </si>
  <si>
    <t>Akurli Cross Road/ Spring Grove Towers</t>
  </si>
  <si>
    <t>Wing E</t>
  </si>
  <si>
    <t>Wing F</t>
  </si>
  <si>
    <t>RS/MHADA/0018/20060720/AP/S</t>
  </si>
  <si>
    <t>This CC is reendorsed and granted for work upto plinth level of wing E, F &amp; G of the
Sale Building S2 as per amended plans dated 24/03/2023.</t>
  </si>
  <si>
    <t xml:space="preserve">CC Details
Valid Up to: </t>
  </si>
  <si>
    <t>Sale Building No.2</t>
  </si>
  <si>
    <t>Basement Floor For Parking &amp; Tanks</t>
  </si>
  <si>
    <t>Ground Floor For Commercial, Substation, Society Office &amp; Parking</t>
  </si>
  <si>
    <t>Shop</t>
  </si>
  <si>
    <t>1st Podium Floor For Parking</t>
  </si>
  <si>
    <t>2nd to 4th Podium Floor For Parking</t>
  </si>
  <si>
    <t>5th Podium Floor For Parking</t>
  </si>
  <si>
    <t>6th Podium Floor For Parking</t>
  </si>
  <si>
    <t>7th Podium Floor For Part Residential, Parking &amp; Fitness Center</t>
  </si>
  <si>
    <t>3BHK</t>
  </si>
  <si>
    <t>2BHK</t>
  </si>
  <si>
    <t>Entrance Lobby &amp; Fitness Center</t>
  </si>
  <si>
    <t>Entrance Lobby</t>
  </si>
  <si>
    <t>Fitness Center</t>
  </si>
  <si>
    <t>8th Floor (Part Refuge Area)</t>
  </si>
  <si>
    <t>Refuge Area</t>
  </si>
  <si>
    <t>9th to 14th, 16th to 21st, 23rd to 28th, 30th to 35th, 37th &amp; 38th Floor</t>
  </si>
  <si>
    <t>15th, 22nd &amp; 29th Floor (Part Refuge Area)</t>
  </si>
  <si>
    <t>36th Floor (Part Refuge Area)</t>
  </si>
  <si>
    <t>39th Floor (Part Terrace Area)</t>
  </si>
  <si>
    <t>Terrace Area</t>
  </si>
  <si>
    <t>Ground Floor For Parking</t>
  </si>
  <si>
    <t>7th Podium Floor For Fitness Center</t>
  </si>
  <si>
    <t>8th Floor For Part Residential (Part Refuge Area)</t>
  </si>
  <si>
    <t>1BHK</t>
  </si>
  <si>
    <t>Double Height Fitness Center Below</t>
  </si>
  <si>
    <t>Shop Wing E</t>
  </si>
  <si>
    <t xml:space="preserve">Flats </t>
  </si>
  <si>
    <t>As per RERA Site Flats =  491 &amp; Shop = 09</t>
  </si>
  <si>
    <t>Flats = 491  &amp; 
Shop = 09</t>
  </si>
  <si>
    <t xml:space="preserve">We considered Gross carpet area = Net carpet + Dry balcony + Balcony.
</t>
  </si>
  <si>
    <t>Dry balcony + Balcony</t>
  </si>
  <si>
    <t>Godrej Bliss, Near Lokhandwala Circle &amp; Thakur Village, Kandivali East, Mumbai.</t>
  </si>
  <si>
    <t>Godrej Group</t>
  </si>
  <si>
    <t>218, Prem Baug, Sir Bhalchandra Road, Near Colony Nursing Home,  Matunga C.R., Mumbai 400019</t>
  </si>
  <si>
    <t>Refered from Rera</t>
  </si>
  <si>
    <t>Ms. Malvika Singh 7400486829</t>
  </si>
  <si>
    <t>B + G + 7P + E-Deck + 1st to 39th Floor</t>
  </si>
  <si>
    <t>Mr. Rahul Salve</t>
  </si>
  <si>
    <t>Godrej Bliss Wing E &amp; F</t>
  </si>
  <si>
    <t>Godrej Bliss, CTS No.163 A (pt), Redevlopement of " Shri Safalya Shejjar Samitee Chs.Ltd, Shri Saikrupa Shejjar Samitee Chs.Ltd, Shri Sagar Shejjar Samitee Chs.Ltd, Shri Prabhat Shejjar Samitee Chs.Ltd, Shri Datta Krupa Chs.Ltd, Shri Utkarsha Chs.Ltd, Shri Pathan Chawl Chs.Ltd ", near Spring Grove Towers, Akurli Cross Road, Gokul Nagar, Akurli, Kandivali, Borivali, Mumbai - 400101.</t>
  </si>
  <si>
    <t>25000 to 26000</t>
  </si>
  <si>
    <t>Ms. Simran 8369031776</t>
  </si>
  <si>
    <t>04/07/2025 @03:46PM</t>
  </si>
  <si>
    <t>Mr. Suraj Khare</t>
  </si>
  <si>
    <t>Construction work is same as the last visit (dtd.15/01/2025). But Work in process at the time of Visit (Very Slow speed).
Details taken from Ms. Malvika Singh 7400486829.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</si>
</sst>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2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sz val="11"/>
      <color theme="1"/>
      <name val="Calibri"/>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s>
  <cellStyleXfs count="4">
    <xf numFmtId="0" fontId="0" fillId="0" borderId="0"/>
    <xf numFmtId="0" fontId="1" fillId="0" borderId="0"/>
    <xf numFmtId="43" fontId="25" fillId="0" borderId="0" applyFont="0" applyFill="0" applyBorder="0" applyAlignment="0" applyProtection="0"/>
    <xf numFmtId="0" fontId="26" fillId="0" borderId="0" applyNumberFormat="0" applyFill="0" applyBorder="0" applyAlignment="0" applyProtection="0"/>
  </cellStyleXfs>
  <cellXfs count="18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4" fillId="4" borderId="1" xfId="1" applyNumberFormat="1" applyFont="1" applyFill="1" applyBorder="1" applyAlignment="1" applyProtection="1">
      <alignment horizontal="center" vertical="center" wrapText="1"/>
      <protection hidden="1"/>
    </xf>
    <xf numFmtId="1" fontId="6" fillId="4" borderId="5"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4" fontId="3" fillId="0" borderId="0" xfId="0" applyNumberFormat="1"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0" fontId="4"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4" fillId="4" borderId="3"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0" xfId="0" applyFont="1" applyFill="1" applyAlignment="1">
      <alignment horizontal="center" vertical="top" wrapText="1"/>
    </xf>
    <xf numFmtId="0" fontId="2" fillId="4" borderId="1" xfId="0" applyFont="1" applyFill="1" applyBorder="1" applyAlignment="1">
      <alignment horizontal="left" vertical="top" wrapText="1"/>
    </xf>
    <xf numFmtId="0" fontId="9" fillId="4" borderId="2" xfId="0" applyFont="1" applyFill="1" applyBorder="1" applyAlignment="1">
      <alignment horizontal="left" vertical="top" wrapText="1"/>
    </xf>
    <xf numFmtId="0" fontId="2"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2" applyNumberFormat="1" applyFont="1" applyFill="1" applyBorder="1" applyAlignment="1">
      <alignment horizontal="left" vertical="top" wrapText="1"/>
    </xf>
    <xf numFmtId="0" fontId="27" fillId="4" borderId="1" xfId="3" applyFont="1" applyFill="1" applyBorder="1" applyAlignment="1">
      <alignment horizontal="left" vertical="top" wrapText="1"/>
    </xf>
    <xf numFmtId="0" fontId="28" fillId="4" borderId="1" xfId="0" applyFont="1" applyFill="1" applyBorder="1" applyAlignment="1">
      <alignment horizontal="left" vertical="top" wrapText="1"/>
    </xf>
    <xf numFmtId="1" fontId="6" fillId="4" borderId="6" xfId="1" applyNumberFormat="1" applyFont="1" applyFill="1" applyBorder="1" applyAlignment="1">
      <alignment horizontal="center" vertical="center" wrapText="1"/>
    </xf>
    <xf numFmtId="1" fontId="6" fillId="4" borderId="20"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4">
    <cellStyle name="Comma" xfId="2" builtinId="3"/>
    <cellStyle name="Hyperlink" xfId="3" builtinId="8"/>
    <cellStyle name="Normal" xfId="0" builtinId="0"/>
    <cellStyle name="Normal 3" xfId="1" xr:uid="{00000000-0005-0000-0000-000003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1120589</xdr:colOff>
      <xdr:row>311</xdr:row>
      <xdr:rowOff>67235</xdr:rowOff>
    </xdr:from>
    <xdr:to>
      <xdr:col>6</xdr:col>
      <xdr:colOff>1053353</xdr:colOff>
      <xdr:row>351</xdr:row>
      <xdr:rowOff>67235</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120589" y="89185376"/>
          <a:ext cx="7140388" cy="10757647"/>
          <a:chOff x="1270599" y="253851"/>
          <a:chExt cx="4320000" cy="8538191"/>
        </a:xfrm>
      </xdr:grpSpPr>
      <xdr:grpSp>
        <xdr:nvGrpSpPr>
          <xdr:cNvPr id="3" name="Group 2">
            <a:extLst>
              <a:ext uri="{FF2B5EF4-FFF2-40B4-BE49-F238E27FC236}">
                <a16:creationId xmlns:a16="http://schemas.microsoft.com/office/drawing/2014/main" id="{00000000-0008-0000-0000-000003000000}"/>
              </a:ext>
            </a:extLst>
          </xdr:cNvPr>
          <xdr:cNvGrpSpPr/>
        </xdr:nvGrpSpPr>
        <xdr:grpSpPr>
          <a:xfrm>
            <a:off x="1270599" y="253851"/>
            <a:ext cx="4320000" cy="2794639"/>
            <a:chOff x="1270599" y="253851"/>
            <a:chExt cx="4320000" cy="279463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1270599" y="253851"/>
              <a:ext cx="4320000" cy="2794639"/>
            </a:xfrm>
            <a:prstGeom prst="rect">
              <a:avLst/>
            </a:prstGeom>
            <a:ln>
              <a:solidFill>
                <a:schemeClr val="tx1"/>
              </a:solidFill>
            </a:ln>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rot="753915">
              <a:off x="3727450" y="946150"/>
              <a:ext cx="1263650" cy="743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TextBox 5">
              <a:extLst>
                <a:ext uri="{FF2B5EF4-FFF2-40B4-BE49-F238E27FC236}">
                  <a16:creationId xmlns:a16="http://schemas.microsoft.com/office/drawing/2014/main" id="{00000000-0008-0000-0000-000009000000}"/>
                </a:ext>
              </a:extLst>
            </xdr:cNvPr>
            <xdr:cNvSpPr txBox="1"/>
          </xdr:nvSpPr>
          <xdr:spPr>
            <a:xfrm>
              <a:off x="4024785" y="547222"/>
              <a:ext cx="122180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 &amp; F</a:t>
              </a:r>
              <a:endParaRPr lang="en-IN" b="1">
                <a:solidFill>
                  <a:srgbClr val="FF0000"/>
                </a:solidFill>
              </a:endParaRPr>
            </a:p>
          </xdr:txBody>
        </xdr:sp>
      </xdr:grpSp>
      <xdr:grpSp>
        <xdr:nvGrpSpPr>
          <xdr:cNvPr id="4" name="Group 3">
            <a:extLst>
              <a:ext uri="{FF2B5EF4-FFF2-40B4-BE49-F238E27FC236}">
                <a16:creationId xmlns:a16="http://schemas.microsoft.com/office/drawing/2014/main" id="{00000000-0008-0000-0000-000004000000}"/>
              </a:ext>
            </a:extLst>
          </xdr:cNvPr>
          <xdr:cNvGrpSpPr/>
        </xdr:nvGrpSpPr>
        <xdr:grpSpPr>
          <a:xfrm>
            <a:off x="1270599" y="3279206"/>
            <a:ext cx="4320000" cy="5512836"/>
            <a:chOff x="1270599" y="3279206"/>
            <a:chExt cx="4320000" cy="5512836"/>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70599" y="3279206"/>
              <a:ext cx="4320000" cy="5512836"/>
            </a:xfrm>
            <a:prstGeom prst="rect">
              <a:avLst/>
            </a:prstGeom>
            <a:ln>
              <a:solidFill>
                <a:schemeClr val="tx1"/>
              </a:solidFill>
            </a:ln>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rot="760000">
              <a:off x="3784600" y="4381500"/>
              <a:ext cx="1130300" cy="5842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1</xdr:col>
      <xdr:colOff>380999</xdr:colOff>
      <xdr:row>360</xdr:row>
      <xdr:rowOff>190501</xdr:rowOff>
    </xdr:from>
    <xdr:to>
      <xdr:col>6</xdr:col>
      <xdr:colOff>874058</xdr:colOff>
      <xdr:row>389</xdr:row>
      <xdr:rowOff>123265</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582270" y="102486760"/>
          <a:ext cx="6499412" cy="7732058"/>
          <a:chOff x="0" y="435428"/>
          <a:chExt cx="6480000" cy="7998249"/>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3"/>
          <a:srcRect l="32405" t="23114" r="13159" b="22522"/>
          <a:stretch/>
        </xdr:blipFill>
        <xdr:spPr>
          <a:xfrm>
            <a:off x="0" y="435428"/>
            <a:ext cx="6480000" cy="3638361"/>
          </a:xfrm>
          <a:prstGeom prst="rect">
            <a:avLst/>
          </a:prstGeom>
          <a:ln>
            <a:solidFill>
              <a:schemeClr val="tx1"/>
            </a:solidFill>
          </a:ln>
        </xdr:spPr>
      </xdr:pic>
      <xdr:grpSp>
        <xdr:nvGrpSpPr>
          <xdr:cNvPr id="12" name="Group 11">
            <a:extLst>
              <a:ext uri="{FF2B5EF4-FFF2-40B4-BE49-F238E27FC236}">
                <a16:creationId xmlns:a16="http://schemas.microsoft.com/office/drawing/2014/main" id="{00000000-0008-0000-0000-00000C000000}"/>
              </a:ext>
            </a:extLst>
          </xdr:cNvPr>
          <xdr:cNvGrpSpPr/>
        </xdr:nvGrpSpPr>
        <xdr:grpSpPr>
          <a:xfrm>
            <a:off x="180000" y="4214586"/>
            <a:ext cx="6120000" cy="4219091"/>
            <a:chOff x="180000" y="4214586"/>
            <a:chExt cx="6120000" cy="4219091"/>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4"/>
            <a:srcRect l="24761" t="21230" r="31064" b="24603"/>
            <a:stretch/>
          </xdr:blipFill>
          <xdr:spPr>
            <a:xfrm>
              <a:off x="180000" y="4214586"/>
              <a:ext cx="6120000" cy="4219091"/>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rot="374779">
              <a:off x="2068426" y="5543550"/>
              <a:ext cx="2343150" cy="1200150"/>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986116</xdr:colOff>
      <xdr:row>90</xdr:row>
      <xdr:rowOff>145677</xdr:rowOff>
    </xdr:from>
    <xdr:to>
      <xdr:col>25</xdr:col>
      <xdr:colOff>332929</xdr:colOff>
      <xdr:row>125</xdr:row>
      <xdr:rowOff>211677</xdr:rowOff>
    </xdr:to>
    <xdr:pic>
      <xdr:nvPicPr>
        <xdr:cNvPr id="24" name="Picture 23">
          <a:extLst>
            <a:ext uri="{FF2B5EF4-FFF2-40B4-BE49-F238E27FC236}">
              <a16:creationId xmlns:a16="http://schemas.microsoft.com/office/drawing/2014/main" id="{E83F9B51-0E5D-4563-8AF2-6B6B712B2E2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0399057" y="35354559"/>
          <a:ext cx="10743196" cy="5400000"/>
        </a:xfrm>
        <a:prstGeom prst="rect">
          <a:avLst/>
        </a:prstGeom>
        <a:ln>
          <a:solidFill>
            <a:schemeClr val="tx1"/>
          </a:solidFill>
        </a:ln>
      </xdr:spPr>
    </xdr:pic>
    <xdr:clientData/>
  </xdr:twoCellAnchor>
  <xdr:twoCellAnchor>
    <xdr:from>
      <xdr:col>8</xdr:col>
      <xdr:colOff>766482</xdr:colOff>
      <xdr:row>265</xdr:row>
      <xdr:rowOff>91887</xdr:rowOff>
    </xdr:from>
    <xdr:to>
      <xdr:col>17</xdr:col>
      <xdr:colOff>369793</xdr:colOff>
      <xdr:row>295</xdr:row>
      <xdr:rowOff>181534</xdr:rowOff>
    </xdr:to>
    <xdr:grpSp>
      <xdr:nvGrpSpPr>
        <xdr:cNvPr id="38" name="Group 37">
          <a:extLst>
            <a:ext uri="{FF2B5EF4-FFF2-40B4-BE49-F238E27FC236}">
              <a16:creationId xmlns:a16="http://schemas.microsoft.com/office/drawing/2014/main" id="{00000000-0008-0000-0000-000026000000}"/>
            </a:ext>
          </a:extLst>
        </xdr:cNvPr>
        <xdr:cNvGrpSpPr/>
      </xdr:nvGrpSpPr>
      <xdr:grpSpPr>
        <a:xfrm>
          <a:off x="10376647" y="76838734"/>
          <a:ext cx="8263217" cy="8157882"/>
          <a:chOff x="-629719" y="535150"/>
          <a:chExt cx="7795357" cy="7144510"/>
        </a:xfrm>
      </xdr:grpSpPr>
      <xdr:grpSp>
        <xdr:nvGrpSpPr>
          <xdr:cNvPr id="39" name="Group 38">
            <a:extLst>
              <a:ext uri="{FF2B5EF4-FFF2-40B4-BE49-F238E27FC236}">
                <a16:creationId xmlns:a16="http://schemas.microsoft.com/office/drawing/2014/main" id="{00000000-0008-0000-0000-000027000000}"/>
              </a:ext>
            </a:extLst>
          </xdr:cNvPr>
          <xdr:cNvGrpSpPr/>
        </xdr:nvGrpSpPr>
        <xdr:grpSpPr>
          <a:xfrm>
            <a:off x="-629719" y="535150"/>
            <a:ext cx="7795357" cy="7144510"/>
            <a:chOff x="-629719" y="535150"/>
            <a:chExt cx="7795357" cy="7144510"/>
          </a:xfrm>
        </xdr:grpSpPr>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345121" y="535150"/>
              <a:ext cx="3820517" cy="2880000"/>
            </a:xfrm>
            <a:prstGeom prst="rect">
              <a:avLst/>
            </a:prstGeom>
            <a:ln>
              <a:solidFill>
                <a:schemeClr val="tx1"/>
              </a:solidFill>
            </a:ln>
          </xdr:spPr>
        </xdr:pic>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29719" y="535150"/>
              <a:ext cx="3820517" cy="2880000"/>
            </a:xfrm>
            <a:prstGeom prst="rect">
              <a:avLst/>
            </a:prstGeom>
            <a:ln>
              <a:solidFill>
                <a:schemeClr val="tx1"/>
              </a:solidFill>
            </a:ln>
          </xdr:spPr>
        </xdr:pic>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345121" y="3543754"/>
              <a:ext cx="2865387" cy="2160000"/>
            </a:xfrm>
            <a:prstGeom prst="rect">
              <a:avLst/>
            </a:prstGeom>
            <a:ln>
              <a:solidFill>
                <a:schemeClr val="tx1"/>
              </a:solidFill>
            </a:ln>
          </xdr:spPr>
        </xdr:pic>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25411" y="3543754"/>
              <a:ext cx="2865387" cy="2160000"/>
            </a:xfrm>
            <a:prstGeom prst="rect">
              <a:avLst/>
            </a:prstGeom>
            <a:ln>
              <a:solidFill>
                <a:schemeClr val="tx1"/>
              </a:solidFill>
            </a:ln>
          </xdr:spPr>
        </xdr:pic>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935987" y="5879660"/>
              <a:ext cx="1353766" cy="1800000"/>
            </a:xfrm>
            <a:prstGeom prst="rect">
              <a:avLst/>
            </a:prstGeom>
            <a:ln>
              <a:solidFill>
                <a:schemeClr val="tx1"/>
              </a:solidFill>
            </a:ln>
          </xdr:spPr>
        </xdr:pic>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377530" y="5879660"/>
              <a:ext cx="2396667" cy="1800000"/>
            </a:xfrm>
            <a:prstGeom prst="rect">
              <a:avLst/>
            </a:prstGeom>
            <a:ln>
              <a:solidFill>
                <a:schemeClr val="tx1"/>
              </a:solidFill>
            </a:ln>
          </xdr:spPr>
        </xdr:pic>
      </xdr:grpSp>
      <xdr:sp macro="" textlink="">
        <xdr:nvSpPr>
          <xdr:cNvPr id="40" name="TextBox 181">
            <a:extLst>
              <a:ext uri="{FF2B5EF4-FFF2-40B4-BE49-F238E27FC236}">
                <a16:creationId xmlns:a16="http://schemas.microsoft.com/office/drawing/2014/main" id="{00000000-0008-0000-0000-000028000000}"/>
              </a:ext>
            </a:extLst>
          </xdr:cNvPr>
          <xdr:cNvSpPr txBox="1"/>
        </xdr:nvSpPr>
        <xdr:spPr>
          <a:xfrm>
            <a:off x="842768" y="2554339"/>
            <a:ext cx="1069524"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400" b="1">
                <a:solidFill>
                  <a:srgbClr val="FF0000"/>
                </a:solidFill>
              </a:rPr>
              <a:t>Wing E</a:t>
            </a:r>
          </a:p>
        </xdr:txBody>
      </xdr:sp>
      <xdr:sp macro="" textlink="">
        <xdr:nvSpPr>
          <xdr:cNvPr id="41" name="TextBox 182">
            <a:extLst>
              <a:ext uri="{FF2B5EF4-FFF2-40B4-BE49-F238E27FC236}">
                <a16:creationId xmlns:a16="http://schemas.microsoft.com/office/drawing/2014/main" id="{00000000-0008-0000-0000-000029000000}"/>
              </a:ext>
            </a:extLst>
          </xdr:cNvPr>
          <xdr:cNvSpPr txBox="1"/>
        </xdr:nvSpPr>
        <xdr:spPr>
          <a:xfrm>
            <a:off x="5289753" y="1593556"/>
            <a:ext cx="105990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400" b="1">
                <a:solidFill>
                  <a:srgbClr val="FF0000"/>
                </a:solidFill>
              </a:rPr>
              <a:t>Wing F</a:t>
            </a:r>
          </a:p>
        </xdr:txBody>
      </xdr:sp>
      <xdr:sp macro="" textlink="">
        <xdr:nvSpPr>
          <xdr:cNvPr id="42" name="TextBox 183">
            <a:extLst>
              <a:ext uri="{FF2B5EF4-FFF2-40B4-BE49-F238E27FC236}">
                <a16:creationId xmlns:a16="http://schemas.microsoft.com/office/drawing/2014/main" id="{00000000-0008-0000-0000-00002A000000}"/>
              </a:ext>
            </a:extLst>
          </xdr:cNvPr>
          <xdr:cNvSpPr txBox="1"/>
        </xdr:nvSpPr>
        <xdr:spPr>
          <a:xfrm>
            <a:off x="865294" y="4804360"/>
            <a:ext cx="105990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400" b="1">
                <a:solidFill>
                  <a:srgbClr val="FF0000"/>
                </a:solidFill>
              </a:rPr>
              <a:t>Wing F</a:t>
            </a:r>
          </a:p>
        </xdr:txBody>
      </xdr:sp>
    </xdr:grpSp>
    <xdr:clientData/>
  </xdr:twoCellAnchor>
  <xdr:twoCellAnchor>
    <xdr:from>
      <xdr:col>1</xdr:col>
      <xdr:colOff>8964</xdr:colOff>
      <xdr:row>266</xdr:row>
      <xdr:rowOff>53788</xdr:rowOff>
    </xdr:from>
    <xdr:to>
      <xdr:col>6</xdr:col>
      <xdr:colOff>887504</xdr:colOff>
      <xdr:row>296</xdr:row>
      <xdr:rowOff>80683</xdr:rowOff>
    </xdr:to>
    <xdr:grpSp>
      <xdr:nvGrpSpPr>
        <xdr:cNvPr id="15" name="Group 14">
          <a:extLst>
            <a:ext uri="{FF2B5EF4-FFF2-40B4-BE49-F238E27FC236}">
              <a16:creationId xmlns:a16="http://schemas.microsoft.com/office/drawing/2014/main" id="{97AE61A9-4018-073B-3266-1DFA1E1875C4}"/>
            </a:ext>
          </a:extLst>
        </xdr:cNvPr>
        <xdr:cNvGrpSpPr/>
      </xdr:nvGrpSpPr>
      <xdr:grpSpPr>
        <a:xfrm>
          <a:off x="1210235" y="77069576"/>
          <a:ext cx="6884893" cy="8095131"/>
          <a:chOff x="292145" y="303037"/>
          <a:chExt cx="5894074" cy="6473040"/>
        </a:xfrm>
      </xdr:grpSpPr>
      <xdr:pic>
        <xdr:nvPicPr>
          <xdr:cNvPr id="16" name="Picture 15">
            <a:extLst>
              <a:ext uri="{FF2B5EF4-FFF2-40B4-BE49-F238E27FC236}">
                <a16:creationId xmlns:a16="http://schemas.microsoft.com/office/drawing/2014/main" id="{15CCFE64-3BFD-20EF-4CE2-1DE611ECB61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06219" y="2589037"/>
            <a:ext cx="2880000" cy="2171015"/>
          </a:xfrm>
          <a:prstGeom prst="rect">
            <a:avLst/>
          </a:prstGeom>
          <a:ln>
            <a:solidFill>
              <a:schemeClr val="tx1"/>
            </a:solidFill>
          </a:ln>
        </xdr:spPr>
      </xdr:pic>
      <xdr:pic>
        <xdr:nvPicPr>
          <xdr:cNvPr id="17" name="Picture 16">
            <a:extLst>
              <a:ext uri="{FF2B5EF4-FFF2-40B4-BE49-F238E27FC236}">
                <a16:creationId xmlns:a16="http://schemas.microsoft.com/office/drawing/2014/main" id="{6626B4B4-A11F-BB26-91C9-B27B77AB9C8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2145" y="303037"/>
            <a:ext cx="2880000" cy="2171015"/>
          </a:xfrm>
          <a:prstGeom prst="rect">
            <a:avLst/>
          </a:prstGeom>
          <a:ln>
            <a:solidFill>
              <a:schemeClr val="tx1"/>
            </a:solidFill>
          </a:ln>
        </xdr:spPr>
      </xdr:pic>
      <xdr:pic>
        <xdr:nvPicPr>
          <xdr:cNvPr id="18" name="Picture 17">
            <a:extLst>
              <a:ext uri="{FF2B5EF4-FFF2-40B4-BE49-F238E27FC236}">
                <a16:creationId xmlns:a16="http://schemas.microsoft.com/office/drawing/2014/main" id="{30C2FE80-77B1-7701-E7F3-43697EDAF07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92145" y="2589037"/>
            <a:ext cx="2880000" cy="2171015"/>
          </a:xfrm>
          <a:prstGeom prst="rect">
            <a:avLst/>
          </a:prstGeom>
          <a:ln>
            <a:solidFill>
              <a:schemeClr val="tx1"/>
            </a:solidFill>
          </a:ln>
        </xdr:spPr>
      </xdr:pic>
      <xdr:pic>
        <xdr:nvPicPr>
          <xdr:cNvPr id="19" name="Picture 18">
            <a:extLst>
              <a:ext uri="{FF2B5EF4-FFF2-40B4-BE49-F238E27FC236}">
                <a16:creationId xmlns:a16="http://schemas.microsoft.com/office/drawing/2014/main" id="{8AFF80C1-EE27-8034-5DF1-FBFE9581ED9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306219" y="303037"/>
            <a:ext cx="2880000" cy="2171015"/>
          </a:xfrm>
          <a:prstGeom prst="rect">
            <a:avLst/>
          </a:prstGeom>
          <a:ln>
            <a:solidFill>
              <a:schemeClr val="tx1"/>
            </a:solidFill>
          </a:ln>
        </xdr:spPr>
      </xdr:pic>
      <xdr:pic>
        <xdr:nvPicPr>
          <xdr:cNvPr id="20" name="Picture 19">
            <a:extLst>
              <a:ext uri="{FF2B5EF4-FFF2-40B4-BE49-F238E27FC236}">
                <a16:creationId xmlns:a16="http://schemas.microsoft.com/office/drawing/2014/main" id="{CAF9D139-BCD4-B05F-CB2A-8BDD02348EF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52145" y="4875037"/>
            <a:ext cx="2520000" cy="1892629"/>
          </a:xfrm>
          <a:prstGeom prst="rect">
            <a:avLst/>
          </a:prstGeom>
          <a:ln>
            <a:solidFill>
              <a:schemeClr val="tx1"/>
            </a:solidFill>
          </a:ln>
        </xdr:spPr>
      </xdr:pic>
      <xdr:pic>
        <xdr:nvPicPr>
          <xdr:cNvPr id="21" name="Picture 20">
            <a:extLst>
              <a:ext uri="{FF2B5EF4-FFF2-40B4-BE49-F238E27FC236}">
                <a16:creationId xmlns:a16="http://schemas.microsoft.com/office/drawing/2014/main" id="{911DAFF1-5760-0CAA-2041-A706D28674F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06219" y="4876439"/>
            <a:ext cx="2520000" cy="1899638"/>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ynfimscsvRmQrev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01"/>
  <sheetViews>
    <sheetView tabSelected="1" view="pageBreakPreview" zoomScale="85" zoomScaleNormal="85" zoomScaleSheetLayoutView="85" zoomScalePageLayoutView="70" workbookViewId="0">
      <selection activeCell="I2" sqref="I2"/>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2" width="15.5546875" style="1" bestFit="1" customWidth="1"/>
    <col min="13" max="19" width="9.109375" style="1"/>
    <col min="20" max="22" width="0" style="1" hidden="1" customWidth="1"/>
    <col min="23" max="25" width="9.109375" style="1"/>
    <col min="26" max="26" width="7.88671875" style="1" customWidth="1"/>
    <col min="27" max="16384" width="9.109375" style="1"/>
  </cols>
  <sheetData>
    <row r="1" spans="1:12" ht="21" x14ac:dyDescent="0.3">
      <c r="A1" s="93" t="s">
        <v>38</v>
      </c>
      <c r="B1" s="94"/>
      <c r="C1" s="94"/>
      <c r="D1" s="94"/>
      <c r="E1" s="94"/>
      <c r="F1" s="94"/>
      <c r="G1" s="94"/>
      <c r="H1" s="95"/>
    </row>
    <row r="2" spans="1:12" ht="42" customHeight="1" x14ac:dyDescent="0.3">
      <c r="A2" s="100" t="s">
        <v>10</v>
      </c>
      <c r="B2" s="100"/>
      <c r="C2" s="78" t="s">
        <v>87</v>
      </c>
      <c r="D2" s="78"/>
      <c r="E2" s="100" t="s">
        <v>12</v>
      </c>
      <c r="F2" s="100"/>
      <c r="G2" s="107">
        <v>45840</v>
      </c>
      <c r="H2" s="78"/>
      <c r="J2" s="108"/>
      <c r="K2" s="108"/>
    </row>
    <row r="3" spans="1:12" ht="42.75" customHeight="1" x14ac:dyDescent="0.3">
      <c r="A3" s="100" t="s">
        <v>39</v>
      </c>
      <c r="B3" s="100"/>
      <c r="C3" s="109" t="s">
        <v>371</v>
      </c>
      <c r="D3" s="78"/>
      <c r="E3" s="100" t="s">
        <v>156</v>
      </c>
      <c r="F3" s="100"/>
      <c r="G3" s="107" t="s">
        <v>375</v>
      </c>
      <c r="H3" s="78"/>
      <c r="K3" s="76">
        <v>45757</v>
      </c>
      <c r="L3" s="76">
        <v>45842</v>
      </c>
    </row>
    <row r="4" spans="1:12" ht="43.5" customHeight="1" x14ac:dyDescent="0.3">
      <c r="A4" s="100" t="s">
        <v>36</v>
      </c>
      <c r="B4" s="100"/>
      <c r="C4" s="78" t="s">
        <v>374</v>
      </c>
      <c r="D4" s="78"/>
      <c r="E4" s="100" t="s">
        <v>33</v>
      </c>
      <c r="F4" s="100"/>
      <c r="G4" s="78" t="str">
        <f ca="1">TEXT(TODAY(),"DD/MM/YYYY")</f>
        <v>07/07/2025</v>
      </c>
      <c r="H4" s="78"/>
      <c r="I4" s="78" t="s">
        <v>368</v>
      </c>
      <c r="J4" s="78"/>
      <c r="L4" s="1">
        <f>L3-K3</f>
        <v>85</v>
      </c>
    </row>
    <row r="5" spans="1:12" ht="21" x14ac:dyDescent="0.3">
      <c r="A5" s="111" t="s">
        <v>40</v>
      </c>
      <c r="B5" s="111"/>
      <c r="C5" s="111"/>
      <c r="D5" s="111"/>
      <c r="E5" s="111"/>
      <c r="F5" s="111"/>
      <c r="G5" s="111"/>
      <c r="H5" s="111"/>
    </row>
    <row r="6" spans="1:12" ht="43.5" customHeight="1" x14ac:dyDescent="0.3">
      <c r="A6" s="100" t="s">
        <v>29</v>
      </c>
      <c r="B6" s="100"/>
      <c r="C6" s="78" t="s">
        <v>93</v>
      </c>
      <c r="D6" s="78"/>
      <c r="E6" s="100" t="s">
        <v>35</v>
      </c>
      <c r="F6" s="100"/>
      <c r="G6" s="78" t="s">
        <v>376</v>
      </c>
      <c r="H6" s="78"/>
    </row>
    <row r="7" spans="1:12" ht="23.25" customHeight="1" x14ac:dyDescent="0.3">
      <c r="A7" s="100" t="s">
        <v>42</v>
      </c>
      <c r="B7" s="100"/>
      <c r="C7" s="78" t="s">
        <v>365</v>
      </c>
      <c r="D7" s="78"/>
      <c r="E7" s="100" t="s">
        <v>43</v>
      </c>
      <c r="F7" s="100"/>
      <c r="G7" s="78" t="s">
        <v>304</v>
      </c>
      <c r="H7" s="78"/>
    </row>
    <row r="8" spans="1:12" ht="47.4" customHeight="1" x14ac:dyDescent="0.3">
      <c r="A8" s="100" t="s">
        <v>44</v>
      </c>
      <c r="B8" s="100"/>
      <c r="C8" s="78" t="s">
        <v>366</v>
      </c>
      <c r="D8" s="78"/>
      <c r="E8" s="78"/>
      <c r="F8" s="78"/>
      <c r="G8" s="78"/>
      <c r="H8" s="78"/>
      <c r="I8" s="1" t="s">
        <v>367</v>
      </c>
    </row>
    <row r="9" spans="1:12" ht="21" x14ac:dyDescent="0.3">
      <c r="A9" s="106" t="s">
        <v>147</v>
      </c>
      <c r="B9" s="35" t="s">
        <v>41</v>
      </c>
      <c r="C9" s="78" t="s">
        <v>364</v>
      </c>
      <c r="D9" s="78"/>
      <c r="E9" s="78"/>
      <c r="F9" s="78"/>
      <c r="G9" s="78"/>
      <c r="H9" s="78"/>
      <c r="I9" s="1" t="s">
        <v>159</v>
      </c>
    </row>
    <row r="10" spans="1:12" ht="106.5" customHeight="1" x14ac:dyDescent="0.3">
      <c r="A10" s="106"/>
      <c r="B10" s="35" t="s">
        <v>11</v>
      </c>
      <c r="C10" s="78" t="s">
        <v>372</v>
      </c>
      <c r="D10" s="78"/>
      <c r="E10" s="78"/>
      <c r="F10" s="78"/>
      <c r="G10" s="78"/>
      <c r="H10" s="78"/>
    </row>
    <row r="11" spans="1:12" ht="110.4" customHeight="1" x14ac:dyDescent="0.3">
      <c r="A11" s="106"/>
      <c r="B11" s="35" t="s">
        <v>5</v>
      </c>
      <c r="C11" s="78" t="s">
        <v>372</v>
      </c>
      <c r="D11" s="78"/>
      <c r="E11" s="78"/>
      <c r="F11" s="78"/>
      <c r="G11" s="78"/>
      <c r="H11" s="78"/>
    </row>
    <row r="12" spans="1:12" ht="40.5" customHeight="1" x14ac:dyDescent="0.3">
      <c r="A12" s="100" t="s">
        <v>34</v>
      </c>
      <c r="B12" s="100"/>
      <c r="C12" s="78" t="s">
        <v>145</v>
      </c>
      <c r="D12" s="78"/>
      <c r="E12" s="78"/>
      <c r="F12" s="78"/>
      <c r="G12" s="78"/>
      <c r="H12" s="78"/>
    </row>
    <row r="13" spans="1:12" ht="20.100000000000001" customHeight="1" x14ac:dyDescent="0.3">
      <c r="A13" s="111" t="s">
        <v>45</v>
      </c>
      <c r="B13" s="111"/>
      <c r="C13" s="111"/>
      <c r="D13" s="111"/>
      <c r="E13" s="111"/>
      <c r="F13" s="111"/>
      <c r="G13" s="111"/>
      <c r="H13" s="111"/>
    </row>
    <row r="14" spans="1:12" ht="41.25" customHeight="1" x14ac:dyDescent="0.3">
      <c r="A14" s="100" t="s">
        <v>27</v>
      </c>
      <c r="B14" s="100" t="s">
        <v>4</v>
      </c>
      <c r="C14" s="78" t="s">
        <v>88</v>
      </c>
      <c r="D14" s="78"/>
      <c r="E14" s="100" t="s">
        <v>46</v>
      </c>
      <c r="F14" s="100" t="s">
        <v>4</v>
      </c>
      <c r="G14" s="78" t="s">
        <v>305</v>
      </c>
      <c r="H14" s="78"/>
    </row>
    <row r="15" spans="1:12" ht="41.25" customHeight="1" x14ac:dyDescent="0.3">
      <c r="A15" s="100" t="s">
        <v>47</v>
      </c>
      <c r="B15" s="100" t="s">
        <v>4</v>
      </c>
      <c r="C15" s="78" t="s">
        <v>306</v>
      </c>
      <c r="D15" s="78"/>
      <c r="E15" s="100" t="s">
        <v>48</v>
      </c>
      <c r="F15" s="100" t="s">
        <v>4</v>
      </c>
      <c r="G15" s="107">
        <v>47430</v>
      </c>
      <c r="H15" s="78"/>
    </row>
    <row r="16" spans="1:12" ht="41.25" customHeight="1" x14ac:dyDescent="0.3">
      <c r="A16" s="100" t="s">
        <v>49</v>
      </c>
      <c r="B16" s="100" t="s">
        <v>4</v>
      </c>
      <c r="C16" s="107">
        <v>45078</v>
      </c>
      <c r="D16" s="78"/>
      <c r="E16" s="100" t="s">
        <v>50</v>
      </c>
      <c r="F16" s="100" t="s">
        <v>4</v>
      </c>
      <c r="G16" s="130">
        <v>45078</v>
      </c>
      <c r="H16" s="78"/>
    </row>
    <row r="17" spans="1:8" ht="41.25" customHeight="1" x14ac:dyDescent="0.3">
      <c r="A17" s="100" t="s">
        <v>51</v>
      </c>
      <c r="B17" s="100" t="s">
        <v>4</v>
      </c>
      <c r="C17" s="107">
        <v>47430</v>
      </c>
      <c r="D17" s="78"/>
      <c r="E17" s="100" t="s">
        <v>52</v>
      </c>
      <c r="F17" s="100" t="s">
        <v>4</v>
      </c>
      <c r="G17" s="78" t="s">
        <v>145</v>
      </c>
      <c r="H17" s="78"/>
    </row>
    <row r="18" spans="1:8" ht="41.25" customHeight="1" x14ac:dyDescent="0.3">
      <c r="A18" s="100" t="s">
        <v>53</v>
      </c>
      <c r="B18" s="100" t="s">
        <v>4</v>
      </c>
      <c r="C18" s="78"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78"/>
      <c r="E18" s="100" t="s">
        <v>94</v>
      </c>
      <c r="F18" s="100" t="s">
        <v>4</v>
      </c>
      <c r="G18" s="78">
        <v>63918.35</v>
      </c>
      <c r="H18" s="78"/>
    </row>
    <row r="19" spans="1:8" ht="41.25" customHeight="1" x14ac:dyDescent="0.3">
      <c r="A19" s="100" t="s">
        <v>54</v>
      </c>
      <c r="B19" s="100" t="s">
        <v>4</v>
      </c>
      <c r="C19" s="157">
        <v>4.07</v>
      </c>
      <c r="D19" s="157"/>
      <c r="E19" s="100" t="s">
        <v>244</v>
      </c>
      <c r="F19" s="100" t="s">
        <v>4</v>
      </c>
      <c r="G19" s="78">
        <v>57334.37</v>
      </c>
      <c r="H19" s="78"/>
    </row>
    <row r="20" spans="1:8" ht="41.25" customHeight="1" x14ac:dyDescent="0.3">
      <c r="A20" s="100" t="s">
        <v>308</v>
      </c>
      <c r="B20" s="100" t="s">
        <v>4</v>
      </c>
      <c r="C20" s="78">
        <v>259868.99</v>
      </c>
      <c r="D20" s="78"/>
      <c r="E20" s="100" t="s">
        <v>307</v>
      </c>
      <c r="F20" s="100" t="s">
        <v>4</v>
      </c>
      <c r="G20" s="78">
        <v>67438.27</v>
      </c>
      <c r="H20" s="78"/>
    </row>
    <row r="21" spans="1:8" ht="41.25" customHeight="1" x14ac:dyDescent="0.3">
      <c r="A21" s="100" t="s">
        <v>56</v>
      </c>
      <c r="B21" s="100" t="s">
        <v>4</v>
      </c>
      <c r="C21" s="78" t="s">
        <v>361</v>
      </c>
      <c r="D21" s="78"/>
      <c r="E21" s="100" t="s">
        <v>55</v>
      </c>
      <c r="F21" s="100" t="s">
        <v>4</v>
      </c>
      <c r="G21" s="78" t="s">
        <v>360</v>
      </c>
      <c r="H21" s="78"/>
    </row>
    <row r="22" spans="1:8" ht="41.25" customHeight="1" x14ac:dyDescent="0.3">
      <c r="A22" s="100" t="s">
        <v>161</v>
      </c>
      <c r="B22" s="100" t="s">
        <v>4</v>
      </c>
      <c r="C22" s="78" t="s">
        <v>309</v>
      </c>
      <c r="D22" s="78"/>
      <c r="E22" s="100" t="s">
        <v>162</v>
      </c>
      <c r="F22" s="100" t="s">
        <v>4</v>
      </c>
      <c r="G22" s="78" t="s">
        <v>311</v>
      </c>
      <c r="H22" s="78"/>
    </row>
    <row r="23" spans="1:8" ht="38.25" customHeight="1" x14ac:dyDescent="0.3">
      <c r="A23" s="100" t="s">
        <v>158</v>
      </c>
      <c r="B23" s="100" t="s">
        <v>4</v>
      </c>
      <c r="C23" s="158" t="s">
        <v>310</v>
      </c>
      <c r="D23" s="159"/>
      <c r="E23" s="159"/>
      <c r="F23" s="159"/>
      <c r="G23" s="159"/>
      <c r="H23" s="159"/>
    </row>
    <row r="24" spans="1:8" ht="45" customHeight="1" x14ac:dyDescent="0.3">
      <c r="A24" s="100" t="s">
        <v>25</v>
      </c>
      <c r="B24" s="100" t="s">
        <v>4</v>
      </c>
      <c r="C24" s="78" t="s">
        <v>318</v>
      </c>
      <c r="D24" s="78"/>
      <c r="E24" s="78"/>
      <c r="F24" s="78"/>
      <c r="G24" s="78"/>
      <c r="H24" s="78"/>
    </row>
    <row r="25" spans="1:8" ht="24" customHeight="1" x14ac:dyDescent="0.3">
      <c r="A25" s="111" t="s">
        <v>20</v>
      </c>
      <c r="B25" s="111"/>
      <c r="C25" s="111"/>
      <c r="D25" s="111"/>
      <c r="E25" s="111"/>
      <c r="F25" s="111"/>
      <c r="G25" s="111"/>
      <c r="H25" s="111"/>
    </row>
    <row r="26" spans="1:8" ht="43.5" customHeight="1" x14ac:dyDescent="0.3">
      <c r="A26" s="100" t="s">
        <v>26</v>
      </c>
      <c r="B26" s="100" t="s">
        <v>4</v>
      </c>
      <c r="C26" s="78" t="str">
        <f>IF(AND(G26="Upper"),"Developed","Developing")</f>
        <v>Developing</v>
      </c>
      <c r="D26" s="78"/>
      <c r="E26" s="100" t="s">
        <v>13</v>
      </c>
      <c r="F26" s="100" t="s">
        <v>4</v>
      </c>
      <c r="G26" s="78" t="s">
        <v>163</v>
      </c>
      <c r="H26" s="78"/>
    </row>
    <row r="27" spans="1:8" ht="43.5" customHeight="1" x14ac:dyDescent="0.3">
      <c r="A27" s="100" t="s">
        <v>14</v>
      </c>
      <c r="B27" s="100" t="s">
        <v>4</v>
      </c>
      <c r="C27" s="78" t="s">
        <v>97</v>
      </c>
      <c r="D27" s="78"/>
      <c r="E27" s="100" t="s">
        <v>148</v>
      </c>
      <c r="F27" s="100" t="s">
        <v>4</v>
      </c>
      <c r="G27" s="78" t="s">
        <v>312</v>
      </c>
      <c r="H27" s="78"/>
    </row>
    <row r="28" spans="1:8" ht="43.5" customHeight="1" x14ac:dyDescent="0.3">
      <c r="A28" s="100" t="s">
        <v>23</v>
      </c>
      <c r="B28" s="100" t="s">
        <v>4</v>
      </c>
      <c r="C28" s="78" t="s">
        <v>96</v>
      </c>
      <c r="D28" s="78"/>
      <c r="E28" s="100" t="s">
        <v>16</v>
      </c>
      <c r="F28" s="100" t="s">
        <v>4</v>
      </c>
      <c r="G28" s="78" t="s">
        <v>313</v>
      </c>
      <c r="H28" s="78"/>
    </row>
    <row r="29" spans="1:8" ht="43.5" customHeight="1" x14ac:dyDescent="0.3">
      <c r="A29" s="100" t="s">
        <v>106</v>
      </c>
      <c r="B29" s="100" t="s">
        <v>4</v>
      </c>
      <c r="C29" s="78" t="s">
        <v>314</v>
      </c>
      <c r="D29" s="78"/>
      <c r="E29" s="100" t="s">
        <v>107</v>
      </c>
      <c r="F29" s="100" t="s">
        <v>4</v>
      </c>
      <c r="G29" s="78" t="s">
        <v>315</v>
      </c>
      <c r="H29" s="78"/>
    </row>
    <row r="30" spans="1:8" ht="84" customHeight="1" x14ac:dyDescent="0.3">
      <c r="A30" s="100" t="s">
        <v>17</v>
      </c>
      <c r="B30" s="100" t="s">
        <v>4</v>
      </c>
      <c r="C30" s="78" t="s">
        <v>316</v>
      </c>
      <c r="D30" s="78"/>
      <c r="E30" s="100" t="s">
        <v>15</v>
      </c>
      <c r="F30" s="100" t="s">
        <v>4</v>
      </c>
      <c r="G30" s="78" t="s">
        <v>317</v>
      </c>
      <c r="H30" s="78"/>
    </row>
    <row r="31" spans="1:8" ht="21" x14ac:dyDescent="0.3">
      <c r="A31" s="100" t="s">
        <v>112</v>
      </c>
      <c r="B31" s="100" t="s">
        <v>4</v>
      </c>
      <c r="C31" s="78" t="s">
        <v>113</v>
      </c>
      <c r="D31" s="78"/>
      <c r="E31" s="100" t="s">
        <v>114</v>
      </c>
      <c r="F31" s="100" t="s">
        <v>4</v>
      </c>
      <c r="G31" s="78" t="s">
        <v>113</v>
      </c>
      <c r="H31" s="78"/>
    </row>
    <row r="32" spans="1:8" ht="21.75" customHeight="1" x14ac:dyDescent="0.3">
      <c r="A32" s="100" t="s">
        <v>115</v>
      </c>
      <c r="B32" s="100" t="s">
        <v>4</v>
      </c>
      <c r="C32" s="78" t="s">
        <v>113</v>
      </c>
      <c r="D32" s="78"/>
      <c r="E32" s="78"/>
      <c r="F32" s="78"/>
      <c r="G32" s="78"/>
      <c r="H32" s="78"/>
    </row>
    <row r="33" spans="1:15" ht="21" x14ac:dyDescent="0.3">
      <c r="A33" s="150" t="s">
        <v>37</v>
      </c>
      <c r="B33" s="150"/>
      <c r="C33" s="150"/>
      <c r="D33" s="150"/>
      <c r="E33" s="150"/>
      <c r="F33" s="150"/>
      <c r="G33" s="150"/>
      <c r="H33" s="150"/>
    </row>
    <row r="34" spans="1:15" ht="43.5" customHeight="1" x14ac:dyDescent="0.3">
      <c r="A34" s="100" t="s">
        <v>18</v>
      </c>
      <c r="B34" s="100"/>
      <c r="C34" s="78" t="s">
        <v>98</v>
      </c>
      <c r="D34" s="78"/>
      <c r="E34" s="100" t="s">
        <v>19</v>
      </c>
      <c r="F34" s="100" t="s">
        <v>4</v>
      </c>
      <c r="G34" s="78" t="s">
        <v>99</v>
      </c>
      <c r="H34" s="78"/>
    </row>
    <row r="35" spans="1:15" ht="43.5" customHeight="1" x14ac:dyDescent="0.3">
      <c r="A35" s="100" t="s">
        <v>22</v>
      </c>
      <c r="B35" s="100"/>
      <c r="C35" s="78" t="s">
        <v>99</v>
      </c>
      <c r="D35" s="78"/>
      <c r="E35" s="100" t="s">
        <v>32</v>
      </c>
      <c r="F35" s="100" t="s">
        <v>4</v>
      </c>
      <c r="G35" s="78" t="s">
        <v>99</v>
      </c>
      <c r="H35" s="78"/>
    </row>
    <row r="36" spans="1:15" ht="21" x14ac:dyDescent="0.3">
      <c r="A36" s="100" t="s">
        <v>31</v>
      </c>
      <c r="B36" s="100"/>
      <c r="C36" s="78" t="s">
        <v>100</v>
      </c>
      <c r="D36" s="78"/>
      <c r="E36" s="100" t="s">
        <v>21</v>
      </c>
      <c r="F36" s="100" t="s">
        <v>4</v>
      </c>
      <c r="G36" s="78" t="s">
        <v>101</v>
      </c>
      <c r="H36" s="78"/>
    </row>
    <row r="37" spans="1:15" ht="21" x14ac:dyDescent="0.3">
      <c r="A37" s="111" t="s">
        <v>0</v>
      </c>
      <c r="B37" s="111"/>
      <c r="C37" s="111"/>
      <c r="D37" s="111"/>
      <c r="E37" s="111"/>
      <c r="F37" s="111"/>
      <c r="G37" s="111"/>
      <c r="H37" s="111"/>
    </row>
    <row r="38" spans="1:15" ht="21" x14ac:dyDescent="0.3">
      <c r="A38" s="104" t="s">
        <v>0</v>
      </c>
      <c r="B38" s="104"/>
      <c r="C38" s="104" t="s">
        <v>228</v>
      </c>
      <c r="D38" s="104"/>
      <c r="E38" s="104"/>
      <c r="F38" s="104" t="s">
        <v>7</v>
      </c>
      <c r="G38" s="104"/>
      <c r="H38" s="104"/>
      <c r="J38" s="102" t="s">
        <v>1</v>
      </c>
      <c r="K38" s="103"/>
      <c r="L38" s="2" t="s">
        <v>6</v>
      </c>
      <c r="M38" s="102" t="s">
        <v>2</v>
      </c>
      <c r="N38" s="103"/>
      <c r="O38" s="2" t="s">
        <v>3</v>
      </c>
    </row>
    <row r="39" spans="1:15" ht="21" x14ac:dyDescent="0.3">
      <c r="A39" s="106" t="s">
        <v>2</v>
      </c>
      <c r="B39" s="106"/>
      <c r="C39" s="105" t="s">
        <v>320</v>
      </c>
      <c r="D39" s="105"/>
      <c r="E39" s="105"/>
      <c r="F39" s="105" t="s">
        <v>326</v>
      </c>
      <c r="G39" s="105"/>
      <c r="H39" s="105"/>
    </row>
    <row r="40" spans="1:15" ht="21" x14ac:dyDescent="0.3">
      <c r="A40" s="106" t="s">
        <v>3</v>
      </c>
      <c r="B40" s="106"/>
      <c r="C40" s="105" t="s">
        <v>321</v>
      </c>
      <c r="D40" s="105"/>
      <c r="E40" s="105"/>
      <c r="F40" s="105" t="s">
        <v>325</v>
      </c>
      <c r="G40" s="105"/>
      <c r="H40" s="105"/>
    </row>
    <row r="41" spans="1:15" ht="21" x14ac:dyDescent="0.3">
      <c r="A41" s="106" t="s">
        <v>1</v>
      </c>
      <c r="B41" s="106"/>
      <c r="C41" s="105" t="s">
        <v>322</v>
      </c>
      <c r="D41" s="105"/>
      <c r="E41" s="105"/>
      <c r="F41" s="105" t="s">
        <v>323</v>
      </c>
      <c r="G41" s="105"/>
      <c r="H41" s="105"/>
    </row>
    <row r="42" spans="1:15" ht="21" x14ac:dyDescent="0.3">
      <c r="A42" s="106" t="s">
        <v>6</v>
      </c>
      <c r="B42" s="106"/>
      <c r="C42" s="105" t="s">
        <v>319</v>
      </c>
      <c r="D42" s="105"/>
      <c r="E42" s="105"/>
      <c r="F42" s="105" t="s">
        <v>324</v>
      </c>
      <c r="G42" s="105"/>
      <c r="H42" s="105"/>
    </row>
    <row r="43" spans="1:15" ht="51" customHeight="1" x14ac:dyDescent="0.3">
      <c r="A43" s="100" t="s">
        <v>229</v>
      </c>
      <c r="B43" s="100"/>
      <c r="C43" s="78" t="s">
        <v>96</v>
      </c>
      <c r="D43" s="78"/>
      <c r="E43" s="78"/>
      <c r="F43" s="78"/>
      <c r="G43" s="78"/>
      <c r="H43" s="78"/>
    </row>
    <row r="44" spans="1:15" ht="21" x14ac:dyDescent="0.3">
      <c r="A44" s="111" t="s">
        <v>57</v>
      </c>
      <c r="B44" s="111"/>
      <c r="C44" s="111"/>
      <c r="D44" s="111"/>
      <c r="E44" s="111"/>
      <c r="F44" s="111"/>
      <c r="G44" s="111"/>
      <c r="H44" s="111"/>
    </row>
    <row r="45" spans="1:15" ht="21" customHeight="1" x14ac:dyDescent="0.3">
      <c r="A45" s="104" t="s">
        <v>58</v>
      </c>
      <c r="B45" s="104"/>
      <c r="C45" s="2" t="s">
        <v>59</v>
      </c>
      <c r="D45" s="104" t="s">
        <v>146</v>
      </c>
      <c r="E45" s="104"/>
      <c r="F45" s="104"/>
      <c r="G45" s="104" t="s">
        <v>60</v>
      </c>
      <c r="H45" s="104"/>
    </row>
    <row r="46" spans="1:15" ht="45" customHeight="1" x14ac:dyDescent="0.3">
      <c r="A46" s="99" t="s">
        <v>327</v>
      </c>
      <c r="B46" s="99"/>
      <c r="C46" s="34" t="s">
        <v>89</v>
      </c>
      <c r="D46" s="78" t="s">
        <v>369</v>
      </c>
      <c r="E46" s="78"/>
      <c r="F46" s="78"/>
      <c r="G46" s="78" t="s">
        <v>369</v>
      </c>
      <c r="H46" s="78"/>
    </row>
    <row r="47" spans="1:15" ht="46.95" customHeight="1" x14ac:dyDescent="0.3">
      <c r="A47" s="99" t="s">
        <v>328</v>
      </c>
      <c r="B47" s="99"/>
      <c r="C47" s="34" t="s">
        <v>89</v>
      </c>
      <c r="D47" s="78" t="s">
        <v>369</v>
      </c>
      <c r="E47" s="78"/>
      <c r="F47" s="78"/>
      <c r="G47" s="78" t="s">
        <v>369</v>
      </c>
      <c r="H47" s="78"/>
    </row>
    <row r="48" spans="1:15" ht="21" hidden="1" x14ac:dyDescent="0.3">
      <c r="A48" s="99" t="s">
        <v>230</v>
      </c>
      <c r="B48" s="99"/>
      <c r="C48" s="34" t="s">
        <v>89</v>
      </c>
      <c r="D48" s="78"/>
      <c r="E48" s="78"/>
      <c r="F48" s="78"/>
      <c r="G48" s="78"/>
      <c r="H48" s="78"/>
    </row>
    <row r="49" spans="1:10" ht="21" hidden="1" x14ac:dyDescent="0.3">
      <c r="A49" s="99" t="s">
        <v>231</v>
      </c>
      <c r="B49" s="99"/>
      <c r="C49" s="34" t="s">
        <v>89</v>
      </c>
      <c r="D49" s="78"/>
      <c r="E49" s="78"/>
      <c r="F49" s="78"/>
      <c r="G49" s="78"/>
      <c r="H49" s="78"/>
    </row>
    <row r="50" spans="1:10" ht="21" x14ac:dyDescent="0.3">
      <c r="A50" s="111" t="s">
        <v>61</v>
      </c>
      <c r="B50" s="111"/>
      <c r="C50" s="111"/>
      <c r="D50" s="111"/>
      <c r="E50" s="111"/>
      <c r="F50" s="111"/>
      <c r="G50" s="111"/>
      <c r="H50" s="111"/>
    </row>
    <row r="51" spans="1:10" ht="42.75" customHeight="1" x14ac:dyDescent="0.3">
      <c r="A51" s="100" t="s">
        <v>62</v>
      </c>
      <c r="B51" s="100" t="s">
        <v>4</v>
      </c>
      <c r="C51" s="78" t="s">
        <v>96</v>
      </c>
      <c r="D51" s="78"/>
      <c r="E51" s="78"/>
      <c r="F51" s="78"/>
      <c r="G51" s="78"/>
      <c r="H51" s="78"/>
    </row>
    <row r="52" spans="1:10" ht="44.25" customHeight="1" x14ac:dyDescent="0.3">
      <c r="A52" s="100" t="s">
        <v>63</v>
      </c>
      <c r="B52" s="100" t="s">
        <v>4</v>
      </c>
      <c r="C52" s="78" t="s">
        <v>329</v>
      </c>
      <c r="D52" s="78"/>
      <c r="E52" s="78"/>
      <c r="F52" s="78"/>
      <c r="G52" s="51" t="s">
        <v>232</v>
      </c>
      <c r="H52" s="75">
        <v>45009</v>
      </c>
    </row>
    <row r="53" spans="1:10" ht="44.25" customHeight="1" x14ac:dyDescent="0.3">
      <c r="A53" s="100" t="s">
        <v>64</v>
      </c>
      <c r="B53" s="100" t="s">
        <v>4</v>
      </c>
      <c r="C53" s="78" t="s">
        <v>329</v>
      </c>
      <c r="D53" s="78"/>
      <c r="E53" s="78"/>
      <c r="F53" s="78"/>
      <c r="G53" s="51" t="s">
        <v>232</v>
      </c>
      <c r="H53" s="75">
        <v>45009</v>
      </c>
    </row>
    <row r="54" spans="1:10" ht="40.5" customHeight="1" x14ac:dyDescent="0.3">
      <c r="A54" s="100" t="s">
        <v>331</v>
      </c>
      <c r="B54" s="100"/>
      <c r="C54" s="78" t="s">
        <v>329</v>
      </c>
      <c r="D54" s="78"/>
      <c r="E54" s="78"/>
      <c r="F54" s="78"/>
      <c r="G54" s="51" t="s">
        <v>232</v>
      </c>
      <c r="H54" s="75">
        <v>45070</v>
      </c>
    </row>
    <row r="55" spans="1:10" ht="46.5" customHeight="1" x14ac:dyDescent="0.3">
      <c r="A55" s="100"/>
      <c r="B55" s="100"/>
      <c r="C55" s="81" t="s">
        <v>330</v>
      </c>
      <c r="D55" s="101"/>
      <c r="E55" s="101"/>
      <c r="F55" s="101"/>
      <c r="G55" s="101"/>
      <c r="H55" s="82"/>
    </row>
    <row r="56" spans="1:10" ht="46.5" hidden="1" customHeight="1" x14ac:dyDescent="0.3">
      <c r="A56" s="100" t="s">
        <v>65</v>
      </c>
      <c r="B56" s="100" t="s">
        <v>4</v>
      </c>
      <c r="C56" s="78"/>
      <c r="D56" s="78"/>
      <c r="E56" s="78"/>
      <c r="F56" s="78"/>
      <c r="G56" s="51" t="s">
        <v>233</v>
      </c>
      <c r="H56" s="36"/>
    </row>
    <row r="57" spans="1:10" ht="45" hidden="1" customHeight="1" x14ac:dyDescent="0.3">
      <c r="A57" s="100" t="s">
        <v>67</v>
      </c>
      <c r="B57" s="100" t="s">
        <v>4</v>
      </c>
      <c r="C57" s="78"/>
      <c r="D57" s="78"/>
      <c r="E57" s="78"/>
      <c r="F57" s="78"/>
      <c r="G57" s="51" t="s">
        <v>233</v>
      </c>
      <c r="H57" s="36"/>
      <c r="I57" s="1" t="str">
        <f>CONCATENATE((IF(OR(A46="",A46="NA"),"",A46)),"= ",(IF(OR(D46="",D46="NA"),"",D46)),".")</f>
        <v>Wing E= B + G + 7P + E-Deck + 1st to 39th Floor.</v>
      </c>
    </row>
    <row r="58" spans="1:10" ht="46.5" hidden="1" customHeight="1" x14ac:dyDescent="0.3">
      <c r="A58" s="100" t="s">
        <v>66</v>
      </c>
      <c r="B58" s="100" t="s">
        <v>4</v>
      </c>
      <c r="C58" s="78"/>
      <c r="D58" s="78"/>
      <c r="E58" s="78"/>
      <c r="F58" s="78"/>
      <c r="G58" s="51" t="s">
        <v>233</v>
      </c>
      <c r="H58" s="36"/>
    </row>
    <row r="59" spans="1:10" ht="45" hidden="1" customHeight="1" x14ac:dyDescent="0.3">
      <c r="A59" s="100" t="s">
        <v>68</v>
      </c>
      <c r="B59" s="100" t="s">
        <v>4</v>
      </c>
      <c r="C59" s="78"/>
      <c r="D59" s="78"/>
      <c r="E59" s="78"/>
      <c r="F59" s="78"/>
      <c r="G59" s="51" t="s">
        <v>233</v>
      </c>
      <c r="H59" s="36"/>
    </row>
    <row r="60" spans="1:10" ht="21.6" thickBot="1" x14ac:dyDescent="0.35">
      <c r="A60" s="111" t="s">
        <v>69</v>
      </c>
      <c r="B60" s="111"/>
      <c r="C60" s="111"/>
      <c r="D60" s="111"/>
      <c r="E60" s="111"/>
      <c r="F60" s="111"/>
      <c r="G60" s="111"/>
      <c r="H60" s="111"/>
    </row>
    <row r="61" spans="1:10" ht="20.25" customHeight="1" x14ac:dyDescent="0.4">
      <c r="A61" s="152" t="str">
        <f>CONCATENATE((IF(OR(A46="",A46="NA"),"",A46)),"= ",(IF(OR(D46="",D46="NA"),"",D46)),".")</f>
        <v>Wing E= B + G + 7P + E-Deck + 1st to 39th Floor.</v>
      </c>
      <c r="B61" s="152"/>
      <c r="C61" s="152"/>
      <c r="D61" s="30" t="s">
        <v>116</v>
      </c>
      <c r="E61" s="151" t="s">
        <v>103</v>
      </c>
      <c r="F61" s="151"/>
      <c r="G61" s="30" t="s">
        <v>117</v>
      </c>
      <c r="H61" s="30" t="s">
        <v>118</v>
      </c>
      <c r="I61" s="15"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v>
      </c>
      <c r="J61" s="17"/>
    </row>
    <row r="62" spans="1:10" ht="21" x14ac:dyDescent="0.4">
      <c r="A62" s="152"/>
      <c r="B62" s="152"/>
      <c r="C62" s="152"/>
      <c r="D62" s="30">
        <f>IF(AND(ISNUMBER(SEARCH("1B",A61))),1,IF(AND(ISNUMBER(SEARCH("2B",A61))),2,IF(AND(ISNUMBER(SEARCH("3B",A61))),3,IF(AND(ISNUMBER(SEARCH("4B",A61))),4,IF(ISNUMBER(SEARCH("5B",A61)),5,0)))))</f>
        <v>0</v>
      </c>
      <c r="E62" s="151">
        <v>1</v>
      </c>
      <c r="F62" s="151"/>
      <c r="G62" s="30">
        <v>0</v>
      </c>
      <c r="H62" s="30">
        <f ca="1">--TRIM(RIGHT(SUBSTITUTE(LEFT(A61,_xlfn.AGGREGATE(16,6,FIND({0,1,2,3,4,5,6,7,8,9},A61,ROW(INDIRECT("1:"&amp;LEN(A61)))),1))," ",REPT(" ",LEN(A61))),LEN(A61)))</f>
        <v>39</v>
      </c>
      <c r="I62" s="16" t="s">
        <v>122</v>
      </c>
      <c r="J62" s="17"/>
    </row>
    <row r="63" spans="1:10" ht="20.25" customHeight="1" x14ac:dyDescent="0.4">
      <c r="A63" s="86" t="s">
        <v>120</v>
      </c>
      <c r="B63" s="86"/>
      <c r="C63" s="31" t="s">
        <v>130</v>
      </c>
      <c r="D63" s="31" t="s">
        <v>131</v>
      </c>
      <c r="E63" s="86" t="s">
        <v>121</v>
      </c>
      <c r="F63" s="86"/>
      <c r="G63" s="27" t="s">
        <v>119</v>
      </c>
      <c r="H63" s="27"/>
      <c r="I63" s="19" t="s">
        <v>132</v>
      </c>
      <c r="J63" s="18">
        <f ca="1">H62*25%</f>
        <v>9.75</v>
      </c>
    </row>
    <row r="64" spans="1:10" ht="20.25" customHeight="1" x14ac:dyDescent="0.4">
      <c r="A64" s="77" t="s">
        <v>133</v>
      </c>
      <c r="B64" s="77"/>
      <c r="C64" s="30">
        <f ca="1">J65</f>
        <v>39</v>
      </c>
      <c r="D64" s="29">
        <f ca="1">((100/H62)*C64)/100</f>
        <v>1.0000000000000002</v>
      </c>
      <c r="E64" s="87">
        <f ca="1">(((C64/H62*10)+(C65/H62*15)+(25/(E62+G62+H62)*C66)+(5/(H62)*C67)+(2.5/(H62)*C68)+(2.5/(H62)*C69)+(5/H62*C70)+(10/H62*C71)+(2.5/H62*C72)+(2.5/H62*C73)+(10/H62*C74)+(10/H62*C75))/100)</f>
        <v>0.25</v>
      </c>
      <c r="F64" s="88"/>
      <c r="G64" s="77" t="str">
        <f ca="1">I61</f>
        <v>Excavation work Completed. Plinth work completed</v>
      </c>
      <c r="H64" s="77"/>
      <c r="I64" s="19" t="s">
        <v>123</v>
      </c>
      <c r="J64" s="23">
        <f ca="1">H62*50%</f>
        <v>19.5</v>
      </c>
    </row>
    <row r="65" spans="1:10" ht="21" x14ac:dyDescent="0.4">
      <c r="A65" s="77" t="s">
        <v>104</v>
      </c>
      <c r="B65" s="77"/>
      <c r="C65" s="73">
        <f ca="1">J73</f>
        <v>39</v>
      </c>
      <c r="D65" s="29">
        <f ca="1">((100/H62)*C65)/100</f>
        <v>1.0000000000000002</v>
      </c>
      <c r="E65" s="89"/>
      <c r="F65" s="90"/>
      <c r="G65" s="77"/>
      <c r="H65" s="77"/>
      <c r="I65" s="19" t="s">
        <v>124</v>
      </c>
      <c r="J65" s="23">
        <f ca="1">H62</f>
        <v>39</v>
      </c>
    </row>
    <row r="66" spans="1:10" ht="21" customHeight="1" x14ac:dyDescent="0.4">
      <c r="A66" s="77" t="s">
        <v>134</v>
      </c>
      <c r="B66" s="77"/>
      <c r="C66" s="30">
        <v>0</v>
      </c>
      <c r="D66" s="29">
        <f ca="1">((100/(E62+G62+H62))*C66)/100</f>
        <v>0</v>
      </c>
      <c r="E66" s="89"/>
      <c r="F66" s="90"/>
      <c r="G66" s="77"/>
      <c r="H66" s="77"/>
      <c r="I66" s="19" t="s">
        <v>125</v>
      </c>
      <c r="J66" s="24">
        <f ca="1">(IF(D62&gt;1,(H62/(D62+2)),H62*0.2))</f>
        <v>7.8000000000000007</v>
      </c>
    </row>
    <row r="67" spans="1:10" ht="21" customHeight="1" x14ac:dyDescent="0.4">
      <c r="A67" s="77" t="s">
        <v>135</v>
      </c>
      <c r="B67" s="77"/>
      <c r="C67" s="30">
        <v>0</v>
      </c>
      <c r="D67" s="29">
        <f ca="1">((100/H62)*C67)/100</f>
        <v>0</v>
      </c>
      <c r="E67" s="89"/>
      <c r="F67" s="90"/>
      <c r="G67" s="77"/>
      <c r="H67" s="77"/>
      <c r="I67" s="19" t="s">
        <v>126</v>
      </c>
      <c r="J67" s="24">
        <f ca="1">(IF(D62&gt;1,(H62/(D62+2)+J66),H62*0.2+J66))</f>
        <v>15.600000000000001</v>
      </c>
    </row>
    <row r="68" spans="1:10" ht="21" customHeight="1" x14ac:dyDescent="0.4">
      <c r="A68" s="113" t="s">
        <v>136</v>
      </c>
      <c r="B68" s="114"/>
      <c r="C68" s="30">
        <v>0</v>
      </c>
      <c r="D68" s="29">
        <f ca="1">((100/H62)*C68)/100</f>
        <v>0</v>
      </c>
      <c r="E68" s="89"/>
      <c r="F68" s="90"/>
      <c r="G68" s="77"/>
      <c r="H68" s="77"/>
      <c r="I68" s="19" t="s">
        <v>137</v>
      </c>
      <c r="J68" s="24">
        <f>(IF(D62&gt;1,(H62/(D62+2)+J67),0))</f>
        <v>0</v>
      </c>
    </row>
    <row r="69" spans="1:10" ht="21" customHeight="1" x14ac:dyDescent="0.4">
      <c r="A69" s="113" t="s">
        <v>169</v>
      </c>
      <c r="B69" s="114"/>
      <c r="C69" s="30">
        <v>0</v>
      </c>
      <c r="D69" s="29">
        <f ca="1">((100/H62)*C69)/100</f>
        <v>0</v>
      </c>
      <c r="E69" s="89"/>
      <c r="F69" s="90"/>
      <c r="G69" s="77"/>
      <c r="H69" s="77"/>
      <c r="I69" s="19" t="s">
        <v>138</v>
      </c>
      <c r="J69" s="24">
        <f>(IF(D62&gt;2,(H62/(D62+2)+J68),0))</f>
        <v>0</v>
      </c>
    </row>
    <row r="70" spans="1:10" ht="63.75" customHeight="1" x14ac:dyDescent="0.4">
      <c r="A70" s="113" t="s">
        <v>166</v>
      </c>
      <c r="B70" s="114"/>
      <c r="C70" s="30">
        <v>0</v>
      </c>
      <c r="D70" s="29">
        <f ca="1">((100/(H62))*C70)/100</f>
        <v>0</v>
      </c>
      <c r="E70" s="89"/>
      <c r="F70" s="90"/>
      <c r="G70" s="77"/>
      <c r="H70" s="77"/>
      <c r="I70" s="19" t="s">
        <v>140</v>
      </c>
      <c r="J70" s="25">
        <f>(IF(D62&gt;3,(H62/(D62+2)+J69),0))</f>
        <v>0</v>
      </c>
    </row>
    <row r="71" spans="1:10" ht="21" customHeight="1" x14ac:dyDescent="0.4">
      <c r="A71" s="77" t="s">
        <v>139</v>
      </c>
      <c r="B71" s="77"/>
      <c r="C71" s="30">
        <v>0</v>
      </c>
      <c r="D71" s="29">
        <f ca="1">((100/(H62))*C71)/100</f>
        <v>0</v>
      </c>
      <c r="E71" s="89"/>
      <c r="F71" s="90"/>
      <c r="G71" s="77"/>
      <c r="H71" s="77"/>
      <c r="I71" s="19" t="s">
        <v>141</v>
      </c>
      <c r="J71" s="24">
        <f>(IF(D62&gt;4,(H62/(D62+2)+J70),0))</f>
        <v>0</v>
      </c>
    </row>
    <row r="72" spans="1:10" ht="21" customHeight="1" x14ac:dyDescent="0.4">
      <c r="A72" s="77" t="s">
        <v>168</v>
      </c>
      <c r="B72" s="77"/>
      <c r="C72" s="30">
        <v>0</v>
      </c>
      <c r="D72" s="29">
        <f ca="1">((100/H62)*C72)/100</f>
        <v>0</v>
      </c>
      <c r="E72" s="89"/>
      <c r="F72" s="90"/>
      <c r="G72" s="77"/>
      <c r="H72" s="77"/>
      <c r="I72" s="19" t="s">
        <v>127</v>
      </c>
      <c r="J72" s="24">
        <f ca="1">(IF(D62=1,(H62/(D62+3)+J67),IF(D62=0,(H62*0.3+J67),IF(D62&gt;1,0))))</f>
        <v>27.3</v>
      </c>
    </row>
    <row r="73" spans="1:10" ht="21.75" customHeight="1" thickBot="1" x14ac:dyDescent="0.45">
      <c r="A73" s="77" t="s">
        <v>167</v>
      </c>
      <c r="B73" s="77"/>
      <c r="C73" s="30">
        <v>0</v>
      </c>
      <c r="D73" s="29">
        <f ca="1">((100/H62)*C73)/100</f>
        <v>0</v>
      </c>
      <c r="E73" s="89"/>
      <c r="F73" s="90"/>
      <c r="G73" s="77"/>
      <c r="H73" s="77"/>
      <c r="I73" s="21" t="s">
        <v>128</v>
      </c>
      <c r="J73" s="26">
        <f ca="1">(IF(D62&gt;1.5,(H62/(D62+2)+J67+MAX(0,J68-J67)+MAX(0,J69-J68)+MAX(0,J70-J69)+MAX(0,J71-J70)+MAX(0,J72-J71)),IF(D62=1,(H62/(D62+3)+J72),IF(D62=0,H62*0.3+J72))))</f>
        <v>39</v>
      </c>
    </row>
    <row r="74" spans="1:10" ht="20.25" customHeight="1" x14ac:dyDescent="0.3">
      <c r="A74" s="77" t="s">
        <v>142</v>
      </c>
      <c r="B74" s="77"/>
      <c r="C74" s="30">
        <v>0</v>
      </c>
      <c r="D74" s="29">
        <f ca="1">((100/(H62))*C74)/100</f>
        <v>0</v>
      </c>
      <c r="E74" s="89"/>
      <c r="F74" s="90"/>
      <c r="G74" s="77"/>
      <c r="H74" s="77"/>
    </row>
    <row r="75" spans="1:10" ht="21" x14ac:dyDescent="0.3">
      <c r="A75" s="77" t="s">
        <v>143</v>
      </c>
      <c r="B75" s="77"/>
      <c r="C75" s="30">
        <v>0</v>
      </c>
      <c r="D75" s="29">
        <f ca="1">((100/(H62))*C75)/100</f>
        <v>0</v>
      </c>
      <c r="E75" s="91"/>
      <c r="F75" s="92"/>
      <c r="G75" s="77"/>
      <c r="H75" s="77"/>
    </row>
    <row r="76" spans="1:10" ht="21.6" thickBot="1" x14ac:dyDescent="0.35">
      <c r="A76" s="111" t="s">
        <v>69</v>
      </c>
      <c r="B76" s="111"/>
      <c r="C76" s="111"/>
      <c r="D76" s="111"/>
      <c r="E76" s="111"/>
      <c r="F76" s="111"/>
      <c r="G76" s="111"/>
      <c r="H76" s="111"/>
    </row>
    <row r="77" spans="1:10" ht="20.25" customHeight="1" x14ac:dyDescent="0.4">
      <c r="A77" s="152" t="str">
        <f>CONCATENATE((IF(OR(A47="",A47="NA"),"",A47)),"= ",(IF(OR(D47="",D47="NA"),"",D47)),".")</f>
        <v>Wing F= B + G + 7P + E-Deck + 1st to 39th Floor.</v>
      </c>
      <c r="B77" s="152"/>
      <c r="C77" s="152"/>
      <c r="D77" s="30" t="s">
        <v>116</v>
      </c>
      <c r="E77" s="151" t="s">
        <v>103</v>
      </c>
      <c r="F77" s="151"/>
      <c r="G77" s="30" t="s">
        <v>117</v>
      </c>
      <c r="H77" s="30" t="s">
        <v>118</v>
      </c>
      <c r="I77" s="15"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7"/>
    </row>
    <row r="78" spans="1:10" ht="21" x14ac:dyDescent="0.4">
      <c r="A78" s="152"/>
      <c r="B78" s="152"/>
      <c r="C78" s="152"/>
      <c r="D78" s="30">
        <f>IF(AND(ISNUMBER(SEARCH("1B",A77))),1,IF(AND(ISNUMBER(SEARCH("2B",A77))),2,IF(AND(ISNUMBER(SEARCH("3B",A77))),3,IF(AND(ISNUMBER(SEARCH("4B",A77))),4,IF(ISNUMBER(SEARCH("5B",A77)),5,0)))))</f>
        <v>0</v>
      </c>
      <c r="E78" s="151">
        <v>1</v>
      </c>
      <c r="F78" s="151"/>
      <c r="G78" s="30">
        <v>0</v>
      </c>
      <c r="H78" s="30">
        <f ca="1">--TRIM(RIGHT(SUBSTITUTE(LEFT(A77,_xlfn.AGGREGATE(16,6,FIND({0,1,2,3,4,5,6,7,8,9},A77,ROW(INDIRECT("1:"&amp;LEN(A77)))),1))," ",REPT(" ",LEN(A77))),LEN(A77)))</f>
        <v>39</v>
      </c>
      <c r="I78" s="16" t="s">
        <v>122</v>
      </c>
      <c r="J78" s="17"/>
    </row>
    <row r="79" spans="1:10" ht="20.25" customHeight="1" x14ac:dyDescent="0.4">
      <c r="A79" s="86" t="s">
        <v>120</v>
      </c>
      <c r="B79" s="86"/>
      <c r="C79" s="31" t="s">
        <v>130</v>
      </c>
      <c r="D79" s="31" t="s">
        <v>131</v>
      </c>
      <c r="E79" s="86" t="s">
        <v>121</v>
      </c>
      <c r="F79" s="86"/>
      <c r="G79" s="27" t="s">
        <v>119</v>
      </c>
      <c r="H79" s="27"/>
      <c r="I79" s="19" t="s">
        <v>132</v>
      </c>
      <c r="J79" s="18">
        <f ca="1">H78*25%</f>
        <v>9.75</v>
      </c>
    </row>
    <row r="80" spans="1:10" ht="20.25" customHeight="1" x14ac:dyDescent="0.4">
      <c r="A80" s="77" t="s">
        <v>133</v>
      </c>
      <c r="B80" s="77"/>
      <c r="C80" s="30">
        <f ca="1">J81</f>
        <v>39</v>
      </c>
      <c r="D80" s="29">
        <f ca="1">((100/H78)*C80)/100</f>
        <v>1.0000000000000002</v>
      </c>
      <c r="E80" s="87">
        <f ca="1">(((C80/H78*10)+(C81/H78*15)+(25/(E78+G78+H78)*C82)+(5/(H78)*C83)+(2.5/(H78)*C84)+(2.5/(H78)*C85)+(5/H78*C86)+(10/H78*C87)+(2.5/H78*C88)+(2.5/H78*C89)+(10/H78*C90)+(10/H78*C91))/100)</f>
        <v>0.25</v>
      </c>
      <c r="F80" s="88"/>
      <c r="G80" s="77" t="str">
        <f ca="1">I77</f>
        <v>Excavation work Completed. Plinth work completed</v>
      </c>
      <c r="H80" s="77"/>
      <c r="I80" s="19" t="s">
        <v>123</v>
      </c>
      <c r="J80" s="23">
        <f ca="1">H78*50%</f>
        <v>19.5</v>
      </c>
    </row>
    <row r="81" spans="1:10" ht="21" x14ac:dyDescent="0.4">
      <c r="A81" s="77" t="s">
        <v>104</v>
      </c>
      <c r="B81" s="77"/>
      <c r="C81" s="73">
        <f ca="1">J89</f>
        <v>39</v>
      </c>
      <c r="D81" s="29">
        <f ca="1">((100/H78)*C81)/100</f>
        <v>1.0000000000000002</v>
      </c>
      <c r="E81" s="89"/>
      <c r="F81" s="90"/>
      <c r="G81" s="77"/>
      <c r="H81" s="77"/>
      <c r="I81" s="19" t="s">
        <v>124</v>
      </c>
      <c r="J81" s="23">
        <f ca="1">H78</f>
        <v>39</v>
      </c>
    </row>
    <row r="82" spans="1:10" ht="21" customHeight="1" x14ac:dyDescent="0.4">
      <c r="A82" s="77" t="s">
        <v>134</v>
      </c>
      <c r="B82" s="77"/>
      <c r="C82" s="30">
        <v>0</v>
      </c>
      <c r="D82" s="29">
        <f ca="1">((100/(E78+G78+H78))*C82)/100</f>
        <v>0</v>
      </c>
      <c r="E82" s="89"/>
      <c r="F82" s="90"/>
      <c r="G82" s="77"/>
      <c r="H82" s="77"/>
      <c r="I82" s="19" t="s">
        <v>125</v>
      </c>
      <c r="J82" s="24">
        <f ca="1">(IF(D78&gt;1,(H78/(D78+2)),H78*0.2))</f>
        <v>7.8000000000000007</v>
      </c>
    </row>
    <row r="83" spans="1:10" ht="21" customHeight="1" x14ac:dyDescent="0.4">
      <c r="A83" s="77" t="s">
        <v>135</v>
      </c>
      <c r="B83" s="77"/>
      <c r="C83" s="30">
        <v>0</v>
      </c>
      <c r="D83" s="29">
        <f ca="1">((100/H78)*C83)/100</f>
        <v>0</v>
      </c>
      <c r="E83" s="89"/>
      <c r="F83" s="90"/>
      <c r="G83" s="77"/>
      <c r="H83" s="77"/>
      <c r="I83" s="19" t="s">
        <v>126</v>
      </c>
      <c r="J83" s="24">
        <f ca="1">(IF(D78&gt;1,(H78/(D78+2)+J82),H78*0.2+J82))</f>
        <v>15.600000000000001</v>
      </c>
    </row>
    <row r="84" spans="1:10" ht="21" customHeight="1" x14ac:dyDescent="0.4">
      <c r="A84" s="113" t="s">
        <v>136</v>
      </c>
      <c r="B84" s="114"/>
      <c r="C84" s="30">
        <v>0</v>
      </c>
      <c r="D84" s="29">
        <f ca="1">((100/H78)*C84)/100</f>
        <v>0</v>
      </c>
      <c r="E84" s="89"/>
      <c r="F84" s="90"/>
      <c r="G84" s="77"/>
      <c r="H84" s="77"/>
      <c r="I84" s="19" t="s">
        <v>137</v>
      </c>
      <c r="J84" s="24">
        <f>(IF(D78&gt;1,(H78/(D78+2)+J83),0))</f>
        <v>0</v>
      </c>
    </row>
    <row r="85" spans="1:10" ht="21" customHeight="1" x14ac:dyDescent="0.4">
      <c r="A85" s="113" t="s">
        <v>169</v>
      </c>
      <c r="B85" s="114"/>
      <c r="C85" s="30">
        <v>0</v>
      </c>
      <c r="D85" s="29">
        <f ca="1">((100/H78)*C85)/100</f>
        <v>0</v>
      </c>
      <c r="E85" s="89"/>
      <c r="F85" s="90"/>
      <c r="G85" s="77"/>
      <c r="H85" s="77"/>
      <c r="I85" s="19" t="s">
        <v>138</v>
      </c>
      <c r="J85" s="24">
        <f>(IF(D78&gt;2,(H78/(D78+2)+J84),0))</f>
        <v>0</v>
      </c>
    </row>
    <row r="86" spans="1:10" ht="57.75" customHeight="1" x14ac:dyDescent="0.4">
      <c r="A86" s="113" t="s">
        <v>166</v>
      </c>
      <c r="B86" s="114"/>
      <c r="C86" s="30">
        <v>0</v>
      </c>
      <c r="D86" s="29">
        <f ca="1">((100/(H78))*C86)/100</f>
        <v>0</v>
      </c>
      <c r="E86" s="89"/>
      <c r="F86" s="90"/>
      <c r="G86" s="77"/>
      <c r="H86" s="77"/>
      <c r="I86" s="19" t="s">
        <v>140</v>
      </c>
      <c r="J86" s="25">
        <f>(IF(D78&gt;3,(H78/(D78+2)+J85),0))</f>
        <v>0</v>
      </c>
    </row>
    <row r="87" spans="1:10" ht="21" customHeight="1" x14ac:dyDescent="0.4">
      <c r="A87" s="77" t="s">
        <v>139</v>
      </c>
      <c r="B87" s="77"/>
      <c r="C87" s="30">
        <v>0</v>
      </c>
      <c r="D87" s="29">
        <f ca="1">((100/(H78))*C87)/100</f>
        <v>0</v>
      </c>
      <c r="E87" s="89"/>
      <c r="F87" s="90"/>
      <c r="G87" s="77"/>
      <c r="H87" s="77"/>
      <c r="I87" s="19" t="s">
        <v>141</v>
      </c>
      <c r="J87" s="24">
        <f>(IF(D78&gt;4,(H78/(D78+2)+J86),0))</f>
        <v>0</v>
      </c>
    </row>
    <row r="88" spans="1:10" ht="21" customHeight="1" x14ac:dyDescent="0.4">
      <c r="A88" s="77" t="s">
        <v>168</v>
      </c>
      <c r="B88" s="77"/>
      <c r="C88" s="30">
        <v>0</v>
      </c>
      <c r="D88" s="29">
        <f ca="1">((100/H78)*C88)/100</f>
        <v>0</v>
      </c>
      <c r="E88" s="89"/>
      <c r="F88" s="90"/>
      <c r="G88" s="77"/>
      <c r="H88" s="77"/>
      <c r="I88" s="19" t="s">
        <v>127</v>
      </c>
      <c r="J88" s="24">
        <f ca="1">(IF(D78=1,(H78/(D78+3)+J83),IF(D78=0,(H78*0.3+J83),IF(D78&gt;1,0))))</f>
        <v>27.3</v>
      </c>
    </row>
    <row r="89" spans="1:10" ht="21.75" customHeight="1" thickBot="1" x14ac:dyDescent="0.45">
      <c r="A89" s="77" t="s">
        <v>167</v>
      </c>
      <c r="B89" s="77"/>
      <c r="C89" s="30">
        <v>0</v>
      </c>
      <c r="D89" s="29">
        <f ca="1">((100/H78)*C89)/100</f>
        <v>0</v>
      </c>
      <c r="E89" s="89"/>
      <c r="F89" s="90"/>
      <c r="G89" s="77"/>
      <c r="H89" s="77"/>
      <c r="I89" s="21" t="s">
        <v>128</v>
      </c>
      <c r="J89" s="26">
        <f ca="1">(IF(D78&gt;1.5,(H78/(D78+2)+J83+MAX(0,J84-J83)+MAX(0,J85-J84)+MAX(0,J86-J85)+MAX(0,J87-J86)+MAX(0,J88-J87)),IF(D78=1,(H78/(D78+3)+J88),IF(D78=0,H78*0.3+J88))))</f>
        <v>39</v>
      </c>
    </row>
    <row r="90" spans="1:10" ht="20.25" customHeight="1" x14ac:dyDescent="0.3">
      <c r="A90" s="77" t="s">
        <v>142</v>
      </c>
      <c r="B90" s="77"/>
      <c r="C90" s="30">
        <v>0</v>
      </c>
      <c r="D90" s="29">
        <f ca="1">((100/(H78))*C90)/100</f>
        <v>0</v>
      </c>
      <c r="E90" s="89"/>
      <c r="F90" s="90"/>
      <c r="G90" s="77"/>
      <c r="H90" s="77"/>
    </row>
    <row r="91" spans="1:10" ht="21" x14ac:dyDescent="0.3">
      <c r="A91" s="77" t="s">
        <v>143</v>
      </c>
      <c r="B91" s="77"/>
      <c r="C91" s="30">
        <v>0</v>
      </c>
      <c r="D91" s="29">
        <f ca="1">((100/(H78))*C91)/100</f>
        <v>0</v>
      </c>
      <c r="E91" s="91"/>
      <c r="F91" s="92"/>
      <c r="G91" s="77"/>
      <c r="H91" s="77"/>
    </row>
    <row r="92" spans="1:10" ht="21.6" hidden="1" thickBot="1" x14ac:dyDescent="0.35">
      <c r="A92" s="111" t="s">
        <v>69</v>
      </c>
      <c r="B92" s="111"/>
      <c r="C92" s="111"/>
      <c r="D92" s="111"/>
      <c r="E92" s="111"/>
      <c r="F92" s="111"/>
      <c r="G92" s="111"/>
      <c r="H92" s="111"/>
    </row>
    <row r="93" spans="1:10" ht="20.25" hidden="1" customHeight="1" x14ac:dyDescent="0.4">
      <c r="A93" s="152" t="str">
        <f>CONCATENATE((IF(OR(A48="",A48="NA"),"",A48)),"= ",(IF(OR(D48="",D48="NA"),"",D48)),".")</f>
        <v>Tower 3= .</v>
      </c>
      <c r="B93" s="152"/>
      <c r="C93" s="152"/>
      <c r="D93" s="30" t="s">
        <v>116</v>
      </c>
      <c r="E93" s="151" t="s">
        <v>103</v>
      </c>
      <c r="F93" s="151"/>
      <c r="G93" s="30" t="s">
        <v>117</v>
      </c>
      <c r="H93" s="30" t="s">
        <v>118</v>
      </c>
      <c r="I93" s="15"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7"/>
    </row>
    <row r="94" spans="1:10" ht="21" hidden="1" x14ac:dyDescent="0.4">
      <c r="A94" s="152"/>
      <c r="B94" s="152"/>
      <c r="C94" s="152"/>
      <c r="D94" s="52">
        <f>IF(AND(ISNUMBER(SEARCH("1B",A93))),1,IF(AND(ISNUMBER(SEARCH("2B",A93))),2,IF(AND(ISNUMBER(SEARCH("3B",A93))),3,IF(AND(ISNUMBER(SEARCH("4B",A93))),4,IF(ISNUMBER(SEARCH("5B",A93)),5,0)))))</f>
        <v>0</v>
      </c>
      <c r="E94" s="151">
        <v>1</v>
      </c>
      <c r="F94" s="151"/>
      <c r="G94" s="52">
        <v>0</v>
      </c>
      <c r="H94" s="30">
        <f ca="1">--TRIM(RIGHT(SUBSTITUTE(LEFT(A93,_xlfn.AGGREGATE(16,6,FIND({0,1,2,3,4,5,6,7,8,9},A93,ROW(INDIRECT("1:"&amp;LEN(A93)))),1))," ",REPT(" ",LEN(A93))),LEN(A93)))</f>
        <v>3</v>
      </c>
      <c r="I94" s="16" t="s">
        <v>122</v>
      </c>
      <c r="J94" s="17"/>
    </row>
    <row r="95" spans="1:10" ht="20.25" hidden="1" customHeight="1" x14ac:dyDescent="0.4">
      <c r="A95" s="86" t="s">
        <v>120</v>
      </c>
      <c r="B95" s="86"/>
      <c r="C95" s="31" t="s">
        <v>130</v>
      </c>
      <c r="D95" s="31" t="s">
        <v>131</v>
      </c>
      <c r="E95" s="86" t="s">
        <v>121</v>
      </c>
      <c r="F95" s="86"/>
      <c r="G95" s="27" t="s">
        <v>119</v>
      </c>
      <c r="H95" s="27"/>
      <c r="I95" s="19" t="s">
        <v>132</v>
      </c>
      <c r="J95" s="18">
        <f ca="1">H94*25%</f>
        <v>0.75</v>
      </c>
    </row>
    <row r="96" spans="1:10" ht="20.25" hidden="1" customHeight="1" x14ac:dyDescent="0.4">
      <c r="A96" s="77" t="s">
        <v>133</v>
      </c>
      <c r="B96" s="77"/>
      <c r="C96" s="30">
        <f ca="1">J97</f>
        <v>3</v>
      </c>
      <c r="D96" s="29">
        <f ca="1">((100/H94)*C96)/100</f>
        <v>1</v>
      </c>
      <c r="E96" s="87">
        <f ca="1">(((C96/H94*10)+(C97/H94*15)+(25/(E94+G94+H94)*C98)+(5/(H94)*C99)+(2.5/(H94)*C100)+(2.5/(H94)*C101)+(5/H94*C102)+(10/H94*C103)+(2.5/H94*C104)+(2.5/H94*C105)+(10/H94*C106)+(10/H94*C107))/100)</f>
        <v>0.25</v>
      </c>
      <c r="F96" s="88"/>
      <c r="G96" s="77" t="str">
        <f ca="1">I93</f>
        <v>Excavation work Completed. Plinth work completed</v>
      </c>
      <c r="H96" s="77"/>
      <c r="I96" s="19" t="s">
        <v>123</v>
      </c>
      <c r="J96" s="23">
        <f ca="1">H94*50%</f>
        <v>1.5</v>
      </c>
    </row>
    <row r="97" spans="1:11" ht="21" hidden="1" x14ac:dyDescent="0.4">
      <c r="A97" s="77" t="s">
        <v>104</v>
      </c>
      <c r="B97" s="77"/>
      <c r="C97" s="73">
        <f ca="1">J105</f>
        <v>3</v>
      </c>
      <c r="D97" s="29">
        <f ca="1">((100/H94)*C97)/100</f>
        <v>1</v>
      </c>
      <c r="E97" s="89"/>
      <c r="F97" s="90"/>
      <c r="G97" s="77"/>
      <c r="H97" s="77"/>
      <c r="I97" s="19" t="s">
        <v>124</v>
      </c>
      <c r="J97" s="23">
        <f ca="1">H94</f>
        <v>3</v>
      </c>
    </row>
    <row r="98" spans="1:11" ht="21" hidden="1" customHeight="1" x14ac:dyDescent="0.4">
      <c r="A98" s="77" t="s">
        <v>134</v>
      </c>
      <c r="B98" s="77"/>
      <c r="C98" s="30">
        <v>0</v>
      </c>
      <c r="D98" s="29">
        <f ca="1">((100/(E94+G94+H94))*C98)/100</f>
        <v>0</v>
      </c>
      <c r="E98" s="89"/>
      <c r="F98" s="90"/>
      <c r="G98" s="77"/>
      <c r="H98" s="77"/>
      <c r="I98" s="19" t="s">
        <v>125</v>
      </c>
      <c r="J98" s="24">
        <f ca="1">(IF(D94&gt;1,(H94/(D94+2)),H94*0.2))</f>
        <v>0.60000000000000009</v>
      </c>
    </row>
    <row r="99" spans="1:11" ht="21" hidden="1" customHeight="1" x14ac:dyDescent="0.4">
      <c r="A99" s="77" t="s">
        <v>135</v>
      </c>
      <c r="B99" s="77"/>
      <c r="C99" s="30">
        <v>0</v>
      </c>
      <c r="D99" s="29">
        <f ca="1">((100/H94)*C99)/100</f>
        <v>0</v>
      </c>
      <c r="E99" s="89"/>
      <c r="F99" s="90"/>
      <c r="G99" s="77"/>
      <c r="H99" s="77"/>
      <c r="I99" s="19" t="s">
        <v>126</v>
      </c>
      <c r="J99" s="24">
        <f ca="1">(IF(D94&gt;1,(H94/(D94+2)+J98),H94*0.2+J98))</f>
        <v>1.2000000000000002</v>
      </c>
    </row>
    <row r="100" spans="1:11" ht="21" hidden="1" customHeight="1" x14ac:dyDescent="0.4">
      <c r="A100" s="113" t="s">
        <v>136</v>
      </c>
      <c r="B100" s="114"/>
      <c r="C100" s="30">
        <v>0</v>
      </c>
      <c r="D100" s="29">
        <f ca="1">((100/H94)*C100)/100</f>
        <v>0</v>
      </c>
      <c r="E100" s="89"/>
      <c r="F100" s="90"/>
      <c r="G100" s="77"/>
      <c r="H100" s="77"/>
      <c r="I100" s="19" t="s">
        <v>137</v>
      </c>
      <c r="J100" s="24">
        <f>(IF(D94&gt;1,(H94/(D94+2)+J99),0))</f>
        <v>0</v>
      </c>
    </row>
    <row r="101" spans="1:11" ht="21" hidden="1" customHeight="1" x14ac:dyDescent="0.4">
      <c r="A101" s="113" t="s">
        <v>169</v>
      </c>
      <c r="B101" s="114"/>
      <c r="C101" s="30">
        <v>0</v>
      </c>
      <c r="D101" s="29">
        <f ca="1">((100/H94)*C101)/100</f>
        <v>0</v>
      </c>
      <c r="E101" s="89"/>
      <c r="F101" s="90"/>
      <c r="G101" s="77"/>
      <c r="H101" s="77"/>
      <c r="I101" s="19" t="s">
        <v>138</v>
      </c>
      <c r="J101" s="24">
        <f>(IF(D94&gt;2,(H94/(D94+2)+J100),0))</f>
        <v>0</v>
      </c>
    </row>
    <row r="102" spans="1:11" ht="57.75" hidden="1" customHeight="1" x14ac:dyDescent="0.4">
      <c r="A102" s="113" t="s">
        <v>166</v>
      </c>
      <c r="B102" s="114"/>
      <c r="C102" s="30">
        <v>0</v>
      </c>
      <c r="D102" s="29">
        <f ca="1">((100/(H94))*C102)/100</f>
        <v>0</v>
      </c>
      <c r="E102" s="89"/>
      <c r="F102" s="90"/>
      <c r="G102" s="77"/>
      <c r="H102" s="77"/>
      <c r="I102" s="19" t="s">
        <v>140</v>
      </c>
      <c r="J102" s="25">
        <f>(IF(D94&gt;3,(H94/(D94+2)+J101),0))</f>
        <v>0</v>
      </c>
    </row>
    <row r="103" spans="1:11" ht="21" hidden="1" customHeight="1" x14ac:dyDescent="0.4">
      <c r="A103" s="77" t="s">
        <v>139</v>
      </c>
      <c r="B103" s="77"/>
      <c r="C103" s="30">
        <v>0</v>
      </c>
      <c r="D103" s="29">
        <f ca="1">((100/(H94))*C103)/100</f>
        <v>0</v>
      </c>
      <c r="E103" s="89"/>
      <c r="F103" s="90"/>
      <c r="G103" s="77"/>
      <c r="H103" s="77"/>
      <c r="I103" s="19" t="s">
        <v>141</v>
      </c>
      <c r="J103" s="24">
        <f>(IF(D94&gt;4,(H94/(D94+2)+J102),0))</f>
        <v>0</v>
      </c>
    </row>
    <row r="104" spans="1:11" ht="21" hidden="1" customHeight="1" x14ac:dyDescent="0.4">
      <c r="A104" s="77" t="s">
        <v>168</v>
      </c>
      <c r="B104" s="77"/>
      <c r="C104" s="30">
        <v>0</v>
      </c>
      <c r="D104" s="29">
        <f ca="1">((100/H94)*C104)/100</f>
        <v>0</v>
      </c>
      <c r="E104" s="89"/>
      <c r="F104" s="90"/>
      <c r="G104" s="77"/>
      <c r="H104" s="77"/>
      <c r="I104" s="19" t="s">
        <v>127</v>
      </c>
      <c r="J104" s="24">
        <f ca="1">(IF(D94=1,(H94/(D94+3)+J99),IF(D94=0,(H94*0.3+J99),IF(D94&gt;1,0))))</f>
        <v>2.1</v>
      </c>
    </row>
    <row r="105" spans="1:11" ht="21.75" hidden="1" customHeight="1" thickBot="1" x14ac:dyDescent="0.45">
      <c r="A105" s="77" t="s">
        <v>167</v>
      </c>
      <c r="B105" s="77"/>
      <c r="C105" s="30">
        <v>0</v>
      </c>
      <c r="D105" s="29">
        <f ca="1">((100/H94)*C105)/100</f>
        <v>0</v>
      </c>
      <c r="E105" s="89"/>
      <c r="F105" s="90"/>
      <c r="G105" s="77"/>
      <c r="H105" s="77"/>
      <c r="I105" s="21" t="s">
        <v>128</v>
      </c>
      <c r="J105" s="26">
        <f ca="1">(IF(D94&gt;1.5,(H94/(D94+2)+J99+MAX(0,J100-J99)+MAX(0,J101-J100)+MAX(0,J102-J101)+MAX(0,J103-J102)+MAX(0,J104-J103)),IF(D94=1,(H94/(D94+3)+J104),IF(D94=0,H94*0.3+J104))))</f>
        <v>3</v>
      </c>
    </row>
    <row r="106" spans="1:11" ht="20.25" hidden="1" customHeight="1" x14ac:dyDescent="0.3">
      <c r="A106" s="77" t="s">
        <v>142</v>
      </c>
      <c r="B106" s="77"/>
      <c r="C106" s="30">
        <v>0</v>
      </c>
      <c r="D106" s="29">
        <f ca="1">((100/(H94))*C106)/100</f>
        <v>0</v>
      </c>
      <c r="E106" s="89"/>
      <c r="F106" s="90"/>
      <c r="G106" s="77"/>
      <c r="H106" s="77"/>
    </row>
    <row r="107" spans="1:11" ht="21" hidden="1" x14ac:dyDescent="0.3">
      <c r="A107" s="77" t="s">
        <v>143</v>
      </c>
      <c r="B107" s="77"/>
      <c r="C107" s="30">
        <v>0</v>
      </c>
      <c r="D107" s="29">
        <f ca="1">((100/(H94))*C107)/100</f>
        <v>0</v>
      </c>
      <c r="E107" s="91"/>
      <c r="F107" s="92"/>
      <c r="G107" s="77"/>
      <c r="H107" s="77"/>
    </row>
    <row r="108" spans="1:11" ht="36.75" customHeight="1" x14ac:dyDescent="0.4">
      <c r="A108" s="97" t="s">
        <v>129</v>
      </c>
      <c r="B108" s="98"/>
      <c r="C108" s="98"/>
      <c r="D108" s="98"/>
      <c r="E108" s="98"/>
      <c r="F108" s="98"/>
      <c r="G108" s="153">
        <f ca="1">AVERAGE(E64,E80)</f>
        <v>0.25</v>
      </c>
      <c r="H108" s="154"/>
      <c r="I108" s="19"/>
      <c r="J108" s="20"/>
      <c r="K108" s="20"/>
    </row>
    <row r="109" spans="1:11" ht="21" x14ac:dyDescent="0.3">
      <c r="A109" s="93" t="s">
        <v>73</v>
      </c>
      <c r="B109" s="94"/>
      <c r="C109" s="94"/>
      <c r="D109" s="94"/>
      <c r="E109" s="94"/>
      <c r="F109" s="94"/>
      <c r="G109" s="94"/>
      <c r="H109" s="95"/>
    </row>
    <row r="110" spans="1:11" ht="54.75" customHeight="1" x14ac:dyDescent="0.3">
      <c r="A110" s="83" t="s">
        <v>74</v>
      </c>
      <c r="B110" s="84"/>
      <c r="C110" s="79" t="s">
        <v>108</v>
      </c>
      <c r="D110" s="80"/>
      <c r="E110" s="83" t="s">
        <v>144</v>
      </c>
      <c r="F110" s="84" t="s">
        <v>4</v>
      </c>
      <c r="G110" s="96" t="s">
        <v>157</v>
      </c>
      <c r="H110" s="96"/>
    </row>
    <row r="111" spans="1:11" ht="44.25" customHeight="1" x14ac:dyDescent="0.3">
      <c r="A111" s="83" t="s">
        <v>154</v>
      </c>
      <c r="B111" s="84"/>
      <c r="C111" s="79" t="s">
        <v>373</v>
      </c>
      <c r="D111" s="80"/>
      <c r="E111" s="83" t="s">
        <v>155</v>
      </c>
      <c r="F111" s="84" t="s">
        <v>4</v>
      </c>
      <c r="G111" s="78" t="s">
        <v>145</v>
      </c>
      <c r="H111" s="78"/>
    </row>
    <row r="112" spans="1:11" ht="21" x14ac:dyDescent="0.3">
      <c r="A112" s="83" t="s">
        <v>75</v>
      </c>
      <c r="B112" s="84"/>
      <c r="C112" s="81">
        <v>1000000</v>
      </c>
      <c r="D112" s="82"/>
      <c r="E112" s="83" t="s">
        <v>102</v>
      </c>
      <c r="F112" s="84" t="s">
        <v>4</v>
      </c>
      <c r="G112" s="79" t="s">
        <v>109</v>
      </c>
      <c r="H112" s="80"/>
    </row>
    <row r="113" spans="1:150 16226:16383" ht="21" x14ac:dyDescent="0.3">
      <c r="A113" s="93" t="s">
        <v>72</v>
      </c>
      <c r="B113" s="94"/>
      <c r="C113" s="94"/>
      <c r="D113" s="94"/>
      <c r="E113" s="94"/>
      <c r="F113" s="94"/>
      <c r="G113" s="94"/>
      <c r="H113" s="95"/>
    </row>
    <row r="114" spans="1:150 16226:16383" ht="20.25" customHeight="1" x14ac:dyDescent="0.3">
      <c r="A114" s="83" t="s">
        <v>8</v>
      </c>
      <c r="B114" s="85"/>
      <c r="C114" s="85"/>
      <c r="D114" s="85"/>
      <c r="E114" s="85"/>
      <c r="F114" s="84"/>
      <c r="G114" s="155">
        <v>6291.33</v>
      </c>
      <c r="H114" s="156"/>
    </row>
    <row r="115" spans="1:150 16226:16383" ht="20.25" customHeight="1" x14ac:dyDescent="0.3">
      <c r="A115" s="83" t="s">
        <v>28</v>
      </c>
      <c r="B115" s="85"/>
      <c r="C115" s="85"/>
      <c r="D115" s="85"/>
      <c r="E115" s="85"/>
      <c r="F115" s="84" t="s">
        <v>4</v>
      </c>
      <c r="G115" s="149">
        <f>146880/10.764</f>
        <v>13645.484949832777</v>
      </c>
      <c r="H115" s="149"/>
    </row>
    <row r="116" spans="1:150 16226:16383" ht="20.25" customHeight="1" x14ac:dyDescent="0.3">
      <c r="A116" s="83" t="s">
        <v>110</v>
      </c>
      <c r="B116" s="85"/>
      <c r="C116" s="85"/>
      <c r="D116" s="85"/>
      <c r="E116" s="85"/>
      <c r="F116" s="84" t="s">
        <v>4</v>
      </c>
      <c r="G116" s="149">
        <f>G114*0.8</f>
        <v>5033.0640000000003</v>
      </c>
      <c r="H116" s="149"/>
    </row>
    <row r="117" spans="1:150 16226:16383" ht="21" x14ac:dyDescent="0.3">
      <c r="A117" s="147" t="s">
        <v>245</v>
      </c>
      <c r="B117" s="148"/>
      <c r="C117" s="148"/>
      <c r="D117" s="148"/>
      <c r="E117" s="148"/>
      <c r="F117" s="148"/>
      <c r="G117" s="148"/>
      <c r="H117" s="129"/>
    </row>
    <row r="118" spans="1:150 16226:16383" s="3" customFormat="1" ht="21" x14ac:dyDescent="0.3">
      <c r="A118" s="120" t="s">
        <v>151</v>
      </c>
      <c r="B118" s="121"/>
      <c r="C118" s="120" t="s">
        <v>152</v>
      </c>
      <c r="D118" s="121"/>
      <c r="E118" s="120" t="s">
        <v>150</v>
      </c>
      <c r="F118" s="121"/>
      <c r="G118" s="120" t="s">
        <v>164</v>
      </c>
      <c r="H118" s="12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1" x14ac:dyDescent="0.3">
      <c r="A119" s="122" t="s">
        <v>358</v>
      </c>
      <c r="B119" s="123"/>
      <c r="C119" s="122" t="s">
        <v>89</v>
      </c>
      <c r="D119" s="123"/>
      <c r="E119" s="122">
        <f>COUNT(E134:E142)</f>
        <v>9</v>
      </c>
      <c r="F119" s="123"/>
      <c r="G119" s="122">
        <f>SUM(H134:H142)</f>
        <v>2557.4187599999996</v>
      </c>
      <c r="H119" s="123"/>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1" hidden="1" x14ac:dyDescent="0.3">
      <c r="A120" s="122"/>
      <c r="B120" s="123"/>
      <c r="C120" s="122"/>
      <c r="D120" s="123"/>
      <c r="E120" s="122"/>
      <c r="F120" s="123"/>
      <c r="G120" s="122"/>
      <c r="H120" s="123"/>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hidden="1" x14ac:dyDescent="0.3">
      <c r="A121" s="120" t="s">
        <v>153</v>
      </c>
      <c r="B121" s="121"/>
      <c r="C121" s="120" t="s">
        <v>95</v>
      </c>
      <c r="D121" s="121"/>
      <c r="E121" s="120">
        <f>SUM(F119:F120)</f>
        <v>0</v>
      </c>
      <c r="F121" s="121"/>
      <c r="G121" s="120">
        <f>SUM(H119:H120)</f>
        <v>0</v>
      </c>
      <c r="H121" s="121">
        <f>SUM(H119:H120)</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1" x14ac:dyDescent="0.3">
      <c r="A122" s="147" t="s">
        <v>234</v>
      </c>
      <c r="B122" s="148"/>
      <c r="C122" s="148"/>
      <c r="D122" s="148"/>
      <c r="E122" s="148"/>
      <c r="F122" s="148"/>
      <c r="G122" s="148"/>
      <c r="H122" s="129"/>
    </row>
    <row r="123" spans="1:150 16226:16383" s="3" customFormat="1" ht="21" x14ac:dyDescent="0.3">
      <c r="A123" s="120" t="s">
        <v>151</v>
      </c>
      <c r="B123" s="121"/>
      <c r="C123" s="120" t="s">
        <v>152</v>
      </c>
      <c r="D123" s="121"/>
      <c r="E123" s="120" t="s">
        <v>150</v>
      </c>
      <c r="F123" s="121"/>
      <c r="G123" s="120" t="s">
        <v>164</v>
      </c>
      <c r="H123" s="12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1" x14ac:dyDescent="0.3">
      <c r="A124" s="160" t="s">
        <v>359</v>
      </c>
      <c r="B124" s="74" t="s">
        <v>327</v>
      </c>
      <c r="C124" s="122" t="s">
        <v>89</v>
      </c>
      <c r="D124" s="123"/>
      <c r="E124" s="122">
        <f>COUNT(E148:E150)+COUNT(E156:E160)+COUNT(E164:E170)*26+COUNT(E172:E176)*3+COUNT(E180:E185)+COUNT(E188:E191)</f>
        <v>215</v>
      </c>
      <c r="F124" s="123"/>
      <c r="G124" s="122">
        <f>SUM(H148:H150)+SUM(H156:H160)+SUM(H164:H170)*26+SUM(H172:H176)*3+SUM(H180:H185)+SUM(H188:H191)</f>
        <v>168079.96763999999</v>
      </c>
      <c r="H124" s="12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x14ac:dyDescent="0.3">
      <c r="A125" s="161"/>
      <c r="B125" s="74" t="s">
        <v>328</v>
      </c>
      <c r="C125" s="122" t="s">
        <v>89</v>
      </c>
      <c r="D125" s="123"/>
      <c r="E125" s="122">
        <f>COUNT(E204,E207:E210)+COUNT(E214:E222)*26+COUNT(E224:E230)*3+COUNT(E234:E241)+COUNT(E244:E249,E251:E252)</f>
        <v>276</v>
      </c>
      <c r="F125" s="123"/>
      <c r="G125" s="122">
        <f>SUM(H204,H207:H210)+SUM(H214:H222)*26+SUM(H224:H230)*3+SUM(H234:H241)+SUM(H244:H249,H251:H252)</f>
        <v>152636.64155999999</v>
      </c>
      <c r="H125" s="123"/>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x14ac:dyDescent="0.3">
      <c r="A126" s="120" t="s">
        <v>153</v>
      </c>
      <c r="B126" s="121"/>
      <c r="C126" s="120" t="s">
        <v>95</v>
      </c>
      <c r="D126" s="121"/>
      <c r="E126" s="120">
        <f>SUM(E124:F125)</f>
        <v>491</v>
      </c>
      <c r="F126" s="121"/>
      <c r="G126" s="120">
        <f>SUM(G124:H125)</f>
        <v>320716.60919999995</v>
      </c>
      <c r="H126" s="121">
        <f>SUM(H124:H125)</f>
        <v>0</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x14ac:dyDescent="0.3">
      <c r="A127" s="120" t="s">
        <v>246</v>
      </c>
      <c r="B127" s="121"/>
      <c r="C127" s="120" t="s">
        <v>95</v>
      </c>
      <c r="D127" s="121"/>
      <c r="E127" s="120">
        <f>E119+E126</f>
        <v>500</v>
      </c>
      <c r="F127" s="121"/>
      <c r="G127" s="120">
        <f>G119+G126</f>
        <v>323274.02795999992</v>
      </c>
      <c r="H127" s="12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1" x14ac:dyDescent="0.3">
      <c r="A128" s="127" t="s">
        <v>149</v>
      </c>
      <c r="B128" s="128"/>
      <c r="C128" s="128"/>
      <c r="D128" s="128"/>
      <c r="E128" s="128"/>
      <c r="F128" s="128"/>
      <c r="G128" s="128"/>
      <c r="H128" s="129"/>
    </row>
    <row r="129" spans="1:150 16226:16383" ht="66" customHeight="1" x14ac:dyDescent="0.3">
      <c r="A129" s="53" t="s">
        <v>235</v>
      </c>
      <c r="B129" s="28" t="s">
        <v>236</v>
      </c>
      <c r="C129" s="33" t="s">
        <v>237</v>
      </c>
      <c r="D129" s="28" t="s">
        <v>90</v>
      </c>
      <c r="E129" s="28" t="s">
        <v>165</v>
      </c>
      <c r="F129" s="33" t="s">
        <v>363</v>
      </c>
      <c r="G129" s="28" t="s">
        <v>92</v>
      </c>
      <c r="H129" s="28" t="s">
        <v>91</v>
      </c>
    </row>
    <row r="130" spans="1:150 16226:16383" s="3" customFormat="1" ht="21" x14ac:dyDescent="0.3">
      <c r="A130" s="124" t="s">
        <v>332</v>
      </c>
      <c r="B130" s="125"/>
      <c r="C130" s="125"/>
      <c r="D130" s="125"/>
      <c r="E130" s="125"/>
      <c r="F130" s="125"/>
      <c r="G130" s="125"/>
      <c r="H130" s="126"/>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1" x14ac:dyDescent="0.3">
      <c r="A131" s="124" t="s">
        <v>327</v>
      </c>
      <c r="B131" s="125"/>
      <c r="C131" s="125"/>
      <c r="D131" s="125"/>
      <c r="E131" s="125"/>
      <c r="F131" s="125"/>
      <c r="G131" s="125"/>
      <c r="H131" s="126"/>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1" x14ac:dyDescent="0.3">
      <c r="A132" s="124" t="s">
        <v>333</v>
      </c>
      <c r="B132" s="125"/>
      <c r="C132" s="125"/>
      <c r="D132" s="125"/>
      <c r="E132" s="125"/>
      <c r="F132" s="125"/>
      <c r="G132" s="125"/>
      <c r="H132" s="126"/>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1" x14ac:dyDescent="0.3">
      <c r="A133" s="124" t="s">
        <v>334</v>
      </c>
      <c r="B133" s="125"/>
      <c r="C133" s="125"/>
      <c r="D133" s="125"/>
      <c r="E133" s="125"/>
      <c r="F133" s="125"/>
      <c r="G133" s="125"/>
      <c r="H133" s="126"/>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1" x14ac:dyDescent="0.3">
      <c r="A134" s="112">
        <v>1</v>
      </c>
      <c r="B134" s="112"/>
      <c r="C134" s="54" t="s">
        <v>89</v>
      </c>
      <c r="D134" s="54" t="s">
        <v>335</v>
      </c>
      <c r="E134" s="32">
        <f>(30.18)*(10.764)</f>
        <v>324.85751999999997</v>
      </c>
      <c r="F134" s="5">
        <v>0</v>
      </c>
      <c r="G134" s="5">
        <v>0</v>
      </c>
      <c r="H134" s="5">
        <f>E134+F134+(IF(G134&lt;101,G134,IF(G134&lt;201,G134/2,IF(G134&lt;=301,G134/3,G134/4))))</f>
        <v>324.85751999999997</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1" x14ac:dyDescent="0.3">
      <c r="A135" s="118">
        <f>A134+1</f>
        <v>2</v>
      </c>
      <c r="B135" s="119"/>
      <c r="C135" s="54" t="s">
        <v>89</v>
      </c>
      <c r="D135" s="54" t="s">
        <v>335</v>
      </c>
      <c r="E135" s="32">
        <f>(28.08)*(10.764)</f>
        <v>302.25311999999997</v>
      </c>
      <c r="F135" s="5">
        <v>0</v>
      </c>
      <c r="G135" s="5">
        <v>0</v>
      </c>
      <c r="H135" s="5">
        <f t="shared" ref="H135:H141" si="0">E135+F135+(IF(G135&lt;101,G135,IF(G135&lt;201,G135/2,IF(G135&lt;=301,G135/3,G135/4))))</f>
        <v>302.25311999999997</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x14ac:dyDescent="0.3">
      <c r="A136" s="118">
        <f t="shared" ref="A136:A142" si="1">A135+1</f>
        <v>3</v>
      </c>
      <c r="B136" s="119"/>
      <c r="C136" s="54" t="s">
        <v>89</v>
      </c>
      <c r="D136" s="54" t="s">
        <v>335</v>
      </c>
      <c r="E136" s="32">
        <f>(27.75)*(10.764)</f>
        <v>298.70099999999996</v>
      </c>
      <c r="F136" s="5">
        <v>0</v>
      </c>
      <c r="G136" s="5">
        <v>0</v>
      </c>
      <c r="H136" s="5">
        <f t="shared" si="0"/>
        <v>298.70099999999996</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3">
      <c r="A137" s="118">
        <f t="shared" si="1"/>
        <v>4</v>
      </c>
      <c r="B137" s="119"/>
      <c r="C137" s="54" t="s">
        <v>89</v>
      </c>
      <c r="D137" s="54" t="s">
        <v>335</v>
      </c>
      <c r="E137" s="32">
        <f>(27.64)*(10.764)</f>
        <v>297.51695999999998</v>
      </c>
      <c r="F137" s="5">
        <v>0</v>
      </c>
      <c r="G137" s="5">
        <v>0</v>
      </c>
      <c r="H137" s="5">
        <f t="shared" si="0"/>
        <v>297.51695999999998</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
      <c r="A138" s="118">
        <f t="shared" si="1"/>
        <v>5</v>
      </c>
      <c r="B138" s="119"/>
      <c r="C138" s="54" t="s">
        <v>89</v>
      </c>
      <c r="D138" s="54" t="s">
        <v>335</v>
      </c>
      <c r="E138" s="32">
        <f>(27.23)*(10.764)</f>
        <v>293.10372000000001</v>
      </c>
      <c r="F138" s="5">
        <v>0</v>
      </c>
      <c r="G138" s="5">
        <v>0</v>
      </c>
      <c r="H138" s="5">
        <f t="shared" si="0"/>
        <v>293.10372000000001</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118">
        <f t="shared" si="1"/>
        <v>6</v>
      </c>
      <c r="B139" s="119"/>
      <c r="C139" s="54" t="s">
        <v>89</v>
      </c>
      <c r="D139" s="54" t="s">
        <v>335</v>
      </c>
      <c r="E139" s="32">
        <f>(18.29)*(10.764)</f>
        <v>196.87355999999997</v>
      </c>
      <c r="F139" s="5">
        <v>0</v>
      </c>
      <c r="G139" s="5">
        <v>0</v>
      </c>
      <c r="H139" s="5">
        <f t="shared" si="0"/>
        <v>196.87355999999997</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
      <c r="A140" s="118">
        <f t="shared" si="1"/>
        <v>7</v>
      </c>
      <c r="B140" s="119"/>
      <c r="C140" s="54" t="s">
        <v>89</v>
      </c>
      <c r="D140" s="54" t="s">
        <v>335</v>
      </c>
      <c r="E140" s="32">
        <f>(28.18)*(10.764)</f>
        <v>303.32952</v>
      </c>
      <c r="F140" s="5">
        <v>0</v>
      </c>
      <c r="G140" s="5">
        <v>0</v>
      </c>
      <c r="H140" s="5">
        <f t="shared" si="0"/>
        <v>303.32952</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3">
      <c r="A141" s="118">
        <f t="shared" si="1"/>
        <v>8</v>
      </c>
      <c r="B141" s="119"/>
      <c r="C141" s="54" t="s">
        <v>89</v>
      </c>
      <c r="D141" s="54" t="s">
        <v>335</v>
      </c>
      <c r="E141" s="32">
        <f>(29.79)*(10.764)</f>
        <v>320.65956</v>
      </c>
      <c r="F141" s="5">
        <v>0</v>
      </c>
      <c r="G141" s="5">
        <v>0</v>
      </c>
      <c r="H141" s="5">
        <f t="shared" si="0"/>
        <v>320.65956</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
      <c r="A142" s="118">
        <f t="shared" si="1"/>
        <v>9</v>
      </c>
      <c r="B142" s="119"/>
      <c r="C142" s="54" t="s">
        <v>89</v>
      </c>
      <c r="D142" s="54" t="s">
        <v>335</v>
      </c>
      <c r="E142" s="32">
        <f>(20.45)*(10.764)</f>
        <v>220.12379999999999</v>
      </c>
      <c r="F142" s="5">
        <v>0</v>
      </c>
      <c r="G142" s="5">
        <v>0</v>
      </c>
      <c r="H142" s="5">
        <f t="shared" ref="H142" si="2">E142+F142+(IF(G142&lt;101,G142,IF(G142&lt;201,G142/2,IF(G142&lt;=301,G142/3,G142/4))))</f>
        <v>220.12379999999999</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1" x14ac:dyDescent="0.3">
      <c r="A143" s="115" t="s">
        <v>336</v>
      </c>
      <c r="B143" s="116"/>
      <c r="C143" s="116"/>
      <c r="D143" s="116"/>
      <c r="E143" s="116"/>
      <c r="F143" s="116"/>
      <c r="G143" s="116"/>
      <c r="H143" s="117"/>
      <c r="I143" s="1">
        <v>1</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x14ac:dyDescent="0.3">
      <c r="A144" s="115" t="s">
        <v>337</v>
      </c>
      <c r="B144" s="116"/>
      <c r="C144" s="116"/>
      <c r="D144" s="116"/>
      <c r="E144" s="116"/>
      <c r="F144" s="116"/>
      <c r="G144" s="116"/>
      <c r="H144" s="117"/>
      <c r="I144" s="1">
        <v>3</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1" x14ac:dyDescent="0.3">
      <c r="A145" s="115" t="s">
        <v>338</v>
      </c>
      <c r="B145" s="116"/>
      <c r="C145" s="116"/>
      <c r="D145" s="116"/>
      <c r="E145" s="116"/>
      <c r="F145" s="116"/>
      <c r="G145" s="116"/>
      <c r="H145" s="117"/>
      <c r="I145" s="1">
        <v>1</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1" x14ac:dyDescent="0.3">
      <c r="A146" s="115" t="s">
        <v>339</v>
      </c>
      <c r="B146" s="116"/>
      <c r="C146" s="116"/>
      <c r="D146" s="116"/>
      <c r="E146" s="116"/>
      <c r="F146" s="116"/>
      <c r="G146" s="116"/>
      <c r="H146" s="117"/>
      <c r="I146" s="1">
        <v>1</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1" x14ac:dyDescent="0.3">
      <c r="A147" s="115" t="s">
        <v>340</v>
      </c>
      <c r="B147" s="116"/>
      <c r="C147" s="116"/>
      <c r="D147" s="116"/>
      <c r="E147" s="116"/>
      <c r="F147" s="116"/>
      <c r="G147" s="116"/>
      <c r="H147" s="117"/>
      <c r="I147" s="1">
        <v>1</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3">
      <c r="A148" s="112">
        <v>1</v>
      </c>
      <c r="B148" s="112"/>
      <c r="C148" s="54" t="s">
        <v>89</v>
      </c>
      <c r="D148" s="54" t="s">
        <v>341</v>
      </c>
      <c r="E148" s="32">
        <f>(91.53-(1.22*2.97+2.15*0.85))*(10.764)</f>
        <v>926.55543239999986</v>
      </c>
      <c r="F148" s="5">
        <f>(1.22*2.97+2.15*0.85)*(10.764)</f>
        <v>58.673487599999994</v>
      </c>
      <c r="G148" s="5">
        <v>0</v>
      </c>
      <c r="H148" s="5">
        <f>E148+F148+(IF(G148&lt;101,G148,IF(G148&lt;201,G148/2,IF(G148&lt;=301,G148/3,G148/4))))</f>
        <v>985.2289199999999</v>
      </c>
      <c r="I148" s="1"/>
      <c r="J148" s="1"/>
      <c r="K148" s="1"/>
      <c r="L148" s="1"/>
      <c r="M148" s="1"/>
      <c r="N148" s="1"/>
      <c r="O148" s="1"/>
      <c r="P148" s="1"/>
      <c r="Q148" s="1"/>
      <c r="R148" s="1"/>
      <c r="S148" s="1"/>
      <c r="T148" s="22" t="e">
        <f t="shared" ref="T148:T154" ca="1" si="3">U148&amp;""&amp;",..,"&amp;""&amp;V148</f>
        <v>#REF!</v>
      </c>
      <c r="U148" s="22" t="e">
        <f ca="1">(SUMPRODUCT(MID(0&amp;(LEFT(A147,SUM(LEN(A147)-LEN(SUBSTITUTE(A147,{"0","1","2","3"},""))))), LARGE(INDEX(ISNUMBER(--MID((LEFT(A147,SUM(LEN(A147)-LEN(SUBSTITUTE(A147,{"0","1","2","3"},""))))), ROW(INDIRECT("1:"&amp;LEN((LEFT(A147,SUM(LEN(A147)-LEN(SUBSTITUTE(A147,{"0","1","2","3"},"")))))))), 1)) * ROW(INDIRECT("1:"&amp;LEN((LEFT(A147,SUM(LEN(A147)-LEN(SUBSTITUTE(A147,{"0","1","2","3"},"")))))))), 0), ROW(INDIRECT("1:"&amp;LEN((LEFT(A147,SUM(LEN(A147)-LEN(SUBSTITUTE(A147,{"0","1","2","3"},"")))))))))+1, 1) * 10^ROW(INDIRECT("1:"&amp;LEN((LEFT(A147,SUM(LEN(A147)-LEN(SUBSTITUTE(A147,{"0","1","2","3"},""))))))))/10))*100+1</f>
        <v>#REF!</v>
      </c>
      <c r="V148" s="22">
        <f ca="1">(SUMPRODUCT(MID(0&amp;(--TRIM(RIGHT(SUBSTITUTE(LEFT(A147,_xlfn.AGGREGATE(16,6,FIND({0,1,2,3,4,5,6,7,8,9},A147,ROW(INDIRECT("1:"&amp;LEN(A147)))),1)),"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",LEN(A147))),LEN(A147)))))))/10))*100+1</f>
        <v>701</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3">
      <c r="A149" s="112">
        <f>A148+1</f>
        <v>2</v>
      </c>
      <c r="B149" s="112"/>
      <c r="C149" s="54" t="s">
        <v>89</v>
      </c>
      <c r="D149" s="54" t="s">
        <v>342</v>
      </c>
      <c r="E149" s="32">
        <f>(65.02-(1.22*2.75+0.77*2.15))*(10.764)</f>
        <v>645.94225799999992</v>
      </c>
      <c r="F149" s="5">
        <f>(1.22*2.75+0.77*2.15)*(10.764)</f>
        <v>53.933022000000001</v>
      </c>
      <c r="G149" s="5">
        <v>0</v>
      </c>
      <c r="H149" s="5">
        <f t="shared" ref="H149:H150" si="4">E149+F149+(IF(G149&lt;101,G149,IF(G149&lt;201,G149/2,IF(G149&lt;=301,G149/3,G149/4))))</f>
        <v>699.87527999999998</v>
      </c>
      <c r="I149" s="1"/>
      <c r="J149" s="1"/>
      <c r="K149" s="1"/>
      <c r="L149" s="1"/>
      <c r="M149" s="1"/>
      <c r="N149" s="1"/>
      <c r="O149" s="1"/>
      <c r="P149" s="1"/>
      <c r="Q149" s="1"/>
      <c r="R149" s="1"/>
      <c r="S149" s="1"/>
      <c r="T149" s="22" t="e">
        <f t="shared" ca="1" si="3"/>
        <v>#REF!</v>
      </c>
      <c r="U149" s="22" t="e">
        <f ca="1">U148+1</f>
        <v>#REF!</v>
      </c>
      <c r="V149" s="22">
        <f ca="1">V148+1</f>
        <v>702</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
      <c r="A150" s="112">
        <f t="shared" ref="A150:A154" si="5">A149+1</f>
        <v>3</v>
      </c>
      <c r="B150" s="112"/>
      <c r="C150" s="54" t="s">
        <v>89</v>
      </c>
      <c r="D150" s="54" t="s">
        <v>342</v>
      </c>
      <c r="E150" s="32">
        <f>(68.62-(1.22*3.05+0.85*2.15))*(10.764)</f>
        <v>678.90162600000008</v>
      </c>
      <c r="F150" s="5">
        <f>(1.22*3.05+0.85*2.15)*(10.764)</f>
        <v>59.724053999999995</v>
      </c>
      <c r="G150" s="5">
        <v>0</v>
      </c>
      <c r="H150" s="5">
        <f t="shared" si="4"/>
        <v>738.6256800000001</v>
      </c>
      <c r="I150" s="1"/>
      <c r="J150" s="1"/>
      <c r="K150" s="1"/>
      <c r="L150" s="1"/>
      <c r="M150" s="1"/>
      <c r="N150" s="1"/>
      <c r="O150" s="1"/>
      <c r="P150" s="1"/>
      <c r="Q150" s="1"/>
      <c r="R150" s="1"/>
      <c r="S150" s="1"/>
      <c r="T150" s="22" t="e">
        <f t="shared" ca="1" si="3"/>
        <v>#REF!</v>
      </c>
      <c r="U150" s="22" t="e">
        <f t="shared" ref="U150:U154" ca="1" si="6">U149+1</f>
        <v>#REF!</v>
      </c>
      <c r="V150" s="22">
        <f t="shared" ref="V150:V154" ca="1" si="7">V149+1</f>
        <v>703</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
      <c r="A151" s="112">
        <f t="shared" si="5"/>
        <v>4</v>
      </c>
      <c r="B151" s="112"/>
      <c r="C151" s="162" t="s">
        <v>343</v>
      </c>
      <c r="D151" s="163"/>
      <c r="E151" s="163"/>
      <c r="F151" s="163"/>
      <c r="G151" s="163"/>
      <c r="H151" s="164"/>
      <c r="I151" s="1"/>
      <c r="J151" s="1"/>
      <c r="K151" s="1"/>
      <c r="L151" s="1"/>
      <c r="M151" s="1"/>
      <c r="N151" s="1"/>
      <c r="O151" s="1"/>
      <c r="P151" s="1"/>
      <c r="Q151" s="1"/>
      <c r="R151" s="1"/>
      <c r="S151" s="1"/>
      <c r="T151" s="22" t="e">
        <f t="shared" ca="1" si="3"/>
        <v>#REF!</v>
      </c>
      <c r="U151" s="22" t="e">
        <f t="shared" ca="1" si="6"/>
        <v>#REF!</v>
      </c>
      <c r="V151" s="22">
        <f t="shared" ca="1" si="7"/>
        <v>704</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
      <c r="A152" s="112">
        <f t="shared" si="5"/>
        <v>5</v>
      </c>
      <c r="B152" s="112"/>
      <c r="C152" s="162" t="s">
        <v>344</v>
      </c>
      <c r="D152" s="163"/>
      <c r="E152" s="163"/>
      <c r="F152" s="163"/>
      <c r="G152" s="163"/>
      <c r="H152" s="164"/>
      <c r="I152" s="1"/>
      <c r="J152" s="1"/>
      <c r="K152" s="1"/>
      <c r="L152" s="1"/>
      <c r="M152" s="1"/>
      <c r="N152" s="1"/>
      <c r="O152" s="1"/>
      <c r="P152" s="1"/>
      <c r="Q152" s="1"/>
      <c r="R152" s="1"/>
      <c r="S152" s="1"/>
      <c r="T152" s="22" t="e">
        <f t="shared" ca="1" si="3"/>
        <v>#REF!</v>
      </c>
      <c r="U152" s="22" t="e">
        <f t="shared" ca="1" si="6"/>
        <v>#REF!</v>
      </c>
      <c r="V152" s="22">
        <f t="shared" ca="1" si="7"/>
        <v>705</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3">
      <c r="A153" s="112">
        <f t="shared" si="5"/>
        <v>6</v>
      </c>
      <c r="B153" s="112"/>
      <c r="C153" s="165" t="s">
        <v>345</v>
      </c>
      <c r="D153" s="166"/>
      <c r="E153" s="166"/>
      <c r="F153" s="166"/>
      <c r="G153" s="166"/>
      <c r="H153" s="167"/>
      <c r="I153" s="1"/>
      <c r="J153" s="1"/>
      <c r="K153" s="1"/>
      <c r="L153" s="1"/>
      <c r="M153" s="1"/>
      <c r="N153" s="1"/>
      <c r="O153" s="1"/>
      <c r="P153" s="1"/>
      <c r="Q153" s="1"/>
      <c r="R153" s="1"/>
      <c r="S153" s="1"/>
      <c r="T153" s="22" t="e">
        <f t="shared" ca="1" si="3"/>
        <v>#REF!</v>
      </c>
      <c r="U153" s="22" t="e">
        <f t="shared" ca="1" si="6"/>
        <v>#REF!</v>
      </c>
      <c r="V153" s="22">
        <f t="shared" ca="1" si="7"/>
        <v>706</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
      <c r="A154" s="112">
        <f t="shared" si="5"/>
        <v>7</v>
      </c>
      <c r="B154" s="112"/>
      <c r="C154" s="168"/>
      <c r="D154" s="169"/>
      <c r="E154" s="169"/>
      <c r="F154" s="169"/>
      <c r="G154" s="169"/>
      <c r="H154" s="170"/>
      <c r="I154" s="1"/>
      <c r="J154" s="1"/>
      <c r="K154" s="1"/>
      <c r="L154" s="1"/>
      <c r="M154" s="1"/>
      <c r="N154" s="1"/>
      <c r="O154" s="1"/>
      <c r="P154" s="1"/>
      <c r="Q154" s="1"/>
      <c r="R154" s="1"/>
      <c r="S154" s="1"/>
      <c r="T154" s="22" t="e">
        <f t="shared" ca="1" si="3"/>
        <v>#REF!</v>
      </c>
      <c r="U154" s="22" t="e">
        <f t="shared" ca="1" si="6"/>
        <v>#REF!</v>
      </c>
      <c r="V154" s="22">
        <f t="shared" ca="1" si="7"/>
        <v>707</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1" x14ac:dyDescent="0.3">
      <c r="A155" s="115" t="s">
        <v>346</v>
      </c>
      <c r="B155" s="116"/>
      <c r="C155" s="116"/>
      <c r="D155" s="116"/>
      <c r="E155" s="116"/>
      <c r="F155" s="116"/>
      <c r="G155" s="116"/>
      <c r="H155" s="117"/>
      <c r="I155" s="1">
        <v>1</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112">
        <v>1</v>
      </c>
      <c r="B156" s="112"/>
      <c r="C156" s="54" t="s">
        <v>89</v>
      </c>
      <c r="D156" s="54" t="s">
        <v>341</v>
      </c>
      <c r="E156" s="5">
        <f>(91.53-(1.22*2.97+2.15*0.85))*(10.764)</f>
        <v>926.55543239999986</v>
      </c>
      <c r="F156" s="32">
        <f>(1.22*2.97+2.15*0.85)*(10.764)</f>
        <v>58.673487599999994</v>
      </c>
      <c r="G156" s="5">
        <v>0</v>
      </c>
      <c r="H156" s="5">
        <f>E156+F156+(IF(G156&lt;101,G156,IF(G156&lt;201,G156/2,IF(G156&lt;=301,G156/3,G156/4))))</f>
        <v>985.2289199999999</v>
      </c>
      <c r="I156" s="1"/>
      <c r="J156" s="1"/>
      <c r="K156" s="1"/>
      <c r="L156" s="1"/>
      <c r="M156" s="1"/>
      <c r="N156" s="1"/>
      <c r="O156" s="1"/>
      <c r="P156" s="1"/>
      <c r="Q156" s="1"/>
      <c r="R156" s="1"/>
      <c r="S156" s="1"/>
      <c r="T156" s="22" t="e">
        <f ca="1">U156&amp;""&amp;" to "&amp;""&amp;V156</f>
        <v>#REF!</v>
      </c>
      <c r="U156" s="22" t="e">
        <f ca="1">(SUMPRODUCT(MID(0&amp;(LEFT(A155,SUM(LEN(A155)-LEN(SUBSTITUTE(A155,{"0","1","2","3"},""))))), LARGE(INDEX(ISNUMBER(--MID((LEFT(A155,SUM(LEN(A155)-LEN(SUBSTITUTE(A155,{"0","1","2","3"},""))))), ROW(INDIRECT("1:"&amp;LEN((LEFT(A155,SUM(LEN(A155)-LEN(SUBSTITUTE(A155,{"0","1","2","3"},"")))))))), 1)) * ROW(INDIRECT("1:"&amp;LEN((LEFT(A155,SUM(LEN(A155)-LEN(SUBSTITUTE(A155,{"0","1","2","3"},"")))))))), 0), ROW(INDIRECT("1:"&amp;LEN((LEFT(A155,SUM(LEN(A155)-LEN(SUBSTITUTE(A155,{"0","1","2","3"},"")))))))))+1, 1) * 10^ROW(INDIRECT("1:"&amp;LEN((LEFT(A155,SUM(LEN(A155)-LEN(SUBSTITUTE(A155,{"0","1","2","3"},""))))))))/10))*100+1</f>
        <v>#REF!</v>
      </c>
      <c r="V156" s="22">
        <f ca="1">(SUMPRODUCT(MID(0&amp;(--TRIM(RIGHT(SUBSTITUTE(LEFT(A155,_xlfn.AGGREGATE(16,6,FIND({0,1,2,3,4,5,6,7,8,9},A155,ROW(INDIRECT("1:"&amp;LEN(A155)))),1)),"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",LEN(A155))),LEN(A155)))))))/10))*100+1</f>
        <v>801</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3">
      <c r="A157" s="112">
        <f>A156+1</f>
        <v>2</v>
      </c>
      <c r="B157" s="112"/>
      <c r="C157" s="54" t="s">
        <v>89</v>
      </c>
      <c r="D157" s="54" t="s">
        <v>342</v>
      </c>
      <c r="E157" s="5">
        <f>(65.02-(1.22*2.75+0.77*2.15))*(10.764)</f>
        <v>645.94225799999992</v>
      </c>
      <c r="F157" s="32">
        <f>(1.22*2.75+0.77*2.15)*(10.764)</f>
        <v>53.933022000000001</v>
      </c>
      <c r="G157" s="5">
        <v>0</v>
      </c>
      <c r="H157" s="5">
        <f t="shared" ref="H157:H160" si="8">E157+F157+(IF(G157&lt;101,G157,IF(G157&lt;201,G157/2,IF(G157&lt;=301,G157/3,G157/4))))</f>
        <v>699.87527999999998</v>
      </c>
      <c r="I157" s="1"/>
      <c r="J157" s="1"/>
      <c r="K157" s="1"/>
      <c r="L157" s="1"/>
      <c r="M157" s="1"/>
      <c r="N157" s="1"/>
      <c r="O157" s="1"/>
      <c r="P157" s="1"/>
      <c r="Q157" s="1"/>
      <c r="R157" s="1"/>
      <c r="S157" s="1"/>
      <c r="T157" s="22" t="e">
        <f t="shared" ref="T157:T162" ca="1" si="9">U157&amp;""&amp;" to "&amp;""&amp;V157</f>
        <v>#REF!</v>
      </c>
      <c r="U157" s="22" t="e">
        <f ca="1">U156+1</f>
        <v>#REF!</v>
      </c>
      <c r="V157" s="22">
        <f ca="1">V156+1</f>
        <v>802</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
      <c r="A158" s="112">
        <f t="shared" ref="A158:A162" si="10">A157+1</f>
        <v>3</v>
      </c>
      <c r="B158" s="112"/>
      <c r="C158" s="54" t="s">
        <v>89</v>
      </c>
      <c r="D158" s="54" t="s">
        <v>342</v>
      </c>
      <c r="E158" s="5">
        <f>(68.62-(1.22*3.05+0.85*2.15))*(10.764)</f>
        <v>678.90162600000008</v>
      </c>
      <c r="F158" s="32">
        <f>(1.22*3.05+0.85*2.15)*(10.764)</f>
        <v>59.724053999999995</v>
      </c>
      <c r="G158" s="5">
        <v>0</v>
      </c>
      <c r="H158" s="5">
        <f t="shared" si="8"/>
        <v>738.6256800000001</v>
      </c>
      <c r="I158" s="1"/>
      <c r="J158" s="1"/>
      <c r="K158" s="1"/>
      <c r="L158" s="1"/>
      <c r="M158" s="1"/>
      <c r="N158" s="1"/>
      <c r="O158" s="1"/>
      <c r="P158" s="1"/>
      <c r="Q158" s="1"/>
      <c r="R158" s="1"/>
      <c r="S158" s="1"/>
      <c r="T158" s="22" t="e">
        <f t="shared" ca="1" si="9"/>
        <v>#REF!</v>
      </c>
      <c r="U158" s="22" t="e">
        <f t="shared" ref="U158:U162" ca="1" si="11">U157+1</f>
        <v>#REF!</v>
      </c>
      <c r="V158" s="22">
        <f t="shared" ref="V158:V162" ca="1" si="12">V157+1</f>
        <v>803</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
      <c r="A159" s="112">
        <f t="shared" si="10"/>
        <v>4</v>
      </c>
      <c r="B159" s="112"/>
      <c r="C159" s="54" t="s">
        <v>89</v>
      </c>
      <c r="D159" s="54" t="s">
        <v>341</v>
      </c>
      <c r="E159" s="5">
        <f>(87.68-(3.05*1.22+0.85*2.15))*(10.764)</f>
        <v>884.06346599999995</v>
      </c>
      <c r="F159" s="32">
        <f>(3.05*1.22+0.85*2.15)*(10.764)</f>
        <v>59.724053999999995</v>
      </c>
      <c r="G159" s="5">
        <v>0</v>
      </c>
      <c r="H159" s="5">
        <f t="shared" si="8"/>
        <v>943.78751999999997</v>
      </c>
      <c r="I159" s="1"/>
      <c r="J159" s="1"/>
      <c r="K159" s="1"/>
      <c r="L159" s="1"/>
      <c r="M159" s="1"/>
      <c r="N159" s="1"/>
      <c r="O159" s="1"/>
      <c r="P159" s="1"/>
      <c r="Q159" s="1"/>
      <c r="R159" s="1"/>
      <c r="S159" s="1"/>
      <c r="T159" s="22" t="e">
        <f t="shared" ca="1" si="9"/>
        <v>#REF!</v>
      </c>
      <c r="U159" s="22" t="e">
        <f t="shared" ca="1" si="11"/>
        <v>#REF!</v>
      </c>
      <c r="V159" s="22">
        <f t="shared" ca="1" si="12"/>
        <v>804</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
      <c r="A160" s="112">
        <f t="shared" si="10"/>
        <v>5</v>
      </c>
      <c r="B160" s="112"/>
      <c r="C160" s="54" t="s">
        <v>89</v>
      </c>
      <c r="D160" s="54" t="s">
        <v>342</v>
      </c>
      <c r="E160" s="5">
        <f>(63.73-(3.05*1.22+0.85*2.15))*(10.764)</f>
        <v>626.26566600000001</v>
      </c>
      <c r="F160" s="32">
        <f>(3.05*1.22+0.85*2.15)*(10.764)</f>
        <v>59.724053999999995</v>
      </c>
      <c r="G160" s="5">
        <v>0</v>
      </c>
      <c r="H160" s="5">
        <f t="shared" si="8"/>
        <v>685.98972000000003</v>
      </c>
      <c r="I160" s="1"/>
      <c r="J160" s="1"/>
      <c r="K160" s="1"/>
      <c r="L160" s="1"/>
      <c r="M160" s="1"/>
      <c r="N160" s="1"/>
      <c r="O160" s="1"/>
      <c r="P160" s="1"/>
      <c r="Q160" s="1"/>
      <c r="R160" s="1"/>
      <c r="S160" s="1"/>
      <c r="T160" s="22" t="e">
        <f t="shared" ca="1" si="9"/>
        <v>#REF!</v>
      </c>
      <c r="U160" s="22" t="e">
        <f t="shared" ca="1" si="11"/>
        <v>#REF!</v>
      </c>
      <c r="V160" s="22">
        <f t="shared" ca="1" si="12"/>
        <v>805</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112">
        <f t="shared" si="10"/>
        <v>6</v>
      </c>
      <c r="B161" s="112"/>
      <c r="C161" s="165" t="s">
        <v>347</v>
      </c>
      <c r="D161" s="166"/>
      <c r="E161" s="166"/>
      <c r="F161" s="166"/>
      <c r="G161" s="166"/>
      <c r="H161" s="167"/>
      <c r="I161" s="1"/>
      <c r="J161" s="1"/>
      <c r="K161" s="1"/>
      <c r="L161" s="1"/>
      <c r="M161" s="1"/>
      <c r="N161" s="1"/>
      <c r="O161" s="1"/>
      <c r="P161" s="1"/>
      <c r="Q161" s="1"/>
      <c r="R161" s="1"/>
      <c r="S161" s="1"/>
      <c r="T161" s="22" t="e">
        <f t="shared" ca="1" si="9"/>
        <v>#REF!</v>
      </c>
      <c r="U161" s="22" t="e">
        <f t="shared" ca="1" si="11"/>
        <v>#REF!</v>
      </c>
      <c r="V161" s="22">
        <f t="shared" ca="1" si="12"/>
        <v>806</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
      <c r="A162" s="112">
        <f t="shared" si="10"/>
        <v>7</v>
      </c>
      <c r="B162" s="112"/>
      <c r="C162" s="168"/>
      <c r="D162" s="169"/>
      <c r="E162" s="169"/>
      <c r="F162" s="169"/>
      <c r="G162" s="169"/>
      <c r="H162" s="170"/>
      <c r="I162" s="1"/>
      <c r="J162" s="1"/>
      <c r="K162" s="1"/>
      <c r="L162" s="1"/>
      <c r="M162" s="1"/>
      <c r="N162" s="1"/>
      <c r="O162" s="1"/>
      <c r="P162" s="1"/>
      <c r="Q162" s="1"/>
      <c r="R162" s="1"/>
      <c r="S162" s="1"/>
      <c r="T162" s="22" t="e">
        <f t="shared" ca="1" si="9"/>
        <v>#REF!</v>
      </c>
      <c r="U162" s="22" t="e">
        <f t="shared" ca="1" si="11"/>
        <v>#REF!</v>
      </c>
      <c r="V162" s="22">
        <f t="shared" ca="1" si="12"/>
        <v>807</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1" x14ac:dyDescent="0.3">
      <c r="A163" s="115" t="s">
        <v>348</v>
      </c>
      <c r="B163" s="116"/>
      <c r="C163" s="116"/>
      <c r="D163" s="116"/>
      <c r="E163" s="116"/>
      <c r="F163" s="116"/>
      <c r="G163" s="116"/>
      <c r="H163" s="117"/>
      <c r="I163" s="1">
        <f>6+6+6+6+2</f>
        <v>26</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
      <c r="A164" s="112">
        <v>1</v>
      </c>
      <c r="B164" s="112"/>
      <c r="C164" s="54" t="s">
        <v>89</v>
      </c>
      <c r="D164" s="54" t="s">
        <v>341</v>
      </c>
      <c r="E164" s="5">
        <f>(91.53-(1.22*2.97+2.15*0.85))*(10.764)</f>
        <v>926.55543239999986</v>
      </c>
      <c r="F164" s="32">
        <f>(1.22*2.97+2.15*0.85)*(10.764)</f>
        <v>58.673487599999994</v>
      </c>
      <c r="G164" s="5">
        <v>0</v>
      </c>
      <c r="H164" s="5">
        <f>E164+F164+(IF(G164&lt;101,G164,IF(G164&lt;201,G164/2,IF(G164&lt;=301,G164/3,G164/4))))</f>
        <v>985.2289199999999</v>
      </c>
      <c r="I164" s="1"/>
      <c r="J164" s="1"/>
      <c r="K164" s="1"/>
      <c r="L164" s="1"/>
      <c r="M164" s="1"/>
      <c r="N164" s="1"/>
      <c r="O164" s="1"/>
      <c r="P164" s="1"/>
      <c r="Q164" s="1"/>
      <c r="R164" s="1"/>
      <c r="S164" s="1"/>
      <c r="T164" s="22" t="str">
        <f ca="1">U164&amp;""&amp;" &amp; "&amp;""&amp;V164</f>
        <v>91401 &amp; 3801</v>
      </c>
      <c r="U164" s="22">
        <f ca="1">(SUMPRODUCT(MID(0&amp;(LEFT(A163,SUM(LEN(A163)-LEN(SUBSTITUTE(A163,{"0","1","2","3"},""))))), LARGE(INDEX(ISNUMBER(--MID((LEFT(A163,SUM(LEN(A163)-LEN(SUBSTITUTE(A163,{"0","1","2","3"},""))))), ROW(INDIRECT("1:"&amp;LEN((LEFT(A163,SUM(LEN(A163)-LEN(SUBSTITUTE(A163,{"0","1","2","3"},"")))))))), 1)) * ROW(INDIRECT("1:"&amp;LEN((LEFT(A163,SUM(LEN(A163)-LEN(SUBSTITUTE(A163,{"0","1","2","3"},"")))))))), 0), ROW(INDIRECT("1:"&amp;LEN((LEFT(A163,SUM(LEN(A163)-LEN(SUBSTITUTE(A163,{"0","1","2","3"},"")))))))))+1, 1) * 10^ROW(INDIRECT("1:"&amp;LEN((LEFT(A163,SUM(LEN(A163)-LEN(SUBSTITUTE(A163,{"0","1","2","3"},""))))))))/10))*100+1</f>
        <v>91401</v>
      </c>
      <c r="V164" s="22">
        <f ca="1">(SUMPRODUCT(MID(0&amp;(--TRIM(RIGHT(SUBSTITUTE(LEFT(A163,_xlfn.AGGREGATE(16,6,FIND({0,1,2,3,4,5,6,7,8,9},A163,ROW(INDIRECT("1:"&amp;LEN(A163)))),1)),"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",LEN(A163))),LEN(A163)))))))/10))*100+1</f>
        <v>3801</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3">
      <c r="A165" s="112">
        <f>A164+1</f>
        <v>2</v>
      </c>
      <c r="B165" s="112"/>
      <c r="C165" s="54" t="s">
        <v>89</v>
      </c>
      <c r="D165" s="54" t="s">
        <v>342</v>
      </c>
      <c r="E165" s="5">
        <f>(65.02-(1.22*2.75+0.77*2.15))*(10.764)</f>
        <v>645.94225799999992</v>
      </c>
      <c r="F165" s="32">
        <f>(1.22*2.75+0.77*2.15)*(10.764)</f>
        <v>53.933022000000001</v>
      </c>
      <c r="G165" s="5">
        <v>0</v>
      </c>
      <c r="H165" s="5">
        <f t="shared" ref="H165:H170" si="13">E165+F165+(IF(G165&lt;101,G165,IF(G165&lt;201,G165/2,IF(G165&lt;=301,G165/3,G165/4))))</f>
        <v>699.87527999999998</v>
      </c>
      <c r="I165" s="1"/>
      <c r="J165" s="1"/>
      <c r="K165" s="1"/>
      <c r="L165" s="1"/>
      <c r="M165" s="1"/>
      <c r="N165" s="1"/>
      <c r="O165" s="1"/>
      <c r="P165" s="1"/>
      <c r="Q165" s="1"/>
      <c r="R165" s="1"/>
      <c r="S165" s="1"/>
      <c r="T165" s="22" t="str">
        <f t="shared" ref="T165:T170" ca="1" si="14">U165&amp;""&amp;" &amp; "&amp;""&amp;V165</f>
        <v>91402 &amp; 3802</v>
      </c>
      <c r="U165" s="22">
        <f ca="1">U164+1</f>
        <v>91402</v>
      </c>
      <c r="V165" s="22">
        <f ca="1">V164+1</f>
        <v>3802</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
      <c r="A166" s="112">
        <f t="shared" ref="A166:A170" si="15">A165+1</f>
        <v>3</v>
      </c>
      <c r="B166" s="112"/>
      <c r="C166" s="54" t="s">
        <v>89</v>
      </c>
      <c r="D166" s="54" t="s">
        <v>342</v>
      </c>
      <c r="E166" s="5">
        <f>(68.62-(1.22*3.05+0.85*2.15))*(10.764)</f>
        <v>678.90162600000008</v>
      </c>
      <c r="F166" s="32">
        <f>(1.22*3.05+0.85*2.15)*(10.764)</f>
        <v>59.724053999999995</v>
      </c>
      <c r="G166" s="5">
        <v>0</v>
      </c>
      <c r="H166" s="5">
        <f t="shared" si="13"/>
        <v>738.6256800000001</v>
      </c>
      <c r="I166" s="1"/>
      <c r="J166" s="1"/>
      <c r="K166" s="1"/>
      <c r="L166" s="1"/>
      <c r="M166" s="1"/>
      <c r="N166" s="1"/>
      <c r="O166" s="1"/>
      <c r="P166" s="1"/>
      <c r="Q166" s="1"/>
      <c r="R166" s="1"/>
      <c r="S166" s="1"/>
      <c r="T166" s="22" t="str">
        <f t="shared" ca="1" si="14"/>
        <v>91403 &amp; 3803</v>
      </c>
      <c r="U166" s="22">
        <f t="shared" ref="U166:U170" ca="1" si="16">U165+1</f>
        <v>91403</v>
      </c>
      <c r="V166" s="22">
        <f t="shared" ref="V166:V170" ca="1" si="17">V165+1</f>
        <v>3803</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
      <c r="A167" s="112">
        <f t="shared" si="15"/>
        <v>4</v>
      </c>
      <c r="B167" s="112"/>
      <c r="C167" s="54" t="s">
        <v>89</v>
      </c>
      <c r="D167" s="54" t="s">
        <v>341</v>
      </c>
      <c r="E167" s="5">
        <f>(87.68-(3.05*1.22+0.85*2.15))*(10.764)</f>
        <v>884.06346599999995</v>
      </c>
      <c r="F167" s="32">
        <f>(3.05*1.22+0.85*2.15)*(10.764)</f>
        <v>59.724053999999995</v>
      </c>
      <c r="G167" s="5">
        <v>0</v>
      </c>
      <c r="H167" s="5">
        <f t="shared" si="13"/>
        <v>943.78751999999997</v>
      </c>
      <c r="I167" s="1"/>
      <c r="J167" s="1"/>
      <c r="K167" s="1"/>
      <c r="L167" s="1"/>
      <c r="M167" s="1"/>
      <c r="N167" s="1"/>
      <c r="O167" s="1"/>
      <c r="P167" s="1"/>
      <c r="Q167" s="1"/>
      <c r="R167" s="1"/>
      <c r="S167" s="1"/>
      <c r="T167" s="22" t="str">
        <f t="shared" ca="1" si="14"/>
        <v>91404 &amp; 3804</v>
      </c>
      <c r="U167" s="22">
        <f t="shared" ca="1" si="16"/>
        <v>91404</v>
      </c>
      <c r="V167" s="22">
        <f t="shared" ca="1" si="17"/>
        <v>3804</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
      <c r="A168" s="112">
        <f t="shared" si="15"/>
        <v>5</v>
      </c>
      <c r="B168" s="112"/>
      <c r="C168" s="54" t="s">
        <v>89</v>
      </c>
      <c r="D168" s="54" t="s">
        <v>342</v>
      </c>
      <c r="E168" s="5">
        <f>(63.73-(3.05*1.22+0.85*2.15))*(10.764)</f>
        <v>626.26566600000001</v>
      </c>
      <c r="F168" s="32">
        <f>(3.05*1.22+0.85*2.15)*(10.764)</f>
        <v>59.724053999999995</v>
      </c>
      <c r="G168" s="5">
        <v>0</v>
      </c>
      <c r="H168" s="5">
        <f t="shared" si="13"/>
        <v>685.98972000000003</v>
      </c>
      <c r="I168" s="1"/>
      <c r="J168" s="1"/>
      <c r="K168" s="1"/>
      <c r="L168" s="1"/>
      <c r="M168" s="1"/>
      <c r="N168" s="1"/>
      <c r="O168" s="1"/>
      <c r="P168" s="1"/>
      <c r="Q168" s="1"/>
      <c r="R168" s="1"/>
      <c r="S168" s="1"/>
      <c r="T168" s="22" t="str">
        <f t="shared" ca="1" si="14"/>
        <v>91405 &amp; 3805</v>
      </c>
      <c r="U168" s="22">
        <f t="shared" ca="1" si="16"/>
        <v>91405</v>
      </c>
      <c r="V168" s="22">
        <f t="shared" ca="1" si="17"/>
        <v>3805</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3">
      <c r="A169" s="112">
        <f t="shared" si="15"/>
        <v>6</v>
      </c>
      <c r="B169" s="112"/>
      <c r="C169" s="54" t="s">
        <v>89</v>
      </c>
      <c r="D169" s="54" t="s">
        <v>342</v>
      </c>
      <c r="E169" s="5">
        <f>(63.83-(3.05*1.37+1*2.15))*(10.764)</f>
        <v>618.946146</v>
      </c>
      <c r="F169" s="32">
        <f>(3.05*1.37+1*2.15)*(10.764)</f>
        <v>68.119973999999999</v>
      </c>
      <c r="G169" s="5">
        <v>0</v>
      </c>
      <c r="H169" s="5">
        <f t="shared" si="13"/>
        <v>687.06611999999996</v>
      </c>
      <c r="I169" s="1"/>
      <c r="J169" s="1"/>
      <c r="K169" s="1"/>
      <c r="L169" s="1"/>
      <c r="M169" s="1"/>
      <c r="N169" s="1"/>
      <c r="O169" s="1"/>
      <c r="P169" s="1"/>
      <c r="Q169" s="1"/>
      <c r="R169" s="1"/>
      <c r="S169" s="1"/>
      <c r="T169" s="22" t="str">
        <f t="shared" ca="1" si="14"/>
        <v>91406 &amp; 3806</v>
      </c>
      <c r="U169" s="22">
        <f t="shared" ca="1" si="16"/>
        <v>91406</v>
      </c>
      <c r="V169" s="22">
        <f t="shared" ca="1" si="17"/>
        <v>3806</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
      <c r="A170" s="112">
        <f t="shared" si="15"/>
        <v>7</v>
      </c>
      <c r="B170" s="112"/>
      <c r="C170" s="54" t="s">
        <v>89</v>
      </c>
      <c r="D170" s="54" t="s">
        <v>342</v>
      </c>
      <c r="E170" s="5">
        <f>(64.6-(2.95*1.37+1*2.15))*(10.764)</f>
        <v>628.70909399999982</v>
      </c>
      <c r="F170" s="32">
        <f>(2.95*1.37+1*2.15)*(10.764)</f>
        <v>66.645306000000005</v>
      </c>
      <c r="G170" s="5">
        <v>0</v>
      </c>
      <c r="H170" s="5">
        <f t="shared" si="13"/>
        <v>695.35439999999983</v>
      </c>
      <c r="I170" s="1"/>
      <c r="J170" s="1"/>
      <c r="K170" s="1"/>
      <c r="L170" s="1"/>
      <c r="M170" s="1"/>
      <c r="N170" s="1"/>
      <c r="O170" s="1"/>
      <c r="P170" s="1"/>
      <c r="Q170" s="1"/>
      <c r="R170" s="1"/>
      <c r="S170" s="1"/>
      <c r="T170" s="22" t="str">
        <f t="shared" ca="1" si="14"/>
        <v>91407 &amp; 3807</v>
      </c>
      <c r="U170" s="22">
        <f t="shared" ca="1" si="16"/>
        <v>91407</v>
      </c>
      <c r="V170" s="22">
        <f t="shared" ca="1" si="17"/>
        <v>3807</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1" x14ac:dyDescent="0.3">
      <c r="A171" s="115" t="s">
        <v>349</v>
      </c>
      <c r="B171" s="116"/>
      <c r="C171" s="116"/>
      <c r="D171" s="116"/>
      <c r="E171" s="116"/>
      <c r="F171" s="116"/>
      <c r="G171" s="116"/>
      <c r="H171" s="117"/>
      <c r="I171" s="1">
        <v>3</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3">
      <c r="A172" s="112">
        <v>1</v>
      </c>
      <c r="B172" s="112"/>
      <c r="C172" s="54" t="s">
        <v>89</v>
      </c>
      <c r="D172" s="54" t="s">
        <v>341</v>
      </c>
      <c r="E172" s="5">
        <f>(91.53-(1.22*2.97+2.15*0.85))*(10.764)</f>
        <v>926.55543239999986</v>
      </c>
      <c r="F172" s="32">
        <f>(1.22*2.97+2.15*0.85)*(10.764)</f>
        <v>58.673487599999994</v>
      </c>
      <c r="G172" s="5">
        <v>0</v>
      </c>
      <c r="H172" s="5">
        <f>E172+F172+(IF(G172&lt;101,G172,IF(G172&lt;201,G172/2,IF(G172&lt;=301,G172/3,G172/4))))</f>
        <v>985.2289199999999</v>
      </c>
      <c r="I172" s="1"/>
      <c r="J172" s="1"/>
      <c r="K172" s="1"/>
      <c r="L172" s="1"/>
      <c r="M172" s="1"/>
      <c r="N172" s="1"/>
      <c r="O172" s="1"/>
      <c r="P172" s="1"/>
      <c r="Q172" s="1"/>
      <c r="R172" s="1"/>
      <c r="S172" s="1"/>
      <c r="T172" s="22" t="str">
        <f ca="1">U172&amp;""&amp;" &amp; "&amp;""&amp;V172</f>
        <v>1501 &amp; 2901</v>
      </c>
      <c r="U172" s="22">
        <f ca="1">(SUMPRODUCT(MID(0&amp;(LEFT(A171,SUM(LEN(A171)-LEN(SUBSTITUTE(A171,{"0","1","2","3"},""))))), LARGE(INDEX(ISNUMBER(--MID((LEFT(A171,SUM(LEN(A171)-LEN(SUBSTITUTE(A171,{"0","1","2","3"},""))))), ROW(INDIRECT("1:"&amp;LEN((LEFT(A171,SUM(LEN(A171)-LEN(SUBSTITUTE(A171,{"0","1","2","3"},"")))))))), 1)) * ROW(INDIRECT("1:"&amp;LEN((LEFT(A171,SUM(LEN(A171)-LEN(SUBSTITUTE(A171,{"0","1","2","3"},"")))))))), 0), ROW(INDIRECT("1:"&amp;LEN((LEFT(A171,SUM(LEN(A171)-LEN(SUBSTITUTE(A171,{"0","1","2","3"},"")))))))))+1, 1) * 10^ROW(INDIRECT("1:"&amp;LEN((LEFT(A171,SUM(LEN(A171)-LEN(SUBSTITUTE(A171,{"0","1","2","3"},""))))))))/10))*100+1</f>
        <v>1501</v>
      </c>
      <c r="V172" s="22">
        <f ca="1">(SUMPRODUCT(MID(0&amp;(--TRIM(RIGHT(SUBSTITUTE(LEFT(A171,_xlfn.AGGREGATE(16,6,FIND({0,1,2,3,4,5,6,7,8,9},A171,ROW(INDIRECT("1:"&amp;LEN(A171)))),1)),"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",LEN(A171))),LEN(A171)))))))/10))*100+1</f>
        <v>2901</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3">
      <c r="A173" s="112">
        <f>A172+1</f>
        <v>2</v>
      </c>
      <c r="B173" s="112"/>
      <c r="C173" s="54" t="s">
        <v>89</v>
      </c>
      <c r="D173" s="54" t="s">
        <v>342</v>
      </c>
      <c r="E173" s="5">
        <f>(65.02-(1.22*2.75+0.77*2.15))*(10.764)</f>
        <v>645.94225799999992</v>
      </c>
      <c r="F173" s="32">
        <f>(1.22*2.75+0.77*2.15)*(10.764)</f>
        <v>53.933022000000001</v>
      </c>
      <c r="G173" s="5">
        <v>0</v>
      </c>
      <c r="H173" s="5">
        <f t="shared" ref="H173:H176" si="18">E173+F173+(IF(G173&lt;101,G173,IF(G173&lt;201,G173/2,IF(G173&lt;=301,G173/3,G173/4))))</f>
        <v>699.87527999999998</v>
      </c>
      <c r="I173" s="1"/>
      <c r="J173" s="1"/>
      <c r="K173" s="1"/>
      <c r="L173" s="1"/>
      <c r="M173" s="1"/>
      <c r="N173" s="1"/>
      <c r="O173" s="1"/>
      <c r="P173" s="1"/>
      <c r="Q173" s="1"/>
      <c r="R173" s="1"/>
      <c r="S173" s="1"/>
      <c r="T173" s="22" t="str">
        <f t="shared" ref="T173:T178" ca="1" si="19">U173&amp;""&amp;" &amp; "&amp;""&amp;V173</f>
        <v>1502 &amp; 2902</v>
      </c>
      <c r="U173" s="22">
        <f ca="1">U172+1</f>
        <v>1502</v>
      </c>
      <c r="V173" s="22">
        <f ca="1">V172+1</f>
        <v>2902</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3">
      <c r="A174" s="112">
        <f t="shared" ref="A174:A178" si="20">A173+1</f>
        <v>3</v>
      </c>
      <c r="B174" s="112"/>
      <c r="C174" s="54" t="s">
        <v>89</v>
      </c>
      <c r="D174" s="54" t="s">
        <v>342</v>
      </c>
      <c r="E174" s="5">
        <f>(68.62-(1.22*3.05+0.85*2.15))*(10.764)</f>
        <v>678.90162600000008</v>
      </c>
      <c r="F174" s="32">
        <f>(1.22*3.05+0.85*2.15)*(10.764)</f>
        <v>59.724053999999995</v>
      </c>
      <c r="G174" s="5">
        <v>0</v>
      </c>
      <c r="H174" s="5">
        <f t="shared" si="18"/>
        <v>738.6256800000001</v>
      </c>
      <c r="I174" s="1"/>
      <c r="J174" s="1"/>
      <c r="K174" s="1"/>
      <c r="L174" s="1"/>
      <c r="M174" s="1"/>
      <c r="N174" s="1"/>
      <c r="O174" s="1"/>
      <c r="P174" s="1"/>
      <c r="Q174" s="1"/>
      <c r="R174" s="1"/>
      <c r="S174" s="1"/>
      <c r="T174" s="22" t="str">
        <f t="shared" ca="1" si="19"/>
        <v>1503 &amp; 2903</v>
      </c>
      <c r="U174" s="22">
        <f t="shared" ref="U174:V178" ca="1" si="21">U173+1</f>
        <v>1503</v>
      </c>
      <c r="V174" s="22">
        <f t="shared" ca="1" si="21"/>
        <v>2903</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3">
      <c r="A175" s="112">
        <f t="shared" si="20"/>
        <v>4</v>
      </c>
      <c r="B175" s="112"/>
      <c r="C175" s="54" t="s">
        <v>89</v>
      </c>
      <c r="D175" s="54" t="s">
        <v>341</v>
      </c>
      <c r="E175" s="5">
        <f>(87.68-(3.05*1.22+0.85*2.15))*(10.764)</f>
        <v>884.06346599999995</v>
      </c>
      <c r="F175" s="32">
        <f>(3.05*1.22+0.85*2.15)*(10.764)</f>
        <v>59.724053999999995</v>
      </c>
      <c r="G175" s="5">
        <v>0</v>
      </c>
      <c r="H175" s="5">
        <f t="shared" si="18"/>
        <v>943.78751999999997</v>
      </c>
      <c r="I175" s="1"/>
      <c r="J175" s="1"/>
      <c r="K175" s="1"/>
      <c r="L175" s="1"/>
      <c r="M175" s="1"/>
      <c r="N175" s="1"/>
      <c r="O175" s="1"/>
      <c r="P175" s="1"/>
      <c r="Q175" s="1"/>
      <c r="R175" s="1"/>
      <c r="S175" s="1"/>
      <c r="T175" s="22" t="str">
        <f t="shared" ca="1" si="19"/>
        <v>1504 &amp; 2904</v>
      </c>
      <c r="U175" s="22">
        <f t="shared" ca="1" si="21"/>
        <v>1504</v>
      </c>
      <c r="V175" s="22">
        <f t="shared" ca="1" si="21"/>
        <v>2904</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3">
      <c r="A176" s="112">
        <f t="shared" si="20"/>
        <v>5</v>
      </c>
      <c r="B176" s="112"/>
      <c r="C176" s="54" t="s">
        <v>89</v>
      </c>
      <c r="D176" s="54" t="s">
        <v>342</v>
      </c>
      <c r="E176" s="5">
        <f>(63.73-(3.05*1.22+0.85*2.15))*(10.764)</f>
        <v>626.26566600000001</v>
      </c>
      <c r="F176" s="32">
        <f>(3.05*1.22+0.85*2.15)*(10.764)</f>
        <v>59.724053999999995</v>
      </c>
      <c r="G176" s="5">
        <v>0</v>
      </c>
      <c r="H176" s="5">
        <f t="shared" si="18"/>
        <v>685.98972000000003</v>
      </c>
      <c r="I176" s="1"/>
      <c r="J176" s="1"/>
      <c r="K176" s="1"/>
      <c r="L176" s="1"/>
      <c r="M176" s="1"/>
      <c r="N176" s="1"/>
      <c r="O176" s="1"/>
      <c r="P176" s="1"/>
      <c r="Q176" s="1"/>
      <c r="R176" s="1"/>
      <c r="S176" s="1"/>
      <c r="T176" s="22" t="str">
        <f t="shared" ca="1" si="19"/>
        <v>1505 &amp; 2905</v>
      </c>
      <c r="U176" s="22">
        <f t="shared" ca="1" si="21"/>
        <v>1505</v>
      </c>
      <c r="V176" s="22">
        <f t="shared" ca="1" si="21"/>
        <v>2905</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3">
      <c r="A177" s="112">
        <f t="shared" si="20"/>
        <v>6</v>
      </c>
      <c r="B177" s="112"/>
      <c r="C177" s="165" t="s">
        <v>347</v>
      </c>
      <c r="D177" s="166"/>
      <c r="E177" s="166"/>
      <c r="F177" s="166"/>
      <c r="G177" s="166"/>
      <c r="H177" s="167"/>
      <c r="I177" s="1"/>
      <c r="J177" s="1"/>
      <c r="K177" s="1"/>
      <c r="L177" s="1"/>
      <c r="M177" s="1"/>
      <c r="N177" s="1"/>
      <c r="O177" s="1"/>
      <c r="P177" s="1"/>
      <c r="Q177" s="1"/>
      <c r="R177" s="1"/>
      <c r="S177" s="1"/>
      <c r="T177" s="22" t="str">
        <f t="shared" ca="1" si="19"/>
        <v>1506 &amp; 2906</v>
      </c>
      <c r="U177" s="22">
        <f t="shared" ca="1" si="21"/>
        <v>1506</v>
      </c>
      <c r="V177" s="22">
        <f t="shared" ca="1" si="21"/>
        <v>2906</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3">
      <c r="A178" s="112">
        <f t="shared" si="20"/>
        <v>7</v>
      </c>
      <c r="B178" s="112"/>
      <c r="C178" s="168"/>
      <c r="D178" s="169"/>
      <c r="E178" s="169"/>
      <c r="F178" s="169"/>
      <c r="G178" s="169"/>
      <c r="H178" s="170"/>
      <c r="I178" s="1"/>
      <c r="J178" s="1"/>
      <c r="K178" s="1"/>
      <c r="L178" s="1"/>
      <c r="M178" s="1"/>
      <c r="N178" s="1"/>
      <c r="O178" s="1"/>
      <c r="P178" s="1"/>
      <c r="Q178" s="1"/>
      <c r="R178" s="1"/>
      <c r="S178" s="1"/>
      <c r="T178" s="22" t="str">
        <f t="shared" ca="1" si="19"/>
        <v>1507 &amp; 2907</v>
      </c>
      <c r="U178" s="22">
        <f t="shared" ca="1" si="21"/>
        <v>1507</v>
      </c>
      <c r="V178" s="22">
        <f t="shared" ca="1" si="21"/>
        <v>2907</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1" x14ac:dyDescent="0.3">
      <c r="A179" s="115" t="s">
        <v>350</v>
      </c>
      <c r="B179" s="116"/>
      <c r="C179" s="116"/>
      <c r="D179" s="116"/>
      <c r="E179" s="116"/>
      <c r="F179" s="116"/>
      <c r="G179" s="116"/>
      <c r="H179" s="117"/>
      <c r="I179" s="1">
        <v>1</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3">
      <c r="A180" s="112">
        <v>1</v>
      </c>
      <c r="B180" s="112"/>
      <c r="C180" s="54" t="s">
        <v>89</v>
      </c>
      <c r="D180" s="54" t="s">
        <v>341</v>
      </c>
      <c r="E180" s="5">
        <f>(91.53-(1.22*2.97+2.15*0.85))*(10.764)</f>
        <v>926.55543239999986</v>
      </c>
      <c r="F180" s="32">
        <f>(1.22*2.97+2.15*0.85)*(10.764)</f>
        <v>58.673487599999994</v>
      </c>
      <c r="G180" s="5">
        <v>0</v>
      </c>
      <c r="H180" s="5">
        <f>E180+F180+(IF(G180&lt;101,G180,IF(G180&lt;201,G180/2,IF(G180&lt;=301,G180/3,G180/4))))</f>
        <v>985.2289199999999</v>
      </c>
      <c r="I180" s="1"/>
      <c r="J180" s="1"/>
      <c r="K180" s="1"/>
      <c r="L180" s="1"/>
      <c r="M180" s="1"/>
      <c r="N180" s="1"/>
      <c r="O180" s="1"/>
      <c r="P180" s="1"/>
      <c r="Q180" s="1"/>
      <c r="R180" s="1"/>
      <c r="S180" s="1"/>
      <c r="T180" s="22" t="str">
        <f ca="1">U180&amp;""&amp;" &amp; "&amp;""&amp;V180</f>
        <v>301 &amp; 3601</v>
      </c>
      <c r="U180" s="22">
        <f ca="1">(SUMPRODUCT(MID(0&amp;(LEFT(A179,SUM(LEN(A179)-LEN(SUBSTITUTE(A179,{"0","1","2","3"},""))))), LARGE(INDEX(ISNUMBER(--MID((LEFT(A179,SUM(LEN(A179)-LEN(SUBSTITUTE(A179,{"0","1","2","3"},""))))), ROW(INDIRECT("1:"&amp;LEN((LEFT(A179,SUM(LEN(A179)-LEN(SUBSTITUTE(A179,{"0","1","2","3"},"")))))))), 1)) * ROW(INDIRECT("1:"&amp;LEN((LEFT(A179,SUM(LEN(A179)-LEN(SUBSTITUTE(A179,{"0","1","2","3"},"")))))))), 0), ROW(INDIRECT("1:"&amp;LEN((LEFT(A179,SUM(LEN(A179)-LEN(SUBSTITUTE(A179,{"0","1","2","3"},"")))))))))+1, 1) * 10^ROW(INDIRECT("1:"&amp;LEN((LEFT(A179,SUM(LEN(A179)-LEN(SUBSTITUTE(A179,{"0","1","2","3"},""))))))))/10))*100+1</f>
        <v>301</v>
      </c>
      <c r="V180" s="22">
        <f ca="1">(SUMPRODUCT(MID(0&amp;(--TRIM(RIGHT(SUBSTITUTE(LEFT(A179,_xlfn.AGGREGATE(16,6,FIND({0,1,2,3,4,5,6,7,8,9},A179,ROW(INDIRECT("1:"&amp;LEN(A179)))),1)),"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3601</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3">
      <c r="A181" s="112">
        <f>A180+1</f>
        <v>2</v>
      </c>
      <c r="B181" s="112"/>
      <c r="C181" s="54" t="s">
        <v>89</v>
      </c>
      <c r="D181" s="54" t="s">
        <v>342</v>
      </c>
      <c r="E181" s="5">
        <f>(65.02-(1.22*2.75+0.77*2.15))*(10.764)</f>
        <v>645.94225799999992</v>
      </c>
      <c r="F181" s="32">
        <f>(1.22*2.75+0.77*2.15)*(10.764)</f>
        <v>53.933022000000001</v>
      </c>
      <c r="G181" s="5">
        <v>0</v>
      </c>
      <c r="H181" s="5">
        <f t="shared" ref="H181:H185" si="22">E181+F181+(IF(G181&lt;101,G181,IF(G181&lt;201,G181/2,IF(G181&lt;=301,G181/3,G181/4))))</f>
        <v>699.87527999999998</v>
      </c>
      <c r="I181" s="1"/>
      <c r="J181" s="1"/>
      <c r="K181" s="1"/>
      <c r="L181" s="1"/>
      <c r="M181" s="1"/>
      <c r="N181" s="1"/>
      <c r="O181" s="1"/>
      <c r="P181" s="1"/>
      <c r="Q181" s="1"/>
      <c r="R181" s="1"/>
      <c r="S181" s="1"/>
      <c r="T181" s="22" t="str">
        <f t="shared" ref="T181:T186" ca="1" si="23">U181&amp;""&amp;" &amp; "&amp;""&amp;V181</f>
        <v>302 &amp; 3602</v>
      </c>
      <c r="U181" s="22">
        <f ca="1">U180+1</f>
        <v>302</v>
      </c>
      <c r="V181" s="22">
        <f ca="1">V180+1</f>
        <v>3602</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3">
      <c r="A182" s="112">
        <f t="shared" ref="A182:A186" si="24">A181+1</f>
        <v>3</v>
      </c>
      <c r="B182" s="112"/>
      <c r="C182" s="54" t="s">
        <v>89</v>
      </c>
      <c r="D182" s="54" t="s">
        <v>342</v>
      </c>
      <c r="E182" s="5">
        <f>(68.62-(1.22*3.05+0.85*2.15))*(10.764)</f>
        <v>678.90162600000008</v>
      </c>
      <c r="F182" s="32">
        <f>(1.22*3.05+0.85*2.15)*(10.764)</f>
        <v>59.724053999999995</v>
      </c>
      <c r="G182" s="5">
        <v>0</v>
      </c>
      <c r="H182" s="5">
        <f t="shared" si="22"/>
        <v>738.6256800000001</v>
      </c>
      <c r="I182" s="1"/>
      <c r="J182" s="1"/>
      <c r="K182" s="1"/>
      <c r="L182" s="1"/>
      <c r="M182" s="1"/>
      <c r="N182" s="1"/>
      <c r="O182" s="1"/>
      <c r="P182" s="1"/>
      <c r="Q182" s="1"/>
      <c r="R182" s="1"/>
      <c r="S182" s="1"/>
      <c r="T182" s="22" t="str">
        <f t="shared" ca="1" si="23"/>
        <v>303 &amp; 3603</v>
      </c>
      <c r="U182" s="22">
        <f t="shared" ref="U182:V186" ca="1" si="25">U181+1</f>
        <v>303</v>
      </c>
      <c r="V182" s="22">
        <f t="shared" ca="1" si="25"/>
        <v>3603</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3">
      <c r="A183" s="112">
        <f t="shared" si="24"/>
        <v>4</v>
      </c>
      <c r="B183" s="112"/>
      <c r="C183" s="54" t="s">
        <v>89</v>
      </c>
      <c r="D183" s="54" t="s">
        <v>341</v>
      </c>
      <c r="E183" s="5">
        <f>(87.68-(3.05*1.22+0.85*2.15))*(10.764)</f>
        <v>884.06346599999995</v>
      </c>
      <c r="F183" s="32">
        <f>(3.05*1.22+0.85*2.15)*(10.764)</f>
        <v>59.724053999999995</v>
      </c>
      <c r="G183" s="5">
        <v>0</v>
      </c>
      <c r="H183" s="5">
        <f t="shared" si="22"/>
        <v>943.78751999999997</v>
      </c>
      <c r="I183" s="1"/>
      <c r="J183" s="1"/>
      <c r="K183" s="1"/>
      <c r="L183" s="1"/>
      <c r="M183" s="1"/>
      <c r="N183" s="1"/>
      <c r="O183" s="1"/>
      <c r="P183" s="1"/>
      <c r="Q183" s="1"/>
      <c r="R183" s="1"/>
      <c r="S183" s="1"/>
      <c r="T183" s="22" t="str">
        <f t="shared" ca="1" si="23"/>
        <v>304 &amp; 3604</v>
      </c>
      <c r="U183" s="22">
        <f t="shared" ca="1" si="25"/>
        <v>304</v>
      </c>
      <c r="V183" s="22">
        <f t="shared" ca="1" si="25"/>
        <v>3604</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3">
      <c r="A184" s="112">
        <f t="shared" si="24"/>
        <v>5</v>
      </c>
      <c r="B184" s="112"/>
      <c r="C184" s="54" t="s">
        <v>89</v>
      </c>
      <c r="D184" s="54" t="s">
        <v>342</v>
      </c>
      <c r="E184" s="5">
        <f>(63.73-(3.05*1.22+0.85*2.15))*(10.764)</f>
        <v>626.26566600000001</v>
      </c>
      <c r="F184" s="32">
        <f>(3.05*1.22+0.85*2.15)*(10.764)</f>
        <v>59.724053999999995</v>
      </c>
      <c r="G184" s="5">
        <v>0</v>
      </c>
      <c r="H184" s="5">
        <f t="shared" si="22"/>
        <v>685.98972000000003</v>
      </c>
      <c r="I184" s="1"/>
      <c r="J184" s="1"/>
      <c r="K184" s="1"/>
      <c r="L184" s="1"/>
      <c r="M184" s="1"/>
      <c r="N184" s="1"/>
      <c r="O184" s="1"/>
      <c r="P184" s="1"/>
      <c r="Q184" s="1"/>
      <c r="R184" s="1"/>
      <c r="S184" s="1"/>
      <c r="T184" s="22" t="str">
        <f t="shared" ca="1" si="23"/>
        <v>305 &amp; 3605</v>
      </c>
      <c r="U184" s="22">
        <f t="shared" ca="1" si="25"/>
        <v>305</v>
      </c>
      <c r="V184" s="22">
        <f t="shared" ca="1" si="25"/>
        <v>3605</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3">
      <c r="A185" s="112">
        <f t="shared" si="24"/>
        <v>6</v>
      </c>
      <c r="B185" s="112"/>
      <c r="C185" s="54" t="s">
        <v>89</v>
      </c>
      <c r="D185" s="54" t="s">
        <v>342</v>
      </c>
      <c r="E185" s="5">
        <f>(63.83-(3.05*1.37+1*2.15))*(10.764)</f>
        <v>618.946146</v>
      </c>
      <c r="F185" s="32">
        <f>(3.05*1.37+1*2.15)*(10.764)</f>
        <v>68.119973999999999</v>
      </c>
      <c r="G185" s="5">
        <v>0</v>
      </c>
      <c r="H185" s="5">
        <f t="shared" si="22"/>
        <v>687.06611999999996</v>
      </c>
      <c r="I185" s="1"/>
      <c r="J185" s="1"/>
      <c r="K185" s="1"/>
      <c r="L185" s="1"/>
      <c r="M185" s="1"/>
      <c r="N185" s="1"/>
      <c r="O185" s="1"/>
      <c r="P185" s="1"/>
      <c r="Q185" s="1"/>
      <c r="R185" s="1"/>
      <c r="S185" s="1"/>
      <c r="T185" s="22" t="str">
        <f t="shared" ca="1" si="23"/>
        <v>306 &amp; 3606</v>
      </c>
      <c r="U185" s="22">
        <f t="shared" ca="1" si="25"/>
        <v>306</v>
      </c>
      <c r="V185" s="22">
        <f t="shared" ca="1" si="25"/>
        <v>3606</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3">
      <c r="A186" s="112">
        <f t="shared" si="24"/>
        <v>7</v>
      </c>
      <c r="B186" s="112"/>
      <c r="C186" s="162" t="s">
        <v>347</v>
      </c>
      <c r="D186" s="163"/>
      <c r="E186" s="163"/>
      <c r="F186" s="163"/>
      <c r="G186" s="163"/>
      <c r="H186" s="164"/>
      <c r="I186" s="1"/>
      <c r="J186" s="1"/>
      <c r="K186" s="1"/>
      <c r="L186" s="1"/>
      <c r="M186" s="1"/>
      <c r="N186" s="1"/>
      <c r="O186" s="1"/>
      <c r="P186" s="1"/>
      <c r="Q186" s="1"/>
      <c r="R186" s="1"/>
      <c r="S186" s="1"/>
      <c r="T186" s="22" t="str">
        <f t="shared" ca="1" si="23"/>
        <v>307 &amp; 3607</v>
      </c>
      <c r="U186" s="22">
        <f t="shared" ca="1" si="25"/>
        <v>307</v>
      </c>
      <c r="V186" s="22">
        <f t="shared" ca="1" si="25"/>
        <v>3607</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1" x14ac:dyDescent="0.3">
      <c r="A187" s="115" t="s">
        <v>351</v>
      </c>
      <c r="B187" s="116"/>
      <c r="C187" s="116"/>
      <c r="D187" s="116"/>
      <c r="E187" s="116"/>
      <c r="F187" s="116"/>
      <c r="G187" s="116"/>
      <c r="H187" s="117"/>
      <c r="I187" s="1">
        <v>1</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3">
      <c r="A188" s="112">
        <v>1</v>
      </c>
      <c r="B188" s="112"/>
      <c r="C188" s="54" t="s">
        <v>89</v>
      </c>
      <c r="D188" s="54" t="s">
        <v>341</v>
      </c>
      <c r="E188" s="5">
        <f>(91.53-(1.22*2.97+2.15*0.85))*(10.764)</f>
        <v>926.55543239999986</v>
      </c>
      <c r="F188" s="32">
        <f>(1.22*2.97+2.15*0.85)*(10.764)</f>
        <v>58.673487599999994</v>
      </c>
      <c r="G188" s="5">
        <v>0</v>
      </c>
      <c r="H188" s="5">
        <f>E188+F188+(IF(G188&lt;101,G188,IF(G188&lt;201,G188/2,IF(G188&lt;=301,G188/3,G188/4))))</f>
        <v>985.2289199999999</v>
      </c>
      <c r="I188" s="1"/>
      <c r="J188" s="1"/>
      <c r="K188" s="1"/>
      <c r="L188" s="1"/>
      <c r="M188" s="1"/>
      <c r="N188" s="1"/>
      <c r="O188" s="1"/>
      <c r="P188" s="1"/>
      <c r="Q188" s="1"/>
      <c r="R188" s="1"/>
      <c r="S188" s="1"/>
      <c r="T188" s="22" t="str">
        <f ca="1">U188&amp;""&amp;" &amp; "&amp;""&amp;V188</f>
        <v>301 &amp; 3901</v>
      </c>
      <c r="U188" s="22">
        <f ca="1">(SUMPRODUCT(MID(0&amp;(LEFT(A187,SUM(LEN(A187)-LEN(SUBSTITUTE(A187,{"0","1","2","3"},""))))), LARGE(INDEX(ISNUMBER(--MID((LEFT(A187,SUM(LEN(A187)-LEN(SUBSTITUTE(A187,{"0","1","2","3"},""))))), ROW(INDIRECT("1:"&amp;LEN((LEFT(A187,SUM(LEN(A187)-LEN(SUBSTITUTE(A187,{"0","1","2","3"},"")))))))), 1)) * ROW(INDIRECT("1:"&amp;LEN((LEFT(A187,SUM(LEN(A187)-LEN(SUBSTITUTE(A187,{"0","1","2","3"},"")))))))), 0), ROW(INDIRECT("1:"&amp;LEN((LEFT(A187,SUM(LEN(A187)-LEN(SUBSTITUTE(A187,{"0","1","2","3"},"")))))))))+1, 1) * 10^ROW(INDIRECT("1:"&amp;LEN((LEFT(A187,SUM(LEN(A187)-LEN(SUBSTITUTE(A187,{"0","1","2","3"},""))))))))/10))*100+1</f>
        <v>301</v>
      </c>
      <c r="V188" s="22">
        <f ca="1">(SUMPRODUCT(MID(0&amp;(--TRIM(RIGHT(SUBSTITUTE(LEFT(A187,_xlfn.AGGREGATE(16,6,FIND({0,1,2,3,4,5,6,7,8,9},A187,ROW(INDIRECT("1:"&amp;LEN(A187)))),1)),"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",LEN(A187))),LEN(A187)))))))/10))*100+1</f>
        <v>3901</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3">
      <c r="A189" s="112">
        <f>A188+1</f>
        <v>2</v>
      </c>
      <c r="B189" s="112"/>
      <c r="C189" s="54" t="s">
        <v>89</v>
      </c>
      <c r="D189" s="54" t="s">
        <v>342</v>
      </c>
      <c r="E189" s="5">
        <f>(65.02-(1.22*2.75+0.77*2.15))*(10.764)</f>
        <v>645.94225799999992</v>
      </c>
      <c r="F189" s="32">
        <f>(1.22*2.75+0.77*2.15)*(10.764)</f>
        <v>53.933022000000001</v>
      </c>
      <c r="G189" s="5">
        <v>0</v>
      </c>
      <c r="H189" s="5">
        <f t="shared" ref="H189:H191" si="26">E189+F189+(IF(G189&lt;101,G189,IF(G189&lt;201,G189/2,IF(G189&lt;=301,G189/3,G189/4))))</f>
        <v>699.87527999999998</v>
      </c>
      <c r="I189" s="1"/>
      <c r="J189" s="1"/>
      <c r="K189" s="1"/>
      <c r="L189" s="1"/>
      <c r="M189" s="1"/>
      <c r="N189" s="1"/>
      <c r="O189" s="1"/>
      <c r="P189" s="1"/>
      <c r="Q189" s="1"/>
      <c r="R189" s="1"/>
      <c r="S189" s="1"/>
      <c r="T189" s="22" t="str">
        <f t="shared" ref="T189:T194" ca="1" si="27">U189&amp;""&amp;" &amp; "&amp;""&amp;V189</f>
        <v>302 &amp; 3902</v>
      </c>
      <c r="U189" s="22">
        <f ca="1">U188+1</f>
        <v>302</v>
      </c>
      <c r="V189" s="22">
        <f ca="1">V188+1</f>
        <v>3902</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3">
      <c r="A190" s="112">
        <f t="shared" ref="A190:A194" si="28">A189+1</f>
        <v>3</v>
      </c>
      <c r="B190" s="112"/>
      <c r="C190" s="54" t="s">
        <v>89</v>
      </c>
      <c r="D190" s="54" t="s">
        <v>342</v>
      </c>
      <c r="E190" s="5">
        <f>(68.62-(1.22*3.05+0.85*2.15))*(10.764)</f>
        <v>678.90162600000008</v>
      </c>
      <c r="F190" s="32">
        <f>(1.22*3.05+0.85*2.15)*(10.764)</f>
        <v>59.724053999999995</v>
      </c>
      <c r="G190" s="5">
        <v>0</v>
      </c>
      <c r="H190" s="5">
        <f t="shared" si="26"/>
        <v>738.6256800000001</v>
      </c>
      <c r="I190" s="1"/>
      <c r="J190" s="1"/>
      <c r="K190" s="1"/>
      <c r="L190" s="1"/>
      <c r="M190" s="1"/>
      <c r="N190" s="1"/>
      <c r="O190" s="1"/>
      <c r="P190" s="1"/>
      <c r="Q190" s="1"/>
      <c r="R190" s="1"/>
      <c r="S190" s="1"/>
      <c r="T190" s="22" t="str">
        <f t="shared" ca="1" si="27"/>
        <v>303 &amp; 3903</v>
      </c>
      <c r="U190" s="22">
        <f t="shared" ref="U190:V190" ca="1" si="29">U189+1</f>
        <v>303</v>
      </c>
      <c r="V190" s="22">
        <f t="shared" ca="1" si="29"/>
        <v>3903</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3">
      <c r="A191" s="112">
        <f t="shared" si="28"/>
        <v>4</v>
      </c>
      <c r="B191" s="112"/>
      <c r="C191" s="54" t="s">
        <v>89</v>
      </c>
      <c r="D191" s="54" t="s">
        <v>341</v>
      </c>
      <c r="E191" s="5">
        <f>(87.68-(3.05*1.22+0.85*2.15))*(10.764)</f>
        <v>884.06346599999995</v>
      </c>
      <c r="F191" s="32">
        <f>(3.05*1.22+0.85*2.15)*(10.764)</f>
        <v>59.724053999999995</v>
      </c>
      <c r="G191" s="5">
        <v>0</v>
      </c>
      <c r="H191" s="5">
        <f t="shared" si="26"/>
        <v>943.78751999999997</v>
      </c>
      <c r="I191" s="1"/>
      <c r="J191" s="1"/>
      <c r="K191" s="1"/>
      <c r="L191" s="1"/>
      <c r="M191" s="1"/>
      <c r="N191" s="1"/>
      <c r="O191" s="1"/>
      <c r="P191" s="1"/>
      <c r="Q191" s="1"/>
      <c r="R191" s="1"/>
      <c r="S191" s="1"/>
      <c r="T191" s="22" t="str">
        <f t="shared" ca="1" si="27"/>
        <v>304 &amp; 3904</v>
      </c>
      <c r="U191" s="22">
        <f t="shared" ref="U191:V191" ca="1" si="30">U190+1</f>
        <v>304</v>
      </c>
      <c r="V191" s="22">
        <f t="shared" ca="1" si="30"/>
        <v>3904</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3">
      <c r="A192" s="112">
        <f t="shared" si="28"/>
        <v>5</v>
      </c>
      <c r="B192" s="112"/>
      <c r="C192" s="162" t="s">
        <v>352</v>
      </c>
      <c r="D192" s="163"/>
      <c r="E192" s="163"/>
      <c r="F192" s="163"/>
      <c r="G192" s="163"/>
      <c r="H192" s="164"/>
      <c r="I192" s="1"/>
      <c r="J192" s="1"/>
      <c r="K192" s="1"/>
      <c r="L192" s="1"/>
      <c r="M192" s="1"/>
      <c r="N192" s="1"/>
      <c r="O192" s="1"/>
      <c r="P192" s="1"/>
      <c r="Q192" s="1"/>
      <c r="R192" s="1"/>
      <c r="S192" s="1"/>
      <c r="T192" s="22" t="str">
        <f t="shared" ca="1" si="27"/>
        <v>305 &amp; 3905</v>
      </c>
      <c r="U192" s="22">
        <f t="shared" ref="U192:V192" ca="1" si="31">U191+1</f>
        <v>305</v>
      </c>
      <c r="V192" s="22">
        <f t="shared" ca="1" si="31"/>
        <v>3905</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3">
      <c r="A193" s="112">
        <f t="shared" si="28"/>
        <v>6</v>
      </c>
      <c r="B193" s="112"/>
      <c r="C193" s="165" t="s">
        <v>345</v>
      </c>
      <c r="D193" s="166"/>
      <c r="E193" s="166"/>
      <c r="F193" s="166"/>
      <c r="G193" s="166"/>
      <c r="H193" s="167"/>
      <c r="I193" s="1"/>
      <c r="J193" s="1"/>
      <c r="K193" s="1"/>
      <c r="L193" s="1"/>
      <c r="M193" s="1"/>
      <c r="N193" s="1"/>
      <c r="O193" s="1"/>
      <c r="P193" s="1"/>
      <c r="Q193" s="1"/>
      <c r="R193" s="1"/>
      <c r="S193" s="1"/>
      <c r="T193" s="22" t="str">
        <f t="shared" ca="1" si="27"/>
        <v>306 &amp; 3906</v>
      </c>
      <c r="U193" s="22">
        <f t="shared" ref="U193:V193" ca="1" si="32">U192+1</f>
        <v>306</v>
      </c>
      <c r="V193" s="22">
        <f t="shared" ca="1" si="32"/>
        <v>3906</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3">
      <c r="A194" s="112">
        <f t="shared" si="28"/>
        <v>7</v>
      </c>
      <c r="B194" s="112"/>
      <c r="C194" s="168"/>
      <c r="D194" s="169"/>
      <c r="E194" s="169"/>
      <c r="F194" s="169"/>
      <c r="G194" s="169"/>
      <c r="H194" s="170"/>
      <c r="I194" s="1"/>
      <c r="J194" s="1"/>
      <c r="K194" s="1"/>
      <c r="L194" s="1"/>
      <c r="M194" s="1"/>
      <c r="N194" s="1"/>
      <c r="O194" s="1"/>
      <c r="P194" s="1"/>
      <c r="Q194" s="1"/>
      <c r="R194" s="1"/>
      <c r="S194" s="1"/>
      <c r="T194" s="22" t="str">
        <f t="shared" ca="1" si="27"/>
        <v>307 &amp; 3907</v>
      </c>
      <c r="U194" s="22">
        <f t="shared" ref="U194:V194" ca="1" si="33">U193+1</f>
        <v>307</v>
      </c>
      <c r="V194" s="22">
        <f t="shared" ca="1" si="33"/>
        <v>3907</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1" x14ac:dyDescent="0.3">
      <c r="A195" s="115" t="s">
        <v>328</v>
      </c>
      <c r="B195" s="116"/>
      <c r="C195" s="116"/>
      <c r="D195" s="116"/>
      <c r="E195" s="116"/>
      <c r="F195" s="116"/>
      <c r="G195" s="116"/>
      <c r="H195" s="117"/>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1" x14ac:dyDescent="0.3">
      <c r="A196" s="115" t="s">
        <v>333</v>
      </c>
      <c r="B196" s="116"/>
      <c r="C196" s="116"/>
      <c r="D196" s="116"/>
      <c r="E196" s="116"/>
      <c r="F196" s="116"/>
      <c r="G196" s="116"/>
      <c r="H196" s="117"/>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1" x14ac:dyDescent="0.3">
      <c r="A197" s="115" t="s">
        <v>353</v>
      </c>
      <c r="B197" s="116"/>
      <c r="C197" s="116"/>
      <c r="D197" s="116"/>
      <c r="E197" s="116"/>
      <c r="F197" s="116"/>
      <c r="G197" s="116"/>
      <c r="H197" s="117"/>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1" x14ac:dyDescent="0.3">
      <c r="A198" s="115" t="s">
        <v>336</v>
      </c>
      <c r="B198" s="116"/>
      <c r="C198" s="116"/>
      <c r="D198" s="116"/>
      <c r="E198" s="116"/>
      <c r="F198" s="116"/>
      <c r="G198" s="116"/>
      <c r="H198" s="117"/>
      <c r="I198" s="1">
        <v>1</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1" x14ac:dyDescent="0.3">
      <c r="A199" s="115" t="s">
        <v>337</v>
      </c>
      <c r="B199" s="116"/>
      <c r="C199" s="116"/>
      <c r="D199" s="116"/>
      <c r="E199" s="116"/>
      <c r="F199" s="116"/>
      <c r="G199" s="116"/>
      <c r="H199" s="117"/>
      <c r="I199" s="1">
        <v>3</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1" x14ac:dyDescent="0.3">
      <c r="A200" s="115" t="s">
        <v>338</v>
      </c>
      <c r="B200" s="116"/>
      <c r="C200" s="116"/>
      <c r="D200" s="116"/>
      <c r="E200" s="116"/>
      <c r="F200" s="116"/>
      <c r="G200" s="116"/>
      <c r="H200" s="117"/>
      <c r="I200" s="1">
        <v>1</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1" x14ac:dyDescent="0.3">
      <c r="A201" s="115" t="s">
        <v>339</v>
      </c>
      <c r="B201" s="116"/>
      <c r="C201" s="116"/>
      <c r="D201" s="116"/>
      <c r="E201" s="116"/>
      <c r="F201" s="116"/>
      <c r="G201" s="116"/>
      <c r="H201" s="117"/>
      <c r="I201" s="1">
        <v>1</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1" x14ac:dyDescent="0.3">
      <c r="A202" s="115" t="s">
        <v>354</v>
      </c>
      <c r="B202" s="116"/>
      <c r="C202" s="116"/>
      <c r="D202" s="116"/>
      <c r="E202" s="116"/>
      <c r="F202" s="116"/>
      <c r="G202" s="116"/>
      <c r="H202" s="117"/>
      <c r="I202" s="1">
        <v>1</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1" x14ac:dyDescent="0.3">
      <c r="A203" s="115" t="s">
        <v>355</v>
      </c>
      <c r="B203" s="116"/>
      <c r="C203" s="116"/>
      <c r="D203" s="116"/>
      <c r="E203" s="116"/>
      <c r="F203" s="116"/>
      <c r="G203" s="116"/>
      <c r="H203" s="117"/>
      <c r="I203" s="1">
        <v>1</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3">
      <c r="A204" s="112">
        <v>1</v>
      </c>
      <c r="B204" s="112"/>
      <c r="C204" s="54" t="s">
        <v>89</v>
      </c>
      <c r="D204" s="54" t="s">
        <v>342</v>
      </c>
      <c r="E204" s="32">
        <f>(60.6-(2.15*0.85))*(10.764)</f>
        <v>632.62718999999993</v>
      </c>
      <c r="F204" s="5">
        <f>(2.15*0.85)*(10.764)</f>
        <v>19.671209999999999</v>
      </c>
      <c r="G204" s="5">
        <v>0</v>
      </c>
      <c r="H204" s="5">
        <f>E204+F204+(IF(G204&lt;101,G204,IF(G204&lt;201,G204/2,IF(G204&lt;=301,G204/3,G204/4))))</f>
        <v>652.2983999999999</v>
      </c>
      <c r="I204" s="1"/>
      <c r="J204" s="1"/>
      <c r="K204" s="1"/>
      <c r="L204" s="1"/>
      <c r="M204" s="1"/>
      <c r="N204" s="1"/>
      <c r="O204" s="1"/>
      <c r="P204" s="1"/>
      <c r="Q204" s="1"/>
      <c r="R204" s="1"/>
      <c r="S204" s="1"/>
      <c r="T204" s="22" t="e">
        <f ca="1">U204&amp;""&amp;" &amp; "&amp;""&amp;V204</f>
        <v>#REF!</v>
      </c>
      <c r="U204" s="22" t="e">
        <f ca="1">(SUMPRODUCT(MID(0&amp;(LEFT(A203,SUM(LEN(A203)-LEN(SUBSTITUTE(A203,{"0","1","2","3"},""))))), LARGE(INDEX(ISNUMBER(--MID((LEFT(A203,SUM(LEN(A203)-LEN(SUBSTITUTE(A203,{"0","1","2","3"},""))))), ROW(INDIRECT("1:"&amp;LEN((LEFT(A203,SUM(LEN(A203)-LEN(SUBSTITUTE(A203,{"0","1","2","3"},"")))))))), 1)) * ROW(INDIRECT("1:"&amp;LEN((LEFT(A203,SUM(LEN(A203)-LEN(SUBSTITUTE(A203,{"0","1","2","3"},"")))))))), 0), ROW(INDIRECT("1:"&amp;LEN((LEFT(A203,SUM(LEN(A203)-LEN(SUBSTITUTE(A203,{"0","1","2","3"},"")))))))))+1, 1) * 10^ROW(INDIRECT("1:"&amp;LEN((LEFT(A203,SUM(LEN(A203)-LEN(SUBSTITUTE(A203,{"0","1","2","3"},""))))))))/10))*100+1</f>
        <v>#REF!</v>
      </c>
      <c r="V204" s="22">
        <f ca="1">(SUMPRODUCT(MID(0&amp;(--TRIM(RIGHT(SUBSTITUTE(LEFT(A203,_xlfn.AGGREGATE(16,6,FIND({0,1,2,3,4,5,6,7,8,9},A203,ROW(INDIRECT("1:"&amp;LEN(A203)))),1)),"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801</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3">
      <c r="A205" s="112">
        <f>A204+1</f>
        <v>2</v>
      </c>
      <c r="B205" s="112"/>
      <c r="C205" s="165" t="s">
        <v>357</v>
      </c>
      <c r="D205" s="166"/>
      <c r="E205" s="166"/>
      <c r="F205" s="166"/>
      <c r="G205" s="166"/>
      <c r="H205" s="167"/>
      <c r="I205" s="1"/>
      <c r="J205" s="1"/>
      <c r="K205" s="1"/>
      <c r="L205" s="1"/>
      <c r="M205" s="1"/>
      <c r="N205" s="1"/>
      <c r="O205" s="1"/>
      <c r="P205" s="1"/>
      <c r="Q205" s="1"/>
      <c r="R205" s="1"/>
      <c r="S205" s="1"/>
      <c r="T205" s="22" t="e">
        <f t="shared" ref="T205:T211" ca="1" si="34">U205&amp;""&amp;" &amp; "&amp;""&amp;V205</f>
        <v>#REF!</v>
      </c>
      <c r="U205" s="22" t="e">
        <f ca="1">U204+1</f>
        <v>#REF!</v>
      </c>
      <c r="V205" s="22">
        <f ca="1">V204+1</f>
        <v>802</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3">
      <c r="A206" s="112">
        <f t="shared" ref="A206:A210" si="35">A205+1</f>
        <v>3</v>
      </c>
      <c r="B206" s="112"/>
      <c r="C206" s="168"/>
      <c r="D206" s="169"/>
      <c r="E206" s="169"/>
      <c r="F206" s="169"/>
      <c r="G206" s="169"/>
      <c r="H206" s="170"/>
      <c r="I206" s="1"/>
      <c r="J206" s="1"/>
      <c r="K206" s="1"/>
      <c r="L206" s="1"/>
      <c r="M206" s="1"/>
      <c r="N206" s="1"/>
      <c r="O206" s="1"/>
      <c r="P206" s="1"/>
      <c r="Q206" s="1"/>
      <c r="R206" s="1"/>
      <c r="S206" s="1"/>
      <c r="T206" s="22" t="e">
        <f t="shared" ca="1" si="34"/>
        <v>#REF!</v>
      </c>
      <c r="U206" s="22" t="e">
        <f t="shared" ref="U206:V212" ca="1" si="36">U205+1</f>
        <v>#REF!</v>
      </c>
      <c r="V206" s="22">
        <f t="shared" ca="1" si="36"/>
        <v>803</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3">
      <c r="A207" s="112">
        <f t="shared" si="35"/>
        <v>4</v>
      </c>
      <c r="B207" s="112"/>
      <c r="C207" s="54" t="s">
        <v>89</v>
      </c>
      <c r="D207" s="54" t="s">
        <v>342</v>
      </c>
      <c r="E207" s="32">
        <f>(60.92-(2.15*0.85))*(10.764)</f>
        <v>636.07166999999993</v>
      </c>
      <c r="F207" s="5">
        <f>(2.15*0.85)*(10.764)</f>
        <v>19.671209999999999</v>
      </c>
      <c r="G207" s="5">
        <v>0</v>
      </c>
      <c r="H207" s="5">
        <f t="shared" ref="H207:H210" si="37">E207+F207+(IF(G207&lt;101,G207,IF(G207&lt;201,G207/2,IF(G207&lt;=301,G207/3,G207/4))))</f>
        <v>655.7428799999999</v>
      </c>
      <c r="I207" s="1"/>
      <c r="J207" s="1"/>
      <c r="K207" s="1"/>
      <c r="L207" s="1"/>
      <c r="M207" s="1"/>
      <c r="N207" s="1"/>
      <c r="O207" s="1"/>
      <c r="P207" s="1"/>
      <c r="Q207" s="1"/>
      <c r="R207" s="1"/>
      <c r="S207" s="1"/>
      <c r="T207" s="22" t="e">
        <f t="shared" ca="1" si="34"/>
        <v>#REF!</v>
      </c>
      <c r="U207" s="22" t="e">
        <f t="shared" ca="1" si="36"/>
        <v>#REF!</v>
      </c>
      <c r="V207" s="22">
        <f t="shared" ca="1" si="36"/>
        <v>804</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3">
      <c r="A208" s="112">
        <f t="shared" si="35"/>
        <v>5</v>
      </c>
      <c r="B208" s="112"/>
      <c r="C208" s="54" t="s">
        <v>89</v>
      </c>
      <c r="D208" s="54" t="s">
        <v>356</v>
      </c>
      <c r="E208" s="32">
        <f>(37.61)*(10.764)</f>
        <v>404.83403999999996</v>
      </c>
      <c r="F208" s="5">
        <v>0</v>
      </c>
      <c r="G208" s="5">
        <v>0</v>
      </c>
      <c r="H208" s="5">
        <f t="shared" si="37"/>
        <v>404.83403999999996</v>
      </c>
      <c r="I208" s="1"/>
      <c r="J208" s="1"/>
      <c r="K208" s="1"/>
      <c r="L208" s="1"/>
      <c r="M208" s="1"/>
      <c r="N208" s="1"/>
      <c r="O208" s="1"/>
      <c r="P208" s="1"/>
      <c r="Q208" s="1"/>
      <c r="R208" s="1"/>
      <c r="S208" s="1"/>
      <c r="T208" s="22" t="e">
        <f t="shared" ca="1" si="34"/>
        <v>#REF!</v>
      </c>
      <c r="U208" s="22" t="e">
        <f t="shared" ca="1" si="36"/>
        <v>#REF!</v>
      </c>
      <c r="V208" s="22">
        <f t="shared" ca="1" si="36"/>
        <v>805</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3">
      <c r="A209" s="112">
        <f t="shared" si="35"/>
        <v>6</v>
      </c>
      <c r="B209" s="112"/>
      <c r="C209" s="54" t="s">
        <v>89</v>
      </c>
      <c r="D209" s="54" t="s">
        <v>356</v>
      </c>
      <c r="E209" s="32">
        <f>(37.61)*(10.764)</f>
        <v>404.83403999999996</v>
      </c>
      <c r="F209" s="5">
        <v>0</v>
      </c>
      <c r="G209" s="5">
        <v>0</v>
      </c>
      <c r="H209" s="5">
        <f t="shared" si="37"/>
        <v>404.83403999999996</v>
      </c>
      <c r="I209" s="1"/>
      <c r="J209" s="1"/>
      <c r="K209" s="1"/>
      <c r="L209" s="1"/>
      <c r="M209" s="1"/>
      <c r="N209" s="1"/>
      <c r="O209" s="1"/>
      <c r="P209" s="1"/>
      <c r="Q209" s="1"/>
      <c r="R209" s="1"/>
      <c r="S209" s="1"/>
      <c r="T209" s="22" t="e">
        <f t="shared" ca="1" si="34"/>
        <v>#REF!</v>
      </c>
      <c r="U209" s="22" t="e">
        <f t="shared" ca="1" si="36"/>
        <v>#REF!</v>
      </c>
      <c r="V209" s="22">
        <f t="shared" ca="1" si="36"/>
        <v>806</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3">
      <c r="A210" s="112">
        <f t="shared" si="35"/>
        <v>7</v>
      </c>
      <c r="B210" s="112"/>
      <c r="C210" s="54" t="s">
        <v>89</v>
      </c>
      <c r="D210" s="54" t="s">
        <v>342</v>
      </c>
      <c r="E210" s="32">
        <f>(63.73-(3.05*1.22+0.85*2.15))*(10.764)</f>
        <v>626.26566600000001</v>
      </c>
      <c r="F210" s="5">
        <f>(3.05*1.22+0.85*2.15)*(10.764)</f>
        <v>59.724053999999995</v>
      </c>
      <c r="G210" s="5">
        <v>0</v>
      </c>
      <c r="H210" s="5">
        <f t="shared" si="37"/>
        <v>685.98972000000003</v>
      </c>
      <c r="I210" s="1"/>
      <c r="J210" s="1"/>
      <c r="K210" s="1"/>
      <c r="L210" s="1"/>
      <c r="M210" s="1"/>
      <c r="N210" s="1"/>
      <c r="O210" s="1"/>
      <c r="P210" s="1"/>
      <c r="Q210" s="1"/>
      <c r="R210" s="1"/>
      <c r="S210" s="1"/>
      <c r="T210" s="22" t="e">
        <f t="shared" ca="1" si="34"/>
        <v>#REF!</v>
      </c>
      <c r="U210" s="22" t="e">
        <f t="shared" ca="1" si="36"/>
        <v>#REF!</v>
      </c>
      <c r="V210" s="22">
        <f t="shared" ca="1" si="36"/>
        <v>807</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3">
      <c r="A211" s="112">
        <f t="shared" ref="A211" si="38">A210+1</f>
        <v>8</v>
      </c>
      <c r="B211" s="112"/>
      <c r="C211" s="165" t="s">
        <v>347</v>
      </c>
      <c r="D211" s="166"/>
      <c r="E211" s="166"/>
      <c r="F211" s="166"/>
      <c r="G211" s="166"/>
      <c r="H211" s="167"/>
      <c r="I211" s="1"/>
      <c r="J211" s="1"/>
      <c r="K211" s="1"/>
      <c r="L211" s="1"/>
      <c r="M211" s="1"/>
      <c r="N211" s="1"/>
      <c r="O211" s="1"/>
      <c r="P211" s="1"/>
      <c r="Q211" s="1"/>
      <c r="R211" s="1"/>
      <c r="S211" s="1"/>
      <c r="T211" s="22" t="e">
        <f t="shared" ca="1" si="34"/>
        <v>#REF!</v>
      </c>
      <c r="U211" s="22" t="e">
        <f t="shared" ca="1" si="36"/>
        <v>#REF!</v>
      </c>
      <c r="V211" s="22">
        <f t="shared" ca="1" si="36"/>
        <v>808</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3">
      <c r="A212" s="112">
        <f t="shared" ref="A212" si="39">A211+1</f>
        <v>9</v>
      </c>
      <c r="B212" s="112"/>
      <c r="C212" s="168"/>
      <c r="D212" s="169"/>
      <c r="E212" s="169"/>
      <c r="F212" s="169"/>
      <c r="G212" s="169"/>
      <c r="H212" s="170"/>
      <c r="I212" s="1"/>
      <c r="J212" s="1"/>
      <c r="K212" s="1"/>
      <c r="L212" s="1"/>
      <c r="M212" s="1"/>
      <c r="N212" s="1"/>
      <c r="O212" s="1"/>
      <c r="P212" s="1"/>
      <c r="Q212" s="1"/>
      <c r="R212" s="1"/>
      <c r="S212" s="1"/>
      <c r="T212" s="22" t="e">
        <f t="shared" ref="T212" ca="1" si="40">U212&amp;""&amp;" &amp; "&amp;""&amp;V212</f>
        <v>#REF!</v>
      </c>
      <c r="U212" s="22" t="e">
        <f t="shared" ca="1" si="36"/>
        <v>#REF!</v>
      </c>
      <c r="V212" s="22">
        <f t="shared" ca="1" si="36"/>
        <v>809</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1" x14ac:dyDescent="0.3">
      <c r="A213" s="115" t="s">
        <v>348</v>
      </c>
      <c r="B213" s="116"/>
      <c r="C213" s="116"/>
      <c r="D213" s="116"/>
      <c r="E213" s="116"/>
      <c r="F213" s="116"/>
      <c r="G213" s="116"/>
      <c r="H213" s="117"/>
      <c r="I213" s="1">
        <f>6+6+6+6+2</f>
        <v>26</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3">
      <c r="A214" s="112">
        <v>1</v>
      </c>
      <c r="B214" s="112"/>
      <c r="C214" s="54" t="s">
        <v>89</v>
      </c>
      <c r="D214" s="54" t="s">
        <v>342</v>
      </c>
      <c r="E214" s="32">
        <f>(60.6-(2.15*0.85))*(10.764)</f>
        <v>632.62718999999993</v>
      </c>
      <c r="F214" s="5">
        <f>(2.15*0.85)*(10.764)</f>
        <v>19.671209999999999</v>
      </c>
      <c r="G214" s="5">
        <v>0</v>
      </c>
      <c r="H214" s="5">
        <f>E214+F214+(IF(G214&lt;101,G214,IF(G214&lt;201,G214/2,IF(G214&lt;=301,G214/3,G214/4))))</f>
        <v>652.2983999999999</v>
      </c>
      <c r="I214" s="1"/>
      <c r="J214" s="1"/>
      <c r="K214" s="1"/>
      <c r="L214" s="1"/>
      <c r="M214" s="1"/>
      <c r="N214" s="1"/>
      <c r="O214" s="1"/>
      <c r="P214" s="1"/>
      <c r="Q214" s="1"/>
      <c r="R214" s="1"/>
      <c r="S214" s="1"/>
      <c r="T214" s="22" t="str">
        <f ca="1">U214&amp;""&amp;" &amp; "&amp;""&amp;V214</f>
        <v>91401 &amp; 3801</v>
      </c>
      <c r="U214" s="22">
        <f ca="1">(SUMPRODUCT(MID(0&amp;(LEFT(A213,SUM(LEN(A213)-LEN(SUBSTITUTE(A213,{"0","1","2","3"},""))))), LARGE(INDEX(ISNUMBER(--MID((LEFT(A213,SUM(LEN(A213)-LEN(SUBSTITUTE(A213,{"0","1","2","3"},""))))), ROW(INDIRECT("1:"&amp;LEN((LEFT(A213,SUM(LEN(A213)-LEN(SUBSTITUTE(A213,{"0","1","2","3"},"")))))))), 1)) * ROW(INDIRECT("1:"&amp;LEN((LEFT(A213,SUM(LEN(A213)-LEN(SUBSTITUTE(A213,{"0","1","2","3"},"")))))))), 0), ROW(INDIRECT("1:"&amp;LEN((LEFT(A213,SUM(LEN(A213)-LEN(SUBSTITUTE(A213,{"0","1","2","3"},"")))))))))+1, 1) * 10^ROW(INDIRECT("1:"&amp;LEN((LEFT(A213,SUM(LEN(A213)-LEN(SUBSTITUTE(A213,{"0","1","2","3"},""))))))))/10))*100+1</f>
        <v>91401</v>
      </c>
      <c r="V214" s="22">
        <f ca="1">(SUMPRODUCT(MID(0&amp;(--TRIM(RIGHT(SUBSTITUTE(LEFT(A213,_xlfn.AGGREGATE(16,6,FIND({0,1,2,3,4,5,6,7,8,9},A213,ROW(INDIRECT("1:"&amp;LEN(A213)))),1)),"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",LEN(A213))),LEN(A213)))))))/10))*100+1</f>
        <v>3801</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3">
      <c r="A215" s="112">
        <f>A214+1</f>
        <v>2</v>
      </c>
      <c r="B215" s="112"/>
      <c r="C215" s="54" t="s">
        <v>89</v>
      </c>
      <c r="D215" s="54" t="s">
        <v>356</v>
      </c>
      <c r="E215" s="32">
        <f>(38.33)*(10.764)</f>
        <v>412.58411999999998</v>
      </c>
      <c r="F215" s="5">
        <v>0</v>
      </c>
      <c r="G215" s="5">
        <v>0</v>
      </c>
      <c r="H215" s="5">
        <f t="shared" ref="H215:H221" si="41">E215+F215+(IF(G215&lt;101,G215,IF(G215&lt;201,G215/2,IF(G215&lt;=301,G215/3,G215/4))))</f>
        <v>412.58411999999998</v>
      </c>
      <c r="I215" s="1"/>
      <c r="J215" s="1"/>
      <c r="K215" s="1"/>
      <c r="L215" s="1"/>
      <c r="M215" s="1"/>
      <c r="N215" s="1"/>
      <c r="O215" s="1"/>
      <c r="P215" s="1"/>
      <c r="Q215" s="1"/>
      <c r="R215" s="1"/>
      <c r="S215" s="1"/>
      <c r="T215" s="22" t="str">
        <f t="shared" ref="T215:T221" ca="1" si="42">U215&amp;""&amp;" &amp; "&amp;""&amp;V215</f>
        <v>91402 &amp; 3802</v>
      </c>
      <c r="U215" s="22">
        <f ca="1">U214+1</f>
        <v>91402</v>
      </c>
      <c r="V215" s="22">
        <f ca="1">V214+1</f>
        <v>3802</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3">
      <c r="A216" s="112">
        <f t="shared" ref="A216:A221" si="43">A215+1</f>
        <v>3</v>
      </c>
      <c r="B216" s="112"/>
      <c r="C216" s="54" t="s">
        <v>89</v>
      </c>
      <c r="D216" s="54" t="s">
        <v>356</v>
      </c>
      <c r="E216" s="32">
        <f>(38.33)*(10.764)</f>
        <v>412.58411999999998</v>
      </c>
      <c r="F216" s="5">
        <v>0</v>
      </c>
      <c r="G216" s="5">
        <v>0</v>
      </c>
      <c r="H216" s="5">
        <f t="shared" si="41"/>
        <v>412.58411999999998</v>
      </c>
      <c r="I216" s="1"/>
      <c r="J216" s="1"/>
      <c r="K216" s="1"/>
      <c r="L216" s="1"/>
      <c r="M216" s="1"/>
      <c r="N216" s="1"/>
      <c r="O216" s="1"/>
      <c r="P216" s="1"/>
      <c r="Q216" s="1"/>
      <c r="R216" s="1"/>
      <c r="S216" s="1"/>
      <c r="T216" s="22" t="str">
        <f t="shared" ca="1" si="42"/>
        <v>91403 &amp; 3803</v>
      </c>
      <c r="U216" s="22">
        <f t="shared" ref="U216:V216" ca="1" si="44">U215+1</f>
        <v>91403</v>
      </c>
      <c r="V216" s="22">
        <f t="shared" ca="1" si="44"/>
        <v>3803</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3">
      <c r="A217" s="112">
        <f t="shared" si="43"/>
        <v>4</v>
      </c>
      <c r="B217" s="112"/>
      <c r="C217" s="54" t="s">
        <v>89</v>
      </c>
      <c r="D217" s="54" t="s">
        <v>342</v>
      </c>
      <c r="E217" s="32">
        <f>(60.92-(2.15*0.85))*(10.764)</f>
        <v>636.07166999999993</v>
      </c>
      <c r="F217" s="5">
        <f>(2.15*0.85)*(10.764)</f>
        <v>19.671209999999999</v>
      </c>
      <c r="G217" s="5">
        <v>0</v>
      </c>
      <c r="H217" s="5">
        <f t="shared" si="41"/>
        <v>655.7428799999999</v>
      </c>
      <c r="I217" s="1"/>
      <c r="J217" s="1"/>
      <c r="K217" s="1"/>
      <c r="L217" s="1"/>
      <c r="M217" s="1"/>
      <c r="N217" s="1"/>
      <c r="O217" s="1"/>
      <c r="P217" s="1"/>
      <c r="Q217" s="1"/>
      <c r="R217" s="1"/>
      <c r="S217" s="1"/>
      <c r="T217" s="22" t="str">
        <f t="shared" ca="1" si="42"/>
        <v>91404 &amp; 3804</v>
      </c>
      <c r="U217" s="22">
        <f t="shared" ref="U217:V217" ca="1" si="45">U216+1</f>
        <v>91404</v>
      </c>
      <c r="V217" s="22">
        <f t="shared" ca="1" si="45"/>
        <v>3804</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3">
      <c r="A218" s="112">
        <f t="shared" si="43"/>
        <v>5</v>
      </c>
      <c r="B218" s="112"/>
      <c r="C218" s="54" t="s">
        <v>89</v>
      </c>
      <c r="D218" s="54" t="s">
        <v>356</v>
      </c>
      <c r="E218" s="32">
        <f>(37.61)*(10.764)</f>
        <v>404.83403999999996</v>
      </c>
      <c r="F218" s="5">
        <v>0</v>
      </c>
      <c r="G218" s="5">
        <v>0</v>
      </c>
      <c r="H218" s="5">
        <f t="shared" si="41"/>
        <v>404.83403999999996</v>
      </c>
      <c r="I218" s="1"/>
      <c r="J218" s="1"/>
      <c r="K218" s="1"/>
      <c r="L218" s="1"/>
      <c r="M218" s="1"/>
      <c r="N218" s="1"/>
      <c r="O218" s="1"/>
      <c r="P218" s="1"/>
      <c r="Q218" s="1"/>
      <c r="R218" s="1"/>
      <c r="S218" s="1"/>
      <c r="T218" s="22" t="str">
        <f t="shared" ca="1" si="42"/>
        <v>91405 &amp; 3805</v>
      </c>
      <c r="U218" s="22">
        <f t="shared" ref="U218:V218" ca="1" si="46">U217+1</f>
        <v>91405</v>
      </c>
      <c r="V218" s="22">
        <f t="shared" ca="1" si="46"/>
        <v>3805</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3">
      <c r="A219" s="112">
        <f t="shared" si="43"/>
        <v>6</v>
      </c>
      <c r="B219" s="112"/>
      <c r="C219" s="54" t="s">
        <v>89</v>
      </c>
      <c r="D219" s="54" t="s">
        <v>356</v>
      </c>
      <c r="E219" s="32">
        <f>(37.61)*(10.764)</f>
        <v>404.83403999999996</v>
      </c>
      <c r="F219" s="5">
        <v>0</v>
      </c>
      <c r="G219" s="5">
        <v>0</v>
      </c>
      <c r="H219" s="5">
        <f t="shared" si="41"/>
        <v>404.83403999999996</v>
      </c>
      <c r="I219" s="1"/>
      <c r="J219" s="1"/>
      <c r="K219" s="1"/>
      <c r="L219" s="1"/>
      <c r="M219" s="1"/>
      <c r="N219" s="1"/>
      <c r="O219" s="1"/>
      <c r="P219" s="1"/>
      <c r="Q219" s="1"/>
      <c r="R219" s="1"/>
      <c r="S219" s="1"/>
      <c r="T219" s="22" t="str">
        <f t="shared" ca="1" si="42"/>
        <v>91406 &amp; 3806</v>
      </c>
      <c r="U219" s="22">
        <f t="shared" ref="U219:V219" ca="1" si="47">U218+1</f>
        <v>91406</v>
      </c>
      <c r="V219" s="22">
        <f t="shared" ca="1" si="47"/>
        <v>3806</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3">
      <c r="A220" s="112">
        <f t="shared" si="43"/>
        <v>7</v>
      </c>
      <c r="B220" s="112"/>
      <c r="C220" s="54" t="s">
        <v>89</v>
      </c>
      <c r="D220" s="54" t="s">
        <v>342</v>
      </c>
      <c r="E220" s="32">
        <f>(63.73-(3.05*1.22+0.85*2.15))*(10.764)</f>
        <v>626.26566600000001</v>
      </c>
      <c r="F220" s="5">
        <f>(3.05*1.22+0.85*2.15)*(10.764)</f>
        <v>59.724053999999995</v>
      </c>
      <c r="G220" s="5">
        <v>0</v>
      </c>
      <c r="H220" s="5">
        <f t="shared" si="41"/>
        <v>685.98972000000003</v>
      </c>
      <c r="I220" s="1"/>
      <c r="J220" s="1"/>
      <c r="K220" s="1"/>
      <c r="L220" s="1"/>
      <c r="M220" s="1"/>
      <c r="N220" s="1"/>
      <c r="O220" s="1"/>
      <c r="P220" s="1"/>
      <c r="Q220" s="1"/>
      <c r="R220" s="1"/>
      <c r="S220" s="1"/>
      <c r="T220" s="22" t="str">
        <f t="shared" ca="1" si="42"/>
        <v>91407 &amp; 3807</v>
      </c>
      <c r="U220" s="22">
        <f t="shared" ref="U220:V220" ca="1" si="48">U219+1</f>
        <v>91407</v>
      </c>
      <c r="V220" s="22">
        <f t="shared" ca="1" si="48"/>
        <v>3807</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3">
      <c r="A221" s="112">
        <f t="shared" si="43"/>
        <v>8</v>
      </c>
      <c r="B221" s="112"/>
      <c r="C221" s="54" t="s">
        <v>89</v>
      </c>
      <c r="D221" s="54" t="s">
        <v>342</v>
      </c>
      <c r="E221" s="32">
        <f>(63.83-(3.05*1.22+0.85*2.15))*(10.764)</f>
        <v>627.34206599999993</v>
      </c>
      <c r="F221" s="5">
        <f>(3.05*1.22+0.85*2.15)*(10.764)</f>
        <v>59.724053999999995</v>
      </c>
      <c r="G221" s="5">
        <v>0</v>
      </c>
      <c r="H221" s="5">
        <f t="shared" si="41"/>
        <v>687.06611999999996</v>
      </c>
      <c r="I221" s="1"/>
      <c r="J221" s="1"/>
      <c r="K221" s="1"/>
      <c r="L221" s="1"/>
      <c r="M221" s="1"/>
      <c r="N221" s="1"/>
      <c r="O221" s="1"/>
      <c r="P221" s="1"/>
      <c r="Q221" s="1"/>
      <c r="R221" s="1"/>
      <c r="S221" s="1"/>
      <c r="T221" s="22" t="str">
        <f t="shared" ca="1" si="42"/>
        <v>91408 &amp; 3808</v>
      </c>
      <c r="U221" s="22">
        <f t="shared" ref="U221:V222" ca="1" si="49">U220+1</f>
        <v>91408</v>
      </c>
      <c r="V221" s="22">
        <f t="shared" ca="1" si="49"/>
        <v>3808</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3">
      <c r="A222" s="112">
        <f t="shared" ref="A222" si="50">A221+1</f>
        <v>9</v>
      </c>
      <c r="B222" s="112"/>
      <c r="C222" s="54" t="s">
        <v>89</v>
      </c>
      <c r="D222" s="54" t="s">
        <v>342</v>
      </c>
      <c r="E222" s="32">
        <f>(64.64-(2.96*1.22+0.85*2.15))*(10.764)</f>
        <v>637.24279320000005</v>
      </c>
      <c r="F222" s="5">
        <f>(2.96*1.22+0.85*2.15)*(10.764)</f>
        <v>58.542166799999997</v>
      </c>
      <c r="G222" s="5">
        <v>0</v>
      </c>
      <c r="H222" s="5">
        <f t="shared" ref="H222" si="51">E222+F222+(IF(G222&lt;101,G222,IF(G222&lt;201,G222/2,IF(G222&lt;=301,G222/3,G222/4))))</f>
        <v>695.78496000000007</v>
      </c>
      <c r="I222" s="1"/>
      <c r="J222" s="1"/>
      <c r="K222" s="1"/>
      <c r="L222" s="1"/>
      <c r="M222" s="1"/>
      <c r="N222" s="1"/>
      <c r="O222" s="1"/>
      <c r="P222" s="1"/>
      <c r="Q222" s="1"/>
      <c r="R222" s="1"/>
      <c r="S222" s="1"/>
      <c r="T222" s="22" t="str">
        <f t="shared" ref="T222" ca="1" si="52">U222&amp;""&amp;" &amp; "&amp;""&amp;V222</f>
        <v>91409 &amp; 3809</v>
      </c>
      <c r="U222" s="22">
        <f t="shared" ca="1" si="49"/>
        <v>91409</v>
      </c>
      <c r="V222" s="22">
        <f t="shared" ca="1" si="49"/>
        <v>3809</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1" x14ac:dyDescent="0.3">
      <c r="A223" s="115" t="s">
        <v>349</v>
      </c>
      <c r="B223" s="116"/>
      <c r="C223" s="116"/>
      <c r="D223" s="116"/>
      <c r="E223" s="116"/>
      <c r="F223" s="116"/>
      <c r="G223" s="116"/>
      <c r="H223" s="117"/>
      <c r="I223" s="1">
        <v>3</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3">
      <c r="A224" s="112">
        <v>1</v>
      </c>
      <c r="B224" s="112"/>
      <c r="C224" s="54" t="s">
        <v>89</v>
      </c>
      <c r="D224" s="54" t="s">
        <v>342</v>
      </c>
      <c r="E224" s="32">
        <f>(60.6-(2.15*0.85))*(10.764)</f>
        <v>632.62718999999993</v>
      </c>
      <c r="F224" s="5">
        <f>(2.15*0.85)*(10.764)</f>
        <v>19.671209999999999</v>
      </c>
      <c r="G224" s="5">
        <v>0</v>
      </c>
      <c r="H224" s="5">
        <f>E224+F224+(IF(G224&lt;101,G224,IF(G224&lt;201,G224/2,IF(G224&lt;=301,G224/3,G224/4))))</f>
        <v>652.2983999999999</v>
      </c>
      <c r="I224" s="1"/>
      <c r="J224" s="1"/>
      <c r="K224" s="1"/>
      <c r="L224" s="1"/>
      <c r="M224" s="1"/>
      <c r="N224" s="1"/>
      <c r="O224" s="1"/>
      <c r="P224" s="1"/>
      <c r="Q224" s="1"/>
      <c r="R224" s="1"/>
      <c r="S224" s="1"/>
      <c r="T224" s="22" t="str">
        <f ca="1">U224&amp;""&amp;" &amp; "&amp;""&amp;V224</f>
        <v>1501 &amp; 2901</v>
      </c>
      <c r="U224" s="22">
        <f ca="1">(SUMPRODUCT(MID(0&amp;(LEFT(A223,SUM(LEN(A223)-LEN(SUBSTITUTE(A223,{"0","1","2","3"},""))))), LARGE(INDEX(ISNUMBER(--MID((LEFT(A223,SUM(LEN(A223)-LEN(SUBSTITUTE(A223,{"0","1","2","3"},""))))), ROW(INDIRECT("1:"&amp;LEN((LEFT(A223,SUM(LEN(A223)-LEN(SUBSTITUTE(A223,{"0","1","2","3"},"")))))))), 1)) * ROW(INDIRECT("1:"&amp;LEN((LEFT(A223,SUM(LEN(A223)-LEN(SUBSTITUTE(A223,{"0","1","2","3"},"")))))))), 0), ROW(INDIRECT("1:"&amp;LEN((LEFT(A223,SUM(LEN(A223)-LEN(SUBSTITUTE(A223,{"0","1","2","3"},"")))))))))+1, 1) * 10^ROW(INDIRECT("1:"&amp;LEN((LEFT(A223,SUM(LEN(A223)-LEN(SUBSTITUTE(A223,{"0","1","2","3"},""))))))))/10))*100+1</f>
        <v>1501</v>
      </c>
      <c r="V224" s="22">
        <f ca="1">(SUMPRODUCT(MID(0&amp;(--TRIM(RIGHT(SUBSTITUTE(LEFT(A223,_xlfn.AGGREGATE(16,6,FIND({0,1,2,3,4,5,6,7,8,9},A223,ROW(INDIRECT("1:"&amp;LEN(A223)))),1)),"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",LEN(A223))),LEN(A223)))))))/10))*100+1</f>
        <v>2901</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3">
      <c r="A225" s="112">
        <f>A224+1</f>
        <v>2</v>
      </c>
      <c r="B225" s="112"/>
      <c r="C225" s="54" t="s">
        <v>89</v>
      </c>
      <c r="D225" s="54" t="s">
        <v>356</v>
      </c>
      <c r="E225" s="32">
        <f>(38.33)*(10.764)</f>
        <v>412.58411999999998</v>
      </c>
      <c r="F225" s="5">
        <v>0</v>
      </c>
      <c r="G225" s="5">
        <v>0</v>
      </c>
      <c r="H225" s="5">
        <f t="shared" ref="H225:H230" si="53">E225+F225+(IF(G225&lt;101,G225,IF(G225&lt;201,G225/2,IF(G225&lt;=301,G225/3,G225/4))))</f>
        <v>412.58411999999998</v>
      </c>
      <c r="I225" s="1"/>
      <c r="J225" s="1"/>
      <c r="K225" s="1"/>
      <c r="L225" s="1"/>
      <c r="M225" s="1"/>
      <c r="N225" s="1"/>
      <c r="O225" s="1"/>
      <c r="P225" s="1"/>
      <c r="Q225" s="1"/>
      <c r="R225" s="1"/>
      <c r="S225" s="1"/>
      <c r="T225" s="22" t="str">
        <f t="shared" ref="T225:T232" ca="1" si="54">U225&amp;""&amp;" &amp; "&amp;""&amp;V225</f>
        <v>1502 &amp; 2902</v>
      </c>
      <c r="U225" s="22">
        <f ca="1">U224+1</f>
        <v>1502</v>
      </c>
      <c r="V225" s="22">
        <f ca="1">V224+1</f>
        <v>2902</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3">
      <c r="A226" s="112">
        <f t="shared" ref="A226:A232" si="55">A225+1</f>
        <v>3</v>
      </c>
      <c r="B226" s="112"/>
      <c r="C226" s="54" t="s">
        <v>89</v>
      </c>
      <c r="D226" s="54" t="s">
        <v>356</v>
      </c>
      <c r="E226" s="32">
        <f>(38.33)*(10.764)</f>
        <v>412.58411999999998</v>
      </c>
      <c r="F226" s="5">
        <v>0</v>
      </c>
      <c r="G226" s="5">
        <v>0</v>
      </c>
      <c r="H226" s="5">
        <f t="shared" si="53"/>
        <v>412.58411999999998</v>
      </c>
      <c r="I226" s="1"/>
      <c r="J226" s="1"/>
      <c r="K226" s="1"/>
      <c r="L226" s="1"/>
      <c r="M226" s="1"/>
      <c r="N226" s="1"/>
      <c r="O226" s="1"/>
      <c r="P226" s="1"/>
      <c r="Q226" s="1"/>
      <c r="R226" s="1"/>
      <c r="S226" s="1"/>
      <c r="T226" s="22" t="str">
        <f t="shared" ca="1" si="54"/>
        <v>1503 &amp; 2903</v>
      </c>
      <c r="U226" s="22">
        <f t="shared" ref="U226:V226" ca="1" si="56">U225+1</f>
        <v>1503</v>
      </c>
      <c r="V226" s="22">
        <f t="shared" ca="1" si="56"/>
        <v>2903</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3">
      <c r="A227" s="112">
        <f t="shared" si="55"/>
        <v>4</v>
      </c>
      <c r="B227" s="112"/>
      <c r="C227" s="54" t="s">
        <v>89</v>
      </c>
      <c r="D227" s="54" t="s">
        <v>342</v>
      </c>
      <c r="E227" s="32">
        <f>(60.92-(2.15*0.85))*(10.764)</f>
        <v>636.07166999999993</v>
      </c>
      <c r="F227" s="5">
        <f>(2.15*0.85)*(10.764)</f>
        <v>19.671209999999999</v>
      </c>
      <c r="G227" s="5">
        <v>0</v>
      </c>
      <c r="H227" s="5">
        <f t="shared" si="53"/>
        <v>655.7428799999999</v>
      </c>
      <c r="I227" s="1"/>
      <c r="J227" s="1"/>
      <c r="K227" s="1"/>
      <c r="L227" s="1"/>
      <c r="M227" s="1"/>
      <c r="N227" s="1"/>
      <c r="O227" s="1"/>
      <c r="P227" s="1"/>
      <c r="Q227" s="1"/>
      <c r="R227" s="1"/>
      <c r="S227" s="1"/>
      <c r="T227" s="22" t="str">
        <f t="shared" ca="1" si="54"/>
        <v>1504 &amp; 2904</v>
      </c>
      <c r="U227" s="22">
        <f t="shared" ref="U227:V227" ca="1" si="57">U226+1</f>
        <v>1504</v>
      </c>
      <c r="V227" s="22">
        <f t="shared" ca="1" si="57"/>
        <v>2904</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3">
      <c r="A228" s="112">
        <f t="shared" si="55"/>
        <v>5</v>
      </c>
      <c r="B228" s="112"/>
      <c r="C228" s="54" t="s">
        <v>89</v>
      </c>
      <c r="D228" s="54" t="s">
        <v>356</v>
      </c>
      <c r="E228" s="32">
        <f>(37.61)*(10.764)</f>
        <v>404.83403999999996</v>
      </c>
      <c r="F228" s="5">
        <v>0</v>
      </c>
      <c r="G228" s="5">
        <v>0</v>
      </c>
      <c r="H228" s="5">
        <f t="shared" si="53"/>
        <v>404.83403999999996</v>
      </c>
      <c r="I228" s="1"/>
      <c r="J228" s="1"/>
      <c r="K228" s="1"/>
      <c r="L228" s="1"/>
      <c r="M228" s="1"/>
      <c r="N228" s="1"/>
      <c r="O228" s="1"/>
      <c r="P228" s="1"/>
      <c r="Q228" s="1"/>
      <c r="R228" s="1"/>
      <c r="S228" s="1"/>
      <c r="T228" s="22" t="str">
        <f t="shared" ca="1" si="54"/>
        <v>1505 &amp; 2905</v>
      </c>
      <c r="U228" s="22">
        <f t="shared" ref="U228:V228" ca="1" si="58">U227+1</f>
        <v>1505</v>
      </c>
      <c r="V228" s="22">
        <f t="shared" ca="1" si="58"/>
        <v>2905</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3">
      <c r="A229" s="112">
        <f t="shared" si="55"/>
        <v>6</v>
      </c>
      <c r="B229" s="112"/>
      <c r="C229" s="54" t="s">
        <v>89</v>
      </c>
      <c r="D229" s="54" t="s">
        <v>356</v>
      </c>
      <c r="E229" s="32">
        <f>(37.61)*(10.764)</f>
        <v>404.83403999999996</v>
      </c>
      <c r="F229" s="5">
        <v>0</v>
      </c>
      <c r="G229" s="5">
        <v>0</v>
      </c>
      <c r="H229" s="5">
        <f t="shared" si="53"/>
        <v>404.83403999999996</v>
      </c>
      <c r="I229" s="1"/>
      <c r="J229" s="1"/>
      <c r="K229" s="1"/>
      <c r="L229" s="1"/>
      <c r="M229" s="1"/>
      <c r="N229" s="1"/>
      <c r="O229" s="1"/>
      <c r="P229" s="1"/>
      <c r="Q229" s="1"/>
      <c r="R229" s="1"/>
      <c r="S229" s="1"/>
      <c r="T229" s="22" t="str">
        <f t="shared" ca="1" si="54"/>
        <v>1506 &amp; 2906</v>
      </c>
      <c r="U229" s="22">
        <f t="shared" ref="U229:V229" ca="1" si="59">U228+1</f>
        <v>1506</v>
      </c>
      <c r="V229" s="22">
        <f t="shared" ca="1" si="59"/>
        <v>2906</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3">
      <c r="A230" s="112">
        <f t="shared" si="55"/>
        <v>7</v>
      </c>
      <c r="B230" s="112"/>
      <c r="C230" s="54" t="s">
        <v>89</v>
      </c>
      <c r="D230" s="54" t="s">
        <v>342</v>
      </c>
      <c r="E230" s="32">
        <f>(63.73-(3.05*1.22+0.85*2.15))*(10.764)</f>
        <v>626.26566600000001</v>
      </c>
      <c r="F230" s="5">
        <f>(3.05*1.22+0.85*2.15)*(10.764)</f>
        <v>59.724053999999995</v>
      </c>
      <c r="G230" s="5">
        <v>0</v>
      </c>
      <c r="H230" s="5">
        <f t="shared" si="53"/>
        <v>685.98972000000003</v>
      </c>
      <c r="I230" s="1"/>
      <c r="J230" s="1"/>
      <c r="K230" s="1"/>
      <c r="L230" s="1"/>
      <c r="M230" s="1"/>
      <c r="N230" s="1"/>
      <c r="O230" s="1"/>
      <c r="P230" s="1"/>
      <c r="Q230" s="1"/>
      <c r="R230" s="1"/>
      <c r="S230" s="1"/>
      <c r="T230" s="22" t="str">
        <f t="shared" ca="1" si="54"/>
        <v>1507 &amp; 2907</v>
      </c>
      <c r="U230" s="22">
        <f t="shared" ref="U230:V230" ca="1" si="60">U229+1</f>
        <v>1507</v>
      </c>
      <c r="V230" s="22">
        <f t="shared" ca="1" si="60"/>
        <v>2907</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3">
      <c r="A231" s="112">
        <f t="shared" si="55"/>
        <v>8</v>
      </c>
      <c r="B231" s="112"/>
      <c r="C231" s="165" t="s">
        <v>347</v>
      </c>
      <c r="D231" s="166"/>
      <c r="E231" s="166"/>
      <c r="F231" s="166"/>
      <c r="G231" s="166"/>
      <c r="H231" s="167"/>
      <c r="I231" s="1"/>
      <c r="J231" s="1"/>
      <c r="K231" s="1"/>
      <c r="L231" s="1"/>
      <c r="M231" s="1"/>
      <c r="N231" s="1"/>
      <c r="O231" s="1"/>
      <c r="P231" s="1"/>
      <c r="Q231" s="1"/>
      <c r="R231" s="1"/>
      <c r="S231" s="1"/>
      <c r="T231" s="22" t="str">
        <f t="shared" ca="1" si="54"/>
        <v>1508 &amp; 2908</v>
      </c>
      <c r="U231" s="22">
        <f t="shared" ref="U231:V231" ca="1" si="61">U230+1</f>
        <v>1508</v>
      </c>
      <c r="V231" s="22">
        <f t="shared" ca="1" si="61"/>
        <v>2908</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3">
      <c r="A232" s="112">
        <f t="shared" si="55"/>
        <v>9</v>
      </c>
      <c r="B232" s="112"/>
      <c r="C232" s="168"/>
      <c r="D232" s="169"/>
      <c r="E232" s="169"/>
      <c r="F232" s="169"/>
      <c r="G232" s="169"/>
      <c r="H232" s="170"/>
      <c r="I232" s="1"/>
      <c r="J232" s="1"/>
      <c r="K232" s="1"/>
      <c r="L232" s="1"/>
      <c r="M232" s="1"/>
      <c r="N232" s="1"/>
      <c r="O232" s="1"/>
      <c r="P232" s="1"/>
      <c r="Q232" s="1"/>
      <c r="R232" s="1"/>
      <c r="S232" s="1"/>
      <c r="T232" s="22" t="str">
        <f t="shared" ca="1" si="54"/>
        <v>1509 &amp; 2909</v>
      </c>
      <c r="U232" s="22">
        <f t="shared" ref="U232:V232" ca="1" si="62">U231+1</f>
        <v>1509</v>
      </c>
      <c r="V232" s="22">
        <f t="shared" ca="1" si="62"/>
        <v>2909</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1" x14ac:dyDescent="0.3">
      <c r="A233" s="115" t="s">
        <v>350</v>
      </c>
      <c r="B233" s="116"/>
      <c r="C233" s="116"/>
      <c r="D233" s="116"/>
      <c r="E233" s="116"/>
      <c r="F233" s="116"/>
      <c r="G233" s="116"/>
      <c r="H233" s="117"/>
      <c r="I233" s="1">
        <v>1</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3">
      <c r="A234" s="112">
        <v>1</v>
      </c>
      <c r="B234" s="112"/>
      <c r="C234" s="54" t="s">
        <v>89</v>
      </c>
      <c r="D234" s="54" t="s">
        <v>342</v>
      </c>
      <c r="E234" s="32">
        <f>(60.6-(2.15*0.85))*(10.764)</f>
        <v>632.62718999999993</v>
      </c>
      <c r="F234" s="5">
        <f>(2.15*0.85)*(10.764)</f>
        <v>19.671209999999999</v>
      </c>
      <c r="G234" s="5">
        <v>0</v>
      </c>
      <c r="H234" s="5">
        <f>E234+F234+(IF(G234&lt;101,G234,IF(G234&lt;201,G234/2,IF(G234&lt;=301,G234/3,G234/4))))</f>
        <v>652.2983999999999</v>
      </c>
      <c r="I234" s="1"/>
      <c r="J234" s="1"/>
      <c r="K234" s="1"/>
      <c r="L234" s="1"/>
      <c r="M234" s="1"/>
      <c r="N234" s="1"/>
      <c r="O234" s="1"/>
      <c r="P234" s="1"/>
      <c r="Q234" s="1"/>
      <c r="R234" s="1"/>
      <c r="S234" s="1"/>
      <c r="T234" s="22" t="str">
        <f ca="1">U234&amp;""&amp;" &amp; "&amp;""&amp;V234</f>
        <v>301 &amp; 3601</v>
      </c>
      <c r="U234" s="22">
        <f ca="1">(SUMPRODUCT(MID(0&amp;(LEFT(A233,SUM(LEN(A233)-LEN(SUBSTITUTE(A233,{"0","1","2","3"},""))))), LARGE(INDEX(ISNUMBER(--MID((LEFT(A233,SUM(LEN(A233)-LEN(SUBSTITUTE(A233,{"0","1","2","3"},""))))), ROW(INDIRECT("1:"&amp;LEN((LEFT(A233,SUM(LEN(A233)-LEN(SUBSTITUTE(A233,{"0","1","2","3"},"")))))))), 1)) * ROW(INDIRECT("1:"&amp;LEN((LEFT(A233,SUM(LEN(A233)-LEN(SUBSTITUTE(A233,{"0","1","2","3"},"")))))))), 0), ROW(INDIRECT("1:"&amp;LEN((LEFT(A233,SUM(LEN(A233)-LEN(SUBSTITUTE(A233,{"0","1","2","3"},"")))))))))+1, 1) * 10^ROW(INDIRECT("1:"&amp;LEN((LEFT(A233,SUM(LEN(A233)-LEN(SUBSTITUTE(A233,{"0","1","2","3"},""))))))))/10))*100+1</f>
        <v>301</v>
      </c>
      <c r="V234" s="22">
        <f ca="1">(SUMPRODUCT(MID(0&amp;(--TRIM(RIGHT(SUBSTITUTE(LEFT(A233,_xlfn.AGGREGATE(16,6,FIND({0,1,2,3,4,5,6,7,8,9},A233,ROW(INDIRECT("1:"&amp;LEN(A233)))),1)),"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",LEN(A233))),LEN(A233)))))))/10))*100+1</f>
        <v>3601</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3">
      <c r="A235" s="112">
        <f>A234+1</f>
        <v>2</v>
      </c>
      <c r="B235" s="112"/>
      <c r="C235" s="54" t="s">
        <v>89</v>
      </c>
      <c r="D235" s="54" t="s">
        <v>356</v>
      </c>
      <c r="E235" s="32">
        <f>(38.33)*(10.764)</f>
        <v>412.58411999999998</v>
      </c>
      <c r="F235" s="5">
        <v>0</v>
      </c>
      <c r="G235" s="5">
        <v>0</v>
      </c>
      <c r="H235" s="5">
        <f t="shared" ref="H235:H241" si="63">E235+F235+(IF(G235&lt;101,G235,IF(G235&lt;201,G235/2,IF(G235&lt;=301,G235/3,G235/4))))</f>
        <v>412.58411999999998</v>
      </c>
      <c r="I235" s="1"/>
      <c r="J235" s="1"/>
      <c r="K235" s="1"/>
      <c r="L235" s="1"/>
      <c r="M235" s="1"/>
      <c r="N235" s="1"/>
      <c r="O235" s="1"/>
      <c r="P235" s="1"/>
      <c r="Q235" s="1"/>
      <c r="R235" s="1"/>
      <c r="S235" s="1"/>
      <c r="T235" s="22" t="str">
        <f t="shared" ref="T235:T242" ca="1" si="64">U235&amp;""&amp;" &amp; "&amp;""&amp;V235</f>
        <v>302 &amp; 3602</v>
      </c>
      <c r="U235" s="22">
        <f ca="1">U234+1</f>
        <v>302</v>
      </c>
      <c r="V235" s="22">
        <f ca="1">V234+1</f>
        <v>3602</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3">
      <c r="A236" s="112">
        <f t="shared" ref="A236:A242" si="65">A235+1</f>
        <v>3</v>
      </c>
      <c r="B236" s="112"/>
      <c r="C236" s="54" t="s">
        <v>89</v>
      </c>
      <c r="D236" s="54" t="s">
        <v>356</v>
      </c>
      <c r="E236" s="32">
        <f>(38.33)*(10.764)</f>
        <v>412.58411999999998</v>
      </c>
      <c r="F236" s="5">
        <v>0</v>
      </c>
      <c r="G236" s="5">
        <v>0</v>
      </c>
      <c r="H236" s="5">
        <f t="shared" si="63"/>
        <v>412.58411999999998</v>
      </c>
      <c r="I236" s="1"/>
      <c r="J236" s="1"/>
      <c r="K236" s="1"/>
      <c r="L236" s="1"/>
      <c r="M236" s="1"/>
      <c r="N236" s="1"/>
      <c r="O236" s="1"/>
      <c r="P236" s="1"/>
      <c r="Q236" s="1"/>
      <c r="R236" s="1"/>
      <c r="S236" s="1"/>
      <c r="T236" s="22" t="str">
        <f t="shared" ca="1" si="64"/>
        <v>303 &amp; 3603</v>
      </c>
      <c r="U236" s="22">
        <f t="shared" ref="U236:V236" ca="1" si="66">U235+1</f>
        <v>303</v>
      </c>
      <c r="V236" s="22">
        <f t="shared" ca="1" si="66"/>
        <v>3603</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3">
      <c r="A237" s="112">
        <f t="shared" si="65"/>
        <v>4</v>
      </c>
      <c r="B237" s="112"/>
      <c r="C237" s="54" t="s">
        <v>89</v>
      </c>
      <c r="D237" s="54" t="s">
        <v>342</v>
      </c>
      <c r="E237" s="32">
        <f>(60.92-(2.15*0.85))*(10.764)</f>
        <v>636.07166999999993</v>
      </c>
      <c r="F237" s="5">
        <f>(2.15*0.85)*(10.764)</f>
        <v>19.671209999999999</v>
      </c>
      <c r="G237" s="5">
        <v>0</v>
      </c>
      <c r="H237" s="5">
        <f t="shared" si="63"/>
        <v>655.7428799999999</v>
      </c>
      <c r="I237" s="1"/>
      <c r="J237" s="1"/>
      <c r="K237" s="1"/>
      <c r="L237" s="1"/>
      <c r="M237" s="1"/>
      <c r="N237" s="1"/>
      <c r="O237" s="1"/>
      <c r="P237" s="1"/>
      <c r="Q237" s="1"/>
      <c r="R237" s="1"/>
      <c r="S237" s="1"/>
      <c r="T237" s="22" t="str">
        <f t="shared" ca="1" si="64"/>
        <v>304 &amp; 3604</v>
      </c>
      <c r="U237" s="22">
        <f t="shared" ref="U237:V237" ca="1" si="67">U236+1</f>
        <v>304</v>
      </c>
      <c r="V237" s="22">
        <f t="shared" ca="1" si="67"/>
        <v>3604</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3">
      <c r="A238" s="112">
        <f t="shared" si="65"/>
        <v>5</v>
      </c>
      <c r="B238" s="112"/>
      <c r="C238" s="54" t="s">
        <v>89</v>
      </c>
      <c r="D238" s="54" t="s">
        <v>356</v>
      </c>
      <c r="E238" s="32">
        <f>(37.61)*(10.764)</f>
        <v>404.83403999999996</v>
      </c>
      <c r="F238" s="5">
        <v>0</v>
      </c>
      <c r="G238" s="5">
        <v>0</v>
      </c>
      <c r="H238" s="5">
        <f t="shared" si="63"/>
        <v>404.83403999999996</v>
      </c>
      <c r="I238" s="1"/>
      <c r="J238" s="1"/>
      <c r="K238" s="1"/>
      <c r="L238" s="1"/>
      <c r="M238" s="1"/>
      <c r="N238" s="1"/>
      <c r="O238" s="1"/>
      <c r="P238" s="1"/>
      <c r="Q238" s="1"/>
      <c r="R238" s="1"/>
      <c r="S238" s="1"/>
      <c r="T238" s="22" t="str">
        <f t="shared" ca="1" si="64"/>
        <v>305 &amp; 3605</v>
      </c>
      <c r="U238" s="22">
        <f t="shared" ref="U238:V238" ca="1" si="68">U237+1</f>
        <v>305</v>
      </c>
      <c r="V238" s="22">
        <f t="shared" ca="1" si="68"/>
        <v>3605</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3">
      <c r="A239" s="112">
        <f t="shared" si="65"/>
        <v>6</v>
      </c>
      <c r="B239" s="112"/>
      <c r="C239" s="54" t="s">
        <v>89</v>
      </c>
      <c r="D239" s="54" t="s">
        <v>356</v>
      </c>
      <c r="E239" s="32">
        <f>(37.61)*(10.764)</f>
        <v>404.83403999999996</v>
      </c>
      <c r="F239" s="5">
        <v>0</v>
      </c>
      <c r="G239" s="5">
        <v>0</v>
      </c>
      <c r="H239" s="5">
        <f t="shared" si="63"/>
        <v>404.83403999999996</v>
      </c>
      <c r="I239" s="1"/>
      <c r="J239" s="1"/>
      <c r="K239" s="1"/>
      <c r="L239" s="1"/>
      <c r="M239" s="1"/>
      <c r="N239" s="1"/>
      <c r="O239" s="1"/>
      <c r="P239" s="1"/>
      <c r="Q239" s="1"/>
      <c r="R239" s="1"/>
      <c r="S239" s="1"/>
      <c r="T239" s="22" t="str">
        <f t="shared" ca="1" si="64"/>
        <v>306 &amp; 3606</v>
      </c>
      <c r="U239" s="22">
        <f t="shared" ref="U239:V239" ca="1" si="69">U238+1</f>
        <v>306</v>
      </c>
      <c r="V239" s="22">
        <f t="shared" ca="1" si="69"/>
        <v>3606</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3">
      <c r="A240" s="112">
        <f t="shared" si="65"/>
        <v>7</v>
      </c>
      <c r="B240" s="112"/>
      <c r="C240" s="54" t="s">
        <v>89</v>
      </c>
      <c r="D240" s="54" t="s">
        <v>342</v>
      </c>
      <c r="E240" s="32">
        <f>(63.73-(3.05*1.22+0.85*2.15))*(10.764)</f>
        <v>626.26566600000001</v>
      </c>
      <c r="F240" s="5">
        <f>(3.05*1.22+0.85*2.15)*(10.764)</f>
        <v>59.724053999999995</v>
      </c>
      <c r="G240" s="5">
        <v>0</v>
      </c>
      <c r="H240" s="5">
        <f t="shared" si="63"/>
        <v>685.98972000000003</v>
      </c>
      <c r="I240" s="1"/>
      <c r="J240" s="1"/>
      <c r="K240" s="1"/>
      <c r="L240" s="1"/>
      <c r="M240" s="1"/>
      <c r="N240" s="1"/>
      <c r="O240" s="1"/>
      <c r="P240" s="1"/>
      <c r="Q240" s="1"/>
      <c r="R240" s="1"/>
      <c r="S240" s="1"/>
      <c r="T240" s="22" t="str">
        <f t="shared" ca="1" si="64"/>
        <v>307 &amp; 3607</v>
      </c>
      <c r="U240" s="22">
        <f t="shared" ref="U240:V240" ca="1" si="70">U239+1</f>
        <v>307</v>
      </c>
      <c r="V240" s="22">
        <f t="shared" ca="1" si="70"/>
        <v>3607</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3">
      <c r="A241" s="112">
        <f t="shared" si="65"/>
        <v>8</v>
      </c>
      <c r="B241" s="112"/>
      <c r="C241" s="54" t="s">
        <v>89</v>
      </c>
      <c r="D241" s="54" t="s">
        <v>342</v>
      </c>
      <c r="E241" s="32">
        <f>(63.83-(3.05*1.22+0.85*2.15))*(10.764)</f>
        <v>627.34206599999993</v>
      </c>
      <c r="F241" s="5">
        <f>(3.05*1.22+0.85*2.15)*(10.764)</f>
        <v>59.724053999999995</v>
      </c>
      <c r="G241" s="5">
        <v>0</v>
      </c>
      <c r="H241" s="5">
        <f t="shared" si="63"/>
        <v>687.06611999999996</v>
      </c>
      <c r="I241" s="1"/>
      <c r="J241" s="1"/>
      <c r="K241" s="1"/>
      <c r="L241" s="1"/>
      <c r="M241" s="1"/>
      <c r="N241" s="1"/>
      <c r="O241" s="1"/>
      <c r="P241" s="1"/>
      <c r="Q241" s="1"/>
      <c r="R241" s="1"/>
      <c r="S241" s="1"/>
      <c r="T241" s="22" t="str">
        <f t="shared" ca="1" si="64"/>
        <v>308 &amp; 3608</v>
      </c>
      <c r="U241" s="22">
        <f t="shared" ref="U241:V241" ca="1" si="71">U240+1</f>
        <v>308</v>
      </c>
      <c r="V241" s="22">
        <f t="shared" ca="1" si="71"/>
        <v>3608</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3">
      <c r="A242" s="112">
        <f t="shared" si="65"/>
        <v>9</v>
      </c>
      <c r="B242" s="112"/>
      <c r="C242" s="168" t="s">
        <v>347</v>
      </c>
      <c r="D242" s="169"/>
      <c r="E242" s="169"/>
      <c r="F242" s="169"/>
      <c r="G242" s="169"/>
      <c r="H242" s="170"/>
      <c r="I242" s="1"/>
      <c r="J242" s="1"/>
      <c r="K242" s="1"/>
      <c r="L242" s="1"/>
      <c r="M242" s="1"/>
      <c r="N242" s="1"/>
      <c r="O242" s="1"/>
      <c r="P242" s="1"/>
      <c r="Q242" s="1"/>
      <c r="R242" s="1"/>
      <c r="S242" s="1"/>
      <c r="T242" s="22" t="str">
        <f t="shared" ca="1" si="64"/>
        <v>309 &amp; 3609</v>
      </c>
      <c r="U242" s="22">
        <f t="shared" ref="U242:V242" ca="1" si="72">U241+1</f>
        <v>309</v>
      </c>
      <c r="V242" s="22">
        <f t="shared" ca="1" si="72"/>
        <v>3609</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1" x14ac:dyDescent="0.3">
      <c r="A243" s="115" t="s">
        <v>351</v>
      </c>
      <c r="B243" s="116"/>
      <c r="C243" s="116"/>
      <c r="D243" s="116"/>
      <c r="E243" s="116"/>
      <c r="F243" s="116"/>
      <c r="G243" s="116"/>
      <c r="H243" s="117"/>
      <c r="I243" s="1">
        <v>1</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3">
      <c r="A244" s="112">
        <v>1</v>
      </c>
      <c r="B244" s="112"/>
      <c r="C244" s="54" t="s">
        <v>89</v>
      </c>
      <c r="D244" s="54" t="s">
        <v>342</v>
      </c>
      <c r="E244" s="32">
        <f>(60.6-(2.15*0.85))*(10.764)</f>
        <v>632.62718999999993</v>
      </c>
      <c r="F244" s="5">
        <f>(2.15*0.85)*(10.764)</f>
        <v>19.671209999999999</v>
      </c>
      <c r="G244" s="5">
        <v>0</v>
      </c>
      <c r="H244" s="5">
        <f>E244+F244+(IF(G244&lt;101,G244,IF(G244&lt;201,G244/2,IF(G244&lt;=301,G244/3,G244/4))))</f>
        <v>652.2983999999999</v>
      </c>
      <c r="I244" s="1"/>
      <c r="J244" s="1"/>
      <c r="K244" s="1"/>
      <c r="L244" s="1"/>
      <c r="M244" s="1"/>
      <c r="N244" s="1"/>
      <c r="O244" s="1"/>
      <c r="P244" s="1"/>
      <c r="Q244" s="1"/>
      <c r="R244" s="1"/>
      <c r="S244" s="1"/>
      <c r="T244" s="22" t="str">
        <f ca="1">U244&amp;""&amp;" &amp; "&amp;""&amp;V244</f>
        <v>301 &amp; 3901</v>
      </c>
      <c r="U244" s="22">
        <f ca="1">(SUMPRODUCT(MID(0&amp;(LEFT(A243,SUM(LEN(A243)-LEN(SUBSTITUTE(A243,{"0","1","2","3"},""))))), LARGE(INDEX(ISNUMBER(--MID((LEFT(A243,SUM(LEN(A243)-LEN(SUBSTITUTE(A243,{"0","1","2","3"},""))))), ROW(INDIRECT("1:"&amp;LEN((LEFT(A243,SUM(LEN(A243)-LEN(SUBSTITUTE(A243,{"0","1","2","3"},"")))))))), 1)) * ROW(INDIRECT("1:"&amp;LEN((LEFT(A243,SUM(LEN(A243)-LEN(SUBSTITUTE(A243,{"0","1","2","3"},"")))))))), 0), ROW(INDIRECT("1:"&amp;LEN((LEFT(A243,SUM(LEN(A243)-LEN(SUBSTITUTE(A243,{"0","1","2","3"},"")))))))))+1, 1) * 10^ROW(INDIRECT("1:"&amp;LEN((LEFT(A243,SUM(LEN(A243)-LEN(SUBSTITUTE(A243,{"0","1","2","3"},""))))))))/10))*100+1</f>
        <v>301</v>
      </c>
      <c r="V244" s="22">
        <f ca="1">(SUMPRODUCT(MID(0&amp;(--TRIM(RIGHT(SUBSTITUTE(LEFT(A243,_xlfn.AGGREGATE(16,6,FIND({0,1,2,3,4,5,6,7,8,9},A243,ROW(INDIRECT("1:"&amp;LEN(A243)))),1))," ",REPT(" ",LEN(A243))),LEN(A243)))), LARGE(INDEX(ISNUMBER(--MID((--TRIM(RIGHT(SUBSTITUTE(LEFT(A243,_xlfn.AGGREGATE(16,6,FIND({0,1,2,3,4,5,6,7,8,9},A243,ROW(INDIRECT("1:"&amp;LEN(A243)))),1))," ",REPT(" ",LEN(A243))),LEN(A243)))), ROW(INDIRECT("1:"&amp;LEN((--TRIM(RIGHT(SUBSTITUTE(LEFT(A243,_xlfn.AGGREGATE(16,6,FIND({0,1,2,3,4,5,6,7,8,9},A243,ROW(INDIRECT("1:"&amp;LEN(A243)))),1))," ",REPT(" ",LEN(A243))),LEN(A243))))))), 1)) * ROW(INDIRECT("1:"&amp;LEN((--TRIM(RIGHT(SUBSTITUTE(LEFT(A243,_xlfn.AGGREGATE(16,6,FIND({0,1,2,3,4,5,6,7,8,9},A243,ROW(INDIRECT("1:"&amp;LEN(A243)))),1))," ",REPT(" ",LEN(A243))),LEN(A243))))))), 0), ROW(INDIRECT("1:"&amp;LEN((--TRIM(RIGHT(SUBSTITUTE(LEFT(A243,_xlfn.AGGREGATE(16,6,FIND({0,1,2,3,4,5,6,7,8,9},A243,ROW(INDIRECT("1:"&amp;LEN(A243)))),1))," ",REPT(" ",LEN(A243))),LEN(A243))))))))+1, 1) * 10^ROW(INDIRECT("1:"&amp;LEN((--TRIM(RIGHT(SUBSTITUTE(LEFT(A243,_xlfn.AGGREGATE(16,6,FIND({0,1,2,3,4,5,6,7,8,9},A243,ROW(INDIRECT("1:"&amp;LEN(A243)))),1))," ",REPT(" ",LEN(A243))),LEN(A243)))))))/10))*100+1</f>
        <v>3901</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3">
      <c r="A245" s="112">
        <f>A244+1</f>
        <v>2</v>
      </c>
      <c r="B245" s="112"/>
      <c r="C245" s="54" t="s">
        <v>89</v>
      </c>
      <c r="D245" s="54" t="s">
        <v>356</v>
      </c>
      <c r="E245" s="32">
        <f>(38.33)*(10.764)</f>
        <v>412.58411999999998</v>
      </c>
      <c r="F245" s="5">
        <v>0</v>
      </c>
      <c r="G245" s="5">
        <v>0</v>
      </c>
      <c r="H245" s="5">
        <f t="shared" ref="H245:H251" si="73">E245+F245+(IF(G245&lt;101,G245,IF(G245&lt;201,G245/2,IF(G245&lt;=301,G245/3,G245/4))))</f>
        <v>412.58411999999998</v>
      </c>
      <c r="I245" s="1"/>
      <c r="J245" s="1"/>
      <c r="K245" s="1"/>
      <c r="L245" s="1"/>
      <c r="M245" s="1"/>
      <c r="N245" s="1"/>
      <c r="O245" s="1"/>
      <c r="P245" s="1"/>
      <c r="Q245" s="1"/>
      <c r="R245" s="1"/>
      <c r="S245" s="1"/>
      <c r="T245" s="22" t="str">
        <f t="shared" ref="T245:T251" ca="1" si="74">U245&amp;""&amp;" &amp; "&amp;""&amp;V245</f>
        <v>302 &amp; 3902</v>
      </c>
      <c r="U245" s="22">
        <f ca="1">U244+1</f>
        <v>302</v>
      </c>
      <c r="V245" s="22">
        <f ca="1">V244+1</f>
        <v>3902</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3">
      <c r="A246" s="112">
        <f t="shared" ref="A246:A251" si="75">A245+1</f>
        <v>3</v>
      </c>
      <c r="B246" s="112"/>
      <c r="C246" s="54" t="s">
        <v>89</v>
      </c>
      <c r="D246" s="54" t="s">
        <v>356</v>
      </c>
      <c r="E246" s="32">
        <f>(38.33)*(10.764)</f>
        <v>412.58411999999998</v>
      </c>
      <c r="F246" s="5">
        <v>0</v>
      </c>
      <c r="G246" s="5">
        <v>0</v>
      </c>
      <c r="H246" s="5">
        <f t="shared" si="73"/>
        <v>412.58411999999998</v>
      </c>
      <c r="I246" s="1"/>
      <c r="J246" s="1"/>
      <c r="K246" s="1"/>
      <c r="L246" s="1"/>
      <c r="M246" s="1"/>
      <c r="N246" s="1"/>
      <c r="O246" s="1"/>
      <c r="P246" s="1"/>
      <c r="Q246" s="1"/>
      <c r="R246" s="1"/>
      <c r="S246" s="1"/>
      <c r="T246" s="22" t="str">
        <f t="shared" ca="1" si="74"/>
        <v>303 &amp; 3903</v>
      </c>
      <c r="U246" s="22">
        <f t="shared" ref="U246:V246" ca="1" si="76">U245+1</f>
        <v>303</v>
      </c>
      <c r="V246" s="22">
        <f t="shared" ca="1" si="76"/>
        <v>3903</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3">
      <c r="A247" s="112">
        <f t="shared" si="75"/>
        <v>4</v>
      </c>
      <c r="B247" s="112"/>
      <c r="C247" s="54" t="s">
        <v>89</v>
      </c>
      <c r="D247" s="54" t="s">
        <v>342</v>
      </c>
      <c r="E247" s="32">
        <f>(60.92-(2.15*0.85))*(10.764)</f>
        <v>636.07166999999993</v>
      </c>
      <c r="F247" s="5">
        <f>(2.15*0.85)*(10.764)</f>
        <v>19.671209999999999</v>
      </c>
      <c r="G247" s="5">
        <v>0</v>
      </c>
      <c r="H247" s="5">
        <f t="shared" si="73"/>
        <v>655.7428799999999</v>
      </c>
      <c r="I247" s="1"/>
      <c r="J247" s="1"/>
      <c r="K247" s="1"/>
      <c r="L247" s="1"/>
      <c r="M247" s="1"/>
      <c r="N247" s="1"/>
      <c r="O247" s="1"/>
      <c r="P247" s="1"/>
      <c r="Q247" s="1"/>
      <c r="R247" s="1"/>
      <c r="S247" s="1"/>
      <c r="T247" s="22" t="str">
        <f t="shared" ca="1" si="74"/>
        <v>304 &amp; 3904</v>
      </c>
      <c r="U247" s="22">
        <f t="shared" ref="U247:V247" ca="1" si="77">U246+1</f>
        <v>304</v>
      </c>
      <c r="V247" s="22">
        <f t="shared" ca="1" si="77"/>
        <v>3904</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3">
      <c r="A248" s="112">
        <f t="shared" si="75"/>
        <v>5</v>
      </c>
      <c r="B248" s="112"/>
      <c r="C248" s="54" t="s">
        <v>89</v>
      </c>
      <c r="D248" s="54" t="s">
        <v>356</v>
      </c>
      <c r="E248" s="32">
        <f>(37.61)*(10.764)</f>
        <v>404.83403999999996</v>
      </c>
      <c r="F248" s="5">
        <v>0</v>
      </c>
      <c r="G248" s="5">
        <v>0</v>
      </c>
      <c r="H248" s="5">
        <f t="shared" si="73"/>
        <v>404.83403999999996</v>
      </c>
      <c r="I248" s="1"/>
      <c r="J248" s="1"/>
      <c r="K248" s="1"/>
      <c r="L248" s="1"/>
      <c r="M248" s="1"/>
      <c r="N248" s="1"/>
      <c r="O248" s="1"/>
      <c r="P248" s="1"/>
      <c r="Q248" s="1"/>
      <c r="R248" s="1"/>
      <c r="S248" s="1"/>
      <c r="T248" s="22" t="str">
        <f t="shared" ca="1" si="74"/>
        <v>305 &amp; 3905</v>
      </c>
      <c r="U248" s="22">
        <f t="shared" ref="U248:V248" ca="1" si="78">U247+1</f>
        <v>305</v>
      </c>
      <c r="V248" s="22">
        <f t="shared" ca="1" si="78"/>
        <v>3905</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3">
      <c r="A249" s="112">
        <f t="shared" si="75"/>
        <v>6</v>
      </c>
      <c r="B249" s="112"/>
      <c r="C249" s="54" t="s">
        <v>89</v>
      </c>
      <c r="D249" s="54" t="s">
        <v>356</v>
      </c>
      <c r="E249" s="32">
        <f>(37.61)*(10.764)</f>
        <v>404.83403999999996</v>
      </c>
      <c r="F249" s="5">
        <v>0</v>
      </c>
      <c r="G249" s="5">
        <v>0</v>
      </c>
      <c r="H249" s="5">
        <f t="shared" si="73"/>
        <v>404.83403999999996</v>
      </c>
      <c r="I249" s="1"/>
      <c r="J249" s="1"/>
      <c r="K249" s="1"/>
      <c r="L249" s="1"/>
      <c r="M249" s="1"/>
      <c r="N249" s="1"/>
      <c r="O249" s="1"/>
      <c r="P249" s="1"/>
      <c r="Q249" s="1"/>
      <c r="R249" s="1"/>
      <c r="S249" s="1"/>
      <c r="T249" s="22" t="str">
        <f t="shared" ca="1" si="74"/>
        <v>306 &amp; 3906</v>
      </c>
      <c r="U249" s="22">
        <f t="shared" ref="U249:V249" ca="1" si="79">U248+1</f>
        <v>306</v>
      </c>
      <c r="V249" s="22">
        <f t="shared" ca="1" si="79"/>
        <v>3906</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3">
      <c r="A250" s="112">
        <f t="shared" si="75"/>
        <v>7</v>
      </c>
      <c r="B250" s="112"/>
      <c r="C250" s="162" t="s">
        <v>352</v>
      </c>
      <c r="D250" s="163"/>
      <c r="E250" s="163"/>
      <c r="F250" s="163"/>
      <c r="G250" s="163"/>
      <c r="H250" s="164"/>
      <c r="I250" s="1"/>
      <c r="J250" s="1"/>
      <c r="K250" s="1"/>
      <c r="L250" s="1"/>
      <c r="M250" s="1"/>
      <c r="N250" s="1"/>
      <c r="O250" s="1"/>
      <c r="P250" s="1"/>
      <c r="Q250" s="1"/>
      <c r="R250" s="1"/>
      <c r="S250" s="1"/>
      <c r="T250" s="22" t="str">
        <f t="shared" ca="1" si="74"/>
        <v>307 &amp; 3907</v>
      </c>
      <c r="U250" s="22">
        <f t="shared" ref="U250:V250" ca="1" si="80">U249+1</f>
        <v>307</v>
      </c>
      <c r="V250" s="22">
        <f t="shared" ca="1" si="80"/>
        <v>3907</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3">
      <c r="A251" s="112">
        <f t="shared" si="75"/>
        <v>8</v>
      </c>
      <c r="B251" s="112"/>
      <c r="C251" s="54" t="s">
        <v>89</v>
      </c>
      <c r="D251" s="54" t="s">
        <v>342</v>
      </c>
      <c r="E251" s="32">
        <f>(63.83-(3.05*1.22+0.85*2.15))*(10.764)</f>
        <v>627.34206599999993</v>
      </c>
      <c r="F251" s="5">
        <f>(3.05*1.22+0.85*2.15)*(10.764)</f>
        <v>59.724053999999995</v>
      </c>
      <c r="G251" s="5">
        <v>0</v>
      </c>
      <c r="H251" s="5">
        <f t="shared" si="73"/>
        <v>687.06611999999996</v>
      </c>
      <c r="I251" s="1"/>
      <c r="J251" s="1"/>
      <c r="K251" s="1"/>
      <c r="L251" s="1"/>
      <c r="M251" s="1"/>
      <c r="N251" s="1"/>
      <c r="O251" s="1"/>
      <c r="P251" s="1"/>
      <c r="Q251" s="1"/>
      <c r="R251" s="1"/>
      <c r="S251" s="1"/>
      <c r="T251" s="22" t="str">
        <f t="shared" ca="1" si="74"/>
        <v>308 &amp; 3908</v>
      </c>
      <c r="U251" s="22">
        <f t="shared" ref="U251:V252" ca="1" si="81">U250+1</f>
        <v>308</v>
      </c>
      <c r="V251" s="22">
        <f t="shared" ca="1" si="81"/>
        <v>3908</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3">
      <c r="A252" s="112">
        <f t="shared" ref="A252" si="82">A251+1</f>
        <v>9</v>
      </c>
      <c r="B252" s="112"/>
      <c r="C252" s="54" t="s">
        <v>89</v>
      </c>
      <c r="D252" s="54" t="s">
        <v>342</v>
      </c>
      <c r="E252" s="32">
        <f>(64.64-(2.96*1.22+0.85*2.15))*(10.764)</f>
        <v>637.24279320000005</v>
      </c>
      <c r="F252" s="5">
        <f>(2.96*1.22+0.85*2.15)*(10.764)</f>
        <v>58.542166799999997</v>
      </c>
      <c r="G252" s="5">
        <v>0</v>
      </c>
      <c r="H252" s="5">
        <f t="shared" ref="H252" si="83">E252+F252+(IF(G252&lt;101,G252,IF(G252&lt;201,G252/2,IF(G252&lt;=301,G252/3,G252/4))))</f>
        <v>695.78496000000007</v>
      </c>
      <c r="I252" s="1"/>
      <c r="J252" s="1"/>
      <c r="K252" s="1"/>
      <c r="L252" s="1"/>
      <c r="M252" s="1"/>
      <c r="N252" s="1"/>
      <c r="O252" s="1"/>
      <c r="P252" s="1"/>
      <c r="Q252" s="1"/>
      <c r="R252" s="1"/>
      <c r="S252" s="1"/>
      <c r="T252" s="22" t="str">
        <f t="shared" ref="T252" ca="1" si="84">U252&amp;""&amp;" &amp; "&amp;""&amp;V252</f>
        <v>309 &amp; 3909</v>
      </c>
      <c r="U252" s="22">
        <f t="shared" ca="1" si="81"/>
        <v>309</v>
      </c>
      <c r="V252" s="22">
        <f t="shared" ca="1" si="81"/>
        <v>3909</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ht="21" x14ac:dyDescent="0.3">
      <c r="A253" s="111" t="s">
        <v>70</v>
      </c>
      <c r="B253" s="111"/>
      <c r="C253" s="111"/>
      <c r="D253" s="111"/>
      <c r="E253" s="111"/>
      <c r="F253" s="111"/>
      <c r="G253" s="111"/>
      <c r="H253" s="111"/>
    </row>
    <row r="254" spans="1:150 16226:16383" ht="41.25" customHeight="1" x14ac:dyDescent="0.3">
      <c r="A254" s="2" t="s">
        <v>238</v>
      </c>
      <c r="B254" s="81" t="s">
        <v>377</v>
      </c>
      <c r="C254" s="101"/>
      <c r="D254" s="101"/>
      <c r="E254" s="101"/>
      <c r="F254" s="101"/>
      <c r="G254" s="101"/>
      <c r="H254" s="82"/>
    </row>
    <row r="255" spans="1:150 16226:16383" ht="21" x14ac:dyDescent="0.3">
      <c r="A255" s="2" t="s">
        <v>238</v>
      </c>
      <c r="B255" s="81" t="s">
        <v>239</v>
      </c>
      <c r="C255" s="101"/>
      <c r="D255" s="101"/>
      <c r="E255" s="101"/>
      <c r="F255" s="101"/>
      <c r="G255" s="101"/>
      <c r="H255" s="82"/>
    </row>
    <row r="256" spans="1:150 16226:16383" ht="21" x14ac:dyDescent="0.3">
      <c r="A256" s="2" t="s">
        <v>238</v>
      </c>
      <c r="B256" s="81" t="s">
        <v>362</v>
      </c>
      <c r="C256" s="101"/>
      <c r="D256" s="101"/>
      <c r="E256" s="101"/>
      <c r="F256" s="101"/>
      <c r="G256" s="101"/>
      <c r="H256" s="82"/>
    </row>
    <row r="257" spans="1:8" ht="21" x14ac:dyDescent="0.3">
      <c r="A257" s="2" t="s">
        <v>238</v>
      </c>
      <c r="B257" s="81" t="s">
        <v>240</v>
      </c>
      <c r="C257" s="101"/>
      <c r="D257" s="101"/>
      <c r="E257" s="101"/>
      <c r="F257" s="101"/>
      <c r="G257" s="101"/>
      <c r="H257" s="82"/>
    </row>
    <row r="258" spans="1:8" ht="21" x14ac:dyDescent="0.3">
      <c r="A258" s="2" t="s">
        <v>238</v>
      </c>
      <c r="B258" s="81" t="s">
        <v>241</v>
      </c>
      <c r="C258" s="101"/>
      <c r="D258" s="101"/>
      <c r="E258" s="101"/>
      <c r="F258" s="101"/>
      <c r="G258" s="101"/>
      <c r="H258" s="82"/>
    </row>
    <row r="259" spans="1:8" ht="46.5" hidden="1" customHeight="1" x14ac:dyDescent="0.3">
      <c r="A259" s="2" t="s">
        <v>238</v>
      </c>
      <c r="B259" s="110" t="s">
        <v>242</v>
      </c>
      <c r="C259" s="101"/>
      <c r="D259" s="101"/>
      <c r="E259" s="101"/>
      <c r="F259" s="101"/>
      <c r="G259" s="101"/>
      <c r="H259" s="82"/>
    </row>
    <row r="260" spans="1:8" ht="24.75" hidden="1" customHeight="1" x14ac:dyDescent="0.3">
      <c r="A260" s="2" t="s">
        <v>238</v>
      </c>
      <c r="B260" s="110" t="s">
        <v>243</v>
      </c>
      <c r="C260" s="101"/>
      <c r="D260" s="101"/>
      <c r="E260" s="101"/>
      <c r="F260" s="101"/>
      <c r="G260" s="101"/>
      <c r="H260" s="82"/>
    </row>
    <row r="261" spans="1:8" ht="46.5" hidden="1" customHeight="1" x14ac:dyDescent="0.3">
      <c r="A261" s="2" t="s">
        <v>238</v>
      </c>
      <c r="B261" s="110" t="s">
        <v>242</v>
      </c>
      <c r="C261" s="101"/>
      <c r="D261" s="101"/>
      <c r="E261" s="101"/>
      <c r="F261" s="101"/>
      <c r="G261" s="101"/>
      <c r="H261" s="82"/>
    </row>
    <row r="262" spans="1:8" ht="21" x14ac:dyDescent="0.3">
      <c r="A262" s="132" t="s">
        <v>76</v>
      </c>
      <c r="B262" s="132"/>
      <c r="C262" s="132"/>
      <c r="D262" s="132"/>
      <c r="E262" s="132"/>
      <c r="F262" s="132"/>
      <c r="G262" s="132"/>
      <c r="H262" s="132"/>
    </row>
    <row r="263" spans="1:8" ht="21" x14ac:dyDescent="0.3">
      <c r="A263" s="100" t="s">
        <v>71</v>
      </c>
      <c r="B263" s="100"/>
      <c r="C263" s="100"/>
      <c r="D263" s="81" t="str">
        <f>C3</f>
        <v>Godrej Bliss Wing E &amp; F</v>
      </c>
      <c r="E263" s="101"/>
      <c r="F263" s="101"/>
      <c r="G263" s="101"/>
      <c r="H263" s="82"/>
    </row>
    <row r="264" spans="1:8" ht="43.95" customHeight="1" x14ac:dyDescent="0.3">
      <c r="A264" s="100" t="s">
        <v>105</v>
      </c>
      <c r="B264" s="100"/>
      <c r="C264" s="100"/>
      <c r="D264" s="81" t="str">
        <f>C9</f>
        <v>Godrej Bliss, Near Lokhandwala Circle &amp; Thakur Village, Kandivali East, Mumbai.</v>
      </c>
      <c r="E264" s="101"/>
      <c r="F264" s="101"/>
      <c r="G264" s="101"/>
      <c r="H264" s="82"/>
    </row>
    <row r="265" spans="1:8" ht="20.25" customHeight="1" x14ac:dyDescent="0.3">
      <c r="A265" s="142" t="s">
        <v>111</v>
      </c>
      <c r="B265" s="142"/>
      <c r="C265" s="142"/>
      <c r="D265" s="81" t="str">
        <f>G3</f>
        <v>04/07/2025 @03:46PM</v>
      </c>
      <c r="E265" s="101"/>
      <c r="F265" s="101"/>
      <c r="G265" s="101"/>
      <c r="H265" s="82"/>
    </row>
    <row r="266" spans="1:8" ht="21" x14ac:dyDescent="0.3">
      <c r="A266" s="9"/>
      <c r="B266" s="10"/>
      <c r="C266" s="10"/>
      <c r="D266" s="10"/>
      <c r="E266" s="10"/>
      <c r="F266" s="10"/>
      <c r="G266" s="10"/>
      <c r="H266" s="6"/>
    </row>
    <row r="267" spans="1:8" ht="21" x14ac:dyDescent="0.3">
      <c r="A267" s="11"/>
      <c r="B267" s="12"/>
      <c r="C267" s="12"/>
      <c r="D267" s="12"/>
      <c r="E267" s="12"/>
      <c r="F267" s="12"/>
      <c r="G267" s="12"/>
      <c r="H267" s="7"/>
    </row>
    <row r="268" spans="1:8" ht="21" x14ac:dyDescent="0.3">
      <c r="A268" s="11"/>
      <c r="B268" s="12"/>
      <c r="C268" s="12"/>
      <c r="D268" s="12"/>
      <c r="E268" s="12"/>
      <c r="F268" s="12"/>
      <c r="G268" s="12"/>
      <c r="H268" s="7"/>
    </row>
    <row r="269" spans="1:8" ht="21" x14ac:dyDescent="0.3">
      <c r="A269" s="11"/>
      <c r="B269" s="12"/>
      <c r="C269" s="12"/>
      <c r="D269" s="12"/>
      <c r="E269" s="12"/>
      <c r="F269" s="12"/>
      <c r="G269" s="12"/>
      <c r="H269" s="7"/>
    </row>
    <row r="270" spans="1:8" ht="21" x14ac:dyDescent="0.3">
      <c r="A270" s="11"/>
      <c r="B270" s="12"/>
      <c r="C270" s="12"/>
      <c r="D270" s="12"/>
      <c r="E270" s="12"/>
      <c r="F270" s="12"/>
      <c r="G270" s="12"/>
      <c r="H270" s="7"/>
    </row>
    <row r="271" spans="1:8" ht="21" x14ac:dyDescent="0.3">
      <c r="A271" s="11"/>
      <c r="B271" s="12"/>
      <c r="C271" s="12"/>
      <c r="D271" s="12"/>
      <c r="E271" s="12"/>
      <c r="F271" s="12"/>
      <c r="G271" s="12"/>
      <c r="H271" s="7"/>
    </row>
    <row r="272" spans="1:8" ht="21" x14ac:dyDescent="0.3">
      <c r="A272" s="11"/>
      <c r="B272" s="12"/>
      <c r="C272" s="12"/>
      <c r="D272" s="12"/>
      <c r="E272" s="12"/>
      <c r="F272" s="12"/>
      <c r="G272" s="12"/>
      <c r="H272" s="7"/>
    </row>
    <row r="273" spans="1:8" ht="21" x14ac:dyDescent="0.3">
      <c r="A273" s="11"/>
      <c r="B273" s="12"/>
      <c r="C273" s="12"/>
      <c r="D273" s="12"/>
      <c r="E273" s="12"/>
      <c r="F273" s="12"/>
      <c r="G273" s="12"/>
      <c r="H273" s="7"/>
    </row>
    <row r="274" spans="1:8" ht="21" x14ac:dyDescent="0.3">
      <c r="A274" s="11"/>
      <c r="B274" s="12"/>
      <c r="C274" s="12"/>
      <c r="D274" s="12"/>
      <c r="E274" s="12"/>
      <c r="F274" s="12"/>
      <c r="G274" s="12"/>
      <c r="H274" s="7"/>
    </row>
    <row r="275" spans="1:8" ht="21" x14ac:dyDescent="0.3">
      <c r="A275" s="11"/>
      <c r="B275" s="12"/>
      <c r="C275" s="12"/>
      <c r="D275" s="12"/>
      <c r="E275" s="12"/>
      <c r="F275" s="12"/>
      <c r="G275" s="12"/>
      <c r="H275" s="7"/>
    </row>
    <row r="276" spans="1:8" ht="21" x14ac:dyDescent="0.3">
      <c r="A276" s="11"/>
      <c r="B276" s="12"/>
      <c r="C276" s="12"/>
      <c r="D276" s="12"/>
      <c r="E276" s="12"/>
      <c r="F276" s="12"/>
      <c r="G276" s="12"/>
      <c r="H276" s="7"/>
    </row>
    <row r="277" spans="1:8" ht="21" x14ac:dyDescent="0.3">
      <c r="A277" s="11"/>
      <c r="B277" s="12"/>
      <c r="C277" s="12"/>
      <c r="D277" s="12"/>
      <c r="E277" s="12"/>
      <c r="F277" s="12"/>
      <c r="G277" s="12"/>
      <c r="H277" s="7"/>
    </row>
    <row r="278" spans="1:8" ht="21" x14ac:dyDescent="0.3">
      <c r="A278" s="11"/>
      <c r="B278" s="12"/>
      <c r="C278" s="12"/>
      <c r="D278" s="12"/>
      <c r="E278" s="12"/>
      <c r="F278" s="12"/>
      <c r="G278" s="12"/>
      <c r="H278" s="7"/>
    </row>
    <row r="279" spans="1:8" ht="21" x14ac:dyDescent="0.3">
      <c r="A279" s="11"/>
      <c r="B279" s="12"/>
      <c r="C279" s="12"/>
      <c r="D279" s="12"/>
      <c r="E279" s="12"/>
      <c r="F279" s="12"/>
      <c r="G279" s="12"/>
      <c r="H279" s="7"/>
    </row>
    <row r="280" spans="1:8" ht="21" x14ac:dyDescent="0.3">
      <c r="A280" s="11"/>
      <c r="B280" s="12"/>
      <c r="C280" s="12"/>
      <c r="D280" s="12"/>
      <c r="E280" s="12"/>
      <c r="F280" s="12"/>
      <c r="G280" s="12"/>
      <c r="H280" s="7"/>
    </row>
    <row r="281" spans="1:8" ht="21" x14ac:dyDescent="0.3">
      <c r="A281" s="11"/>
      <c r="B281" s="12"/>
      <c r="C281" s="12"/>
      <c r="D281" s="12"/>
      <c r="E281" s="12"/>
      <c r="F281" s="12"/>
      <c r="G281" s="12"/>
      <c r="H281" s="7"/>
    </row>
    <row r="282" spans="1:8" ht="21" x14ac:dyDescent="0.3">
      <c r="A282" s="11"/>
      <c r="B282" s="12"/>
      <c r="C282" s="12"/>
      <c r="D282" s="12"/>
      <c r="E282" s="12"/>
      <c r="F282" s="12"/>
      <c r="G282" s="12"/>
      <c r="H282" s="7"/>
    </row>
    <row r="283" spans="1:8" ht="21" x14ac:dyDescent="0.3">
      <c r="A283" s="11"/>
      <c r="B283" s="12"/>
      <c r="C283" s="12"/>
      <c r="D283" s="12"/>
      <c r="E283" s="12"/>
      <c r="F283" s="12"/>
      <c r="G283" s="12"/>
      <c r="H283" s="7"/>
    </row>
    <row r="284" spans="1:8" ht="21" x14ac:dyDescent="0.3">
      <c r="A284" s="11"/>
      <c r="B284" s="12"/>
      <c r="C284" s="12"/>
      <c r="D284" s="12"/>
      <c r="E284" s="12"/>
      <c r="F284" s="12"/>
      <c r="G284" s="12"/>
      <c r="H284" s="7"/>
    </row>
    <row r="285" spans="1:8" ht="21" x14ac:dyDescent="0.3">
      <c r="A285" s="11"/>
      <c r="B285" s="12"/>
      <c r="C285" s="12"/>
      <c r="D285" s="12"/>
      <c r="E285" s="12"/>
      <c r="F285" s="12"/>
      <c r="G285" s="12"/>
      <c r="H285" s="7"/>
    </row>
    <row r="286" spans="1:8" ht="21" x14ac:dyDescent="0.3">
      <c r="A286" s="11"/>
      <c r="B286" s="12"/>
      <c r="C286" s="12"/>
      <c r="D286" s="12"/>
      <c r="E286" s="12"/>
      <c r="F286" s="12"/>
      <c r="G286" s="12"/>
      <c r="H286" s="7"/>
    </row>
    <row r="287" spans="1:8" ht="21" x14ac:dyDescent="0.3">
      <c r="A287" s="11"/>
      <c r="B287" s="12"/>
      <c r="C287" s="12"/>
      <c r="D287" s="12"/>
      <c r="E287" s="12"/>
      <c r="F287" s="12"/>
      <c r="G287" s="12"/>
      <c r="H287" s="7"/>
    </row>
    <row r="288" spans="1:8" ht="21" x14ac:dyDescent="0.3">
      <c r="A288" s="11"/>
      <c r="B288" s="12"/>
      <c r="C288" s="12"/>
      <c r="D288" s="12"/>
      <c r="E288" s="12"/>
      <c r="F288" s="12"/>
      <c r="G288" s="12"/>
      <c r="H288" s="7"/>
    </row>
    <row r="289" spans="1:8" ht="21" x14ac:dyDescent="0.3">
      <c r="A289" s="11"/>
      <c r="B289" s="12"/>
      <c r="C289" s="12"/>
      <c r="D289" s="12"/>
      <c r="E289" s="12"/>
      <c r="F289" s="12"/>
      <c r="G289" s="12"/>
      <c r="H289" s="7"/>
    </row>
    <row r="290" spans="1:8" ht="21" x14ac:dyDescent="0.3">
      <c r="A290" s="11"/>
      <c r="B290" s="12"/>
      <c r="C290" s="12"/>
      <c r="D290" s="12"/>
      <c r="E290" s="12"/>
      <c r="F290" s="12"/>
      <c r="G290" s="12"/>
      <c r="H290" s="7"/>
    </row>
    <row r="291" spans="1:8" ht="21" x14ac:dyDescent="0.3">
      <c r="A291" s="11"/>
      <c r="B291" s="12"/>
      <c r="C291" s="12"/>
      <c r="D291" s="12"/>
      <c r="E291" s="12"/>
      <c r="F291" s="12"/>
      <c r="G291" s="12"/>
      <c r="H291" s="7"/>
    </row>
    <row r="292" spans="1:8" ht="21" x14ac:dyDescent="0.3">
      <c r="A292" s="11"/>
      <c r="B292" s="12"/>
      <c r="C292" s="12"/>
      <c r="D292" s="12"/>
      <c r="E292" s="12"/>
      <c r="F292" s="12"/>
      <c r="G292" s="12"/>
      <c r="H292" s="7"/>
    </row>
    <row r="293" spans="1:8" ht="21" x14ac:dyDescent="0.3">
      <c r="A293" s="11"/>
      <c r="B293" s="12"/>
      <c r="C293" s="12"/>
      <c r="D293" s="12"/>
      <c r="E293" s="12"/>
      <c r="F293" s="12"/>
      <c r="G293" s="12"/>
      <c r="H293" s="7"/>
    </row>
    <row r="294" spans="1:8" ht="21" x14ac:dyDescent="0.3">
      <c r="A294" s="11"/>
      <c r="B294" s="12"/>
      <c r="C294" s="12"/>
      <c r="D294" s="12"/>
      <c r="E294" s="12"/>
      <c r="F294" s="12"/>
      <c r="G294" s="12"/>
      <c r="H294" s="7"/>
    </row>
    <row r="295" spans="1:8" ht="21" x14ac:dyDescent="0.3">
      <c r="A295" s="11"/>
      <c r="B295" s="12"/>
      <c r="C295" s="12"/>
      <c r="D295" s="12"/>
      <c r="E295" s="12"/>
      <c r="F295" s="12"/>
      <c r="G295" s="12"/>
      <c r="H295" s="7"/>
    </row>
    <row r="296" spans="1:8" ht="21" x14ac:dyDescent="0.3">
      <c r="A296" s="11"/>
      <c r="B296" s="12"/>
      <c r="C296" s="12"/>
      <c r="D296" s="12"/>
      <c r="E296" s="12"/>
      <c r="F296" s="12"/>
      <c r="G296" s="12"/>
      <c r="H296" s="7"/>
    </row>
    <row r="297" spans="1:8" ht="21" x14ac:dyDescent="0.3">
      <c r="A297" s="11"/>
      <c r="B297" s="12"/>
      <c r="C297" s="12"/>
      <c r="D297" s="12"/>
      <c r="E297" s="12"/>
      <c r="F297" s="12"/>
      <c r="G297" s="12"/>
      <c r="H297" s="7"/>
    </row>
    <row r="298" spans="1:8" ht="21" x14ac:dyDescent="0.3">
      <c r="A298" s="11"/>
      <c r="B298" s="12"/>
      <c r="C298" s="12"/>
      <c r="D298" s="12"/>
      <c r="E298" s="12"/>
      <c r="F298" s="12"/>
      <c r="G298" s="12"/>
      <c r="H298" s="7"/>
    </row>
    <row r="299" spans="1:8" ht="21" x14ac:dyDescent="0.3">
      <c r="A299" s="11"/>
      <c r="B299" s="12"/>
      <c r="C299" s="12"/>
      <c r="D299" s="12"/>
      <c r="E299" s="12"/>
      <c r="F299" s="12"/>
      <c r="G299" s="12"/>
      <c r="H299" s="7"/>
    </row>
    <row r="300" spans="1:8" ht="21" x14ac:dyDescent="0.3">
      <c r="A300" s="11"/>
      <c r="B300" s="12"/>
      <c r="C300" s="12"/>
      <c r="D300" s="12"/>
      <c r="E300" s="12"/>
      <c r="F300" s="12"/>
      <c r="G300" s="12"/>
      <c r="H300" s="7"/>
    </row>
    <row r="301" spans="1:8" ht="21" x14ac:dyDescent="0.3">
      <c r="A301" s="11"/>
      <c r="B301" s="12"/>
      <c r="C301" s="12"/>
      <c r="D301" s="12"/>
      <c r="E301" s="12"/>
      <c r="F301" s="12"/>
      <c r="G301" s="12"/>
      <c r="H301" s="7"/>
    </row>
    <row r="302" spans="1:8" ht="21" x14ac:dyDescent="0.3">
      <c r="A302" s="11"/>
      <c r="B302" s="12"/>
      <c r="C302" s="12"/>
      <c r="D302" s="12"/>
      <c r="E302" s="12"/>
      <c r="F302" s="12"/>
      <c r="G302" s="12"/>
      <c r="H302" s="7"/>
    </row>
    <row r="303" spans="1:8" ht="21" x14ac:dyDescent="0.3">
      <c r="A303" s="11"/>
      <c r="B303" s="12"/>
      <c r="C303" s="12"/>
      <c r="D303" s="12"/>
      <c r="E303" s="12"/>
      <c r="F303" s="12"/>
      <c r="G303" s="12"/>
      <c r="H303" s="7"/>
    </row>
    <row r="304" spans="1:8" ht="21" x14ac:dyDescent="0.3">
      <c r="A304" s="11"/>
      <c r="B304" s="12"/>
      <c r="C304" s="12"/>
      <c r="D304" s="12"/>
      <c r="E304" s="12"/>
      <c r="F304" s="12"/>
      <c r="G304" s="12"/>
      <c r="H304" s="7"/>
    </row>
    <row r="305" spans="1:8" ht="21" x14ac:dyDescent="0.3">
      <c r="A305" s="11"/>
      <c r="B305" s="12"/>
      <c r="C305" s="12"/>
      <c r="D305" s="12"/>
      <c r="E305" s="12"/>
      <c r="F305" s="12"/>
      <c r="G305" s="12"/>
      <c r="H305" s="7"/>
    </row>
    <row r="306" spans="1:8" ht="21" x14ac:dyDescent="0.3">
      <c r="A306" s="11"/>
      <c r="B306" s="12"/>
      <c r="C306" s="12"/>
      <c r="D306" s="12"/>
      <c r="E306" s="12"/>
      <c r="F306" s="12"/>
      <c r="G306" s="12"/>
      <c r="H306" s="7"/>
    </row>
    <row r="307" spans="1:8" ht="21" x14ac:dyDescent="0.3">
      <c r="A307" s="11"/>
      <c r="B307" s="12"/>
      <c r="C307" s="12"/>
      <c r="D307" s="12"/>
      <c r="E307" s="12"/>
      <c r="F307" s="12"/>
      <c r="G307" s="12"/>
      <c r="H307" s="7"/>
    </row>
    <row r="308" spans="1:8" ht="21" x14ac:dyDescent="0.3">
      <c r="A308" s="11"/>
      <c r="B308" s="12"/>
      <c r="C308" s="12"/>
      <c r="D308" s="12"/>
      <c r="E308" s="12"/>
      <c r="F308" s="12"/>
      <c r="G308" s="12"/>
      <c r="H308" s="7"/>
    </row>
    <row r="309" spans="1:8" ht="21" x14ac:dyDescent="0.3">
      <c r="A309" s="13"/>
      <c r="B309" s="14"/>
      <c r="C309" s="14"/>
      <c r="D309" s="14"/>
      <c r="E309" s="14"/>
      <c r="F309" s="14"/>
      <c r="G309" s="14"/>
      <c r="H309" s="8"/>
    </row>
    <row r="310" spans="1:8" ht="21" x14ac:dyDescent="0.3">
      <c r="A310" s="111" t="s">
        <v>160</v>
      </c>
      <c r="B310" s="111"/>
      <c r="C310" s="111"/>
      <c r="D310" s="111"/>
      <c r="E310" s="111"/>
      <c r="F310" s="111"/>
      <c r="G310" s="111"/>
      <c r="H310" s="111"/>
    </row>
    <row r="311" spans="1:8" ht="21" x14ac:dyDescent="0.3">
      <c r="A311" s="9"/>
      <c r="B311" s="10"/>
      <c r="C311" s="10"/>
      <c r="D311" s="10"/>
      <c r="E311" s="10"/>
      <c r="F311" s="10"/>
      <c r="G311" s="10"/>
      <c r="H311" s="6"/>
    </row>
    <row r="312" spans="1:8" ht="21" x14ac:dyDescent="0.3">
      <c r="A312" s="11"/>
      <c r="B312" s="12"/>
      <c r="C312" s="12"/>
      <c r="D312" s="12"/>
      <c r="E312" s="12"/>
      <c r="F312" s="12"/>
      <c r="G312" s="12"/>
      <c r="H312" s="7"/>
    </row>
    <row r="313" spans="1:8" ht="21" x14ac:dyDescent="0.3">
      <c r="A313" s="11"/>
      <c r="B313" s="12"/>
      <c r="C313" s="12"/>
      <c r="D313" s="12"/>
      <c r="E313" s="12"/>
      <c r="F313" s="12"/>
      <c r="G313" s="12"/>
      <c r="H313" s="7"/>
    </row>
    <row r="314" spans="1:8" ht="21" x14ac:dyDescent="0.3">
      <c r="A314" s="11"/>
      <c r="B314" s="12"/>
      <c r="C314" s="12"/>
      <c r="D314" s="12"/>
      <c r="E314" s="12"/>
      <c r="F314" s="12"/>
      <c r="G314" s="12"/>
      <c r="H314" s="7"/>
    </row>
    <row r="315" spans="1:8" ht="21" x14ac:dyDescent="0.3">
      <c r="A315" s="11"/>
      <c r="B315" s="12"/>
      <c r="C315" s="12"/>
      <c r="D315" s="12"/>
      <c r="E315" s="12"/>
      <c r="F315" s="12"/>
      <c r="G315" s="12"/>
      <c r="H315" s="7"/>
    </row>
    <row r="316" spans="1:8" ht="21" x14ac:dyDescent="0.3">
      <c r="A316" s="11"/>
      <c r="B316" s="12"/>
      <c r="C316" s="12"/>
      <c r="D316" s="12"/>
      <c r="E316" s="12"/>
      <c r="F316" s="12"/>
      <c r="G316" s="12"/>
      <c r="H316" s="7"/>
    </row>
    <row r="317" spans="1:8" ht="21" x14ac:dyDescent="0.3">
      <c r="A317" s="11"/>
      <c r="B317" s="12"/>
      <c r="C317" s="12"/>
      <c r="D317" s="12"/>
      <c r="E317" s="12"/>
      <c r="F317" s="12"/>
      <c r="G317" s="12"/>
      <c r="H317" s="7"/>
    </row>
    <row r="318" spans="1:8" ht="21" x14ac:dyDescent="0.3">
      <c r="A318" s="11"/>
      <c r="B318" s="12"/>
      <c r="C318" s="12"/>
      <c r="D318" s="12"/>
      <c r="E318" s="12"/>
      <c r="F318" s="12"/>
      <c r="G318" s="12"/>
      <c r="H318" s="7"/>
    </row>
    <row r="319" spans="1:8" ht="21" x14ac:dyDescent="0.3">
      <c r="A319" s="11"/>
      <c r="B319" s="12"/>
      <c r="C319" s="12"/>
      <c r="D319" s="12"/>
      <c r="E319" s="12"/>
      <c r="F319" s="12"/>
      <c r="G319" s="12"/>
      <c r="H319" s="7"/>
    </row>
    <row r="320" spans="1:8" ht="21" x14ac:dyDescent="0.3">
      <c r="A320" s="11"/>
      <c r="B320" s="12"/>
      <c r="C320" s="12"/>
      <c r="D320" s="12"/>
      <c r="E320" s="12"/>
      <c r="F320" s="12"/>
      <c r="G320" s="12"/>
      <c r="H320" s="7"/>
    </row>
    <row r="321" spans="1:8" ht="21" x14ac:dyDescent="0.3">
      <c r="A321" s="11"/>
      <c r="B321" s="12"/>
      <c r="C321" s="12"/>
      <c r="D321" s="12"/>
      <c r="E321" s="12"/>
      <c r="F321" s="12"/>
      <c r="G321" s="12"/>
      <c r="H321" s="7"/>
    </row>
    <row r="322" spans="1:8" ht="21" x14ac:dyDescent="0.3">
      <c r="A322" s="11"/>
      <c r="B322" s="12"/>
      <c r="C322" s="12"/>
      <c r="D322" s="12"/>
      <c r="E322" s="12"/>
      <c r="F322" s="12"/>
      <c r="G322" s="12"/>
      <c r="H322" s="7"/>
    </row>
    <row r="323" spans="1:8" ht="21" x14ac:dyDescent="0.3">
      <c r="A323" s="11"/>
      <c r="B323" s="12"/>
      <c r="C323" s="12"/>
      <c r="D323" s="12"/>
      <c r="E323" s="12"/>
      <c r="F323" s="12"/>
      <c r="G323" s="12"/>
      <c r="H323" s="7"/>
    </row>
    <row r="324" spans="1:8" ht="21" x14ac:dyDescent="0.3">
      <c r="A324" s="11"/>
      <c r="B324" s="12"/>
      <c r="C324" s="12"/>
      <c r="D324" s="12"/>
      <c r="E324" s="12"/>
      <c r="F324" s="12"/>
      <c r="G324" s="12"/>
      <c r="H324" s="7"/>
    </row>
    <row r="325" spans="1:8" ht="21" x14ac:dyDescent="0.3">
      <c r="A325" s="11"/>
      <c r="B325" s="12"/>
      <c r="C325" s="12"/>
      <c r="D325" s="12"/>
      <c r="E325" s="12"/>
      <c r="F325" s="12"/>
      <c r="G325" s="12"/>
      <c r="H325" s="7"/>
    </row>
    <row r="326" spans="1:8" ht="21" x14ac:dyDescent="0.3">
      <c r="A326" s="11"/>
      <c r="B326" s="12"/>
      <c r="C326" s="12"/>
      <c r="D326" s="12"/>
      <c r="E326" s="12"/>
      <c r="F326" s="12"/>
      <c r="G326" s="12"/>
      <c r="H326" s="7"/>
    </row>
    <row r="327" spans="1:8" ht="21" x14ac:dyDescent="0.3">
      <c r="A327" s="11"/>
      <c r="B327" s="12"/>
      <c r="C327" s="12"/>
      <c r="D327" s="12"/>
      <c r="E327" s="12"/>
      <c r="F327" s="12"/>
      <c r="G327" s="12"/>
      <c r="H327" s="7"/>
    </row>
    <row r="328" spans="1:8" ht="21" x14ac:dyDescent="0.3">
      <c r="A328" s="11"/>
      <c r="B328" s="12"/>
      <c r="C328" s="12"/>
      <c r="D328" s="12"/>
      <c r="E328" s="12"/>
      <c r="F328" s="12"/>
      <c r="G328" s="12"/>
      <c r="H328" s="7"/>
    </row>
    <row r="329" spans="1:8" ht="21" x14ac:dyDescent="0.3">
      <c r="A329" s="11"/>
      <c r="B329" s="12"/>
      <c r="C329" s="12"/>
      <c r="D329" s="12"/>
      <c r="E329" s="12"/>
      <c r="F329" s="12"/>
      <c r="G329" s="12"/>
      <c r="H329" s="7"/>
    </row>
    <row r="330" spans="1:8" ht="21" x14ac:dyDescent="0.3">
      <c r="A330" s="11"/>
      <c r="B330" s="12"/>
      <c r="C330" s="12"/>
      <c r="D330" s="12"/>
      <c r="E330" s="12"/>
      <c r="F330" s="12"/>
      <c r="G330" s="12"/>
      <c r="H330" s="7"/>
    </row>
    <row r="331" spans="1:8" ht="21" x14ac:dyDescent="0.3">
      <c r="A331" s="11"/>
      <c r="B331" s="12"/>
      <c r="C331" s="12"/>
      <c r="D331" s="12"/>
      <c r="E331" s="12"/>
      <c r="F331" s="12"/>
      <c r="G331" s="12"/>
      <c r="H331" s="7"/>
    </row>
    <row r="332" spans="1:8" ht="21" x14ac:dyDescent="0.3">
      <c r="A332" s="11"/>
      <c r="B332" s="12"/>
      <c r="C332" s="12"/>
      <c r="D332" s="12"/>
      <c r="E332" s="12"/>
      <c r="F332" s="12"/>
      <c r="G332" s="12"/>
      <c r="H332" s="7"/>
    </row>
    <row r="333" spans="1:8" ht="21" x14ac:dyDescent="0.3">
      <c r="A333" s="11"/>
      <c r="B333" s="12"/>
      <c r="C333" s="12"/>
      <c r="D333" s="12"/>
      <c r="E333" s="12"/>
      <c r="F333" s="12"/>
      <c r="G333" s="12"/>
      <c r="H333" s="7"/>
    </row>
    <row r="334" spans="1:8" ht="21" x14ac:dyDescent="0.3">
      <c r="A334" s="11"/>
      <c r="B334" s="12"/>
      <c r="C334" s="12"/>
      <c r="D334" s="12"/>
      <c r="E334" s="12"/>
      <c r="F334" s="12"/>
      <c r="G334" s="12"/>
      <c r="H334" s="7"/>
    </row>
    <row r="335" spans="1:8" ht="21" x14ac:dyDescent="0.3">
      <c r="A335" s="11"/>
      <c r="B335" s="12"/>
      <c r="C335" s="12"/>
      <c r="D335" s="12"/>
      <c r="E335" s="12"/>
      <c r="F335" s="12"/>
      <c r="G335" s="12"/>
      <c r="H335" s="7"/>
    </row>
    <row r="336" spans="1:8" ht="21" x14ac:dyDescent="0.3">
      <c r="A336" s="11"/>
      <c r="B336" s="12"/>
      <c r="C336" s="12"/>
      <c r="D336" s="12"/>
      <c r="E336" s="12"/>
      <c r="F336" s="12"/>
      <c r="G336" s="12"/>
      <c r="H336" s="7"/>
    </row>
    <row r="337" spans="1:8" ht="21" x14ac:dyDescent="0.3">
      <c r="A337" s="11"/>
      <c r="B337" s="12"/>
      <c r="C337" s="12"/>
      <c r="D337" s="12"/>
      <c r="E337" s="12"/>
      <c r="F337" s="12"/>
      <c r="G337" s="12"/>
      <c r="H337" s="7"/>
    </row>
    <row r="338" spans="1:8" ht="21" x14ac:dyDescent="0.3">
      <c r="A338" s="11"/>
      <c r="B338" s="12"/>
      <c r="C338" s="12"/>
      <c r="D338" s="12"/>
      <c r="E338" s="12"/>
      <c r="F338" s="12"/>
      <c r="G338" s="12"/>
      <c r="H338" s="7"/>
    </row>
    <row r="339" spans="1:8" ht="21" x14ac:dyDescent="0.3">
      <c r="A339" s="11"/>
      <c r="B339" s="12"/>
      <c r="C339" s="12"/>
      <c r="D339" s="12"/>
      <c r="E339" s="12"/>
      <c r="F339" s="12"/>
      <c r="G339" s="12"/>
      <c r="H339" s="7"/>
    </row>
    <row r="340" spans="1:8" ht="21" x14ac:dyDescent="0.3">
      <c r="A340" s="11"/>
      <c r="B340" s="12"/>
      <c r="C340" s="12"/>
      <c r="D340" s="12"/>
      <c r="E340" s="12"/>
      <c r="F340" s="12"/>
      <c r="G340" s="12"/>
      <c r="H340" s="7"/>
    </row>
    <row r="341" spans="1:8" ht="21" x14ac:dyDescent="0.3">
      <c r="A341" s="11"/>
      <c r="B341" s="12"/>
      <c r="C341" s="12"/>
      <c r="D341" s="12"/>
      <c r="E341" s="12"/>
      <c r="F341" s="12"/>
      <c r="G341" s="12"/>
      <c r="H341" s="7"/>
    </row>
    <row r="342" spans="1:8" ht="21" x14ac:dyDescent="0.3">
      <c r="A342" s="11"/>
      <c r="B342" s="12"/>
      <c r="C342" s="12"/>
      <c r="D342" s="12"/>
      <c r="E342" s="12"/>
      <c r="F342" s="12"/>
      <c r="G342" s="12"/>
      <c r="H342" s="7"/>
    </row>
    <row r="343" spans="1:8" ht="21" x14ac:dyDescent="0.3">
      <c r="A343" s="11"/>
      <c r="B343" s="12"/>
      <c r="C343" s="12"/>
      <c r="D343" s="12"/>
      <c r="E343" s="12"/>
      <c r="F343" s="12"/>
      <c r="G343" s="12"/>
      <c r="H343" s="7"/>
    </row>
    <row r="344" spans="1:8" ht="21" x14ac:dyDescent="0.3">
      <c r="A344" s="11"/>
      <c r="B344" s="12"/>
      <c r="C344" s="12"/>
      <c r="D344" s="12"/>
      <c r="E344" s="12"/>
      <c r="F344" s="12"/>
      <c r="G344" s="12"/>
      <c r="H344" s="7"/>
    </row>
    <row r="345" spans="1:8" ht="21" x14ac:dyDescent="0.3">
      <c r="A345" s="11"/>
      <c r="B345" s="12"/>
      <c r="C345" s="12"/>
      <c r="D345" s="12"/>
      <c r="E345" s="12"/>
      <c r="F345" s="12"/>
      <c r="G345" s="12"/>
      <c r="H345" s="7"/>
    </row>
    <row r="346" spans="1:8" ht="21" x14ac:dyDescent="0.3">
      <c r="A346" s="11"/>
      <c r="B346" s="12"/>
      <c r="C346" s="12"/>
      <c r="D346" s="12"/>
      <c r="E346" s="12"/>
      <c r="F346" s="12"/>
      <c r="G346" s="12"/>
      <c r="H346" s="7"/>
    </row>
    <row r="347" spans="1:8" ht="21" x14ac:dyDescent="0.3">
      <c r="A347" s="11"/>
      <c r="B347" s="12"/>
      <c r="C347" s="12"/>
      <c r="D347" s="12"/>
      <c r="E347" s="12"/>
      <c r="F347" s="12"/>
      <c r="G347" s="12"/>
      <c r="H347" s="7"/>
    </row>
    <row r="348" spans="1:8" ht="21" x14ac:dyDescent="0.3">
      <c r="A348" s="11"/>
      <c r="B348" s="12"/>
      <c r="C348" s="12"/>
      <c r="D348" s="12"/>
      <c r="E348" s="12"/>
      <c r="F348" s="12"/>
      <c r="G348" s="12"/>
      <c r="H348" s="7"/>
    </row>
    <row r="349" spans="1:8" ht="21" x14ac:dyDescent="0.3">
      <c r="A349" s="11"/>
      <c r="B349" s="12"/>
      <c r="C349" s="12"/>
      <c r="D349" s="12"/>
      <c r="E349" s="12"/>
      <c r="F349" s="12"/>
      <c r="G349" s="12"/>
      <c r="H349" s="7"/>
    </row>
    <row r="350" spans="1:8" ht="21" x14ac:dyDescent="0.3">
      <c r="A350" s="11"/>
      <c r="B350" s="12"/>
      <c r="C350" s="12"/>
      <c r="D350" s="12"/>
      <c r="E350" s="12"/>
      <c r="F350" s="12"/>
      <c r="G350" s="12"/>
      <c r="H350" s="7"/>
    </row>
    <row r="351" spans="1:8" ht="21" x14ac:dyDescent="0.3">
      <c r="A351" s="11"/>
      <c r="B351" s="12"/>
      <c r="C351" s="12"/>
      <c r="D351" s="12"/>
      <c r="E351" s="12"/>
      <c r="F351" s="12"/>
      <c r="G351" s="12"/>
      <c r="H351" s="7"/>
    </row>
    <row r="352" spans="1:8" ht="21" x14ac:dyDescent="0.3">
      <c r="A352" s="11"/>
      <c r="B352" s="12"/>
      <c r="C352" s="12"/>
      <c r="D352" s="12"/>
      <c r="E352" s="12"/>
      <c r="F352" s="12"/>
      <c r="G352" s="12"/>
      <c r="H352" s="7"/>
    </row>
    <row r="353" spans="1:8" ht="21" x14ac:dyDescent="0.3">
      <c r="A353" s="11"/>
      <c r="B353" s="12"/>
      <c r="C353" s="12"/>
      <c r="D353" s="12"/>
      <c r="E353" s="12"/>
      <c r="F353" s="12"/>
      <c r="G353" s="12"/>
      <c r="H353" s="7"/>
    </row>
    <row r="354" spans="1:8" ht="21" x14ac:dyDescent="0.3">
      <c r="A354" s="11"/>
      <c r="B354" s="12"/>
      <c r="C354" s="12"/>
      <c r="D354" s="12"/>
      <c r="E354" s="12"/>
      <c r="F354" s="12"/>
      <c r="G354" s="12"/>
      <c r="H354" s="7"/>
    </row>
    <row r="355" spans="1:8" ht="21" x14ac:dyDescent="0.3">
      <c r="A355" s="11"/>
      <c r="B355" s="12"/>
      <c r="C355" s="12"/>
      <c r="D355" s="12"/>
      <c r="E355" s="12"/>
      <c r="F355" s="12"/>
      <c r="G355" s="12"/>
      <c r="H355" s="7"/>
    </row>
    <row r="356" spans="1:8" ht="21" x14ac:dyDescent="0.3">
      <c r="A356" s="11"/>
      <c r="B356" s="12"/>
      <c r="C356" s="12"/>
      <c r="D356" s="12"/>
      <c r="E356" s="12"/>
      <c r="F356" s="12"/>
      <c r="G356" s="12"/>
      <c r="H356" s="7"/>
    </row>
    <row r="357" spans="1:8" ht="21" x14ac:dyDescent="0.3">
      <c r="A357" s="11"/>
      <c r="B357" s="12"/>
      <c r="C357" s="12"/>
      <c r="D357" s="12"/>
      <c r="E357" s="12"/>
      <c r="F357" s="12"/>
      <c r="G357" s="12"/>
      <c r="H357" s="7"/>
    </row>
    <row r="358" spans="1:8" ht="21" x14ac:dyDescent="0.3">
      <c r="A358" s="11"/>
      <c r="B358" s="12"/>
      <c r="C358" s="12"/>
      <c r="D358" s="12"/>
      <c r="E358" s="12"/>
      <c r="F358" s="12"/>
      <c r="G358" s="12"/>
      <c r="H358" s="7"/>
    </row>
    <row r="359" spans="1:8" ht="21" x14ac:dyDescent="0.3">
      <c r="A359" s="13"/>
      <c r="B359" s="14"/>
      <c r="C359" s="14"/>
      <c r="D359" s="14"/>
      <c r="E359" s="14"/>
      <c r="F359" s="14"/>
      <c r="G359" s="14"/>
      <c r="H359" s="8"/>
    </row>
    <row r="360" spans="1:8" ht="21" x14ac:dyDescent="0.3">
      <c r="A360" s="93" t="s">
        <v>77</v>
      </c>
      <c r="B360" s="94"/>
      <c r="C360" s="94"/>
      <c r="D360" s="94"/>
      <c r="E360" s="94"/>
      <c r="F360" s="94"/>
      <c r="G360" s="94"/>
      <c r="H360" s="95"/>
    </row>
    <row r="361" spans="1:8" ht="21" x14ac:dyDescent="0.3">
      <c r="A361" s="9"/>
      <c r="B361" s="10"/>
      <c r="C361" s="10"/>
      <c r="D361" s="10"/>
      <c r="E361" s="10"/>
      <c r="F361" s="10"/>
      <c r="G361" s="10"/>
      <c r="H361" s="6"/>
    </row>
    <row r="362" spans="1:8" ht="21" x14ac:dyDescent="0.3">
      <c r="A362" s="11"/>
      <c r="B362" s="12"/>
      <c r="C362" s="12"/>
      <c r="D362" s="12"/>
      <c r="E362" s="12"/>
      <c r="F362" s="12"/>
      <c r="G362" s="12"/>
      <c r="H362" s="7"/>
    </row>
    <row r="363" spans="1:8" ht="21" x14ac:dyDescent="0.3">
      <c r="A363" s="11"/>
      <c r="B363" s="12"/>
      <c r="C363" s="12"/>
      <c r="D363" s="12"/>
      <c r="E363" s="12"/>
      <c r="F363" s="12"/>
      <c r="G363" s="12"/>
      <c r="H363" s="7"/>
    </row>
    <row r="364" spans="1:8" ht="21" x14ac:dyDescent="0.3">
      <c r="A364" s="11"/>
      <c r="B364" s="12"/>
      <c r="C364" s="12"/>
      <c r="D364" s="12"/>
      <c r="E364" s="12"/>
      <c r="F364" s="12"/>
      <c r="G364" s="12"/>
      <c r="H364" s="7"/>
    </row>
    <row r="365" spans="1:8" ht="21" x14ac:dyDescent="0.3">
      <c r="A365" s="11"/>
      <c r="B365" s="12"/>
      <c r="C365" s="12"/>
      <c r="D365" s="12"/>
      <c r="E365" s="12"/>
      <c r="F365" s="12"/>
      <c r="G365" s="12"/>
      <c r="H365" s="7"/>
    </row>
    <row r="366" spans="1:8" ht="21" x14ac:dyDescent="0.3">
      <c r="A366" s="11"/>
      <c r="B366" s="12"/>
      <c r="C366" s="12"/>
      <c r="D366" s="12"/>
      <c r="E366" s="12"/>
      <c r="F366" s="12"/>
      <c r="G366" s="12"/>
      <c r="H366" s="7"/>
    </row>
    <row r="367" spans="1:8" ht="21" x14ac:dyDescent="0.3">
      <c r="A367" s="11"/>
      <c r="B367" s="12"/>
      <c r="C367" s="12"/>
      <c r="D367" s="12"/>
      <c r="E367" s="12"/>
      <c r="F367" s="12"/>
      <c r="G367" s="12"/>
      <c r="H367" s="7"/>
    </row>
    <row r="368" spans="1:8" ht="21" x14ac:dyDescent="0.3">
      <c r="A368" s="11"/>
      <c r="B368" s="12"/>
      <c r="C368" s="12"/>
      <c r="D368" s="12"/>
      <c r="E368" s="12"/>
      <c r="F368" s="12"/>
      <c r="G368" s="12"/>
      <c r="H368" s="7"/>
    </row>
    <row r="369" spans="1:8" ht="21" x14ac:dyDescent="0.3">
      <c r="A369" s="11"/>
      <c r="B369" s="12"/>
      <c r="C369" s="12"/>
      <c r="D369" s="12"/>
      <c r="E369" s="12"/>
      <c r="F369" s="12"/>
      <c r="G369" s="12"/>
      <c r="H369" s="7"/>
    </row>
    <row r="370" spans="1:8" ht="21" x14ac:dyDescent="0.3">
      <c r="A370" s="11"/>
      <c r="B370" s="12"/>
      <c r="C370" s="12"/>
      <c r="D370" s="12"/>
      <c r="E370" s="12"/>
      <c r="F370" s="12"/>
      <c r="G370" s="12"/>
      <c r="H370" s="7"/>
    </row>
    <row r="371" spans="1:8" ht="21" x14ac:dyDescent="0.3">
      <c r="A371" s="11"/>
      <c r="B371" s="12"/>
      <c r="C371" s="12"/>
      <c r="D371" s="12"/>
      <c r="E371" s="12"/>
      <c r="F371" s="12"/>
      <c r="G371" s="12"/>
      <c r="H371" s="7"/>
    </row>
    <row r="372" spans="1:8" ht="21" x14ac:dyDescent="0.3">
      <c r="A372" s="11"/>
      <c r="B372" s="12"/>
      <c r="C372" s="12"/>
      <c r="D372" s="12"/>
      <c r="E372" s="12"/>
      <c r="F372" s="12"/>
      <c r="G372" s="12"/>
      <c r="H372" s="7"/>
    </row>
    <row r="373" spans="1:8" ht="21" x14ac:dyDescent="0.3">
      <c r="A373" s="11"/>
      <c r="B373" s="12"/>
      <c r="C373" s="12"/>
      <c r="D373" s="12"/>
      <c r="E373" s="12"/>
      <c r="F373" s="12"/>
      <c r="G373" s="12"/>
      <c r="H373" s="7"/>
    </row>
    <row r="374" spans="1:8" ht="21" x14ac:dyDescent="0.3">
      <c r="A374" s="11"/>
      <c r="B374" s="12"/>
      <c r="C374" s="12"/>
      <c r="D374" s="12"/>
      <c r="E374" s="12"/>
      <c r="F374" s="12"/>
      <c r="G374" s="12"/>
      <c r="H374" s="7"/>
    </row>
    <row r="375" spans="1:8" ht="21" x14ac:dyDescent="0.3">
      <c r="A375" s="11"/>
      <c r="B375" s="12"/>
      <c r="C375" s="12"/>
      <c r="D375" s="12"/>
      <c r="E375" s="12"/>
      <c r="F375" s="12"/>
      <c r="G375" s="12"/>
      <c r="H375" s="7"/>
    </row>
    <row r="376" spans="1:8" ht="21" x14ac:dyDescent="0.3">
      <c r="A376" s="11"/>
      <c r="B376" s="12"/>
      <c r="C376" s="12"/>
      <c r="D376" s="12"/>
      <c r="E376" s="12"/>
      <c r="F376" s="12"/>
      <c r="G376" s="12"/>
      <c r="H376" s="7"/>
    </row>
    <row r="377" spans="1:8" ht="21" x14ac:dyDescent="0.3">
      <c r="A377" s="11"/>
      <c r="B377" s="12"/>
      <c r="C377" s="12"/>
      <c r="D377" s="12"/>
      <c r="E377" s="12"/>
      <c r="F377" s="12"/>
      <c r="G377" s="12"/>
      <c r="H377" s="7"/>
    </row>
    <row r="378" spans="1:8" ht="21" x14ac:dyDescent="0.3">
      <c r="A378" s="11"/>
      <c r="B378" s="12"/>
      <c r="C378" s="12"/>
      <c r="D378" s="12"/>
      <c r="E378" s="12"/>
      <c r="F378" s="12"/>
      <c r="G378" s="12"/>
      <c r="H378" s="7"/>
    </row>
    <row r="379" spans="1:8" ht="21" x14ac:dyDescent="0.3">
      <c r="A379" s="11"/>
      <c r="B379" s="12"/>
      <c r="C379" s="12"/>
      <c r="D379" s="12"/>
      <c r="E379" s="12"/>
      <c r="F379" s="12"/>
      <c r="G379" s="12"/>
      <c r="H379" s="7"/>
    </row>
    <row r="380" spans="1:8" ht="21" x14ac:dyDescent="0.3">
      <c r="A380" s="11"/>
      <c r="B380" s="12"/>
      <c r="C380" s="12"/>
      <c r="D380" s="12"/>
      <c r="E380" s="12"/>
      <c r="F380" s="12"/>
      <c r="G380" s="12"/>
      <c r="H380" s="7"/>
    </row>
    <row r="381" spans="1:8" ht="21" x14ac:dyDescent="0.3">
      <c r="A381" s="11"/>
      <c r="B381" s="12"/>
      <c r="C381" s="12"/>
      <c r="D381" s="12"/>
      <c r="E381" s="12"/>
      <c r="F381" s="12"/>
      <c r="G381" s="12"/>
      <c r="H381" s="7"/>
    </row>
    <row r="382" spans="1:8" ht="21" x14ac:dyDescent="0.3">
      <c r="A382" s="11"/>
      <c r="B382" s="12"/>
      <c r="C382" s="12"/>
      <c r="D382" s="12"/>
      <c r="E382" s="12"/>
      <c r="F382" s="12"/>
      <c r="G382" s="12"/>
      <c r="H382" s="7"/>
    </row>
    <row r="383" spans="1:8" ht="21" x14ac:dyDescent="0.3">
      <c r="A383" s="11"/>
      <c r="B383" s="12"/>
      <c r="C383" s="12"/>
      <c r="D383" s="12"/>
      <c r="E383" s="12"/>
      <c r="F383" s="12"/>
      <c r="G383" s="12"/>
      <c r="H383" s="7"/>
    </row>
    <row r="384" spans="1:8" ht="21" x14ac:dyDescent="0.3">
      <c r="A384" s="11"/>
      <c r="B384" s="12"/>
      <c r="C384" s="12"/>
      <c r="D384" s="12"/>
      <c r="E384" s="12"/>
      <c r="F384" s="12"/>
      <c r="G384" s="12"/>
      <c r="H384" s="7"/>
    </row>
    <row r="385" spans="1:8" ht="21" x14ac:dyDescent="0.3">
      <c r="A385" s="11"/>
      <c r="B385" s="12"/>
      <c r="C385" s="12"/>
      <c r="D385" s="12"/>
      <c r="E385" s="12"/>
      <c r="F385" s="12"/>
      <c r="G385" s="12"/>
      <c r="H385" s="7"/>
    </row>
    <row r="386" spans="1:8" ht="21" x14ac:dyDescent="0.3">
      <c r="A386" s="11"/>
      <c r="B386" s="12"/>
      <c r="C386" s="12"/>
      <c r="D386" s="12"/>
      <c r="E386" s="12"/>
      <c r="F386" s="12"/>
      <c r="G386" s="12"/>
      <c r="H386" s="7"/>
    </row>
    <row r="387" spans="1:8" ht="21" x14ac:dyDescent="0.3">
      <c r="A387" s="11"/>
      <c r="B387" s="12"/>
      <c r="C387" s="12"/>
      <c r="D387" s="12"/>
      <c r="E387" s="12"/>
      <c r="F387" s="12"/>
      <c r="G387" s="12"/>
      <c r="H387" s="7"/>
    </row>
    <row r="388" spans="1:8" ht="21" x14ac:dyDescent="0.3">
      <c r="A388" s="11"/>
      <c r="B388" s="12"/>
      <c r="C388" s="12"/>
      <c r="D388" s="12"/>
      <c r="E388" s="12"/>
      <c r="F388" s="12"/>
      <c r="G388" s="12"/>
      <c r="H388" s="7"/>
    </row>
    <row r="389" spans="1:8" ht="21" x14ac:dyDescent="0.3">
      <c r="A389" s="11"/>
      <c r="B389" s="12"/>
      <c r="C389" s="12"/>
      <c r="D389" s="12"/>
      <c r="E389" s="12"/>
      <c r="F389" s="12"/>
      <c r="G389" s="12"/>
      <c r="H389" s="7"/>
    </row>
    <row r="390" spans="1:8" ht="21" x14ac:dyDescent="0.3">
      <c r="A390" s="11"/>
      <c r="B390" s="12"/>
      <c r="C390" s="12"/>
      <c r="D390" s="12"/>
      <c r="E390" s="12"/>
      <c r="F390" s="12"/>
      <c r="G390" s="12"/>
      <c r="H390" s="7"/>
    </row>
    <row r="391" spans="1:8" ht="21" x14ac:dyDescent="0.3">
      <c r="A391" s="111" t="s">
        <v>24</v>
      </c>
      <c r="B391" s="111"/>
      <c r="C391" s="111"/>
      <c r="D391" s="111"/>
      <c r="E391" s="111"/>
      <c r="F391" s="111"/>
      <c r="G391" s="111"/>
      <c r="H391" s="111"/>
    </row>
    <row r="392" spans="1:8" ht="21" x14ac:dyDescent="0.3">
      <c r="A392" s="133" t="s">
        <v>78</v>
      </c>
      <c r="B392" s="134"/>
      <c r="C392" s="134"/>
      <c r="D392" s="134"/>
      <c r="E392" s="134"/>
      <c r="F392" s="134"/>
      <c r="G392" s="134"/>
      <c r="H392" s="135"/>
    </row>
    <row r="393" spans="1:8" ht="21" x14ac:dyDescent="0.3">
      <c r="A393" s="136" t="s">
        <v>79</v>
      </c>
      <c r="B393" s="137"/>
      <c r="C393" s="137"/>
      <c r="D393" s="137"/>
      <c r="E393" s="137"/>
      <c r="F393" s="137"/>
      <c r="G393" s="137"/>
      <c r="H393" s="138"/>
    </row>
    <row r="394" spans="1:8" ht="45" customHeight="1" x14ac:dyDescent="0.3">
      <c r="A394" s="136" t="s">
        <v>80</v>
      </c>
      <c r="B394" s="137"/>
      <c r="C394" s="137"/>
      <c r="D394" s="137"/>
      <c r="E394" s="137"/>
      <c r="F394" s="137"/>
      <c r="G394" s="137"/>
      <c r="H394" s="138"/>
    </row>
    <row r="395" spans="1:8" ht="42.75" customHeight="1" x14ac:dyDescent="0.3">
      <c r="A395" s="136" t="s">
        <v>81</v>
      </c>
      <c r="B395" s="137"/>
      <c r="C395" s="137"/>
      <c r="D395" s="137"/>
      <c r="E395" s="137"/>
      <c r="F395" s="137"/>
      <c r="G395" s="137"/>
      <c r="H395" s="138"/>
    </row>
    <row r="396" spans="1:8" ht="21" x14ac:dyDescent="0.3">
      <c r="A396" s="136" t="s">
        <v>82</v>
      </c>
      <c r="B396" s="137"/>
      <c r="C396" s="137"/>
      <c r="D396" s="137"/>
      <c r="E396" s="137"/>
      <c r="F396" s="137"/>
      <c r="G396" s="137"/>
      <c r="H396" s="138"/>
    </row>
    <row r="397" spans="1:8" ht="21" x14ac:dyDescent="0.3">
      <c r="A397" s="136" t="s">
        <v>83</v>
      </c>
      <c r="B397" s="137"/>
      <c r="C397" s="137"/>
      <c r="D397" s="137"/>
      <c r="E397" s="137"/>
      <c r="F397" s="137"/>
      <c r="G397" s="137"/>
      <c r="H397" s="138"/>
    </row>
    <row r="398" spans="1:8" ht="45" customHeight="1" x14ac:dyDescent="0.3">
      <c r="A398" s="136" t="s">
        <v>84</v>
      </c>
      <c r="B398" s="137"/>
      <c r="C398" s="137"/>
      <c r="D398" s="137"/>
      <c r="E398" s="137"/>
      <c r="F398" s="137"/>
      <c r="G398" s="137"/>
      <c r="H398" s="138"/>
    </row>
    <row r="399" spans="1:8" ht="45" customHeight="1" x14ac:dyDescent="0.3">
      <c r="A399" s="136" t="s">
        <v>85</v>
      </c>
      <c r="B399" s="137"/>
      <c r="C399" s="137"/>
      <c r="D399" s="137"/>
      <c r="E399" s="137"/>
      <c r="F399" s="137"/>
      <c r="G399" s="137"/>
      <c r="H399" s="138"/>
    </row>
    <row r="400" spans="1:8" ht="21" x14ac:dyDescent="0.3">
      <c r="A400" s="139" t="s">
        <v>86</v>
      </c>
      <c r="B400" s="140"/>
      <c r="C400" s="140"/>
      <c r="D400" s="140"/>
      <c r="E400" s="140"/>
      <c r="F400" s="140"/>
      <c r="G400" s="140"/>
      <c r="H400" s="141"/>
    </row>
    <row r="401" spans="1:8" ht="57" customHeight="1" x14ac:dyDescent="0.3">
      <c r="A401" s="143" t="s">
        <v>30</v>
      </c>
      <c r="B401" s="144"/>
      <c r="C401" s="145" t="s">
        <v>370</v>
      </c>
      <c r="D401" s="146"/>
      <c r="E401" s="143" t="s">
        <v>9</v>
      </c>
      <c r="F401" s="144"/>
      <c r="G401" s="131"/>
      <c r="H401" s="131"/>
    </row>
  </sheetData>
  <mergeCells count="455">
    <mergeCell ref="A222:B222"/>
    <mergeCell ref="A216:B216"/>
    <mergeCell ref="A217:B217"/>
    <mergeCell ref="A218:B218"/>
    <mergeCell ref="A219:B219"/>
    <mergeCell ref="A220:B220"/>
    <mergeCell ref="A221:B221"/>
    <mergeCell ref="A237:B237"/>
    <mergeCell ref="A238:B238"/>
    <mergeCell ref="A223:H223"/>
    <mergeCell ref="A224:B224"/>
    <mergeCell ref="A225:B225"/>
    <mergeCell ref="A226:B226"/>
    <mergeCell ref="A227:B227"/>
    <mergeCell ref="A228:B228"/>
    <mergeCell ref="A229:B229"/>
    <mergeCell ref="A230:B230"/>
    <mergeCell ref="A231:B231"/>
    <mergeCell ref="A232:B232"/>
    <mergeCell ref="C231:H232"/>
    <mergeCell ref="A233:H233"/>
    <mergeCell ref="A234:B234"/>
    <mergeCell ref="A235:B235"/>
    <mergeCell ref="A236:B236"/>
    <mergeCell ref="A239:B239"/>
    <mergeCell ref="A240:B240"/>
    <mergeCell ref="A241:B241"/>
    <mergeCell ref="A242:B242"/>
    <mergeCell ref="C242:H242"/>
    <mergeCell ref="A252:B252"/>
    <mergeCell ref="C250:H250"/>
    <mergeCell ref="A245:B245"/>
    <mergeCell ref="A246:B246"/>
    <mergeCell ref="A247:B247"/>
    <mergeCell ref="A248:B248"/>
    <mergeCell ref="A249:B249"/>
    <mergeCell ref="A250:B250"/>
    <mergeCell ref="A251:B251"/>
    <mergeCell ref="A243:H243"/>
    <mergeCell ref="A244:B244"/>
    <mergeCell ref="A166:B166"/>
    <mergeCell ref="A186:B186"/>
    <mergeCell ref="A215:B215"/>
    <mergeCell ref="A209:B209"/>
    <mergeCell ref="A210:B210"/>
    <mergeCell ref="A211:B211"/>
    <mergeCell ref="A213:H213"/>
    <mergeCell ref="A214:B214"/>
    <mergeCell ref="A196:H196"/>
    <mergeCell ref="A197:H197"/>
    <mergeCell ref="A198:H198"/>
    <mergeCell ref="A199:H199"/>
    <mergeCell ref="A200:H200"/>
    <mergeCell ref="A201:H201"/>
    <mergeCell ref="A202:H202"/>
    <mergeCell ref="A212:B212"/>
    <mergeCell ref="C205:H206"/>
    <mergeCell ref="C211:H212"/>
    <mergeCell ref="A179:H179"/>
    <mergeCell ref="A180:B180"/>
    <mergeCell ref="A181:B181"/>
    <mergeCell ref="A182:B182"/>
    <mergeCell ref="A183:B183"/>
    <mergeCell ref="A184:B184"/>
    <mergeCell ref="A185:B185"/>
    <mergeCell ref="A171:H171"/>
    <mergeCell ref="A172:B172"/>
    <mergeCell ref="A173:B173"/>
    <mergeCell ref="A174:B174"/>
    <mergeCell ref="A175:B175"/>
    <mergeCell ref="A176:B176"/>
    <mergeCell ref="A177:B177"/>
    <mergeCell ref="A178:B178"/>
    <mergeCell ref="C177:H178"/>
    <mergeCell ref="C151:H151"/>
    <mergeCell ref="C152:H152"/>
    <mergeCell ref="C153:H154"/>
    <mergeCell ref="C161:H162"/>
    <mergeCell ref="A203:H203"/>
    <mergeCell ref="A204:B204"/>
    <mergeCell ref="C186:H186"/>
    <mergeCell ref="A187:H187"/>
    <mergeCell ref="A188:B188"/>
    <mergeCell ref="A189:B189"/>
    <mergeCell ref="A190:B190"/>
    <mergeCell ref="A191:B191"/>
    <mergeCell ref="A192:B192"/>
    <mergeCell ref="A193:B193"/>
    <mergeCell ref="A194:B194"/>
    <mergeCell ref="C193:H194"/>
    <mergeCell ref="C192:H192"/>
    <mergeCell ref="A195:H195"/>
    <mergeCell ref="A157:B157"/>
    <mergeCell ref="A158:B158"/>
    <mergeCell ref="A155:H155"/>
    <mergeCell ref="A156:B156"/>
    <mergeCell ref="A159:B159"/>
    <mergeCell ref="A153:B153"/>
    <mergeCell ref="G118:H118"/>
    <mergeCell ref="G119:H119"/>
    <mergeCell ref="G120:H120"/>
    <mergeCell ref="G121:H121"/>
    <mergeCell ref="G124:H124"/>
    <mergeCell ref="G125:H125"/>
    <mergeCell ref="A126:B126"/>
    <mergeCell ref="G126:H126"/>
    <mergeCell ref="A124:A125"/>
    <mergeCell ref="C121:D121"/>
    <mergeCell ref="G123:H123"/>
    <mergeCell ref="E118:F118"/>
    <mergeCell ref="E119:F119"/>
    <mergeCell ref="E120:F120"/>
    <mergeCell ref="E121:F121"/>
    <mergeCell ref="A118:B118"/>
    <mergeCell ref="A119:B119"/>
    <mergeCell ref="A120:B120"/>
    <mergeCell ref="C118:D118"/>
    <mergeCell ref="A121:B121"/>
    <mergeCell ref="C119:D119"/>
    <mergeCell ref="C120:D120"/>
    <mergeCell ref="A45:B45"/>
    <mergeCell ref="A46:B46"/>
    <mergeCell ref="A47:B47"/>
    <mergeCell ref="D46:F46"/>
    <mergeCell ref="D45:F45"/>
    <mergeCell ref="D47:F47"/>
    <mergeCell ref="A48:B48"/>
    <mergeCell ref="D48:F48"/>
    <mergeCell ref="A69:B69"/>
    <mergeCell ref="A59:B59"/>
    <mergeCell ref="A58:B58"/>
    <mergeCell ref="A137:B137"/>
    <mergeCell ref="A138:B138"/>
    <mergeCell ref="A76:H76"/>
    <mergeCell ref="A77:C78"/>
    <mergeCell ref="E77:F77"/>
    <mergeCell ref="G108:H108"/>
    <mergeCell ref="G64:H75"/>
    <mergeCell ref="E94:F94"/>
    <mergeCell ref="G114:H114"/>
    <mergeCell ref="A133:H133"/>
    <mergeCell ref="A127:B127"/>
    <mergeCell ref="G127:H127"/>
    <mergeCell ref="A122:H122"/>
    <mergeCell ref="A123:B123"/>
    <mergeCell ref="E123:F123"/>
    <mergeCell ref="G112:H112"/>
    <mergeCell ref="G116:H116"/>
    <mergeCell ref="A113:H113"/>
    <mergeCell ref="A100:B100"/>
    <mergeCell ref="A101:B101"/>
    <mergeCell ref="A93:C94"/>
    <mergeCell ref="E78:F78"/>
    <mergeCell ref="A79:B79"/>
    <mergeCell ref="E79:F79"/>
    <mergeCell ref="A60:H60"/>
    <mergeCell ref="A63:B63"/>
    <mergeCell ref="A64:B64"/>
    <mergeCell ref="E63:F63"/>
    <mergeCell ref="E61:F61"/>
    <mergeCell ref="E62:F62"/>
    <mergeCell ref="A61:C62"/>
    <mergeCell ref="A70:B70"/>
    <mergeCell ref="E93:F93"/>
    <mergeCell ref="E64:F75"/>
    <mergeCell ref="A72:B72"/>
    <mergeCell ref="A73:B73"/>
    <mergeCell ref="A74:B74"/>
    <mergeCell ref="A75:B75"/>
    <mergeCell ref="A66:B66"/>
    <mergeCell ref="A67:B67"/>
    <mergeCell ref="A80:B80"/>
    <mergeCell ref="A68:B68"/>
    <mergeCell ref="A71:B71"/>
    <mergeCell ref="A92:H92"/>
    <mergeCell ref="A1:H1"/>
    <mergeCell ref="A263:C263"/>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401:H401"/>
    <mergeCell ref="A262:H262"/>
    <mergeCell ref="D264:H264"/>
    <mergeCell ref="A392:H392"/>
    <mergeCell ref="A398:H398"/>
    <mergeCell ref="A399:H399"/>
    <mergeCell ref="A400:H400"/>
    <mergeCell ref="A393:H393"/>
    <mergeCell ref="A394:H394"/>
    <mergeCell ref="A395:H395"/>
    <mergeCell ref="A396:H396"/>
    <mergeCell ref="A264:C264"/>
    <mergeCell ref="A391:H391"/>
    <mergeCell ref="A397:H397"/>
    <mergeCell ref="A360:H360"/>
    <mergeCell ref="D263:H263"/>
    <mergeCell ref="A265:C265"/>
    <mergeCell ref="D265:H265"/>
    <mergeCell ref="A310:H310"/>
    <mergeCell ref="E401:F401"/>
    <mergeCell ref="A401:B401"/>
    <mergeCell ref="C401:D401"/>
    <mergeCell ref="G14:H14"/>
    <mergeCell ref="G16:H16"/>
    <mergeCell ref="G17:H17"/>
    <mergeCell ref="G15:H15"/>
    <mergeCell ref="G18:H18"/>
    <mergeCell ref="G19:H19"/>
    <mergeCell ref="G46:H46"/>
    <mergeCell ref="G31:H31"/>
    <mergeCell ref="G22:H22"/>
    <mergeCell ref="G36:H36"/>
    <mergeCell ref="G35:H35"/>
    <mergeCell ref="F42:H42"/>
    <mergeCell ref="C24:H24"/>
    <mergeCell ref="C23:H23"/>
    <mergeCell ref="E26:F26"/>
    <mergeCell ref="E27:F27"/>
    <mergeCell ref="A151:B151"/>
    <mergeCell ref="E126:F126"/>
    <mergeCell ref="E124:F124"/>
    <mergeCell ref="C123:D123"/>
    <mergeCell ref="E125:F125"/>
    <mergeCell ref="A148:B148"/>
    <mergeCell ref="C125:D125"/>
    <mergeCell ref="E127:F127"/>
    <mergeCell ref="C126:D126"/>
    <mergeCell ref="A139:B139"/>
    <mergeCell ref="A140:B140"/>
    <mergeCell ref="A141:B141"/>
    <mergeCell ref="A134:B134"/>
    <mergeCell ref="C124:D124"/>
    <mergeCell ref="C127:D127"/>
    <mergeCell ref="A130:H130"/>
    <mergeCell ref="A131:H131"/>
    <mergeCell ref="A132:H132"/>
    <mergeCell ref="A142:B142"/>
    <mergeCell ref="A143:H143"/>
    <mergeCell ref="A144:H144"/>
    <mergeCell ref="A145:H145"/>
    <mergeCell ref="A146:H146"/>
    <mergeCell ref="A128:H128"/>
    <mergeCell ref="A152:B152"/>
    <mergeCell ref="A154:B154"/>
    <mergeCell ref="A150:B150"/>
    <mergeCell ref="A149:B149"/>
    <mergeCell ref="A147:H147"/>
    <mergeCell ref="A135:B135"/>
    <mergeCell ref="A136:B136"/>
    <mergeCell ref="B261:H261"/>
    <mergeCell ref="B255:H255"/>
    <mergeCell ref="B254:H254"/>
    <mergeCell ref="B258:H258"/>
    <mergeCell ref="B257:H257"/>
    <mergeCell ref="B256:H256"/>
    <mergeCell ref="B259:H259"/>
    <mergeCell ref="A160:B160"/>
    <mergeCell ref="A161:B161"/>
    <mergeCell ref="A162:B162"/>
    <mergeCell ref="A170:B170"/>
    <mergeCell ref="A167:B167"/>
    <mergeCell ref="A168:B168"/>
    <mergeCell ref="A169:B169"/>
    <mergeCell ref="A163:H163"/>
    <mergeCell ref="A164:B164"/>
    <mergeCell ref="A165:B165"/>
    <mergeCell ref="B260:H260"/>
    <mergeCell ref="A253:H253"/>
    <mergeCell ref="A205:B205"/>
    <mergeCell ref="A206:B206"/>
    <mergeCell ref="A207:B207"/>
    <mergeCell ref="A208:B208"/>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E14:F14"/>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5:F15"/>
    <mergeCell ref="E16:F16"/>
    <mergeCell ref="E17:F17"/>
    <mergeCell ref="E18:F18"/>
    <mergeCell ref="E19:F19"/>
    <mergeCell ref="A23:B23"/>
    <mergeCell ref="A24:B24"/>
    <mergeCell ref="E20:F20"/>
    <mergeCell ref="E21:F21"/>
    <mergeCell ref="E22:F22"/>
    <mergeCell ref="A19:B19"/>
    <mergeCell ref="A20:B20"/>
    <mergeCell ref="A21:B21"/>
    <mergeCell ref="A22:B22"/>
    <mergeCell ref="C18:D18"/>
    <mergeCell ref="C19:D19"/>
    <mergeCell ref="C20:D20"/>
    <mergeCell ref="C21:D21"/>
    <mergeCell ref="C22:D22"/>
    <mergeCell ref="C14:D14"/>
    <mergeCell ref="C15:D15"/>
    <mergeCell ref="C16:D16"/>
    <mergeCell ref="C17:D17"/>
    <mergeCell ref="A14:B14"/>
    <mergeCell ref="A15:B15"/>
    <mergeCell ref="A16:B16"/>
    <mergeCell ref="A17:B17"/>
    <mergeCell ref="A18:B18"/>
    <mergeCell ref="A43:B43"/>
    <mergeCell ref="A38:B38"/>
    <mergeCell ref="A42:B42"/>
    <mergeCell ref="C42:E42"/>
    <mergeCell ref="C43:H43"/>
    <mergeCell ref="E34:F34"/>
    <mergeCell ref="E35:F35"/>
    <mergeCell ref="E36:F36"/>
    <mergeCell ref="A34:B34"/>
    <mergeCell ref="A35:B35"/>
    <mergeCell ref="A36:B36"/>
    <mergeCell ref="C34:D34"/>
    <mergeCell ref="C35:D35"/>
    <mergeCell ref="C36:D36"/>
    <mergeCell ref="G34:H34"/>
    <mergeCell ref="A41:B41"/>
    <mergeCell ref="C41:E41"/>
    <mergeCell ref="F41:H41"/>
    <mergeCell ref="A39:B39"/>
    <mergeCell ref="A40:B40"/>
    <mergeCell ref="A28:B28"/>
    <mergeCell ref="A29:B29"/>
    <mergeCell ref="A30:B30"/>
    <mergeCell ref="A26:B26"/>
    <mergeCell ref="A27:B27"/>
    <mergeCell ref="E28:F28"/>
    <mergeCell ref="E29:F29"/>
    <mergeCell ref="E30:F30"/>
    <mergeCell ref="E31:F31"/>
    <mergeCell ref="C28:D28"/>
    <mergeCell ref="C29:D29"/>
    <mergeCell ref="C30:D30"/>
    <mergeCell ref="C31:D31"/>
    <mergeCell ref="C32:H32"/>
    <mergeCell ref="A31:B31"/>
    <mergeCell ref="A32:B32"/>
    <mergeCell ref="C56:F56"/>
    <mergeCell ref="C57:F57"/>
    <mergeCell ref="J38:K38"/>
    <mergeCell ref="M38:N38"/>
    <mergeCell ref="C38:E38"/>
    <mergeCell ref="F38:H38"/>
    <mergeCell ref="C39:E39"/>
    <mergeCell ref="F39:H39"/>
    <mergeCell ref="F40:H40"/>
    <mergeCell ref="C40:E40"/>
    <mergeCell ref="A116:F116"/>
    <mergeCell ref="A111:B111"/>
    <mergeCell ref="A95:B95"/>
    <mergeCell ref="E95:F95"/>
    <mergeCell ref="A96:B96"/>
    <mergeCell ref="E96:F107"/>
    <mergeCell ref="A109:H109"/>
    <mergeCell ref="G110:H110"/>
    <mergeCell ref="A110:B110"/>
    <mergeCell ref="C110:D110"/>
    <mergeCell ref="A108:F108"/>
    <mergeCell ref="A112:B112"/>
    <mergeCell ref="E111:F111"/>
    <mergeCell ref="G111:H111"/>
    <mergeCell ref="G96:H107"/>
    <mergeCell ref="A97:B97"/>
    <mergeCell ref="A102:B102"/>
    <mergeCell ref="A103:B103"/>
    <mergeCell ref="A104:B104"/>
    <mergeCell ref="A105:B105"/>
    <mergeCell ref="A106:B106"/>
    <mergeCell ref="A107:B107"/>
    <mergeCell ref="A99:B99"/>
    <mergeCell ref="E110:F110"/>
    <mergeCell ref="A98:B98"/>
    <mergeCell ref="C58:F58"/>
    <mergeCell ref="C59:F59"/>
    <mergeCell ref="I4:J4"/>
    <mergeCell ref="C111:D111"/>
    <mergeCell ref="C112:D112"/>
    <mergeCell ref="E112:F112"/>
    <mergeCell ref="A114:F114"/>
    <mergeCell ref="A115:F115"/>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s>
  <dataValidations count="7">
    <dataValidation type="list" allowBlank="1" showInputMessage="1" showErrorMessage="1" sqref="G6:H6" xr:uid="{00000000-0002-0000-0000-000000000000}">
      <formula1>"Mr. Suraj Khare,Mr. Gaurav Pawar,Mr.Vinayak,Mr.Manish,Mr.Vaibhav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112" xr:uid="{00000000-0002-0000-0000-000002000000}">
      <formula1>"300000,350000,400000,500000,600000,700000,800000,900000,1000000,1200000,1400000,1500000,1600000"</formula1>
    </dataValidation>
    <dataValidation type="list" allowBlank="1" showInputMessage="1" showErrorMessage="1" sqref="F129" xr:uid="{00000000-0002-0000-0000-000003000000}">
      <formula1>"Dry balcony + Balcony,Fungible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29"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59" max="16383" man="1"/>
    <brk id="261" max="8" man="1"/>
    <brk id="309" max="16383" man="1"/>
    <brk id="35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4" sqref="A4:C5"/>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11" t="s">
        <v>69</v>
      </c>
      <c r="B3" s="111"/>
      <c r="C3" s="111"/>
      <c r="D3" s="111"/>
      <c r="E3" s="111"/>
      <c r="F3" s="111"/>
      <c r="G3" s="111"/>
      <c r="H3" s="111"/>
      <c r="I3" s="111"/>
    </row>
    <row r="4" spans="1:11" s="1" customFormat="1" ht="20.25" customHeight="1" x14ac:dyDescent="0.4">
      <c r="A4" s="171">
        <v>1</v>
      </c>
      <c r="B4" s="171"/>
      <c r="C4" s="171"/>
      <c r="D4" s="172" t="s">
        <v>4</v>
      </c>
      <c r="E4" s="30" t="s">
        <v>116</v>
      </c>
      <c r="F4" s="151" t="s">
        <v>103</v>
      </c>
      <c r="G4" s="151"/>
      <c r="H4" s="30" t="s">
        <v>117</v>
      </c>
      <c r="I4" s="30"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1" x14ac:dyDescent="0.4">
      <c r="A5" s="171"/>
      <c r="B5" s="171"/>
      <c r="C5" s="171"/>
      <c r="D5" s="172"/>
      <c r="E5" s="30">
        <v>3</v>
      </c>
      <c r="F5" s="151">
        <v>1</v>
      </c>
      <c r="G5" s="151"/>
      <c r="H5" s="30">
        <v>0</v>
      </c>
      <c r="I5" s="30">
        <f ca="1">--TRIM(RIGHT(SUBSTITUTE(LEFT(A4,_xlfn.AGGREGATE(16,6,FIND({0,1,2,3,4,5,6,7,8,9},A4,ROW(INDIRECT("1:"&amp;LEN(A4)))),1))," ",REPT(" ",LEN(A4))),LEN(A4)))</f>
        <v>1</v>
      </c>
      <c r="J5" s="16" t="s">
        <v>122</v>
      </c>
      <c r="K5" s="17"/>
    </row>
    <row r="6" spans="1:11" s="1" customFormat="1" ht="20.25" customHeight="1" x14ac:dyDescent="0.4">
      <c r="A6" s="86" t="s">
        <v>120</v>
      </c>
      <c r="B6" s="86"/>
      <c r="C6" s="86" t="s">
        <v>130</v>
      </c>
      <c r="D6" s="86"/>
      <c r="E6" s="31" t="s">
        <v>131</v>
      </c>
      <c r="F6" s="86" t="s">
        <v>121</v>
      </c>
      <c r="G6" s="86"/>
      <c r="H6" s="27" t="s">
        <v>119</v>
      </c>
      <c r="I6" s="27"/>
      <c r="J6" s="19" t="s">
        <v>132</v>
      </c>
      <c r="K6" s="18">
        <f ca="1">I5*25%</f>
        <v>0.25</v>
      </c>
    </row>
    <row r="7" spans="1:11" s="1" customFormat="1" ht="20.25" customHeight="1" x14ac:dyDescent="0.4">
      <c r="A7" s="77" t="s">
        <v>133</v>
      </c>
      <c r="B7" s="77"/>
      <c r="C7" s="151">
        <f ca="1">K8</f>
        <v>1</v>
      </c>
      <c r="D7" s="151"/>
      <c r="E7" s="29">
        <f ca="1">((100/I5)*C7)/100</f>
        <v>1</v>
      </c>
      <c r="F7" s="77">
        <f ca="1">(((C7/I5*10)+(C8/I5*25)+(25/(F5+H5+I5)*C9)+(5/(I5)*C10)+(2.5/(I5)*C11)+(2.5/(I5)*C12)+(5/I5*C13)+(2.5/I5*C14)+(2.5/I5*C15)+(5/I5*C16)+(10/I5*C17)+(5/I5*C18))/100)</f>
        <v>0.35</v>
      </c>
      <c r="G7" s="77"/>
      <c r="H7" s="77" t="str">
        <f ca="1">J4</f>
        <v>Excavation work Completed. Plinth work completed</v>
      </c>
      <c r="I7" s="77"/>
      <c r="J7" s="19" t="s">
        <v>123</v>
      </c>
      <c r="K7" s="23">
        <f ca="1">I5*50%</f>
        <v>0.5</v>
      </c>
    </row>
    <row r="8" spans="1:11" s="1" customFormat="1" ht="21" x14ac:dyDescent="0.4">
      <c r="A8" s="77" t="s">
        <v>104</v>
      </c>
      <c r="B8" s="77"/>
      <c r="C8" s="173">
        <f ca="1">K16</f>
        <v>1</v>
      </c>
      <c r="D8" s="151"/>
      <c r="E8" s="29">
        <f ca="1">((100/I5)*C8)/100</f>
        <v>1</v>
      </c>
      <c r="F8" s="77"/>
      <c r="G8" s="77"/>
      <c r="H8" s="77"/>
      <c r="I8" s="77"/>
      <c r="J8" s="19" t="s">
        <v>124</v>
      </c>
      <c r="K8" s="23">
        <f ca="1">I5</f>
        <v>1</v>
      </c>
    </row>
    <row r="9" spans="1:11" s="1" customFormat="1" ht="21" customHeight="1" x14ac:dyDescent="0.4">
      <c r="A9" s="77" t="s">
        <v>134</v>
      </c>
      <c r="B9" s="77"/>
      <c r="C9" s="151">
        <v>0</v>
      </c>
      <c r="D9" s="151"/>
      <c r="E9" s="29">
        <f ca="1">((100/(F5+H5+I5))*C9)/100</f>
        <v>0</v>
      </c>
      <c r="F9" s="77"/>
      <c r="G9" s="77"/>
      <c r="H9" s="77"/>
      <c r="I9" s="77"/>
      <c r="J9" s="19" t="s">
        <v>125</v>
      </c>
      <c r="K9" s="24">
        <f ca="1">(IF(E5&gt;1,(I5/(E5+2)),I5*0.2))</f>
        <v>0.2</v>
      </c>
    </row>
    <row r="10" spans="1:11" s="1" customFormat="1" ht="21" customHeight="1" x14ac:dyDescent="0.4">
      <c r="A10" s="77" t="s">
        <v>135</v>
      </c>
      <c r="B10" s="77"/>
      <c r="C10" s="151">
        <v>0</v>
      </c>
      <c r="D10" s="151"/>
      <c r="E10" s="29">
        <f ca="1">((100/I5)*C10)/100</f>
        <v>0</v>
      </c>
      <c r="F10" s="77"/>
      <c r="G10" s="77"/>
      <c r="H10" s="77"/>
      <c r="I10" s="77"/>
      <c r="J10" s="19" t="s">
        <v>126</v>
      </c>
      <c r="K10" s="24">
        <f ca="1">(IF(E5&gt;1,(I5/(E5+2)+K9),I5*0.2+K9))</f>
        <v>0.4</v>
      </c>
    </row>
    <row r="11" spans="1:11" s="1" customFormat="1" ht="21" customHeight="1" x14ac:dyDescent="0.4">
      <c r="A11" s="113" t="s">
        <v>136</v>
      </c>
      <c r="B11" s="114"/>
      <c r="C11" s="151">
        <v>0</v>
      </c>
      <c r="D11" s="151"/>
      <c r="E11" s="29">
        <f ca="1">((100/I5)*C11)/100</f>
        <v>0</v>
      </c>
      <c r="F11" s="77"/>
      <c r="G11" s="77"/>
      <c r="H11" s="77"/>
      <c r="I11" s="77"/>
      <c r="J11" s="19" t="s">
        <v>137</v>
      </c>
      <c r="K11" s="24">
        <f ca="1">(IF(E5&gt;1,(I5/(E5+2)+K10),0))</f>
        <v>0.60000000000000009</v>
      </c>
    </row>
    <row r="12" spans="1:11" s="1" customFormat="1" ht="21" customHeight="1" x14ac:dyDescent="0.4">
      <c r="A12" s="113" t="s">
        <v>169</v>
      </c>
      <c r="B12" s="114"/>
      <c r="C12" s="151">
        <v>0</v>
      </c>
      <c r="D12" s="151"/>
      <c r="E12" s="29">
        <f ca="1">((100/I5)*C12)/100</f>
        <v>0</v>
      </c>
      <c r="F12" s="77"/>
      <c r="G12" s="77"/>
      <c r="H12" s="77"/>
      <c r="I12" s="77"/>
      <c r="J12" s="19" t="s">
        <v>138</v>
      </c>
      <c r="K12" s="24">
        <f ca="1">(IF(E5&gt;2,(I5/(E5+2)+K11),0))</f>
        <v>0.8</v>
      </c>
    </row>
    <row r="13" spans="1:11" s="1" customFormat="1" ht="57.75" customHeight="1" x14ac:dyDescent="0.4">
      <c r="A13" s="113" t="s">
        <v>166</v>
      </c>
      <c r="B13" s="114"/>
      <c r="C13" s="151">
        <v>0</v>
      </c>
      <c r="D13" s="151"/>
      <c r="E13" s="29">
        <f ca="1">((100/(I5))*C13)/100</f>
        <v>0</v>
      </c>
      <c r="F13" s="77"/>
      <c r="G13" s="77"/>
      <c r="H13" s="77"/>
      <c r="I13" s="77"/>
      <c r="J13" s="19" t="s">
        <v>140</v>
      </c>
      <c r="K13" s="25">
        <f>(IF(E5&gt;3,(I5/(E5+2)+K12),0))</f>
        <v>0</v>
      </c>
    </row>
    <row r="14" spans="1:11" s="1" customFormat="1" ht="21" x14ac:dyDescent="0.4">
      <c r="A14" s="77" t="s">
        <v>139</v>
      </c>
      <c r="B14" s="77"/>
      <c r="C14" s="151">
        <v>0</v>
      </c>
      <c r="D14" s="151"/>
      <c r="E14" s="29">
        <f ca="1">((100/(I5))*C14)/100</f>
        <v>0</v>
      </c>
      <c r="F14" s="77"/>
      <c r="G14" s="77"/>
      <c r="H14" s="77"/>
      <c r="I14" s="77"/>
      <c r="J14" s="19" t="s">
        <v>141</v>
      </c>
      <c r="K14" s="24">
        <f>(IF(E5&gt;4,(I5/(E5+2)+K13),0))</f>
        <v>0</v>
      </c>
    </row>
    <row r="15" spans="1:11" s="1" customFormat="1" ht="21" customHeight="1" x14ac:dyDescent="0.4">
      <c r="A15" s="77" t="s">
        <v>168</v>
      </c>
      <c r="B15" s="77"/>
      <c r="C15" s="151">
        <v>0</v>
      </c>
      <c r="D15" s="151"/>
      <c r="E15" s="29">
        <f ca="1">((100/I5)*C15)/100</f>
        <v>0</v>
      </c>
      <c r="F15" s="77"/>
      <c r="G15" s="77"/>
      <c r="H15" s="77"/>
      <c r="I15" s="77"/>
      <c r="J15" s="19" t="s">
        <v>127</v>
      </c>
      <c r="K15" s="24">
        <f>(IF(E5=1,(I5/(E5+3)+K10),IF(E5=0,(I5*0.3+K10),IF(E5&gt;1,0))))</f>
        <v>0</v>
      </c>
    </row>
    <row r="16" spans="1:11" s="1" customFormat="1" ht="21.6" thickBot="1" x14ac:dyDescent="0.45">
      <c r="A16" s="77" t="s">
        <v>167</v>
      </c>
      <c r="B16" s="77"/>
      <c r="C16" s="151">
        <v>0</v>
      </c>
      <c r="D16" s="151"/>
      <c r="E16" s="29">
        <f ca="1">((100/I5)*C16)/100</f>
        <v>0</v>
      </c>
      <c r="F16" s="77"/>
      <c r="G16" s="77"/>
      <c r="H16" s="77"/>
      <c r="I16" s="77"/>
      <c r="J16" s="21" t="s">
        <v>128</v>
      </c>
      <c r="K16" s="26">
        <f ca="1">(IF(E5&gt;1.5,(I5/(E5+2)+K10+MAX(0,K11-K10)+MAX(0,K12-K11)+MAX(0,K13-K12)+MAX(0,K14-K13)+MAX(0,K15-K14)),IF(E5=1,(I5/(E5+3)+K15),IF(E5=0,I5*0.3+K15))))</f>
        <v>1</v>
      </c>
    </row>
    <row r="17" spans="1:9" s="1" customFormat="1" ht="21" x14ac:dyDescent="0.3">
      <c r="A17" s="77" t="s">
        <v>142</v>
      </c>
      <c r="B17" s="77"/>
      <c r="C17" s="151">
        <v>0</v>
      </c>
      <c r="D17" s="151"/>
      <c r="E17" s="29">
        <f ca="1">((100/(I5))*C17)/100</f>
        <v>0</v>
      </c>
      <c r="F17" s="77"/>
      <c r="G17" s="77"/>
      <c r="H17" s="77"/>
      <c r="I17" s="77"/>
    </row>
    <row r="18" spans="1:9" s="1" customFormat="1" ht="21" x14ac:dyDescent="0.3">
      <c r="A18" s="77" t="s">
        <v>143</v>
      </c>
      <c r="B18" s="77"/>
      <c r="C18" s="151">
        <v>0</v>
      </c>
      <c r="D18" s="151"/>
      <c r="E18" s="29">
        <f ca="1">((100/(I5))*C18)/100</f>
        <v>0</v>
      </c>
      <c r="F18" s="77"/>
      <c r="G18" s="77"/>
      <c r="H18" s="77"/>
      <c r="I18" s="77"/>
    </row>
    <row r="23" spans="1:9" x14ac:dyDescent="0.3">
      <c r="B23" s="174" t="s">
        <v>170</v>
      </c>
      <c r="C23" s="174"/>
      <c r="D23" s="174"/>
      <c r="E23" s="174"/>
      <c r="F23" s="174"/>
      <c r="G23" s="174"/>
    </row>
    <row r="24" spans="1:9" ht="14.4" customHeight="1" x14ac:dyDescent="0.3">
      <c r="B24" s="177" t="s">
        <v>171</v>
      </c>
      <c r="C24" s="177" t="s">
        <v>172</v>
      </c>
      <c r="D24" s="180" t="s">
        <v>173</v>
      </c>
      <c r="E24" s="181" t="s">
        <v>174</v>
      </c>
      <c r="F24" s="178" t="s">
        <v>175</v>
      </c>
      <c r="G24" s="177" t="s">
        <v>176</v>
      </c>
    </row>
    <row r="25" spans="1:9" x14ac:dyDescent="0.3">
      <c r="B25" s="177"/>
      <c r="C25" s="177"/>
      <c r="D25" s="180"/>
      <c r="E25" s="181"/>
      <c r="F25" s="178"/>
      <c r="G25" s="177"/>
    </row>
    <row r="26" spans="1:9" x14ac:dyDescent="0.3">
      <c r="B26" s="37" t="s">
        <v>177</v>
      </c>
      <c r="C26" s="38">
        <v>10</v>
      </c>
      <c r="D26" s="38">
        <v>1</v>
      </c>
      <c r="E26" s="39"/>
      <c r="F26" s="40">
        <f>((E26/D26)*0.05)*100</f>
        <v>0</v>
      </c>
      <c r="G26" s="40">
        <f t="shared" ref="G26:G37" si="0">((E26/D26)*(C26/100))*100</f>
        <v>0</v>
      </c>
    </row>
    <row r="27" spans="1:9" x14ac:dyDescent="0.3">
      <c r="B27" s="37" t="s">
        <v>178</v>
      </c>
      <c r="C27" s="39">
        <v>10</v>
      </c>
      <c r="D27" s="39">
        <v>1</v>
      </c>
      <c r="E27" s="39"/>
      <c r="F27" s="40">
        <f>((E27/D27)*0.05)*100</f>
        <v>0</v>
      </c>
      <c r="G27" s="40">
        <f t="shared" si="0"/>
        <v>0</v>
      </c>
    </row>
    <row r="28" spans="1:9" x14ac:dyDescent="0.3">
      <c r="B28" s="37" t="s">
        <v>179</v>
      </c>
      <c r="C28" s="39">
        <v>15</v>
      </c>
      <c r="D28" s="39">
        <v>1</v>
      </c>
      <c r="E28" s="39"/>
      <c r="F28" s="40">
        <f>((E28/D28)*0.15)*100</f>
        <v>0</v>
      </c>
      <c r="G28" s="40">
        <f t="shared" si="0"/>
        <v>0</v>
      </c>
    </row>
    <row r="29" spans="1:9" x14ac:dyDescent="0.3">
      <c r="B29" s="41" t="s">
        <v>180</v>
      </c>
      <c r="C29" s="39">
        <v>25</v>
      </c>
      <c r="D29" s="39">
        <v>40</v>
      </c>
      <c r="E29" s="39"/>
      <c r="F29" s="40">
        <f>((E29/D29)*0.25)*100</f>
        <v>0</v>
      </c>
      <c r="G29" s="40">
        <f t="shared" si="0"/>
        <v>0</v>
      </c>
    </row>
    <row r="30" spans="1:9" x14ac:dyDescent="0.3">
      <c r="B30" s="41" t="s">
        <v>181</v>
      </c>
      <c r="C30" s="39">
        <v>5</v>
      </c>
      <c r="D30" s="39">
        <v>39</v>
      </c>
      <c r="E30" s="39"/>
      <c r="F30" s="40">
        <f>((E30/D30)*0.05)*100</f>
        <v>0</v>
      </c>
      <c r="G30" s="40">
        <f t="shared" si="0"/>
        <v>0</v>
      </c>
    </row>
    <row r="31" spans="1:9" ht="28.8" x14ac:dyDescent="0.3">
      <c r="B31" s="41" t="s">
        <v>182</v>
      </c>
      <c r="C31" s="39">
        <v>2.5</v>
      </c>
      <c r="D31" s="39">
        <v>39</v>
      </c>
      <c r="E31" s="39"/>
      <c r="F31" s="40">
        <f>((E31/D31)*0.025)*100</f>
        <v>0</v>
      </c>
      <c r="G31" s="40">
        <f t="shared" si="0"/>
        <v>0</v>
      </c>
    </row>
    <row r="32" spans="1:9" ht="28.8" x14ac:dyDescent="0.3">
      <c r="B32" s="41" t="s">
        <v>183</v>
      </c>
      <c r="C32" s="39">
        <v>2.5</v>
      </c>
      <c r="D32" s="39">
        <v>39</v>
      </c>
      <c r="E32" s="39"/>
      <c r="F32" s="40">
        <f>((E32/D32)*0.025)*100</f>
        <v>0</v>
      </c>
      <c r="G32" s="40">
        <f t="shared" si="0"/>
        <v>0</v>
      </c>
    </row>
    <row r="33" spans="1:7" ht="43.2" x14ac:dyDescent="0.3">
      <c r="B33" s="42" t="s">
        <v>184</v>
      </c>
      <c r="C33" s="39">
        <v>5</v>
      </c>
      <c r="D33" s="39">
        <v>39</v>
      </c>
      <c r="E33" s="39"/>
      <c r="F33" s="40">
        <f>((E33/D33)*0.05)*100</f>
        <v>0</v>
      </c>
      <c r="G33" s="40">
        <f t="shared" si="0"/>
        <v>0</v>
      </c>
    </row>
    <row r="34" spans="1:7" ht="28.8" x14ac:dyDescent="0.3">
      <c r="B34" s="42" t="s">
        <v>185</v>
      </c>
      <c r="C34" s="39">
        <v>5</v>
      </c>
      <c r="D34" s="39">
        <v>39</v>
      </c>
      <c r="E34" s="39"/>
      <c r="F34" s="40">
        <f>((E34/D34)*0.1)*100</f>
        <v>0</v>
      </c>
      <c r="G34" s="40">
        <f t="shared" si="0"/>
        <v>0</v>
      </c>
    </row>
    <row r="35" spans="1:7" ht="28.8" x14ac:dyDescent="0.3">
      <c r="B35" s="42" t="s">
        <v>186</v>
      </c>
      <c r="C35" s="39">
        <v>5</v>
      </c>
      <c r="D35" s="39">
        <v>39</v>
      </c>
      <c r="E35" s="39"/>
      <c r="F35" s="40">
        <f>((E35/D35)*0.05)*100</f>
        <v>0</v>
      </c>
      <c r="G35" s="40">
        <f t="shared" si="0"/>
        <v>0</v>
      </c>
    </row>
    <row r="36" spans="1:7" ht="43.2" x14ac:dyDescent="0.3">
      <c r="B36" s="42" t="s">
        <v>187</v>
      </c>
      <c r="C36" s="39">
        <v>10</v>
      </c>
      <c r="D36" s="39">
        <v>39</v>
      </c>
      <c r="E36" s="39"/>
      <c r="F36" s="40">
        <f>((E36/D36)*0.1)*100</f>
        <v>0</v>
      </c>
      <c r="G36" s="40">
        <f t="shared" si="0"/>
        <v>0</v>
      </c>
    </row>
    <row r="37" spans="1:7" ht="43.2" x14ac:dyDescent="0.3">
      <c r="B37" s="42" t="s">
        <v>188</v>
      </c>
      <c r="C37" s="39">
        <v>5</v>
      </c>
      <c r="D37" s="39">
        <v>39</v>
      </c>
      <c r="E37" s="39"/>
      <c r="F37" s="40">
        <f>((E37/D37)*0.1)*100</f>
        <v>0</v>
      </c>
      <c r="G37" s="40">
        <f t="shared" si="0"/>
        <v>0</v>
      </c>
    </row>
    <row r="38" spans="1:7" ht="15.6" x14ac:dyDescent="0.3">
      <c r="B38" s="43" t="s">
        <v>189</v>
      </c>
      <c r="C38" s="44">
        <f>SUM(C26:C37)</f>
        <v>100</v>
      </c>
      <c r="D38" s="43"/>
      <c r="E38" s="43"/>
      <c r="F38" s="44">
        <f>SUM(F26:F37)</f>
        <v>0</v>
      </c>
      <c r="G38" s="44">
        <f>SUM(G26:G37)</f>
        <v>0</v>
      </c>
    </row>
    <row r="39" spans="1:7" x14ac:dyDescent="0.3">
      <c r="B39" s="178" t="s">
        <v>190</v>
      </c>
      <c r="C39" s="178"/>
      <c r="D39" s="178"/>
      <c r="E39" s="178"/>
      <c r="F39" s="178"/>
      <c r="G39" s="178"/>
    </row>
    <row r="40" spans="1:7" x14ac:dyDescent="0.3">
      <c r="B40" s="179" t="s">
        <v>191</v>
      </c>
      <c r="C40" s="179"/>
      <c r="D40" s="179"/>
      <c r="E40" s="179" t="s">
        <v>192</v>
      </c>
      <c r="F40" s="179"/>
      <c r="G40" s="179"/>
    </row>
    <row r="41" spans="1:7" x14ac:dyDescent="0.3">
      <c r="B41" s="175" t="s">
        <v>193</v>
      </c>
      <c r="C41" s="175"/>
      <c r="D41" s="175"/>
      <c r="E41" s="175" t="s">
        <v>194</v>
      </c>
      <c r="F41" s="175"/>
      <c r="G41" s="175"/>
    </row>
    <row r="42" spans="1:7" x14ac:dyDescent="0.3">
      <c r="B42" s="175" t="s">
        <v>195</v>
      </c>
      <c r="C42" s="175"/>
      <c r="D42" s="175"/>
      <c r="E42" s="175" t="s">
        <v>196</v>
      </c>
      <c r="F42" s="175"/>
      <c r="G42" s="175"/>
    </row>
    <row r="43" spans="1:7" x14ac:dyDescent="0.3">
      <c r="B43" s="176" t="s">
        <v>197</v>
      </c>
      <c r="C43" s="176"/>
      <c r="D43" s="176"/>
      <c r="E43" s="176" t="s">
        <v>198</v>
      </c>
      <c r="F43" s="176"/>
      <c r="G43" s="176"/>
    </row>
    <row r="45" spans="1:7" ht="15" thickBot="1" x14ac:dyDescent="0.35"/>
    <row r="46" spans="1:7" ht="16.8" thickTop="1" thickBot="1" x14ac:dyDescent="0.35">
      <c r="A46" s="45" t="s">
        <v>199</v>
      </c>
      <c r="B46" s="45" t="s">
        <v>171</v>
      </c>
      <c r="C46" s="46" t="s">
        <v>200</v>
      </c>
      <c r="D46" s="46" t="s">
        <v>201</v>
      </c>
      <c r="E46" s="46" t="s">
        <v>202</v>
      </c>
    </row>
    <row r="47" spans="1:7" ht="30" thickTop="1" thickBot="1" x14ac:dyDescent="0.35">
      <c r="A47" s="47">
        <v>1</v>
      </c>
      <c r="B47" s="48" t="s">
        <v>203</v>
      </c>
      <c r="C47" s="49">
        <v>0</v>
      </c>
      <c r="D47" s="50">
        <v>0.1</v>
      </c>
      <c r="E47" s="49">
        <v>0.1</v>
      </c>
    </row>
    <row r="48" spans="1:7" ht="15.6" thickTop="1" thickBot="1" x14ac:dyDescent="0.35">
      <c r="A48" s="47">
        <v>2</v>
      </c>
      <c r="B48" s="48" t="s">
        <v>204</v>
      </c>
      <c r="C48" s="49" t="s">
        <v>205</v>
      </c>
      <c r="D48" s="50" t="s">
        <v>206</v>
      </c>
      <c r="E48" s="49">
        <v>0.3</v>
      </c>
    </row>
    <row r="49" spans="1:5" ht="58.8" thickTop="1" thickBot="1" x14ac:dyDescent="0.35">
      <c r="A49" s="47">
        <v>3</v>
      </c>
      <c r="B49" s="48" t="s">
        <v>207</v>
      </c>
      <c r="C49" s="49" t="s">
        <v>208</v>
      </c>
      <c r="D49" s="50" t="s">
        <v>209</v>
      </c>
      <c r="E49" s="49">
        <v>0.45</v>
      </c>
    </row>
    <row r="50" spans="1:5" ht="73.2" thickTop="1" thickBot="1" x14ac:dyDescent="0.35">
      <c r="A50" s="47">
        <v>4</v>
      </c>
      <c r="B50" s="48" t="s">
        <v>210</v>
      </c>
      <c r="C50" s="49" t="s">
        <v>211</v>
      </c>
      <c r="D50" s="50" t="s">
        <v>212</v>
      </c>
      <c r="E50" s="49">
        <v>0.7</v>
      </c>
    </row>
    <row r="51" spans="1:5" ht="58.8" thickTop="1" thickBot="1" x14ac:dyDescent="0.35">
      <c r="A51" s="47">
        <v>5</v>
      </c>
      <c r="B51" s="48" t="s">
        <v>213</v>
      </c>
      <c r="C51" s="49" t="s">
        <v>214</v>
      </c>
      <c r="D51" s="50" t="s">
        <v>215</v>
      </c>
      <c r="E51" s="49">
        <v>0.75</v>
      </c>
    </row>
    <row r="52" spans="1:5" ht="73.2" thickTop="1" thickBot="1" x14ac:dyDescent="0.35">
      <c r="A52" s="47">
        <v>6</v>
      </c>
      <c r="B52" s="48" t="s">
        <v>216</v>
      </c>
      <c r="C52" s="49" t="s">
        <v>217</v>
      </c>
      <c r="D52" s="50" t="s">
        <v>218</v>
      </c>
      <c r="E52" s="49">
        <v>0.8</v>
      </c>
    </row>
    <row r="53" spans="1:5" ht="102" thickTop="1" thickBot="1" x14ac:dyDescent="0.35">
      <c r="A53" s="47">
        <v>7</v>
      </c>
      <c r="B53" s="48" t="s">
        <v>219</v>
      </c>
      <c r="C53" s="49" t="s">
        <v>220</v>
      </c>
      <c r="D53" s="50" t="s">
        <v>221</v>
      </c>
      <c r="E53" s="49">
        <v>0.85</v>
      </c>
    </row>
    <row r="54" spans="1:5" ht="174" thickTop="1" thickBot="1" x14ac:dyDescent="0.35">
      <c r="A54" s="47">
        <v>8</v>
      </c>
      <c r="B54" s="48" t="s">
        <v>222</v>
      </c>
      <c r="C54" s="49" t="s">
        <v>223</v>
      </c>
      <c r="D54" s="50" t="s">
        <v>224</v>
      </c>
      <c r="E54" s="49">
        <v>0.95</v>
      </c>
    </row>
    <row r="55" spans="1:5" ht="87.6" thickTop="1" thickBot="1" x14ac:dyDescent="0.35">
      <c r="A55" s="47">
        <v>9</v>
      </c>
      <c r="B55" s="48" t="s">
        <v>225</v>
      </c>
      <c r="C55" s="49" t="s">
        <v>226</v>
      </c>
      <c r="D55" s="50" t="s">
        <v>227</v>
      </c>
      <c r="E55" s="49">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9">
        <v>1</v>
      </c>
      <c r="C2" s="57" t="s">
        <v>247</v>
      </c>
    </row>
    <row r="3" spans="2:3" x14ac:dyDescent="0.3">
      <c r="B3" s="39">
        <v>2</v>
      </c>
      <c r="C3" s="58" t="s">
        <v>248</v>
      </c>
    </row>
    <row r="4" spans="2:3" x14ac:dyDescent="0.3">
      <c r="B4" s="39">
        <v>3</v>
      </c>
      <c r="C4" s="39" t="s">
        <v>249</v>
      </c>
    </row>
    <row r="5" spans="2:3" x14ac:dyDescent="0.3">
      <c r="B5" s="39">
        <v>4</v>
      </c>
      <c r="C5" s="58" t="s">
        <v>250</v>
      </c>
    </row>
    <row r="6" spans="2:3" x14ac:dyDescent="0.3">
      <c r="B6" s="39">
        <v>5</v>
      </c>
      <c r="C6" s="39" t="s">
        <v>251</v>
      </c>
    </row>
    <row r="7" spans="2:3" x14ac:dyDescent="0.3">
      <c r="B7" s="39">
        <v>6</v>
      </c>
      <c r="C7" s="58" t="s">
        <v>252</v>
      </c>
    </row>
    <row r="8" spans="2:3" ht="72" x14ac:dyDescent="0.3">
      <c r="B8" s="39">
        <v>7</v>
      </c>
      <c r="C8" s="58" t="s">
        <v>253</v>
      </c>
    </row>
    <row r="9" spans="2:3" x14ac:dyDescent="0.3">
      <c r="B9" s="39">
        <v>8</v>
      </c>
      <c r="C9" s="39" t="s">
        <v>254</v>
      </c>
    </row>
    <row r="10" spans="2:3" x14ac:dyDescent="0.3">
      <c r="B10" s="39">
        <v>9</v>
      </c>
      <c r="C10" s="39" t="s">
        <v>255</v>
      </c>
    </row>
    <row r="11" spans="2:3" x14ac:dyDescent="0.3">
      <c r="B11" s="39">
        <v>10</v>
      </c>
      <c r="C11" s="39" t="s">
        <v>256</v>
      </c>
    </row>
    <row r="12" spans="2:3" x14ac:dyDescent="0.3">
      <c r="B12" s="39">
        <v>11</v>
      </c>
      <c r="C12" s="39" t="s">
        <v>257</v>
      </c>
    </row>
    <row r="13" spans="2:3" x14ac:dyDescent="0.3">
      <c r="B13" s="39">
        <v>12</v>
      </c>
      <c r="C13" s="39" t="s">
        <v>258</v>
      </c>
    </row>
    <row r="14" spans="2:3" x14ac:dyDescent="0.3">
      <c r="B14" s="39">
        <v>13</v>
      </c>
      <c r="C14" s="39" t="s">
        <v>259</v>
      </c>
    </row>
    <row r="15" spans="2:3" x14ac:dyDescent="0.3">
      <c r="B15" s="39">
        <v>14</v>
      </c>
      <c r="C15" s="39" t="s">
        <v>249</v>
      </c>
    </row>
    <row r="16" spans="2:3" x14ac:dyDescent="0.3">
      <c r="B16" s="39">
        <v>15</v>
      </c>
      <c r="C16" s="39" t="s">
        <v>242</v>
      </c>
    </row>
    <row r="17" spans="2:3" x14ac:dyDescent="0.3">
      <c r="B17" s="59">
        <v>16</v>
      </c>
      <c r="C17" s="60" t="s">
        <v>260</v>
      </c>
    </row>
    <row r="18" spans="2:3" x14ac:dyDescent="0.3">
      <c r="B18" s="61">
        <v>17</v>
      </c>
      <c r="C18" s="60" t="s">
        <v>261</v>
      </c>
    </row>
    <row r="19" spans="2:3" x14ac:dyDescent="0.3">
      <c r="B19" s="62">
        <v>18</v>
      </c>
      <c r="C19" s="39" t="s">
        <v>262</v>
      </c>
    </row>
    <row r="20" spans="2:3" x14ac:dyDescent="0.3">
      <c r="B20" s="61">
        <v>19</v>
      </c>
      <c r="C20" s="39" t="s">
        <v>263</v>
      </c>
    </row>
    <row r="21" spans="2:3" x14ac:dyDescent="0.3">
      <c r="B21" s="39">
        <v>20</v>
      </c>
      <c r="C21" s="39" t="s">
        <v>264</v>
      </c>
    </row>
    <row r="22" spans="2:3" x14ac:dyDescent="0.3">
      <c r="B22" s="61">
        <v>21</v>
      </c>
      <c r="C22" s="39" t="s">
        <v>262</v>
      </c>
    </row>
    <row r="23" spans="2:3" s="64" customFormat="1" ht="28.8" x14ac:dyDescent="0.3">
      <c r="B23" s="63">
        <v>22</v>
      </c>
      <c r="C23" s="57" t="s">
        <v>265</v>
      </c>
    </row>
    <row r="24" spans="2:3" s="64" customFormat="1" ht="28.8" x14ac:dyDescent="0.3">
      <c r="B24" s="65">
        <v>23</v>
      </c>
      <c r="C24" s="57" t="s">
        <v>266</v>
      </c>
    </row>
    <row r="25" spans="2:3" x14ac:dyDescent="0.3">
      <c r="B25" s="39">
        <v>24</v>
      </c>
      <c r="C25" s="39" t="s">
        <v>267</v>
      </c>
    </row>
    <row r="26" spans="2:3" x14ac:dyDescent="0.3">
      <c r="B26" s="61">
        <v>25</v>
      </c>
      <c r="C26" s="39" t="s">
        <v>268</v>
      </c>
    </row>
    <row r="27" spans="2:3" x14ac:dyDescent="0.3">
      <c r="B27" s="65">
        <v>26</v>
      </c>
      <c r="C27" s="39" t="s">
        <v>269</v>
      </c>
    </row>
    <row r="28" spans="2:3" x14ac:dyDescent="0.3">
      <c r="B28" s="61">
        <v>27</v>
      </c>
      <c r="C28" s="39" t="s">
        <v>270</v>
      </c>
    </row>
    <row r="29" spans="2:3" ht="43.2" x14ac:dyDescent="0.3">
      <c r="B29" s="66">
        <v>28</v>
      </c>
      <c r="C29" s="58" t="s">
        <v>271</v>
      </c>
    </row>
    <row r="30" spans="2:3" x14ac:dyDescent="0.3">
      <c r="B30" s="65">
        <v>29</v>
      </c>
      <c r="C30" s="39" t="s">
        <v>272</v>
      </c>
    </row>
    <row r="31" spans="2:3" ht="28.8" x14ac:dyDescent="0.3">
      <c r="B31" s="65">
        <v>30</v>
      </c>
      <c r="C31" s="58" t="s">
        <v>300</v>
      </c>
    </row>
    <row r="32" spans="2:3" x14ac:dyDescent="0.3">
      <c r="B32" s="65">
        <v>31</v>
      </c>
      <c r="C32" s="39" t="s">
        <v>301</v>
      </c>
    </row>
    <row r="33" spans="2:3" x14ac:dyDescent="0.3">
      <c r="B33" s="65">
        <v>32</v>
      </c>
      <c r="C33" s="39" t="s">
        <v>302</v>
      </c>
    </row>
    <row r="34" spans="2:3" ht="28.8" x14ac:dyDescent="0.3">
      <c r="B34" s="65">
        <v>33</v>
      </c>
      <c r="C34" s="60" t="s">
        <v>303</v>
      </c>
    </row>
    <row r="35" spans="2:3" x14ac:dyDescent="0.3">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7"/>
    <col min="2" max="2" width="12.33203125" style="67" customWidth="1"/>
    <col min="3" max="16384" width="9.109375" style="67"/>
  </cols>
  <sheetData>
    <row r="2" spans="1:12" x14ac:dyDescent="0.3">
      <c r="B2" s="68" t="s">
        <v>273</v>
      </c>
      <c r="C2" s="182"/>
      <c r="D2" s="182"/>
    </row>
    <row r="3" spans="1:12" x14ac:dyDescent="0.3">
      <c r="D3" s="69"/>
      <c r="E3" s="69"/>
      <c r="F3" s="69"/>
      <c r="G3" s="69"/>
      <c r="H3" s="69"/>
      <c r="I3" s="69"/>
    </row>
    <row r="4" spans="1:12" x14ac:dyDescent="0.3">
      <c r="A4" s="68" t="s">
        <v>274</v>
      </c>
      <c r="B4" s="56" t="s">
        <v>275</v>
      </c>
      <c r="C4" s="183" t="s">
        <v>276</v>
      </c>
      <c r="D4" s="183"/>
      <c r="E4" s="183"/>
      <c r="F4" s="56"/>
      <c r="G4" s="184" t="s">
        <v>277</v>
      </c>
      <c r="H4" s="184"/>
      <c r="I4" s="184"/>
      <c r="J4" s="185" t="s">
        <v>278</v>
      </c>
      <c r="K4" s="185"/>
      <c r="L4" s="185"/>
    </row>
    <row r="5" spans="1:12" x14ac:dyDescent="0.3">
      <c r="A5" s="68"/>
      <c r="B5" s="56"/>
      <c r="C5" s="56" t="s">
        <v>279</v>
      </c>
      <c r="D5" s="56" t="s">
        <v>280</v>
      </c>
      <c r="E5" s="56" t="s">
        <v>281</v>
      </c>
      <c r="F5" s="56"/>
      <c r="G5" s="56" t="s">
        <v>279</v>
      </c>
      <c r="H5" s="56" t="s">
        <v>280</v>
      </c>
      <c r="I5" s="56" t="s">
        <v>281</v>
      </c>
      <c r="J5" s="56" t="s">
        <v>279</v>
      </c>
      <c r="K5" s="56" t="s">
        <v>280</v>
      </c>
      <c r="L5" s="56" t="s">
        <v>281</v>
      </c>
    </row>
    <row r="6" spans="1:12" x14ac:dyDescent="0.3">
      <c r="B6" s="55" t="s">
        <v>282</v>
      </c>
      <c r="C6" s="55"/>
      <c r="D6" s="55"/>
      <c r="E6" s="55">
        <f>C6*D6</f>
        <v>0</v>
      </c>
      <c r="F6" s="55" t="s">
        <v>283</v>
      </c>
      <c r="G6" s="55"/>
      <c r="H6" s="55"/>
      <c r="I6" s="55">
        <f>G6*H6</f>
        <v>0</v>
      </c>
      <c r="J6" s="55"/>
      <c r="K6" s="55"/>
      <c r="L6" s="55">
        <f>J6*K6</f>
        <v>0</v>
      </c>
    </row>
    <row r="7" spans="1:12" x14ac:dyDescent="0.3">
      <c r="B7" s="55"/>
      <c r="C7" s="55"/>
      <c r="D7" s="55"/>
      <c r="E7" s="55">
        <f t="shared" ref="E7:E41" si="0">C7*D7</f>
        <v>0</v>
      </c>
      <c r="F7" s="55" t="s">
        <v>283</v>
      </c>
      <c r="G7" s="55"/>
      <c r="H7" s="55"/>
      <c r="I7" s="55">
        <f t="shared" ref="I7:I35" si="1">G7*H7</f>
        <v>0</v>
      </c>
      <c r="J7" s="55"/>
      <c r="K7" s="55"/>
      <c r="L7" s="55">
        <f t="shared" ref="L7:L35" si="2">J7*K7</f>
        <v>0</v>
      </c>
    </row>
    <row r="8" spans="1:12" x14ac:dyDescent="0.3">
      <c r="B8" s="55"/>
      <c r="C8" s="55"/>
      <c r="D8" s="55"/>
      <c r="E8" s="55">
        <f t="shared" si="0"/>
        <v>0</v>
      </c>
      <c r="F8" s="55"/>
      <c r="G8" s="55"/>
      <c r="H8" s="55"/>
      <c r="I8" s="55">
        <f t="shared" si="1"/>
        <v>0</v>
      </c>
      <c r="J8" s="55"/>
      <c r="K8" s="55"/>
      <c r="L8" s="55">
        <f t="shared" si="2"/>
        <v>0</v>
      </c>
    </row>
    <row r="9" spans="1:12" x14ac:dyDescent="0.3">
      <c r="B9" s="55"/>
      <c r="C9" s="55"/>
      <c r="D9" s="55"/>
      <c r="E9" s="55">
        <f t="shared" si="0"/>
        <v>0</v>
      </c>
      <c r="F9" s="55" t="s">
        <v>284</v>
      </c>
      <c r="G9" s="55"/>
      <c r="H9" s="55"/>
      <c r="I9" s="55">
        <f t="shared" si="1"/>
        <v>0</v>
      </c>
      <c r="J9" s="55"/>
      <c r="K9" s="55"/>
      <c r="L9" s="55">
        <f t="shared" si="2"/>
        <v>0</v>
      </c>
    </row>
    <row r="10" spans="1:12" x14ac:dyDescent="0.3">
      <c r="B10" s="55" t="s">
        <v>285</v>
      </c>
      <c r="C10" s="55"/>
      <c r="D10" s="55"/>
      <c r="E10" s="55">
        <f t="shared" si="0"/>
        <v>0</v>
      </c>
      <c r="F10" s="55" t="s">
        <v>284</v>
      </c>
      <c r="G10" s="55"/>
      <c r="H10" s="55"/>
      <c r="I10" s="55">
        <f t="shared" si="1"/>
        <v>0</v>
      </c>
      <c r="J10" s="55"/>
      <c r="K10" s="55"/>
      <c r="L10" s="55">
        <f t="shared" si="2"/>
        <v>0</v>
      </c>
    </row>
    <row r="11" spans="1:12" x14ac:dyDescent="0.3">
      <c r="B11" s="55"/>
      <c r="C11" s="55"/>
      <c r="D11" s="55"/>
      <c r="E11" s="55">
        <f t="shared" si="0"/>
        <v>0</v>
      </c>
      <c r="F11" s="55" t="s">
        <v>286</v>
      </c>
      <c r="G11" s="55"/>
      <c r="H11" s="55"/>
      <c r="I11" s="55">
        <f t="shared" si="1"/>
        <v>0</v>
      </c>
      <c r="J11" s="55"/>
      <c r="K11" s="55"/>
      <c r="L11" s="55">
        <f t="shared" si="2"/>
        <v>0</v>
      </c>
    </row>
    <row r="12" spans="1:12" x14ac:dyDescent="0.3">
      <c r="B12" s="55"/>
      <c r="C12" s="55"/>
      <c r="D12" s="55"/>
      <c r="E12" s="55">
        <f t="shared" si="0"/>
        <v>0</v>
      </c>
      <c r="F12" s="55"/>
      <c r="G12" s="55"/>
      <c r="H12" s="55"/>
      <c r="I12" s="55">
        <f t="shared" si="1"/>
        <v>0</v>
      </c>
      <c r="J12" s="55"/>
      <c r="K12" s="55"/>
      <c r="L12" s="55">
        <f t="shared" si="2"/>
        <v>0</v>
      </c>
    </row>
    <row r="13" spans="1:12" x14ac:dyDescent="0.3">
      <c r="B13" s="55"/>
      <c r="C13" s="55"/>
      <c r="D13" s="55"/>
      <c r="E13" s="55">
        <f t="shared" si="0"/>
        <v>0</v>
      </c>
      <c r="F13" s="55"/>
      <c r="G13" s="55"/>
      <c r="H13" s="55"/>
      <c r="I13" s="55">
        <f t="shared" si="1"/>
        <v>0</v>
      </c>
      <c r="J13" s="55"/>
      <c r="K13" s="55"/>
      <c r="L13" s="55">
        <f t="shared" si="2"/>
        <v>0</v>
      </c>
    </row>
    <row r="14" spans="1:12" x14ac:dyDescent="0.3">
      <c r="B14" s="55" t="s">
        <v>287</v>
      </c>
      <c r="C14" s="55"/>
      <c r="D14" s="55"/>
      <c r="E14" s="55">
        <f t="shared" si="0"/>
        <v>0</v>
      </c>
      <c r="F14" s="55" t="s">
        <v>284</v>
      </c>
      <c r="G14" s="55"/>
      <c r="H14" s="55"/>
      <c r="I14" s="55">
        <f t="shared" si="1"/>
        <v>0</v>
      </c>
      <c r="J14" s="55"/>
      <c r="K14" s="55"/>
      <c r="L14" s="55">
        <f t="shared" si="2"/>
        <v>0</v>
      </c>
    </row>
    <row r="15" spans="1:12" x14ac:dyDescent="0.3">
      <c r="B15" s="55"/>
      <c r="C15" s="55"/>
      <c r="D15" s="55"/>
      <c r="E15" s="55">
        <f t="shared" si="0"/>
        <v>0</v>
      </c>
      <c r="F15" s="55" t="s">
        <v>286</v>
      </c>
      <c r="G15" s="55"/>
      <c r="H15" s="55"/>
      <c r="I15" s="55">
        <f t="shared" si="1"/>
        <v>0</v>
      </c>
      <c r="J15" s="55"/>
      <c r="K15" s="55"/>
      <c r="L15" s="55">
        <f t="shared" si="2"/>
        <v>0</v>
      </c>
    </row>
    <row r="16" spans="1:12" x14ac:dyDescent="0.3">
      <c r="B16" s="55"/>
      <c r="C16" s="55"/>
      <c r="D16" s="55"/>
      <c r="E16" s="55">
        <f t="shared" si="0"/>
        <v>0</v>
      </c>
      <c r="F16" s="55"/>
      <c r="G16" s="55"/>
      <c r="H16" s="55"/>
      <c r="I16" s="55">
        <f t="shared" si="1"/>
        <v>0</v>
      </c>
      <c r="J16" s="55"/>
      <c r="K16" s="55"/>
      <c r="L16" s="55">
        <f t="shared" si="2"/>
        <v>0</v>
      </c>
    </row>
    <row r="17" spans="2:12" x14ac:dyDescent="0.3">
      <c r="B17" s="55"/>
      <c r="C17" s="55"/>
      <c r="D17" s="55"/>
      <c r="E17" s="55">
        <f t="shared" si="0"/>
        <v>0</v>
      </c>
      <c r="F17" s="55"/>
      <c r="G17" s="55"/>
      <c r="H17" s="55"/>
      <c r="I17" s="55">
        <f t="shared" si="1"/>
        <v>0</v>
      </c>
      <c r="J17" s="55"/>
      <c r="K17" s="55"/>
      <c r="L17" s="55">
        <f t="shared" si="2"/>
        <v>0</v>
      </c>
    </row>
    <row r="18" spans="2:12" x14ac:dyDescent="0.3">
      <c r="B18" s="55" t="s">
        <v>288</v>
      </c>
      <c r="C18" s="55"/>
      <c r="D18" s="55"/>
      <c r="E18" s="55">
        <f t="shared" si="0"/>
        <v>0</v>
      </c>
      <c r="F18" s="55" t="s">
        <v>284</v>
      </c>
      <c r="G18" s="55"/>
      <c r="H18" s="55"/>
      <c r="I18" s="55">
        <f t="shared" si="1"/>
        <v>0</v>
      </c>
      <c r="J18" s="55"/>
      <c r="K18" s="55"/>
      <c r="L18" s="55">
        <f t="shared" si="2"/>
        <v>0</v>
      </c>
    </row>
    <row r="19" spans="2:12" x14ac:dyDescent="0.3">
      <c r="B19" s="55"/>
      <c r="C19" s="55"/>
      <c r="D19" s="55"/>
      <c r="E19" s="55">
        <f t="shared" si="0"/>
        <v>0</v>
      </c>
      <c r="F19" s="55" t="s">
        <v>286</v>
      </c>
      <c r="G19" s="55"/>
      <c r="H19" s="55"/>
      <c r="I19" s="55">
        <f t="shared" si="1"/>
        <v>0</v>
      </c>
      <c r="J19" s="55"/>
      <c r="K19" s="55"/>
      <c r="L19" s="55">
        <f t="shared" si="2"/>
        <v>0</v>
      </c>
    </row>
    <row r="20" spans="2:12" x14ac:dyDescent="0.3">
      <c r="B20" s="55"/>
      <c r="C20" s="55"/>
      <c r="D20" s="55"/>
      <c r="E20" s="55">
        <f t="shared" si="0"/>
        <v>0</v>
      </c>
      <c r="F20" s="55"/>
      <c r="G20" s="55"/>
      <c r="H20" s="55"/>
      <c r="I20" s="55">
        <f t="shared" si="1"/>
        <v>0</v>
      </c>
      <c r="J20" s="55"/>
      <c r="K20" s="55"/>
      <c r="L20" s="55">
        <f t="shared" si="2"/>
        <v>0</v>
      </c>
    </row>
    <row r="21" spans="2:12" x14ac:dyDescent="0.3">
      <c r="B21" s="55" t="s">
        <v>289</v>
      </c>
      <c r="C21" s="55"/>
      <c r="D21" s="55"/>
      <c r="E21" s="55">
        <f t="shared" si="0"/>
        <v>0</v>
      </c>
      <c r="F21" s="55" t="s">
        <v>284</v>
      </c>
      <c r="G21" s="55"/>
      <c r="H21" s="55"/>
      <c r="I21" s="55">
        <f t="shared" si="1"/>
        <v>0</v>
      </c>
      <c r="J21" s="55"/>
      <c r="K21" s="55"/>
      <c r="L21" s="55">
        <f t="shared" si="2"/>
        <v>0</v>
      </c>
    </row>
    <row r="22" spans="2:12" x14ac:dyDescent="0.3">
      <c r="B22" s="55"/>
      <c r="C22" s="55"/>
      <c r="D22" s="55"/>
      <c r="E22" s="55">
        <f t="shared" si="0"/>
        <v>0</v>
      </c>
      <c r="F22" s="55" t="s">
        <v>286</v>
      </c>
      <c r="G22" s="55"/>
      <c r="H22" s="55"/>
      <c r="I22" s="55">
        <f t="shared" si="1"/>
        <v>0</v>
      </c>
      <c r="J22" s="55"/>
      <c r="K22" s="55"/>
      <c r="L22" s="55">
        <f t="shared" si="2"/>
        <v>0</v>
      </c>
    </row>
    <row r="23" spans="2:12" x14ac:dyDescent="0.3">
      <c r="B23" s="55"/>
      <c r="C23" s="55"/>
      <c r="D23" s="55"/>
      <c r="E23" s="55">
        <f t="shared" si="0"/>
        <v>0</v>
      </c>
      <c r="F23" s="55"/>
      <c r="G23" s="55"/>
      <c r="H23" s="55"/>
      <c r="I23" s="55">
        <f t="shared" si="1"/>
        <v>0</v>
      </c>
      <c r="J23" s="55"/>
      <c r="K23" s="55"/>
      <c r="L23" s="55">
        <f t="shared" si="2"/>
        <v>0</v>
      </c>
    </row>
    <row r="24" spans="2:12" x14ac:dyDescent="0.3">
      <c r="B24" s="55" t="s">
        <v>290</v>
      </c>
      <c r="C24" s="55"/>
      <c r="D24" s="55"/>
      <c r="E24" s="55">
        <f t="shared" si="0"/>
        <v>0</v>
      </c>
      <c r="F24" s="55" t="s">
        <v>291</v>
      </c>
      <c r="G24" s="55"/>
      <c r="H24" s="55"/>
      <c r="I24" s="55">
        <f t="shared" si="1"/>
        <v>0</v>
      </c>
      <c r="J24" s="55"/>
      <c r="K24" s="55"/>
      <c r="L24" s="55">
        <f t="shared" si="2"/>
        <v>0</v>
      </c>
    </row>
    <row r="25" spans="2:12" x14ac:dyDescent="0.3">
      <c r="B25" s="55"/>
      <c r="C25" s="55"/>
      <c r="D25" s="55"/>
      <c r="E25" s="55">
        <f t="shared" si="0"/>
        <v>0</v>
      </c>
      <c r="F25" s="55" t="s">
        <v>291</v>
      </c>
      <c r="G25" s="55"/>
      <c r="H25" s="55"/>
      <c r="I25" s="55">
        <f t="shared" si="1"/>
        <v>0</v>
      </c>
      <c r="J25" s="55"/>
      <c r="K25" s="55"/>
      <c r="L25" s="55">
        <f t="shared" si="2"/>
        <v>0</v>
      </c>
    </row>
    <row r="26" spans="2:12" x14ac:dyDescent="0.3">
      <c r="B26" s="55"/>
      <c r="C26" s="55"/>
      <c r="D26" s="55"/>
      <c r="E26" s="55">
        <f t="shared" si="0"/>
        <v>0</v>
      </c>
      <c r="F26" s="55" t="s">
        <v>291</v>
      </c>
      <c r="G26" s="55"/>
      <c r="H26" s="55"/>
      <c r="I26" s="55">
        <f t="shared" si="1"/>
        <v>0</v>
      </c>
      <c r="J26" s="55"/>
      <c r="K26" s="55"/>
      <c r="L26" s="55">
        <f t="shared" si="2"/>
        <v>0</v>
      </c>
    </row>
    <row r="27" spans="2:12" x14ac:dyDescent="0.3">
      <c r="B27" s="55"/>
      <c r="C27" s="55"/>
      <c r="D27" s="55"/>
      <c r="E27" s="55">
        <f t="shared" si="0"/>
        <v>0</v>
      </c>
      <c r="F27" s="55" t="s">
        <v>291</v>
      </c>
      <c r="G27" s="55"/>
      <c r="H27" s="55"/>
      <c r="I27" s="55">
        <f t="shared" si="1"/>
        <v>0</v>
      </c>
      <c r="J27" s="55"/>
      <c r="K27" s="55"/>
      <c r="L27" s="55">
        <f t="shared" si="2"/>
        <v>0</v>
      </c>
    </row>
    <row r="28" spans="2:12" x14ac:dyDescent="0.3">
      <c r="B28" s="55" t="s">
        <v>292</v>
      </c>
      <c r="C28" s="55"/>
      <c r="D28" s="55"/>
      <c r="E28" s="55">
        <f t="shared" si="0"/>
        <v>0</v>
      </c>
      <c r="F28" s="55" t="s">
        <v>291</v>
      </c>
      <c r="G28" s="55"/>
      <c r="H28" s="55"/>
      <c r="I28" s="55">
        <f t="shared" si="1"/>
        <v>0</v>
      </c>
      <c r="J28" s="55"/>
      <c r="K28" s="55"/>
      <c r="L28" s="55">
        <f t="shared" si="2"/>
        <v>0</v>
      </c>
    </row>
    <row r="29" spans="2:12" x14ac:dyDescent="0.3">
      <c r="B29" s="55" t="s">
        <v>293</v>
      </c>
      <c r="C29" s="55"/>
      <c r="D29" s="55"/>
      <c r="E29" s="55">
        <f t="shared" si="0"/>
        <v>0</v>
      </c>
      <c r="F29" s="55" t="s">
        <v>291</v>
      </c>
      <c r="G29" s="55"/>
      <c r="H29" s="55"/>
      <c r="I29" s="55">
        <f t="shared" si="1"/>
        <v>0</v>
      </c>
      <c r="J29" s="55"/>
      <c r="K29" s="55"/>
      <c r="L29" s="55">
        <f t="shared" si="2"/>
        <v>0</v>
      </c>
    </row>
    <row r="30" spans="2:12" x14ac:dyDescent="0.3">
      <c r="B30" s="55" t="s">
        <v>294</v>
      </c>
      <c r="C30" s="55"/>
      <c r="D30" s="55"/>
      <c r="E30" s="55">
        <f t="shared" si="0"/>
        <v>0</v>
      </c>
      <c r="F30" s="55"/>
      <c r="G30" s="55"/>
      <c r="H30" s="55"/>
      <c r="I30" s="55">
        <f t="shared" si="1"/>
        <v>0</v>
      </c>
      <c r="J30" s="55"/>
      <c r="K30" s="55"/>
      <c r="L30" s="55">
        <f t="shared" si="2"/>
        <v>0</v>
      </c>
    </row>
    <row r="31" spans="2:12" x14ac:dyDescent="0.3">
      <c r="B31" s="55"/>
      <c r="C31" s="55"/>
      <c r="D31" s="55"/>
      <c r="E31" s="55">
        <f t="shared" si="0"/>
        <v>0</v>
      </c>
      <c r="F31" s="55"/>
      <c r="G31" s="55"/>
      <c r="H31" s="55"/>
      <c r="I31" s="55">
        <f t="shared" si="1"/>
        <v>0</v>
      </c>
      <c r="J31" s="55"/>
      <c r="K31" s="55"/>
      <c r="L31" s="55">
        <f t="shared" si="2"/>
        <v>0</v>
      </c>
    </row>
    <row r="32" spans="2:12" x14ac:dyDescent="0.3">
      <c r="B32" s="55"/>
      <c r="C32" s="55"/>
      <c r="D32" s="55"/>
      <c r="E32" s="55">
        <f t="shared" si="0"/>
        <v>0</v>
      </c>
      <c r="F32" s="55"/>
      <c r="G32" s="55"/>
      <c r="H32" s="55"/>
      <c r="I32" s="55">
        <f t="shared" si="1"/>
        <v>0</v>
      </c>
      <c r="J32" s="55"/>
      <c r="K32" s="55"/>
      <c r="L32" s="55">
        <f t="shared" si="2"/>
        <v>0</v>
      </c>
    </row>
    <row r="33" spans="2:12" x14ac:dyDescent="0.3">
      <c r="B33" s="55" t="s">
        <v>295</v>
      </c>
      <c r="C33" s="55"/>
      <c r="D33" s="55"/>
      <c r="E33" s="55">
        <f t="shared" si="0"/>
        <v>0</v>
      </c>
      <c r="F33" s="55"/>
      <c r="G33" s="55"/>
      <c r="H33" s="55"/>
      <c r="I33" s="55">
        <f t="shared" si="1"/>
        <v>0</v>
      </c>
      <c r="J33" s="55"/>
      <c r="K33" s="55"/>
      <c r="L33" s="55">
        <f t="shared" si="2"/>
        <v>0</v>
      </c>
    </row>
    <row r="34" spans="2:12" x14ac:dyDescent="0.3">
      <c r="B34" s="55" t="s">
        <v>296</v>
      </c>
      <c r="C34" s="55"/>
      <c r="D34" s="55"/>
      <c r="E34" s="55">
        <f t="shared" si="0"/>
        <v>0</v>
      </c>
      <c r="F34" s="55"/>
      <c r="G34" s="55"/>
      <c r="H34" s="55"/>
      <c r="I34" s="55">
        <f t="shared" si="1"/>
        <v>0</v>
      </c>
      <c r="J34" s="55"/>
      <c r="K34" s="55"/>
      <c r="L34" s="55">
        <f t="shared" si="2"/>
        <v>0</v>
      </c>
    </row>
    <row r="35" spans="2:12" x14ac:dyDescent="0.3">
      <c r="B35" s="55" t="s">
        <v>297</v>
      </c>
      <c r="C35" s="55"/>
      <c r="D35" s="55"/>
      <c r="E35" s="55">
        <f t="shared" si="0"/>
        <v>0</v>
      </c>
      <c r="F35" s="55"/>
      <c r="G35" s="55"/>
      <c r="H35" s="55"/>
      <c r="I35" s="55">
        <f t="shared" si="1"/>
        <v>0</v>
      </c>
      <c r="J35" s="55"/>
      <c r="K35" s="55"/>
      <c r="L35" s="55">
        <f t="shared" si="2"/>
        <v>0</v>
      </c>
    </row>
    <row r="36" spans="2:12" x14ac:dyDescent="0.3">
      <c r="B36" s="55" t="s">
        <v>298</v>
      </c>
      <c r="C36" s="55"/>
      <c r="D36" s="55"/>
      <c r="E36" s="55">
        <f t="shared" si="0"/>
        <v>0</v>
      </c>
      <c r="F36" s="55"/>
      <c r="G36" s="55"/>
      <c r="H36" s="55"/>
      <c r="I36" s="55">
        <f>G36*H36</f>
        <v>0</v>
      </c>
      <c r="J36" s="55"/>
      <c r="K36" s="55"/>
      <c r="L36" s="55">
        <f>J36*K36</f>
        <v>0</v>
      </c>
    </row>
    <row r="37" spans="2:12" x14ac:dyDescent="0.3">
      <c r="B37" s="55"/>
      <c r="C37" s="55"/>
      <c r="D37" s="55"/>
      <c r="E37" s="55">
        <f t="shared" si="0"/>
        <v>0</v>
      </c>
      <c r="F37" s="55"/>
      <c r="G37" s="55"/>
      <c r="H37" s="55"/>
      <c r="I37" s="55">
        <f t="shared" ref="I37:I38" si="3">G37*H37</f>
        <v>0</v>
      </c>
      <c r="J37" s="55"/>
      <c r="K37" s="55"/>
      <c r="L37" s="55">
        <f t="shared" ref="L37:L38" si="4">J37*K37</f>
        <v>0</v>
      </c>
    </row>
    <row r="38" spans="2:12" x14ac:dyDescent="0.3">
      <c r="B38" s="55" t="s">
        <v>299</v>
      </c>
      <c r="C38" s="55"/>
      <c r="D38" s="55"/>
      <c r="E38" s="55">
        <f t="shared" si="0"/>
        <v>0</v>
      </c>
      <c r="F38" s="55"/>
      <c r="G38" s="55"/>
      <c r="H38" s="55"/>
      <c r="I38" s="55">
        <f t="shared" si="3"/>
        <v>0</v>
      </c>
      <c r="J38" s="55"/>
      <c r="K38" s="55"/>
      <c r="L38" s="55">
        <f t="shared" si="4"/>
        <v>0</v>
      </c>
    </row>
    <row r="39" spans="2:12" x14ac:dyDescent="0.3">
      <c r="B39" s="55"/>
      <c r="C39" s="55"/>
      <c r="D39" s="55"/>
      <c r="E39" s="55">
        <f t="shared" si="0"/>
        <v>0</v>
      </c>
      <c r="F39" s="55"/>
      <c r="G39" s="55"/>
      <c r="H39" s="55"/>
      <c r="I39" s="55">
        <f>G39*H39</f>
        <v>0</v>
      </c>
      <c r="J39" s="55"/>
      <c r="K39" s="55"/>
      <c r="L39" s="55">
        <f>J39*K39</f>
        <v>0</v>
      </c>
    </row>
    <row r="40" spans="2:12" x14ac:dyDescent="0.3">
      <c r="B40" s="55"/>
      <c r="C40" s="55"/>
      <c r="D40" s="55"/>
      <c r="E40" s="55">
        <f t="shared" si="0"/>
        <v>0</v>
      </c>
      <c r="F40" s="55"/>
      <c r="G40" s="55"/>
      <c r="H40" s="55"/>
      <c r="I40" s="55">
        <f>G40*H40</f>
        <v>0</v>
      </c>
      <c r="J40" s="55"/>
      <c r="K40" s="55"/>
      <c r="L40" s="55">
        <f>J40*K40</f>
        <v>0</v>
      </c>
    </row>
    <row r="41" spans="2:12" x14ac:dyDescent="0.3">
      <c r="B41" s="55"/>
      <c r="C41" s="55"/>
      <c r="D41" s="55"/>
      <c r="E41" s="55">
        <f t="shared" si="0"/>
        <v>0</v>
      </c>
      <c r="F41" s="55"/>
      <c r="G41" s="55"/>
      <c r="H41" s="55"/>
      <c r="I41" s="55">
        <f>G41*H41</f>
        <v>0</v>
      </c>
      <c r="J41" s="55"/>
      <c r="K41" s="55"/>
      <c r="L41" s="55">
        <f>J41*K41</f>
        <v>0</v>
      </c>
    </row>
    <row r="42" spans="2:12" x14ac:dyDescent="0.3">
      <c r="B42" s="55" t="s">
        <v>153</v>
      </c>
      <c r="C42" s="55"/>
      <c r="D42" s="55">
        <f>E42*10.764</f>
        <v>0</v>
      </c>
      <c r="E42" s="70">
        <f>SUM(E6:E41)</f>
        <v>0</v>
      </c>
      <c r="F42" s="55"/>
      <c r="G42" s="55"/>
      <c r="H42" s="55">
        <f>I42*10.764</f>
        <v>0</v>
      </c>
      <c r="I42" s="71">
        <f>SUM(I6:I41)</f>
        <v>0</v>
      </c>
      <c r="J42" s="55"/>
      <c r="K42" s="55">
        <f>L42*10.764</f>
        <v>0</v>
      </c>
      <c r="L42" s="72">
        <f>SUM(L6:L41)</f>
        <v>0</v>
      </c>
    </row>
    <row r="44" spans="2:12" x14ac:dyDescent="0.3">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2025-07-07T09:04:06Z</cp:lastPrinted>
  <dcterms:created xsi:type="dcterms:W3CDTF">2010-11-23T11:42:48Z</dcterms:created>
  <dcterms:modified xsi:type="dcterms:W3CDTF">2025-07-07T09:04:35Z</dcterms:modified>
</cp:coreProperties>
</file>