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s>
  <definedNames>
    <definedName name="_xlnm.Print_Area" localSheetId="0">Report!$A$1:$I$384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8" i="3" l="1"/>
  <c r="K79" i="3"/>
  <c r="K78" i="3"/>
  <c r="A52" i="3"/>
  <c r="K63" i="3"/>
  <c r="K62" i="3"/>
  <c r="I53" i="3"/>
  <c r="E66" i="3" l="1"/>
  <c r="K57" i="3"/>
  <c r="K58" i="3" s="1"/>
  <c r="E65" i="3"/>
  <c r="E63" i="3"/>
  <c r="E61" i="3"/>
  <c r="E59" i="3"/>
  <c r="E57" i="3"/>
  <c r="K55" i="3"/>
  <c r="K56" i="3"/>
  <c r="C55" i="3" s="1"/>
  <c r="E55" i="3" s="1"/>
  <c r="K54" i="3"/>
  <c r="E64" i="3"/>
  <c r="E62" i="3"/>
  <c r="E60" i="3"/>
  <c r="E58" i="3"/>
  <c r="I69" i="3"/>
  <c r="K72" i="3" l="1"/>
  <c r="C71" i="3" s="1"/>
  <c r="E71" i="3" s="1"/>
  <c r="K70" i="3"/>
  <c r="E80" i="3"/>
  <c r="E78" i="3"/>
  <c r="E76" i="3"/>
  <c r="E74" i="3"/>
  <c r="E82" i="3"/>
  <c r="K73" i="3"/>
  <c r="K74" i="3" s="1"/>
  <c r="E81" i="3"/>
  <c r="E79" i="3"/>
  <c r="E77" i="3"/>
  <c r="E75" i="3"/>
  <c r="E73" i="3"/>
  <c r="K71" i="3"/>
  <c r="K59" i="3"/>
  <c r="K60" i="3" l="1"/>
  <c r="K75" i="3"/>
  <c r="K61" i="3" l="1"/>
  <c r="K64" i="3" s="1"/>
  <c r="K76" i="3"/>
  <c r="C56" i="3" l="1"/>
  <c r="F55" i="3" s="1"/>
  <c r="J52" i="3" s="1"/>
  <c r="H55" i="3" s="1"/>
  <c r="K77" i="3"/>
  <c r="K80" i="3" s="1"/>
  <c r="C72" i="3" s="1"/>
  <c r="E56" i="3" l="1"/>
  <c r="E72" i="3"/>
  <c r="F71" i="3"/>
  <c r="E165" i="3"/>
  <c r="E164" i="3"/>
  <c r="E163" i="3"/>
  <c r="E162" i="3"/>
  <c r="A149" i="3"/>
  <c r="A150" i="3" s="1"/>
  <c r="A151" i="3" s="1"/>
  <c r="A152" i="3" s="1"/>
  <c r="E145" i="3"/>
  <c r="A142" i="3"/>
  <c r="A143" i="3" s="1"/>
  <c r="A144" i="3" s="1"/>
  <c r="A145" i="3" s="1"/>
  <c r="A146" i="3" s="1"/>
  <c r="A135" i="3"/>
  <c r="A136" i="3" s="1"/>
  <c r="A137" i="3" s="1"/>
  <c r="A138" i="3" s="1"/>
  <c r="A139" i="3" s="1"/>
  <c r="A128" i="3"/>
  <c r="A129" i="3" s="1"/>
  <c r="A130" i="3" s="1"/>
  <c r="A131" i="3" s="1"/>
  <c r="A132" i="3" s="1"/>
  <c r="E123" i="3"/>
  <c r="E121" i="3"/>
  <c r="E120" i="3"/>
  <c r="H83" i="3" l="1"/>
  <c r="J68" i="3"/>
  <c r="H71" i="3" s="1"/>
  <c r="H96" i="3"/>
  <c r="H95" i="3"/>
  <c r="G205" i="3"/>
  <c r="F205" i="3"/>
  <c r="E205" i="3"/>
  <c r="G204" i="3"/>
  <c r="F204" i="3"/>
  <c r="E204" i="3"/>
  <c r="G203" i="3"/>
  <c r="F203" i="3"/>
  <c r="E203" i="3"/>
  <c r="G202" i="3"/>
  <c r="F202" i="3"/>
  <c r="E202" i="3"/>
  <c r="G201" i="3"/>
  <c r="F201" i="3"/>
  <c r="E201" i="3"/>
  <c r="G198" i="3"/>
  <c r="F198" i="3"/>
  <c r="E198" i="3"/>
  <c r="G197" i="3"/>
  <c r="F197" i="3"/>
  <c r="E197" i="3"/>
  <c r="G196" i="3"/>
  <c r="F196" i="3"/>
  <c r="E196" i="3"/>
  <c r="G195" i="3"/>
  <c r="F195" i="3"/>
  <c r="E195" i="3"/>
  <c r="G194" i="3"/>
  <c r="F194" i="3"/>
  <c r="E194" i="3"/>
  <c r="G193" i="3"/>
  <c r="F193" i="3"/>
  <c r="E193" i="3"/>
  <c r="G191" i="3"/>
  <c r="F191" i="3"/>
  <c r="E191" i="3"/>
  <c r="G190" i="3"/>
  <c r="F190" i="3"/>
  <c r="E190" i="3"/>
  <c r="G189" i="3"/>
  <c r="F189" i="3"/>
  <c r="E189" i="3"/>
  <c r="I189" i="3" s="1"/>
  <c r="G186" i="3"/>
  <c r="F186" i="3"/>
  <c r="E186" i="3"/>
  <c r="G184" i="3"/>
  <c r="F184" i="3"/>
  <c r="E184" i="3"/>
  <c r="G183" i="3"/>
  <c r="F183" i="3"/>
  <c r="E183" i="3"/>
  <c r="G182" i="3"/>
  <c r="F182" i="3"/>
  <c r="E182" i="3"/>
  <c r="G181" i="3"/>
  <c r="F181" i="3"/>
  <c r="E181" i="3"/>
  <c r="G178" i="3"/>
  <c r="F178" i="3"/>
  <c r="E178" i="3"/>
  <c r="G176" i="3"/>
  <c r="F176" i="3"/>
  <c r="E176" i="3"/>
  <c r="G175" i="3"/>
  <c r="F175" i="3"/>
  <c r="E175" i="3"/>
  <c r="G174" i="3"/>
  <c r="F174" i="3"/>
  <c r="E174" i="3"/>
  <c r="G173" i="3"/>
  <c r="F173" i="3"/>
  <c r="E173" i="3"/>
  <c r="G172" i="3"/>
  <c r="F172" i="3"/>
  <c r="E172" i="3"/>
  <c r="G171" i="3"/>
  <c r="F171" i="3"/>
  <c r="E171" i="3"/>
  <c r="G170" i="3"/>
  <c r="F170" i="3"/>
  <c r="E170" i="3"/>
  <c r="G168" i="3"/>
  <c r="F168" i="3"/>
  <c r="E168" i="3"/>
  <c r="G167" i="3"/>
  <c r="F167" i="3"/>
  <c r="E167" i="3"/>
  <c r="G166" i="3"/>
  <c r="F166" i="3"/>
  <c r="E166" i="3"/>
  <c r="G165" i="3"/>
  <c r="F165" i="3"/>
  <c r="G164" i="3"/>
  <c r="F164" i="3"/>
  <c r="G163" i="3"/>
  <c r="F163" i="3"/>
  <c r="G162" i="3"/>
  <c r="F162" i="3"/>
  <c r="G158" i="3"/>
  <c r="F158" i="3"/>
  <c r="E158" i="3"/>
  <c r="G156" i="3"/>
  <c r="F156" i="3"/>
  <c r="E156" i="3"/>
  <c r="G155" i="3"/>
  <c r="F155" i="3"/>
  <c r="E155" i="3"/>
  <c r="G154" i="3"/>
  <c r="F154" i="3"/>
  <c r="E154" i="3"/>
  <c r="G152" i="3"/>
  <c r="F152" i="3"/>
  <c r="E152" i="3"/>
  <c r="G151" i="3"/>
  <c r="F151" i="3"/>
  <c r="E151" i="3"/>
  <c r="G150" i="3"/>
  <c r="F150" i="3"/>
  <c r="E150" i="3"/>
  <c r="G149" i="3"/>
  <c r="F149" i="3"/>
  <c r="E149" i="3"/>
  <c r="G148" i="3"/>
  <c r="F148" i="3"/>
  <c r="E148" i="3"/>
  <c r="G145" i="3"/>
  <c r="F145" i="3"/>
  <c r="G144" i="3"/>
  <c r="F144" i="3"/>
  <c r="E144" i="3"/>
  <c r="G141" i="3"/>
  <c r="F141" i="3"/>
  <c r="E141" i="3"/>
  <c r="G139" i="3"/>
  <c r="F139" i="3"/>
  <c r="E139" i="3"/>
  <c r="G138" i="3"/>
  <c r="F138" i="3"/>
  <c r="E138" i="3"/>
  <c r="G137" i="3"/>
  <c r="F137" i="3"/>
  <c r="E137" i="3"/>
  <c r="G134" i="3"/>
  <c r="F134" i="3"/>
  <c r="E134" i="3"/>
  <c r="G132" i="3"/>
  <c r="F132" i="3"/>
  <c r="E132" i="3"/>
  <c r="G131" i="3"/>
  <c r="F131" i="3"/>
  <c r="E131" i="3"/>
  <c r="G130" i="3"/>
  <c r="F130" i="3"/>
  <c r="E130" i="3"/>
  <c r="G129" i="3"/>
  <c r="F129" i="3"/>
  <c r="E129" i="3"/>
  <c r="G128" i="3"/>
  <c r="F128" i="3"/>
  <c r="E128" i="3"/>
  <c r="G127" i="3"/>
  <c r="F127" i="3"/>
  <c r="E127" i="3"/>
  <c r="G120" i="3"/>
  <c r="G121" i="3"/>
  <c r="G122" i="3"/>
  <c r="G123" i="3"/>
  <c r="G124" i="3"/>
  <c r="G125" i="3"/>
  <c r="F121" i="3"/>
  <c r="F122" i="3"/>
  <c r="F123" i="3"/>
  <c r="F124" i="3"/>
  <c r="F125" i="3"/>
  <c r="E125" i="3"/>
  <c r="E124" i="3"/>
  <c r="E122" i="3"/>
  <c r="F120" i="3"/>
  <c r="E115" i="3"/>
  <c r="E114" i="3"/>
  <c r="E113" i="3"/>
  <c r="E112" i="3"/>
  <c r="E111" i="3"/>
  <c r="E110" i="3"/>
  <c r="E109" i="3"/>
  <c r="L108" i="3"/>
  <c r="A200" i="3"/>
  <c r="A201" i="3" s="1"/>
  <c r="A202" i="3" s="1"/>
  <c r="A203" i="3" s="1"/>
  <c r="A204" i="3" s="1"/>
  <c r="A205" i="3" s="1"/>
  <c r="A186" i="3"/>
  <c r="A187" i="3" s="1"/>
  <c r="A188" i="3" s="1"/>
  <c r="A189" i="3" s="1"/>
  <c r="A190" i="3" s="1"/>
  <c r="A191" i="3" s="1"/>
  <c r="V178" i="3"/>
  <c r="W178" i="3"/>
  <c r="I182" i="3" l="1"/>
  <c r="I184" i="3"/>
  <c r="I191" i="3"/>
  <c r="I204" i="3"/>
  <c r="I203" i="3"/>
  <c r="I181" i="3"/>
  <c r="I183" i="3"/>
  <c r="I190" i="3"/>
  <c r="I205" i="3"/>
  <c r="I178" i="3"/>
  <c r="I186" i="3"/>
  <c r="I201" i="3"/>
  <c r="I202" i="3"/>
  <c r="V179" i="3"/>
  <c r="U178" i="3"/>
  <c r="A178" i="3" s="1"/>
  <c r="W179" i="3"/>
  <c r="W180" i="3" s="1"/>
  <c r="W181" i="3" s="1"/>
  <c r="W182" i="3" s="1"/>
  <c r="W183" i="3" s="1"/>
  <c r="W184" i="3" s="1"/>
  <c r="I176" i="3"/>
  <c r="I166" i="3"/>
  <c r="I165" i="3"/>
  <c r="I162" i="3"/>
  <c r="I168" i="3"/>
  <c r="I167" i="3"/>
  <c r="A162" i="3"/>
  <c r="A163" i="3" s="1"/>
  <c r="A164" i="3" s="1"/>
  <c r="A165" i="3" s="1"/>
  <c r="A166" i="3" s="1"/>
  <c r="A167" i="3" s="1"/>
  <c r="A168" i="3" s="1"/>
  <c r="A154" i="3"/>
  <c r="A155" i="3" s="1"/>
  <c r="A156" i="3" s="1"/>
  <c r="A157" i="3" s="1"/>
  <c r="A158" i="3" s="1"/>
  <c r="I115" i="3"/>
  <c r="I113" i="3"/>
  <c r="I114" i="3"/>
  <c r="I112" i="3"/>
  <c r="I111" i="3"/>
  <c r="I110" i="3"/>
  <c r="I109" i="3"/>
  <c r="A110" i="3"/>
  <c r="A111" i="3" s="1"/>
  <c r="A112" i="3" s="1"/>
  <c r="A113" i="3" s="1"/>
  <c r="A114" i="3" s="1"/>
  <c r="A115" i="3" s="1"/>
  <c r="H48" i="3"/>
  <c r="W170" i="3"/>
  <c r="W148" i="3"/>
  <c r="V148" i="3"/>
  <c r="V170" i="3"/>
  <c r="F100" i="3" l="1"/>
  <c r="H100" i="3"/>
  <c r="V180" i="3"/>
  <c r="U179" i="3"/>
  <c r="A179" i="3" s="1"/>
  <c r="I152" i="3"/>
  <c r="I164" i="3"/>
  <c r="I148" i="3"/>
  <c r="I150" i="3"/>
  <c r="I154" i="3"/>
  <c r="I155" i="3"/>
  <c r="I156" i="3"/>
  <c r="I158" i="3"/>
  <c r="I134" i="3"/>
  <c r="I141" i="3"/>
  <c r="I163" i="3"/>
  <c r="I145" i="3"/>
  <c r="I170" i="3"/>
  <c r="I171" i="3"/>
  <c r="I172" i="3"/>
  <c r="I173" i="3"/>
  <c r="I174" i="3"/>
  <c r="I175" i="3"/>
  <c r="W171" i="3"/>
  <c r="W172" i="3" s="1"/>
  <c r="W173" i="3" s="1"/>
  <c r="W174" i="3" s="1"/>
  <c r="W175" i="3" s="1"/>
  <c r="W176" i="3" s="1"/>
  <c r="V171" i="3"/>
  <c r="U170" i="3"/>
  <c r="A170" i="3" s="1"/>
  <c r="I144" i="3"/>
  <c r="I149" i="3"/>
  <c r="I151" i="3"/>
  <c r="W149" i="3"/>
  <c r="W150" i="3" s="1"/>
  <c r="W151" i="3" s="1"/>
  <c r="W152" i="3" s="1"/>
  <c r="V149" i="3"/>
  <c r="U148" i="3"/>
  <c r="I137" i="3"/>
  <c r="I138" i="3"/>
  <c r="I139" i="3"/>
  <c r="U180" i="3" l="1"/>
  <c r="A180" i="3" s="1"/>
  <c r="V181" i="3"/>
  <c r="V172" i="3"/>
  <c r="U171" i="3"/>
  <c r="A171" i="3" s="1"/>
  <c r="V150" i="3"/>
  <c r="U149" i="3"/>
  <c r="U181" i="3" l="1"/>
  <c r="A181" i="3" s="1"/>
  <c r="V182" i="3"/>
  <c r="V173" i="3"/>
  <c r="U172" i="3"/>
  <c r="A172" i="3" s="1"/>
  <c r="V151" i="3"/>
  <c r="U150" i="3"/>
  <c r="V183" i="3" l="1"/>
  <c r="U182" i="3"/>
  <c r="A182" i="3" s="1"/>
  <c r="V174" i="3"/>
  <c r="U173" i="3"/>
  <c r="A173" i="3" s="1"/>
  <c r="V152" i="3"/>
  <c r="U151" i="3"/>
  <c r="V184" i="3" l="1"/>
  <c r="U184" i="3" s="1"/>
  <c r="A184" i="3" s="1"/>
  <c r="U183" i="3"/>
  <c r="A183" i="3" s="1"/>
  <c r="V175" i="3"/>
  <c r="V176" i="3" s="1"/>
  <c r="U176" i="3" s="1"/>
  <c r="A176" i="3" s="1"/>
  <c r="U174" i="3"/>
  <c r="A174" i="3" s="1"/>
  <c r="U152" i="3"/>
  <c r="U175" i="3" l="1"/>
  <c r="A175" i="3" s="1"/>
  <c r="I198" i="3"/>
  <c r="I197" i="3"/>
  <c r="I196" i="3"/>
  <c r="I195" i="3"/>
  <c r="I194" i="3"/>
  <c r="I193" i="3"/>
  <c r="I132" i="3"/>
  <c r="I131" i="3"/>
  <c r="I130" i="3"/>
  <c r="I129" i="3"/>
  <c r="I128" i="3"/>
  <c r="I127" i="3"/>
  <c r="I121" i="3"/>
  <c r="I122" i="3"/>
  <c r="I123" i="3"/>
  <c r="I124" i="3"/>
  <c r="I125" i="3"/>
  <c r="I120" i="3"/>
  <c r="A121" i="3"/>
  <c r="A122" i="3" s="1"/>
  <c r="A123" i="3" s="1"/>
  <c r="A124" i="3" s="1"/>
  <c r="A125" i="3" s="1"/>
  <c r="H101" i="3" l="1"/>
  <c r="F101" i="3"/>
  <c r="H102" i="3"/>
  <c r="F102" i="3"/>
  <c r="H103" i="3" l="1"/>
  <c r="I4" i="3" l="1"/>
  <c r="I103" i="3" l="1"/>
  <c r="F103" i="3"/>
  <c r="E103" i="3"/>
  <c r="C103" i="3"/>
  <c r="E211" i="3" l="1"/>
  <c r="E210" i="3"/>
  <c r="H97" i="3"/>
  <c r="W192" i="3"/>
  <c r="W127" i="3"/>
  <c r="V127" i="3"/>
  <c r="V192" i="3"/>
  <c r="U192" i="3" l="1"/>
  <c r="V193" i="3"/>
  <c r="W193" i="3"/>
  <c r="W194" i="3" s="1"/>
  <c r="W195" i="3" s="1"/>
  <c r="W196" i="3" s="1"/>
  <c r="W197" i="3" s="1"/>
  <c r="W198" i="3" s="1"/>
  <c r="W128" i="3"/>
  <c r="W129" i="3" s="1"/>
  <c r="W130" i="3" s="1"/>
  <c r="W131" i="3" s="1"/>
  <c r="W132" i="3" s="1"/>
  <c r="V128" i="3"/>
  <c r="U127" i="3"/>
  <c r="A193" i="3" l="1"/>
  <c r="U193" i="3"/>
  <c r="A194" i="3" s="1"/>
  <c r="V194" i="3"/>
  <c r="U194" i="3" s="1"/>
  <c r="V129" i="3"/>
  <c r="U128" i="3"/>
  <c r="A195" i="3" l="1"/>
  <c r="V195" i="3"/>
  <c r="U195" i="3" s="1"/>
  <c r="V130" i="3"/>
  <c r="U129" i="3"/>
  <c r="A196" i="3" l="1"/>
  <c r="V196" i="3"/>
  <c r="U196" i="3" s="1"/>
  <c r="V131" i="3"/>
  <c r="U130" i="3"/>
  <c r="A197" i="3" l="1"/>
  <c r="V197" i="3"/>
  <c r="U197" i="3" s="1"/>
  <c r="V132" i="3"/>
  <c r="U131" i="3"/>
  <c r="W134" i="3"/>
  <c r="V134" i="3"/>
  <c r="U134" i="3" l="1"/>
  <c r="V135" i="3"/>
  <c r="W135" i="3"/>
  <c r="W136" i="3" s="1"/>
  <c r="W137" i="3" s="1"/>
  <c r="W138" i="3" s="1"/>
  <c r="W139" i="3" s="1"/>
  <c r="A198" i="3"/>
  <c r="V198" i="3"/>
  <c r="U198" i="3" s="1"/>
  <c r="U132" i="3"/>
  <c r="V136" i="3" l="1"/>
  <c r="U135" i="3"/>
  <c r="V137" i="3" l="1"/>
  <c r="U136" i="3"/>
  <c r="V138" i="3" l="1"/>
  <c r="U137" i="3"/>
  <c r="V139" i="3" l="1"/>
  <c r="U139" i="3" s="1"/>
  <c r="U138" i="3"/>
  <c r="E212" i="3" l="1"/>
</calcChain>
</file>

<file path=xl/comments1.xml><?xml version="1.0" encoding="utf-8"?>
<comments xmlns="http://schemas.openxmlformats.org/spreadsheetml/2006/main">
  <authors>
    <author>SACHIN</author>
  </authors>
  <commentLis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8"/>
            <color indexed="81"/>
            <rFont val="Tahoma"/>
            <family val="2"/>
          </rPr>
          <t>Plan Address</t>
        </r>
      </text>
    </comment>
    <comment ref="C17" authorId="0" shapeId="0">
      <text>
        <r>
          <rPr>
            <b/>
            <sz val="12"/>
            <color indexed="81"/>
            <rFont val="Tahoma"/>
            <family val="2"/>
          </rPr>
          <t>Maybe same as RERA Registration Validity or different</t>
        </r>
      </text>
    </comment>
    <comment ref="H17" authorId="0" shapeId="0">
      <text>
        <r>
          <rPr>
            <b/>
            <sz val="18"/>
            <color indexed="81"/>
            <rFont val="Tahoma"/>
            <family val="2"/>
          </rPr>
          <t>From Rera</t>
        </r>
      </text>
    </comment>
    <comment ref="H20" authorId="0" shapeId="0">
      <text>
        <r>
          <rPr>
            <b/>
            <sz val="16"/>
            <color indexed="81"/>
            <rFont val="Tahoma"/>
            <family val="2"/>
          </rPr>
          <t>From RERA</t>
        </r>
      </text>
    </comment>
    <comment ref="A39" authorId="0" shapeId="0">
      <text>
        <r>
          <rPr>
            <b/>
            <sz val="16"/>
            <color indexed="81"/>
            <rFont val="Tahoma"/>
            <family val="2"/>
          </rPr>
          <t>As per Layout</t>
        </r>
      </text>
    </comment>
    <comment ref="H95" authorId="0" shapeId="0">
      <text>
        <r>
          <rPr>
            <b/>
            <sz val="16"/>
            <color indexed="81"/>
            <rFont val="Tahoma"/>
            <family val="2"/>
          </rPr>
          <t>Ready Recknor</t>
        </r>
      </text>
    </comment>
  </commentList>
</comments>
</file>

<file path=xl/sharedStrings.xml><?xml version="1.0" encoding="utf-8"?>
<sst xmlns="http://schemas.openxmlformats.org/spreadsheetml/2006/main" count="500" uniqueCount="268">
  <si>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</si>
  <si>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</si>
  <si>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</si>
  <si>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</si>
  <si>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</si>
  <si>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</si>
  <si>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</si>
  <si>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</si>
  <si>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</si>
  <si>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</si>
  <si>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</si>
  <si>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</si>
  <si>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</si>
  <si>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</si>
  <si>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</si>
  <si>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</si>
  <si>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</si>
  <si>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</si>
  <si>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</si>
  <si>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</si>
  <si>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</si>
  <si>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</si>
  <si>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</si>
  <si>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</si>
  <si>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</si>
  <si>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</si>
  <si>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</si>
  <si>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</si>
  <si>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</si>
  <si>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</si>
  <si>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</si>
  <si>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</si>
  <si>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</si>
  <si>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</si>
  <si>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</si>
  <si>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</si>
  <si>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</si>
  <si>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</si>
  <si>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</si>
  <si>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</si>
  <si>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</si>
  <si>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</si>
  <si>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</si>
  <si>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</si>
  <si>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</si>
  <si>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</si>
  <si>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</si>
  <si>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</si>
  <si>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</si>
  <si>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</si>
  <si>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</si>
  <si>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</si>
  <si>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</si>
  <si>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</si>
  <si>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</si>
  <si>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</si>
  <si>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</si>
  <si>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</si>
  <si>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</si>
  <si>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</si>
  <si>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</si>
  <si>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</si>
  <si>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</si>
  <si>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</si>
  <si>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</si>
  <si>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</si>
  <si>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</si>
  <si>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</si>
  <si>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</si>
  <si>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</si>
  <si>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</si>
  <si>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</si>
  <si>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</si>
  <si>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</si>
  <si>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</si>
  <si>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</si>
  <si>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</si>
  <si>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</si>
  <si>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</si>
  <si>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</si>
  <si>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</si>
  <si>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</si>
  <si>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</si>
  <si>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</si>
  <si>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</si>
  <si>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</si>
  <si>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</si>
  <si>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</si>
  <si>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</si>
  <si>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</si>
  <si>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</si>
  <si>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</si>
  <si>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</si>
  <si>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</si>
  <si>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</si>
  <si>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</si>
  <si>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</si>
  <si>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</si>
  <si>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</si>
  <si>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</si>
  <si>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</si>
  <si>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</si>
  <si>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</si>
  <si>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</si>
  <si>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</si>
  <si>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</si>
  <si>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</si>
  <si>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</si>
  <si>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</si>
  <si>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</si>
  <si>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</si>
  <si>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</si>
  <si>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</si>
  <si>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</si>
  <si>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</si>
  <si>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</si>
  <si>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</si>
  <si>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</si>
  <si>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</si>
  <si>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</si>
  <si>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</si>
  <si>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</si>
  <si>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</si>
  <si>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</si>
  <si>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</si>
  <si>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</si>
  <si>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</si>
  <si>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</si>
  <si>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</si>
  <si>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</si>
  <si>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</si>
  <si>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</si>
  <si>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</si>
  <si>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</si>
  <si>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</si>
  <si>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</si>
  <si>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</si>
  <si>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</si>
  <si>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</si>
  <si>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</si>
  <si>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</si>
  <si>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</si>
  <si>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</si>
  <si>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</si>
  <si>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</si>
  <si>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</si>
  <si>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</si>
  <si>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</si>
  <si>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</si>
  <si>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</si>
  <si>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</si>
  <si>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</si>
  <si>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</si>
  <si>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</si>
  <si>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</si>
  <si>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</si>
  <si>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</si>
  <si>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</si>
  <si>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</si>
  <si>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</si>
  <si>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</si>
  <si>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</si>
  <si>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</si>
  <si>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</si>
  <si>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</si>
  <si>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</si>
  <si>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</si>
  <si>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</si>
  <si>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</si>
  <si>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</si>
  <si>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</si>
  <si>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</si>
  <si>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</si>
  <si>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No. of Floors Planned/Proposed</t>
  </si>
  <si>
    <t>Project Address</t>
  </si>
  <si>
    <t>Width of the Road</t>
  </si>
  <si>
    <t>Details of Flats in Building</t>
  </si>
  <si>
    <t>No. of Unit</t>
  </si>
  <si>
    <t>Building &amp; Wing</t>
  </si>
  <si>
    <t>Sale / Rehab</t>
  </si>
  <si>
    <t>Flats/ Shops/ Offices</t>
  </si>
  <si>
    <t>Total</t>
  </si>
  <si>
    <t>Rate of Flat Per Sq. Ft. 
(on Carpet area)</t>
  </si>
  <si>
    <t>Floor Rise Per Sq. Ft.
(on Carpet area)</t>
  </si>
  <si>
    <t>Date &amp; Time of Site Visit</t>
  </si>
  <si>
    <t>Residential + Commercial</t>
  </si>
  <si>
    <t>On Carpet area</t>
  </si>
  <si>
    <t xml:space="preserve">
Date:</t>
  </si>
  <si>
    <t>Location Link</t>
  </si>
  <si>
    <t xml:space="preserve">Layout </t>
  </si>
  <si>
    <t>Latitude, Longitude</t>
  </si>
  <si>
    <t>Landmark</t>
  </si>
  <si>
    <t>Middle</t>
  </si>
  <si>
    <t>Total Gross Carpet Area</t>
  </si>
  <si>
    <t>Carpet area</t>
  </si>
  <si>
    <t>Godrej Vistas</t>
  </si>
  <si>
    <t>Godrej and Boyce Mfg. Co. Ltd.</t>
  </si>
  <si>
    <t>Pirojshanagar, Vikhroli, Mumbai-400079</t>
  </si>
  <si>
    <t>Godrej Vistas, Vikhroli, Pirojshanagar, Vikhroli, Mumbai, Maharashtra</t>
  </si>
  <si>
    <t>Municipal Corporation of Greater Mumbai (MCGM)</t>
  </si>
  <si>
    <t>P51800055142</t>
  </si>
  <si>
    <t>https://maps.app.goo.gl/gF9ugAYqu6Aw4yoP7</t>
  </si>
  <si>
    <t>Kids Play Area, Gym, Landscape Garden, Jogging Track, Swimming Pool, Clubhouse, Multipurpose Court, Multipurpose Hall, Yoga Zone, Indoor games, etc.</t>
  </si>
  <si>
    <t>Road</t>
  </si>
  <si>
    <t>Bhula Bhai Deasai Marg</t>
  </si>
  <si>
    <t>Godrej Road</t>
  </si>
  <si>
    <t>Eastern Express Highway</t>
  </si>
  <si>
    <t xml:space="preserve"> Plot I-B-IV</t>
  </si>
  <si>
    <t>Lal Matti Ground</t>
  </si>
  <si>
    <t>Tower C1</t>
  </si>
  <si>
    <t>Tower C2</t>
  </si>
  <si>
    <t>4B + G + P + S + 1st to 32nd Floor</t>
  </si>
  <si>
    <t>1st, 2nd, 3rd &amp; 4th Floor Basement For Parking</t>
  </si>
  <si>
    <t>Ground Floor For Commercials, Meter Room, Fire Control Room &amp; Lobby</t>
  </si>
  <si>
    <t>Shop</t>
  </si>
  <si>
    <t>Service Floor For Swimming Pool &amp; Servant Room</t>
  </si>
  <si>
    <t>Podium Floor For Fitness Centre, Swimming Pool, Society Office &amp; Garden Area</t>
  </si>
  <si>
    <t>3BHK</t>
  </si>
  <si>
    <t>2BHK</t>
  </si>
  <si>
    <t>1st Floor For Residential</t>
  </si>
  <si>
    <t>2nd  to 5th, 7th to 12th, 14th to 19th, 21st to 26th Floor For Residential</t>
  </si>
  <si>
    <t>6th, 13th &amp; 20th Floor For Residential (Part Refuge Area)</t>
  </si>
  <si>
    <t>Refuge Area</t>
  </si>
  <si>
    <t>27th Floor For Residential (Part Refuge Area)</t>
  </si>
  <si>
    <t>4BHK</t>
  </si>
  <si>
    <t>28th to 30th Floor</t>
  </si>
  <si>
    <t>31st Floor For Residential &amp; Fitness Centre</t>
  </si>
  <si>
    <t>Fitness Centre</t>
  </si>
  <si>
    <t xml:space="preserve"> 6th, 13th to 20th Floor For Residential (Part Refuge Area)</t>
  </si>
  <si>
    <t>28th to 30th Floor For Residential</t>
  </si>
  <si>
    <t>32nd Floor For Fitness Centre, Garden Area &amp; Terrace Area</t>
  </si>
  <si>
    <t>Shops</t>
  </si>
  <si>
    <t xml:space="preserve">  Tower C1  </t>
  </si>
  <si>
    <t xml:space="preserve">Flats </t>
  </si>
  <si>
    <t>Flats = 375</t>
  </si>
  <si>
    <t>Shop = 7</t>
  </si>
  <si>
    <t>About 230 M form Godrej Memorial Hospital</t>
  </si>
  <si>
    <t>About 180M from Udayachal High School</t>
  </si>
  <si>
    <t>3.7 KM from Munciple Colony Bus Stop</t>
  </si>
  <si>
    <t xml:space="preserve">1.7 KM from Vikroli Railway Station
</t>
  </si>
  <si>
    <t>Godrej Vistas, CTS No.8A/1/1, 8A/1/2, 8A/2, 8A/3, 8A/4(Pt), 8A/5, 8A/6, 8A/7, 8A/9, 56(Pt), 92(Pt) &amp; 205(Pt), Pirojshanagar, Vikroli, Kurla, Mumbai - 400079</t>
  </si>
  <si>
    <t>Approved Layout &amp; Floor Plans, CC, RERA certificate.</t>
  </si>
  <si>
    <t>ICICI Bank Limited
IFSC Code = ICIC0001196</t>
  </si>
  <si>
    <t>19.1031202,72.929218</t>
  </si>
  <si>
    <t>27.45 M</t>
  </si>
  <si>
    <t>Tower C1 + C2</t>
  </si>
  <si>
    <t>Tata NOC ( High Voltage Line) (Remark No.7)</t>
  </si>
  <si>
    <t>1.Approx. 3.7 KM from R City Mall
2. Approx.4 KM from Munciple Market</t>
  </si>
  <si>
    <t>Godrej Platinum Building</t>
  </si>
  <si>
    <t>27.45 M W Road</t>
  </si>
  <si>
    <t xml:space="preserve">Godrej Vistas, Pirojshanagar, Vikhroli, Mumbai, Maharashtra 400079
</t>
  </si>
  <si>
    <t>Deck Area</t>
  </si>
  <si>
    <t>2nd to 5th, 7th to 12th, 14th to 19th, 21st to 26th Floor For Residential</t>
  </si>
  <si>
    <t>2.5BHK</t>
  </si>
  <si>
    <t>External Plaster</t>
  </si>
  <si>
    <t>External Plumbing, Elevation and Waterproofing</t>
  </si>
  <si>
    <t>Wooden Work</t>
  </si>
  <si>
    <t>Electrical &amp; Sanitary fittings</t>
  </si>
  <si>
    <t>150/- from 2nd Floor</t>
  </si>
  <si>
    <t>CHE/ES/4409/S/337(NEW)/IOD/1/Amend
Date: 08/12/2023</t>
  </si>
  <si>
    <t>rate 42000 req by vaibhav 25/09/2024</t>
  </si>
  <si>
    <t>07/07/2025 @03:12 PM</t>
  </si>
  <si>
    <t>Mr. Suraj Khare</t>
  </si>
  <si>
    <t>Mr. Mahesh 9702498159</t>
  </si>
  <si>
    <t>As per RERA Site Flats = 375 &amp; 
Shop = 7</t>
  </si>
  <si>
    <t xml:space="preserve">CHE/ES/4409/S/337(NEW)/FCC/1/New
Date: 10/02/2025
Valid Up to: 02/03/2026
Further C.C. up to 22nd upper only as per the approved amended plans dated 08.12.2023 (restricting the further C.C. of 23rd to 32nd (part) upper floor for non-handing over of Road Set backs &amp; reservation of ROS 1.5)
</t>
  </si>
  <si>
    <t>Mr. Nainesh Tambe</t>
  </si>
  <si>
    <t xml:space="preserve">1. Construction work is in process at the time of Visit. Internal visit was not allowed.
2. We considered Gross carpet area = Net carpet + Deck Area.
3. We considered Carpet area as per Approved Plan.
4. Car parking is subjected to authentic documentation.
5. We have considered rate by verifying it from market inquire.
6. High Tension Line Passing Near By Project Godrej Vistas (Document Attach Below).
7. We have updated CC from MCGM site on 07/07/2025.
</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</si>
</sst>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sz val="12"/>
      <color indexed="8"/>
      <name val="Times New Roman"/>
      <family val="1"/>
    </font>
    <font>
      <u/>
      <sz val="11"/>
      <color theme="10"/>
      <name val="Calibri"/>
      <family val="2"/>
    </font>
    <font>
      <u/>
      <sz val="14"/>
      <color theme="10"/>
      <name val="Calibri"/>
      <family val="2"/>
    </font>
    <font>
      <sz val="14"/>
      <name val="Times New Roman"/>
      <family val="1"/>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5" fillId="0" borderId="0" applyNumberFormat="0" applyFill="0" applyBorder="0" applyAlignment="0" applyProtection="0"/>
  </cellStyleXfs>
  <cellXfs count="166">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5" fillId="0" borderId="1" xfId="1" applyNumberFormat="1" applyFont="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0" xfId="1" applyNumberFormat="1" applyFont="1" applyFill="1" applyAlignment="1">
      <alignment horizontal="center" vertical="center" wrapText="1"/>
    </xf>
    <xf numFmtId="1" fontId="3" fillId="4" borderId="1" xfId="0" applyNumberFormat="1" applyFont="1" applyFill="1" applyBorder="1" applyAlignment="1">
      <alignment horizontal="center" vertical="top"/>
    </xf>
    <xf numFmtId="14" fontId="4" fillId="4" borderId="1" xfId="0" applyNumberFormat="1" applyFont="1" applyFill="1" applyBorder="1" applyAlignment="1">
      <alignment horizontal="left" vertical="top" wrapText="1"/>
    </xf>
    <xf numFmtId="0" fontId="3" fillId="0" borderId="6" xfId="0" applyFont="1" applyBorder="1" applyAlignment="1">
      <alignment horizontal="left"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3" fillId="5" borderId="0" xfId="0" applyFont="1" applyFill="1" applyAlignment="1">
      <alignment vertical="top"/>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2" borderId="1" xfId="0" applyFont="1" applyFill="1" applyBorder="1" applyAlignment="1">
      <alignment horizontal="center" vertical="top"/>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2" fillId="4" borderId="14" xfId="1" applyNumberFormat="1" applyFont="1" applyFill="1" applyBorder="1" applyAlignment="1">
      <alignment horizontal="center" vertical="center" wrapText="1"/>
    </xf>
    <xf numFmtId="1" fontId="2" fillId="4" borderId="9"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5" xfId="1" applyNumberFormat="1" applyFont="1" applyFill="1" applyBorder="1" applyAlignment="1">
      <alignment horizontal="center" vertical="center" wrapText="1"/>
    </xf>
    <xf numFmtId="1" fontId="6" fillId="4" borderId="0" xfId="1" applyNumberFormat="1" applyFont="1" applyFill="1" applyAlignment="1">
      <alignment horizontal="center" vertical="center" wrapText="1"/>
    </xf>
    <xf numFmtId="1" fontId="5" fillId="4" borderId="14" xfId="1" applyNumberFormat="1" applyFont="1" applyFill="1" applyBorder="1" applyAlignment="1">
      <alignment horizontal="center" vertical="center" wrapText="1"/>
    </xf>
    <xf numFmtId="1" fontId="5" fillId="4" borderId="9" xfId="1" applyNumberFormat="1" applyFont="1" applyFill="1" applyBorder="1" applyAlignment="1">
      <alignment horizontal="center" vertical="center" wrapText="1"/>
    </xf>
    <xf numFmtId="1" fontId="3" fillId="4" borderId="1"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0" fontId="4" fillId="4" borderId="1" xfId="0" applyFont="1" applyFill="1" applyBorder="1" applyAlignment="1">
      <alignment horizontal="left" vertical="top" wrapText="1"/>
    </xf>
    <xf numFmtId="0" fontId="16" fillId="4" borderId="2" xfId="2" applyFont="1" applyFill="1" applyBorder="1" applyAlignment="1">
      <alignment horizontal="left" vertical="top" wrapText="1"/>
    </xf>
    <xf numFmtId="0" fontId="17" fillId="4" borderId="3" xfId="0" applyFont="1" applyFill="1" applyBorder="1" applyAlignment="1">
      <alignment horizontal="lef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4" fillId="4" borderId="1"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4" fillId="0" borderId="1" xfId="0" applyFont="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3"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4" fillId="0" borderId="6" xfId="0" applyFont="1" applyBorder="1" applyAlignment="1">
      <alignment horizontal="left" vertical="top" wrapText="1"/>
    </xf>
    <xf numFmtId="0" fontId="2" fillId="2" borderId="1" xfId="0" applyFont="1" applyFill="1" applyBorder="1" applyAlignment="1">
      <alignment horizontal="left"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2" fillId="0" borderId="1"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 fontId="5" fillId="0" borderId="1" xfId="1" applyNumberFormat="1" applyFont="1" applyBorder="1" applyAlignment="1">
      <alignment horizontal="center" vertical="top" wrapText="1"/>
    </xf>
    <xf numFmtId="0" fontId="14" fillId="0" borderId="1" xfId="1" applyFont="1" applyBorder="1" applyAlignment="1" applyProtection="1">
      <alignment horizontal="left" vertical="top" wrapText="1"/>
      <protection locked="0"/>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EF2E8"/>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9</xdr:col>
      <xdr:colOff>721179</xdr:colOff>
      <xdr:row>7</xdr:row>
      <xdr:rowOff>326571</xdr:rowOff>
    </xdr:from>
    <xdr:to>
      <xdr:col>14</xdr:col>
      <xdr:colOff>79774</xdr:colOff>
      <xdr:row>12</xdr:row>
      <xdr:rowOff>206598</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1117036" y="3633107"/>
          <a:ext cx="4066667" cy="1838095"/>
        </a:xfrm>
        <a:prstGeom prst="rect">
          <a:avLst/>
        </a:prstGeom>
      </xdr:spPr>
    </xdr:pic>
    <xdr:clientData/>
  </xdr:twoCellAnchor>
  <xdr:twoCellAnchor editAs="oneCell">
    <xdr:from>
      <xdr:col>0</xdr:col>
      <xdr:colOff>489856</xdr:colOff>
      <xdr:row>259</xdr:row>
      <xdr:rowOff>13609</xdr:rowOff>
    </xdr:from>
    <xdr:to>
      <xdr:col>8</xdr:col>
      <xdr:colOff>1117462</xdr:colOff>
      <xdr:row>275</xdr:row>
      <xdr:rowOff>197038</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489856" y="84201002"/>
          <a:ext cx="9295356" cy="4320000"/>
        </a:xfrm>
        <a:prstGeom prst="rect">
          <a:avLst/>
        </a:prstGeom>
        <a:ln>
          <a:solidFill>
            <a:schemeClr val="tx1"/>
          </a:solidFill>
        </a:ln>
      </xdr:spPr>
    </xdr:pic>
    <xdr:clientData/>
  </xdr:twoCellAnchor>
  <xdr:twoCellAnchor editAs="oneCell">
    <xdr:from>
      <xdr:col>0</xdr:col>
      <xdr:colOff>823052</xdr:colOff>
      <xdr:row>276</xdr:row>
      <xdr:rowOff>217433</xdr:rowOff>
    </xdr:from>
    <xdr:to>
      <xdr:col>8</xdr:col>
      <xdr:colOff>676383</xdr:colOff>
      <xdr:row>296</xdr:row>
      <xdr:rowOff>86718</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a:stretch>
          <a:fillRect/>
        </a:stretch>
      </xdr:blipFill>
      <xdr:spPr>
        <a:xfrm>
          <a:off x="823052" y="89616362"/>
          <a:ext cx="8521081" cy="5040000"/>
        </a:xfrm>
        <a:prstGeom prst="rect">
          <a:avLst/>
        </a:prstGeom>
        <a:ln>
          <a:solidFill>
            <a:schemeClr val="tx1"/>
          </a:solidFill>
        </a:ln>
      </xdr:spPr>
    </xdr:pic>
    <xdr:clientData/>
  </xdr:twoCellAnchor>
  <xdr:twoCellAnchor>
    <xdr:from>
      <xdr:col>5</xdr:col>
      <xdr:colOff>1510393</xdr:colOff>
      <xdr:row>261</xdr:row>
      <xdr:rowOff>190500</xdr:rowOff>
    </xdr:from>
    <xdr:to>
      <xdr:col>7</xdr:col>
      <xdr:colOff>1455964</xdr:colOff>
      <xdr:row>265</xdr:row>
      <xdr:rowOff>136071</xdr:rowOff>
    </xdr:to>
    <xdr:sp macro="" textlink="">
      <xdr:nvSpPr>
        <xdr:cNvPr id="5" name="Rectangle 4">
          <a:extLst>
            <a:ext uri="{FF2B5EF4-FFF2-40B4-BE49-F238E27FC236}">
              <a16:creationId xmlns:a16="http://schemas.microsoft.com/office/drawing/2014/main" xmlns="" id="{00000000-0008-0000-0000-000005000000}"/>
            </a:ext>
          </a:extLst>
        </xdr:cNvPr>
        <xdr:cNvSpPr/>
      </xdr:nvSpPr>
      <xdr:spPr>
        <a:xfrm>
          <a:off x="6735536" y="85711393"/>
          <a:ext cx="1755321" cy="97971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5</xdr:col>
      <xdr:colOff>843643</xdr:colOff>
      <xdr:row>262</xdr:row>
      <xdr:rowOff>204107</xdr:rowOff>
    </xdr:from>
    <xdr:to>
      <xdr:col>5</xdr:col>
      <xdr:colOff>1592036</xdr:colOff>
      <xdr:row>264</xdr:row>
      <xdr:rowOff>54429</xdr:rowOff>
    </xdr:to>
    <xdr:sp macro="" textlink="">
      <xdr:nvSpPr>
        <xdr:cNvPr id="6" name="TextBox 5">
          <a:extLst>
            <a:ext uri="{FF2B5EF4-FFF2-40B4-BE49-F238E27FC236}">
              <a16:creationId xmlns:a16="http://schemas.microsoft.com/office/drawing/2014/main" xmlns="" id="{00000000-0008-0000-0000-000006000000}"/>
            </a:ext>
          </a:extLst>
        </xdr:cNvPr>
        <xdr:cNvSpPr txBox="1"/>
      </xdr:nvSpPr>
      <xdr:spPr>
        <a:xfrm>
          <a:off x="6068786" y="85983536"/>
          <a:ext cx="748393"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Site</a:t>
          </a:r>
        </a:p>
      </xdr:txBody>
    </xdr:sp>
    <xdr:clientData/>
  </xdr:twoCellAnchor>
  <xdr:twoCellAnchor>
    <xdr:from>
      <xdr:col>2</xdr:col>
      <xdr:colOff>573742</xdr:colOff>
      <xdr:row>343</xdr:row>
      <xdr:rowOff>170330</xdr:rowOff>
    </xdr:from>
    <xdr:to>
      <xdr:col>7</xdr:col>
      <xdr:colOff>663388</xdr:colOff>
      <xdr:row>371</xdr:row>
      <xdr:rowOff>98612</xdr:rowOff>
    </xdr:to>
    <xdr:grpSp>
      <xdr:nvGrpSpPr>
        <xdr:cNvPr id="64" name="Group 63">
          <a:extLst>
            <a:ext uri="{FF2B5EF4-FFF2-40B4-BE49-F238E27FC236}">
              <a16:creationId xmlns:a16="http://schemas.microsoft.com/office/drawing/2014/main" xmlns="" id="{275FA09B-99F7-8022-B1BD-62B556FCC4C7}"/>
            </a:ext>
          </a:extLst>
        </xdr:cNvPr>
        <xdr:cNvGrpSpPr/>
      </xdr:nvGrpSpPr>
      <xdr:grpSpPr>
        <a:xfrm>
          <a:off x="2736477" y="101986977"/>
          <a:ext cx="4986617" cy="7144870"/>
          <a:chOff x="1387930" y="103313360"/>
          <a:chExt cx="6579061" cy="9147190"/>
        </a:xfrm>
      </xdr:grpSpPr>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4"/>
          <a:stretch>
            <a:fillRect/>
          </a:stretch>
        </xdr:blipFill>
        <xdr:spPr>
          <a:xfrm>
            <a:off x="2607523" y="103313360"/>
            <a:ext cx="3933501" cy="3745676"/>
          </a:xfrm>
          <a:prstGeom prst="rect">
            <a:avLst/>
          </a:prstGeom>
          <a:ln>
            <a:solidFill>
              <a:schemeClr val="tx1"/>
            </a:solidFill>
          </a:ln>
        </xdr:spPr>
      </xdr:pic>
      <xdr:grpSp>
        <xdr:nvGrpSpPr>
          <xdr:cNvPr id="17" name="Group 16">
            <a:extLst>
              <a:ext uri="{FF2B5EF4-FFF2-40B4-BE49-F238E27FC236}">
                <a16:creationId xmlns:a16="http://schemas.microsoft.com/office/drawing/2014/main" xmlns="" id="{00000000-0008-0000-0000-000011000000}"/>
              </a:ext>
            </a:extLst>
          </xdr:cNvPr>
          <xdr:cNvGrpSpPr/>
        </xdr:nvGrpSpPr>
        <xdr:grpSpPr>
          <a:xfrm>
            <a:off x="1387930" y="107222847"/>
            <a:ext cx="6579061" cy="5237703"/>
            <a:chOff x="1782537" y="107237894"/>
            <a:chExt cx="6388401" cy="5040000"/>
          </a:xfrm>
        </xdr:grpSpPr>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782537" y="107237894"/>
              <a:ext cx="6388401" cy="5040000"/>
            </a:xfrm>
            <a:prstGeom prst="rect">
              <a:avLst/>
            </a:prstGeom>
            <a:ln>
              <a:solidFill>
                <a:schemeClr val="tx1"/>
              </a:solidFill>
            </a:ln>
          </xdr:spPr>
        </xdr:pic>
        <xdr:sp macro="" textlink="">
          <xdr:nvSpPr>
            <xdr:cNvPr id="9" name="Rectangle 8">
              <a:extLst>
                <a:ext uri="{FF2B5EF4-FFF2-40B4-BE49-F238E27FC236}">
                  <a16:creationId xmlns:a16="http://schemas.microsoft.com/office/drawing/2014/main" xmlns="" id="{00000000-0008-0000-0000-000009000000}"/>
                </a:ext>
              </a:extLst>
            </xdr:cNvPr>
            <xdr:cNvSpPr/>
          </xdr:nvSpPr>
          <xdr:spPr>
            <a:xfrm rot="1444618">
              <a:off x="3949072" y="108580302"/>
              <a:ext cx="1128392" cy="1698408"/>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editAs="oneCell">
    <xdr:from>
      <xdr:col>2</xdr:col>
      <xdr:colOff>734785</xdr:colOff>
      <xdr:row>299</xdr:row>
      <xdr:rowOff>122466</xdr:rowOff>
    </xdr:from>
    <xdr:to>
      <xdr:col>7</xdr:col>
      <xdr:colOff>454478</xdr:colOff>
      <xdr:row>320</xdr:row>
      <xdr:rowOff>93891</xdr:rowOff>
    </xdr:to>
    <xdr:pic>
      <xdr:nvPicPr>
        <xdr:cNvPr id="18" name="Picture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6"/>
        <a:stretch>
          <a:fillRect/>
        </a:stretch>
      </xdr:blipFill>
      <xdr:spPr>
        <a:xfrm>
          <a:off x="2898321" y="95222787"/>
          <a:ext cx="4591050" cy="5400675"/>
        </a:xfrm>
        <a:prstGeom prst="rect">
          <a:avLst/>
        </a:prstGeom>
        <a:ln>
          <a:solidFill>
            <a:schemeClr val="tx1"/>
          </a:solidFill>
        </a:ln>
      </xdr:spPr>
    </xdr:pic>
    <xdr:clientData/>
  </xdr:twoCellAnchor>
  <xdr:twoCellAnchor editAs="oneCell">
    <xdr:from>
      <xdr:col>0</xdr:col>
      <xdr:colOff>1746193</xdr:colOff>
      <xdr:row>320</xdr:row>
      <xdr:rowOff>198686</xdr:rowOff>
    </xdr:from>
    <xdr:to>
      <xdr:col>7</xdr:col>
      <xdr:colOff>1191300</xdr:colOff>
      <xdr:row>338</xdr:row>
      <xdr:rowOff>242334</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7"/>
        <a:stretch>
          <a:fillRect/>
        </a:stretch>
      </xdr:blipFill>
      <xdr:spPr>
        <a:xfrm rot="16200000">
          <a:off x="2637547" y="99836903"/>
          <a:ext cx="4697292" cy="6480000"/>
        </a:xfrm>
        <a:prstGeom prst="rect">
          <a:avLst/>
        </a:prstGeom>
        <a:ln>
          <a:solidFill>
            <a:schemeClr val="tx1"/>
          </a:solidFill>
        </a:ln>
      </xdr:spPr>
    </xdr:pic>
    <xdr:clientData/>
  </xdr:twoCellAnchor>
  <xdr:twoCellAnchor>
    <xdr:from>
      <xdr:col>1</xdr:col>
      <xdr:colOff>27214</xdr:colOff>
      <xdr:row>325</xdr:row>
      <xdr:rowOff>231321</xdr:rowOff>
    </xdr:from>
    <xdr:to>
      <xdr:col>7</xdr:col>
      <xdr:colOff>1224642</xdr:colOff>
      <xdr:row>327</xdr:row>
      <xdr:rowOff>40821</xdr:rowOff>
    </xdr:to>
    <xdr:cxnSp macro="">
      <xdr:nvCxnSpPr>
        <xdr:cNvPr id="23" name="Straight Connector 22">
          <a:extLst>
            <a:ext uri="{FF2B5EF4-FFF2-40B4-BE49-F238E27FC236}">
              <a16:creationId xmlns:a16="http://schemas.microsoft.com/office/drawing/2014/main" xmlns="" id="{00000000-0008-0000-0000-000017000000}"/>
            </a:ext>
          </a:extLst>
        </xdr:cNvPr>
        <xdr:cNvCxnSpPr/>
      </xdr:nvCxnSpPr>
      <xdr:spPr>
        <a:xfrm flipV="1">
          <a:off x="2109107" y="102108000"/>
          <a:ext cx="6150428" cy="326571"/>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27214</xdr:colOff>
      <xdr:row>324</xdr:row>
      <xdr:rowOff>68035</xdr:rowOff>
    </xdr:from>
    <xdr:to>
      <xdr:col>7</xdr:col>
      <xdr:colOff>1102178</xdr:colOff>
      <xdr:row>333</xdr:row>
      <xdr:rowOff>40822</xdr:rowOff>
    </xdr:to>
    <xdr:grpSp>
      <xdr:nvGrpSpPr>
        <xdr:cNvPr id="30" name="Group 29">
          <a:extLst>
            <a:ext uri="{FF2B5EF4-FFF2-40B4-BE49-F238E27FC236}">
              <a16:creationId xmlns:a16="http://schemas.microsoft.com/office/drawing/2014/main" xmlns="" id="{00000000-0008-0000-0000-00001E000000}"/>
            </a:ext>
          </a:extLst>
        </xdr:cNvPr>
        <xdr:cNvGrpSpPr/>
      </xdr:nvGrpSpPr>
      <xdr:grpSpPr>
        <a:xfrm>
          <a:off x="2100302" y="96987711"/>
          <a:ext cx="6061582" cy="2292405"/>
          <a:chOff x="2109107" y="101631749"/>
          <a:chExt cx="6027964" cy="2299609"/>
        </a:xfrm>
      </xdr:grpSpPr>
      <xdr:sp macro="" textlink="">
        <xdr:nvSpPr>
          <xdr:cNvPr id="20" name="Rectangle 19">
            <a:extLst>
              <a:ext uri="{FF2B5EF4-FFF2-40B4-BE49-F238E27FC236}">
                <a16:creationId xmlns:a16="http://schemas.microsoft.com/office/drawing/2014/main" xmlns="" id="{00000000-0008-0000-0000-000014000000}"/>
              </a:ext>
            </a:extLst>
          </xdr:cNvPr>
          <xdr:cNvSpPr/>
        </xdr:nvSpPr>
        <xdr:spPr>
          <a:xfrm>
            <a:off x="2490108" y="102203252"/>
            <a:ext cx="5116286" cy="170089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solidFill>
                <a:srgbClr val="FF0000"/>
              </a:solidFill>
            </a:endParaRPr>
          </a:p>
        </xdr:txBody>
      </xdr:sp>
      <xdr:cxnSp macro="">
        <xdr:nvCxnSpPr>
          <xdr:cNvPr id="22" name="Straight Connector 21">
            <a:extLst>
              <a:ext uri="{FF2B5EF4-FFF2-40B4-BE49-F238E27FC236}">
                <a16:creationId xmlns:a16="http://schemas.microsoft.com/office/drawing/2014/main" xmlns="" id="{00000000-0008-0000-0000-000016000000}"/>
              </a:ext>
            </a:extLst>
          </xdr:cNvPr>
          <xdr:cNvCxnSpPr/>
        </xdr:nvCxnSpPr>
        <xdr:spPr>
          <a:xfrm flipV="1">
            <a:off x="2109107" y="101631749"/>
            <a:ext cx="6027964" cy="36739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5" name="TextBox 24">
            <a:extLst>
              <a:ext uri="{FF2B5EF4-FFF2-40B4-BE49-F238E27FC236}">
                <a16:creationId xmlns:a16="http://schemas.microsoft.com/office/drawing/2014/main" xmlns="" id="{00000000-0008-0000-0000-000019000000}"/>
              </a:ext>
            </a:extLst>
          </xdr:cNvPr>
          <xdr:cNvSpPr txBox="1"/>
        </xdr:nvSpPr>
        <xdr:spPr>
          <a:xfrm>
            <a:off x="4640036" y="103359858"/>
            <a:ext cx="149678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3600" b="1">
                <a:solidFill>
                  <a:srgbClr val="FF0000"/>
                </a:solidFill>
              </a:rPr>
              <a:t>Site</a:t>
            </a:r>
          </a:p>
        </xdr:txBody>
      </xdr:sp>
      <xdr:sp macro="" textlink="">
        <xdr:nvSpPr>
          <xdr:cNvPr id="26" name="TextBox 25">
            <a:extLst>
              <a:ext uri="{FF2B5EF4-FFF2-40B4-BE49-F238E27FC236}">
                <a16:creationId xmlns:a16="http://schemas.microsoft.com/office/drawing/2014/main" xmlns="" id="{00000000-0008-0000-0000-00001A000000}"/>
              </a:ext>
            </a:extLst>
          </xdr:cNvPr>
          <xdr:cNvSpPr txBox="1"/>
        </xdr:nvSpPr>
        <xdr:spPr>
          <a:xfrm rot="21241009">
            <a:off x="4789715" y="101754214"/>
            <a:ext cx="2313214"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High Tension Line</a:t>
            </a:r>
          </a:p>
        </xdr:txBody>
      </xdr:sp>
    </xdr:grpSp>
    <xdr:clientData/>
  </xdr:twoCellAnchor>
  <xdr:twoCellAnchor editAs="oneCell">
    <xdr:from>
      <xdr:col>13</xdr:col>
      <xdr:colOff>190501</xdr:colOff>
      <xdr:row>76</xdr:row>
      <xdr:rowOff>258534</xdr:rowOff>
    </xdr:from>
    <xdr:to>
      <xdr:col>26</xdr:col>
      <xdr:colOff>468070</xdr:colOff>
      <xdr:row>84</xdr:row>
      <xdr:rowOff>349071</xdr:rowOff>
    </xdr:to>
    <xdr:pic>
      <xdr:nvPicPr>
        <xdr:cNvPr id="29" name="Pictur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8"/>
        <a:stretch>
          <a:fillRect/>
        </a:stretch>
      </xdr:blipFill>
      <xdr:spPr>
        <a:xfrm>
          <a:off x="14586858" y="29554713"/>
          <a:ext cx="6400783" cy="2880000"/>
        </a:xfrm>
        <a:prstGeom prst="rect">
          <a:avLst/>
        </a:prstGeom>
      </xdr:spPr>
    </xdr:pic>
    <xdr:clientData/>
  </xdr:twoCellAnchor>
  <xdr:twoCellAnchor>
    <xdr:from>
      <xdr:col>7</xdr:col>
      <xdr:colOff>340178</xdr:colOff>
      <xdr:row>230</xdr:row>
      <xdr:rowOff>217714</xdr:rowOff>
    </xdr:from>
    <xdr:to>
      <xdr:col>8</xdr:col>
      <xdr:colOff>190500</xdr:colOff>
      <xdr:row>233</xdr:row>
      <xdr:rowOff>68036</xdr:rowOff>
    </xdr:to>
    <xdr:sp macro="" textlink="">
      <xdr:nvSpPr>
        <xdr:cNvPr id="32" name="TextBox 31">
          <a:extLst>
            <a:ext uri="{FF2B5EF4-FFF2-40B4-BE49-F238E27FC236}">
              <a16:creationId xmlns:a16="http://schemas.microsoft.com/office/drawing/2014/main" xmlns="" id="{00000000-0008-0000-0000-000020000000}"/>
            </a:ext>
          </a:extLst>
        </xdr:cNvPr>
        <xdr:cNvSpPr txBox="1"/>
      </xdr:nvSpPr>
      <xdr:spPr>
        <a:xfrm>
          <a:off x="7375071" y="74580750"/>
          <a:ext cx="1483179" cy="625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2400" b="1">
            <a:solidFill>
              <a:srgbClr val="FF0000"/>
            </a:solidFill>
          </a:endParaRPr>
        </a:p>
      </xdr:txBody>
    </xdr:sp>
    <xdr:clientData/>
  </xdr:twoCellAnchor>
  <xdr:twoCellAnchor>
    <xdr:from>
      <xdr:col>0</xdr:col>
      <xdr:colOff>1891393</xdr:colOff>
      <xdr:row>260</xdr:row>
      <xdr:rowOff>244928</xdr:rowOff>
    </xdr:from>
    <xdr:to>
      <xdr:col>8</xdr:col>
      <xdr:colOff>843643</xdr:colOff>
      <xdr:row>262</xdr:row>
      <xdr:rowOff>136071</xdr:rowOff>
    </xdr:to>
    <xdr:cxnSp macro="">
      <xdr:nvCxnSpPr>
        <xdr:cNvPr id="46" name="Straight Connector 45">
          <a:extLst>
            <a:ext uri="{FF2B5EF4-FFF2-40B4-BE49-F238E27FC236}">
              <a16:creationId xmlns:a16="http://schemas.microsoft.com/office/drawing/2014/main" xmlns="" id="{00000000-0008-0000-0000-00002E000000}"/>
            </a:ext>
          </a:extLst>
        </xdr:cNvPr>
        <xdr:cNvCxnSpPr/>
      </xdr:nvCxnSpPr>
      <xdr:spPr>
        <a:xfrm>
          <a:off x="1891393" y="84690857"/>
          <a:ext cx="7620000" cy="408214"/>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1894115</xdr:colOff>
      <xdr:row>261</xdr:row>
      <xdr:rowOff>70757</xdr:rowOff>
    </xdr:from>
    <xdr:to>
      <xdr:col>8</xdr:col>
      <xdr:colOff>846365</xdr:colOff>
      <xdr:row>262</xdr:row>
      <xdr:rowOff>220435</xdr:rowOff>
    </xdr:to>
    <xdr:cxnSp macro="">
      <xdr:nvCxnSpPr>
        <xdr:cNvPr id="49" name="Straight Connector 48">
          <a:extLst>
            <a:ext uri="{FF2B5EF4-FFF2-40B4-BE49-F238E27FC236}">
              <a16:creationId xmlns:a16="http://schemas.microsoft.com/office/drawing/2014/main" xmlns="" id="{00000000-0008-0000-0000-000031000000}"/>
            </a:ext>
          </a:extLst>
        </xdr:cNvPr>
        <xdr:cNvCxnSpPr/>
      </xdr:nvCxnSpPr>
      <xdr:spPr>
        <a:xfrm>
          <a:off x="1894115" y="84775221"/>
          <a:ext cx="7620000" cy="408214"/>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282</xdr:row>
      <xdr:rowOff>27215</xdr:rowOff>
    </xdr:from>
    <xdr:to>
      <xdr:col>7</xdr:col>
      <xdr:colOff>789214</xdr:colOff>
      <xdr:row>283</xdr:row>
      <xdr:rowOff>244930</xdr:rowOff>
    </xdr:to>
    <xdr:sp macro="" textlink="">
      <xdr:nvSpPr>
        <xdr:cNvPr id="51" name="TextBox 50">
          <a:extLst>
            <a:ext uri="{FF2B5EF4-FFF2-40B4-BE49-F238E27FC236}">
              <a16:creationId xmlns:a16="http://schemas.microsoft.com/office/drawing/2014/main" xmlns="" id="{00000000-0008-0000-0000-000033000000}"/>
            </a:ext>
          </a:extLst>
        </xdr:cNvPr>
        <xdr:cNvSpPr txBox="1"/>
      </xdr:nvSpPr>
      <xdr:spPr>
        <a:xfrm>
          <a:off x="5510893" y="90160929"/>
          <a:ext cx="2313214"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High Tension Line</a:t>
          </a:r>
        </a:p>
      </xdr:txBody>
    </xdr:sp>
    <xdr:clientData/>
  </xdr:twoCellAnchor>
  <xdr:twoCellAnchor>
    <xdr:from>
      <xdr:col>0</xdr:col>
      <xdr:colOff>857250</xdr:colOff>
      <xdr:row>283</xdr:row>
      <xdr:rowOff>122464</xdr:rowOff>
    </xdr:from>
    <xdr:to>
      <xdr:col>8</xdr:col>
      <xdr:colOff>666750</xdr:colOff>
      <xdr:row>284</xdr:row>
      <xdr:rowOff>122464</xdr:rowOff>
    </xdr:to>
    <xdr:cxnSp macro="">
      <xdr:nvCxnSpPr>
        <xdr:cNvPr id="52" name="Straight Connector 51">
          <a:extLst>
            <a:ext uri="{FF2B5EF4-FFF2-40B4-BE49-F238E27FC236}">
              <a16:creationId xmlns:a16="http://schemas.microsoft.com/office/drawing/2014/main" xmlns="" id="{00000000-0008-0000-0000-000034000000}"/>
            </a:ext>
          </a:extLst>
        </xdr:cNvPr>
        <xdr:cNvCxnSpPr/>
      </xdr:nvCxnSpPr>
      <xdr:spPr>
        <a:xfrm flipV="1">
          <a:off x="857250" y="90514714"/>
          <a:ext cx="8477250" cy="25853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1485900</xdr:colOff>
      <xdr:row>281</xdr:row>
      <xdr:rowOff>190500</xdr:rowOff>
    </xdr:from>
    <xdr:to>
      <xdr:col>8</xdr:col>
      <xdr:colOff>707571</xdr:colOff>
      <xdr:row>282</xdr:row>
      <xdr:rowOff>179614</xdr:rowOff>
    </xdr:to>
    <xdr:cxnSp macro="">
      <xdr:nvCxnSpPr>
        <xdr:cNvPr id="53" name="Straight Connector 52">
          <a:extLst>
            <a:ext uri="{FF2B5EF4-FFF2-40B4-BE49-F238E27FC236}">
              <a16:creationId xmlns:a16="http://schemas.microsoft.com/office/drawing/2014/main" xmlns="" id="{00000000-0008-0000-0000-000035000000}"/>
            </a:ext>
          </a:extLst>
        </xdr:cNvPr>
        <xdr:cNvCxnSpPr/>
      </xdr:nvCxnSpPr>
      <xdr:spPr>
        <a:xfrm flipV="1">
          <a:off x="1485900" y="90065679"/>
          <a:ext cx="7889421" cy="24764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1755322</xdr:colOff>
      <xdr:row>283</xdr:row>
      <xdr:rowOff>176893</xdr:rowOff>
    </xdr:from>
    <xdr:to>
      <xdr:col>8</xdr:col>
      <xdr:colOff>13608</xdr:colOff>
      <xdr:row>293</xdr:row>
      <xdr:rowOff>190500</xdr:rowOff>
    </xdr:to>
    <xdr:sp macro="" textlink="">
      <xdr:nvSpPr>
        <xdr:cNvPr id="57" name="Rectangle 56">
          <a:extLst>
            <a:ext uri="{FF2B5EF4-FFF2-40B4-BE49-F238E27FC236}">
              <a16:creationId xmlns:a16="http://schemas.microsoft.com/office/drawing/2014/main" xmlns="" id="{00000000-0008-0000-0000-000039000000}"/>
            </a:ext>
          </a:extLst>
        </xdr:cNvPr>
        <xdr:cNvSpPr/>
      </xdr:nvSpPr>
      <xdr:spPr>
        <a:xfrm>
          <a:off x="1755322" y="90569143"/>
          <a:ext cx="6926036" cy="25989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5</xdr:col>
      <xdr:colOff>0</xdr:colOff>
      <xdr:row>291</xdr:row>
      <xdr:rowOff>81642</xdr:rowOff>
    </xdr:from>
    <xdr:to>
      <xdr:col>5</xdr:col>
      <xdr:colOff>748393</xdr:colOff>
      <xdr:row>292</xdr:row>
      <xdr:rowOff>190500</xdr:rowOff>
    </xdr:to>
    <xdr:sp macro="" textlink="">
      <xdr:nvSpPr>
        <xdr:cNvPr id="58" name="TextBox 57">
          <a:extLst>
            <a:ext uri="{FF2B5EF4-FFF2-40B4-BE49-F238E27FC236}">
              <a16:creationId xmlns:a16="http://schemas.microsoft.com/office/drawing/2014/main" xmlns="" id="{00000000-0008-0000-0000-00003A000000}"/>
            </a:ext>
          </a:extLst>
        </xdr:cNvPr>
        <xdr:cNvSpPr txBox="1"/>
      </xdr:nvSpPr>
      <xdr:spPr>
        <a:xfrm>
          <a:off x="5225143" y="92542178"/>
          <a:ext cx="748393"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Site</a:t>
          </a:r>
        </a:p>
      </xdr:txBody>
    </xdr:sp>
    <xdr:clientData/>
  </xdr:twoCellAnchor>
  <xdr:twoCellAnchor>
    <xdr:from>
      <xdr:col>4</xdr:col>
      <xdr:colOff>625929</xdr:colOff>
      <xdr:row>259</xdr:row>
      <xdr:rowOff>176893</xdr:rowOff>
    </xdr:from>
    <xdr:to>
      <xdr:col>5</xdr:col>
      <xdr:colOff>1129393</xdr:colOff>
      <xdr:row>261</xdr:row>
      <xdr:rowOff>136073</xdr:rowOff>
    </xdr:to>
    <xdr:sp macro="" textlink="">
      <xdr:nvSpPr>
        <xdr:cNvPr id="60" name="TextBox 59">
          <a:extLst>
            <a:ext uri="{FF2B5EF4-FFF2-40B4-BE49-F238E27FC236}">
              <a16:creationId xmlns:a16="http://schemas.microsoft.com/office/drawing/2014/main" xmlns="" id="{00000000-0008-0000-0000-00003C000000}"/>
            </a:ext>
          </a:extLst>
        </xdr:cNvPr>
        <xdr:cNvSpPr txBox="1"/>
      </xdr:nvSpPr>
      <xdr:spPr>
        <a:xfrm rot="217974">
          <a:off x="4041322" y="84364286"/>
          <a:ext cx="2313214"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High Tension Line</a:t>
          </a:r>
        </a:p>
      </xdr:txBody>
    </xdr:sp>
    <xdr:clientData/>
  </xdr:twoCellAnchor>
  <xdr:twoCellAnchor editAs="oneCell">
    <xdr:from>
      <xdr:col>17</xdr:col>
      <xdr:colOff>200805</xdr:colOff>
      <xdr:row>237</xdr:row>
      <xdr:rowOff>43342</xdr:rowOff>
    </xdr:from>
    <xdr:to>
      <xdr:col>24</xdr:col>
      <xdr:colOff>171370</xdr:colOff>
      <xdr:row>244</xdr:row>
      <xdr:rowOff>39195</xdr:rowOff>
    </xdr:to>
    <xdr:pic>
      <xdr:nvPicPr>
        <xdr:cNvPr id="54" name="Picture 53">
          <a:extLst>
            <a:ext uri="{FF2B5EF4-FFF2-40B4-BE49-F238E27FC236}">
              <a16:creationId xmlns:a16="http://schemas.microsoft.com/office/drawing/2014/main" xmlns="" id="{2CDD6049-0A35-470A-A1AA-F5B9274274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7493723" y="74683483"/>
          <a:ext cx="2480682" cy="1878441"/>
        </a:xfrm>
        <a:prstGeom prst="rect">
          <a:avLst/>
        </a:prstGeom>
        <a:ln>
          <a:solidFill>
            <a:schemeClr val="tx1"/>
          </a:solidFill>
        </a:ln>
      </xdr:spPr>
    </xdr:pic>
    <xdr:clientData/>
  </xdr:twoCellAnchor>
  <xdr:twoCellAnchor editAs="oneCell">
    <xdr:from>
      <xdr:col>13</xdr:col>
      <xdr:colOff>157040</xdr:colOff>
      <xdr:row>237</xdr:row>
      <xdr:rowOff>43342</xdr:rowOff>
    </xdr:from>
    <xdr:to>
      <xdr:col>17</xdr:col>
      <xdr:colOff>71575</xdr:colOff>
      <xdr:row>244</xdr:row>
      <xdr:rowOff>39195</xdr:rowOff>
    </xdr:to>
    <xdr:pic>
      <xdr:nvPicPr>
        <xdr:cNvPr id="55" name="Picture 54">
          <a:extLst>
            <a:ext uri="{FF2B5EF4-FFF2-40B4-BE49-F238E27FC236}">
              <a16:creationId xmlns:a16="http://schemas.microsoft.com/office/drawing/2014/main" xmlns="" id="{F491C9FC-5238-4B2B-A55F-769DEB6E7AB1}"/>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4939840" y="74683483"/>
          <a:ext cx="2424653" cy="1878441"/>
        </a:xfrm>
        <a:prstGeom prst="rect">
          <a:avLst/>
        </a:prstGeom>
        <a:ln>
          <a:solidFill>
            <a:schemeClr val="tx1"/>
          </a:solidFill>
        </a:ln>
      </xdr:spPr>
    </xdr:pic>
    <xdr:clientData/>
  </xdr:twoCellAnchor>
  <xdr:twoCellAnchor>
    <xdr:from>
      <xdr:col>9</xdr:col>
      <xdr:colOff>1513811</xdr:colOff>
      <xdr:row>213</xdr:row>
      <xdr:rowOff>123671</xdr:rowOff>
    </xdr:from>
    <xdr:to>
      <xdr:col>26</xdr:col>
      <xdr:colOff>300519</xdr:colOff>
      <xdr:row>247</xdr:row>
      <xdr:rowOff>240212</xdr:rowOff>
    </xdr:to>
    <xdr:grpSp>
      <xdr:nvGrpSpPr>
        <xdr:cNvPr id="27" name="Group 26">
          <a:extLst>
            <a:ext uri="{FF2B5EF4-FFF2-40B4-BE49-F238E27FC236}">
              <a16:creationId xmlns:a16="http://schemas.microsoft.com/office/drawing/2014/main" xmlns="" id="{D6C98847-F943-90BB-F7CF-786D55DAA16A}"/>
            </a:ext>
          </a:extLst>
        </xdr:cNvPr>
        <xdr:cNvGrpSpPr/>
      </xdr:nvGrpSpPr>
      <xdr:grpSpPr>
        <a:xfrm>
          <a:off x="11823223" y="68434730"/>
          <a:ext cx="8905620" cy="8879541"/>
          <a:chOff x="440432" y="395074"/>
          <a:chExt cx="5760000" cy="6726563"/>
        </a:xfrm>
      </xdr:grpSpPr>
      <xdr:pic>
        <xdr:nvPicPr>
          <xdr:cNvPr id="28" name="Picture 27">
            <a:extLst>
              <a:ext uri="{FF2B5EF4-FFF2-40B4-BE49-F238E27FC236}">
                <a16:creationId xmlns:a16="http://schemas.microsoft.com/office/drawing/2014/main" xmlns="" id="{ABD1348D-B0C1-2F86-72A1-A35299DFE0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0432" y="5321637"/>
            <a:ext cx="2400000" cy="1800000"/>
          </a:xfrm>
          <a:prstGeom prst="rect">
            <a:avLst/>
          </a:prstGeom>
          <a:ln>
            <a:solidFill>
              <a:schemeClr val="tx1"/>
            </a:solidFill>
          </a:ln>
        </xdr:spPr>
      </xdr:pic>
      <xdr:pic>
        <xdr:nvPicPr>
          <xdr:cNvPr id="31" name="Picture 30">
            <a:extLst>
              <a:ext uri="{FF2B5EF4-FFF2-40B4-BE49-F238E27FC236}">
                <a16:creationId xmlns:a16="http://schemas.microsoft.com/office/drawing/2014/main" xmlns="" id="{51717E9A-4F32-3771-7EBC-8F738D7FFD9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0432" y="3404105"/>
            <a:ext cx="3200000" cy="1800000"/>
          </a:xfrm>
          <a:prstGeom prst="rect">
            <a:avLst/>
          </a:prstGeom>
          <a:ln>
            <a:solidFill>
              <a:schemeClr val="tx1"/>
            </a:solidFill>
          </a:ln>
        </xdr:spPr>
      </xdr:pic>
      <xdr:pic>
        <xdr:nvPicPr>
          <xdr:cNvPr id="33" name="Picture 32">
            <a:extLst>
              <a:ext uri="{FF2B5EF4-FFF2-40B4-BE49-F238E27FC236}">
                <a16:creationId xmlns:a16="http://schemas.microsoft.com/office/drawing/2014/main" xmlns="" id="{A4CCA30A-6617-1894-C7F8-45045AD1294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69000" y="406573"/>
            <a:ext cx="5120000" cy="2880000"/>
          </a:xfrm>
          <a:prstGeom prst="rect">
            <a:avLst/>
          </a:prstGeom>
          <a:ln>
            <a:solidFill>
              <a:schemeClr val="tx1"/>
            </a:solidFill>
          </a:ln>
        </xdr:spPr>
      </xdr:pic>
      <xdr:pic>
        <xdr:nvPicPr>
          <xdr:cNvPr id="34" name="Picture 33">
            <a:extLst>
              <a:ext uri="{FF2B5EF4-FFF2-40B4-BE49-F238E27FC236}">
                <a16:creationId xmlns:a16="http://schemas.microsoft.com/office/drawing/2014/main" xmlns="" id="{83E62DB3-796E-890E-6DA1-D6CFA092C3D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00432" y="3404105"/>
            <a:ext cx="2400000" cy="1800000"/>
          </a:xfrm>
          <a:prstGeom prst="rect">
            <a:avLst/>
          </a:prstGeom>
          <a:ln>
            <a:solidFill>
              <a:schemeClr val="tx1"/>
            </a:solidFill>
          </a:ln>
        </xdr:spPr>
      </xdr:pic>
      <xdr:pic>
        <xdr:nvPicPr>
          <xdr:cNvPr id="35" name="Picture 34">
            <a:extLst>
              <a:ext uri="{FF2B5EF4-FFF2-40B4-BE49-F238E27FC236}">
                <a16:creationId xmlns:a16="http://schemas.microsoft.com/office/drawing/2014/main" xmlns="" id="{B996B2C1-1F24-2904-50DC-C9FEA7156C2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000432" y="5321637"/>
            <a:ext cx="3200000" cy="1800000"/>
          </a:xfrm>
          <a:prstGeom prst="rect">
            <a:avLst/>
          </a:prstGeom>
          <a:ln>
            <a:solidFill>
              <a:schemeClr val="tx1"/>
            </a:solidFill>
          </a:ln>
        </xdr:spPr>
      </xdr:pic>
      <xdr:cxnSp macro="">
        <xdr:nvCxnSpPr>
          <xdr:cNvPr id="36" name="Straight Connector 35">
            <a:extLst>
              <a:ext uri="{FF2B5EF4-FFF2-40B4-BE49-F238E27FC236}">
                <a16:creationId xmlns:a16="http://schemas.microsoft.com/office/drawing/2014/main" xmlns="" id="{3B568083-E653-010E-9738-82FBE8152FD2}"/>
              </a:ext>
            </a:extLst>
          </xdr:cNvPr>
          <xdr:cNvCxnSpPr/>
        </xdr:nvCxnSpPr>
        <xdr:spPr>
          <a:xfrm>
            <a:off x="4338320" y="406573"/>
            <a:ext cx="1219200" cy="995507"/>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xmlns="" id="{C7603C7B-EB0A-41E8-A8EB-D24C11F412BD}"/>
              </a:ext>
            </a:extLst>
          </xdr:cNvPr>
          <xdr:cNvCxnSpPr>
            <a:cxnSpLocks/>
          </xdr:cNvCxnSpPr>
        </xdr:nvCxnSpPr>
        <xdr:spPr>
          <a:xfrm>
            <a:off x="4769800" y="406573"/>
            <a:ext cx="919800" cy="883747"/>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xmlns="" id="{8108A512-C6B6-8702-53DC-20E9BE5F4629}"/>
              </a:ext>
            </a:extLst>
          </xdr:cNvPr>
          <xdr:cNvCxnSpPr>
            <a:cxnSpLocks/>
          </xdr:cNvCxnSpPr>
        </xdr:nvCxnSpPr>
        <xdr:spPr>
          <a:xfrm>
            <a:off x="5021420" y="406573"/>
            <a:ext cx="769780" cy="883747"/>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63" name="TextBox 20">
            <a:extLst>
              <a:ext uri="{FF2B5EF4-FFF2-40B4-BE49-F238E27FC236}">
                <a16:creationId xmlns:a16="http://schemas.microsoft.com/office/drawing/2014/main" xmlns="" id="{FA653766-671A-AA2E-337E-46976BFA20D2}"/>
              </a:ext>
            </a:extLst>
          </xdr:cNvPr>
          <xdr:cNvSpPr txBox="1"/>
        </xdr:nvSpPr>
        <xdr:spPr>
          <a:xfrm>
            <a:off x="3164296" y="395074"/>
            <a:ext cx="1272271"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rgbClr val="FF0000"/>
                </a:solidFill>
              </a:rPr>
              <a:t>High Tension Line</a:t>
            </a:r>
            <a:endParaRPr lang="en-IN" sz="1200">
              <a:solidFill>
                <a:srgbClr val="FF0000"/>
              </a:solidFill>
            </a:endParaRPr>
          </a:p>
        </xdr:txBody>
      </xdr:sp>
    </xdr:grpSp>
    <xdr:clientData/>
  </xdr:twoCellAnchor>
  <xdr:twoCellAnchor>
    <xdr:from>
      <xdr:col>0</xdr:col>
      <xdr:colOff>585906</xdr:colOff>
      <xdr:row>213</xdr:row>
      <xdr:rowOff>30493</xdr:rowOff>
    </xdr:from>
    <xdr:to>
      <xdr:col>8</xdr:col>
      <xdr:colOff>1142656</xdr:colOff>
      <xdr:row>255</xdr:row>
      <xdr:rowOff>117859</xdr:rowOff>
    </xdr:to>
    <xdr:grpSp>
      <xdr:nvGrpSpPr>
        <xdr:cNvPr id="15" name="Group 14"/>
        <xdr:cNvGrpSpPr/>
      </xdr:nvGrpSpPr>
      <xdr:grpSpPr>
        <a:xfrm>
          <a:off x="585906" y="68341552"/>
          <a:ext cx="9241309" cy="10912248"/>
          <a:chOff x="585906" y="68139846"/>
          <a:chExt cx="9241309" cy="10912248"/>
        </a:xfrm>
      </xdr:grpSpPr>
      <xdr:grpSp>
        <xdr:nvGrpSpPr>
          <xdr:cNvPr id="13" name="Group 12"/>
          <xdr:cNvGrpSpPr/>
        </xdr:nvGrpSpPr>
        <xdr:grpSpPr>
          <a:xfrm>
            <a:off x="585906" y="68139846"/>
            <a:ext cx="9241309" cy="10912248"/>
            <a:chOff x="608318" y="67826082"/>
            <a:chExt cx="9241309" cy="10912248"/>
          </a:xfrm>
        </xdr:grpSpPr>
        <xdr:grpSp>
          <xdr:nvGrpSpPr>
            <xdr:cNvPr id="12" name="Group 11"/>
            <xdr:cNvGrpSpPr/>
          </xdr:nvGrpSpPr>
          <xdr:grpSpPr>
            <a:xfrm>
              <a:off x="608318" y="67826082"/>
              <a:ext cx="9241309" cy="10912248"/>
              <a:chOff x="462641" y="68198279"/>
              <a:chExt cx="9224500" cy="10946632"/>
            </a:xfrm>
          </xdr:grpSpPr>
          <xdr:pic>
            <xdr:nvPicPr>
              <xdr:cNvPr id="65" name="Picture 64" descr="https://vsjcllp.vsjadon.com/upload/insp-239243-1525.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6219727" y="76280608"/>
                <a:ext cx="2151284" cy="28472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6" name="Picture 65" descr="https://vsjcllp.vsjadon.com/upload/insp-239243-843.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6023522" y="72799901"/>
                <a:ext cx="2558759" cy="33866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7" name="Picture 66" descr="https://vsjcllp.vsjadon.com/upload/insp-239243-844.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6313123" y="68199805"/>
                <a:ext cx="3374018" cy="448955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8" name="Picture 67" descr="https://vsjcllp.vsjadon.com/upload/insp-239243-849.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1688535" y="76297751"/>
                <a:ext cx="2136571" cy="284133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0" name="Picture 69" descr="https://vsjcllp.vsjadon.com/upload/insp-239243-883.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3947337" y="76297616"/>
                <a:ext cx="2142320" cy="28472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1" name="Picture 70" descr="https://vsjcllp.vsjadon.com/upload/insp-239243-931.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462641" y="68198279"/>
                <a:ext cx="5742215" cy="448955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pic>
          <xdr:nvPicPr>
            <xdr:cNvPr id="72" name="Picture 71" descr="https://vsjcllp.vsjadon.com/upload/insp-239243-880.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1573385" y="72412412"/>
              <a:ext cx="4474474" cy="337297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14" name="TextBox 13"/>
          <xdr:cNvSpPr txBox="1"/>
        </xdr:nvSpPr>
        <xdr:spPr>
          <a:xfrm>
            <a:off x="5065059" y="68703265"/>
            <a:ext cx="728382" cy="392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t>C1</a:t>
            </a:r>
          </a:p>
        </xdr:txBody>
      </xdr:sp>
      <xdr:sp macro="" textlink="">
        <xdr:nvSpPr>
          <xdr:cNvPr id="73" name="TextBox 72"/>
          <xdr:cNvSpPr txBox="1"/>
        </xdr:nvSpPr>
        <xdr:spPr>
          <a:xfrm>
            <a:off x="8273142" y="69809522"/>
            <a:ext cx="728382" cy="392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t>C2</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gF9ugAYqu6Aw4yoP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384"/>
  <sheetViews>
    <sheetView tabSelected="1" view="pageBreakPreview" zoomScale="85" zoomScaleNormal="85" zoomScaleSheetLayoutView="85" zoomScalePageLayoutView="55" workbookViewId="0">
      <selection activeCell="J208" sqref="J208"/>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hidden="1" customWidth="1"/>
    <col min="8" max="8" width="24.42578125" style="1" customWidth="1"/>
    <col min="9" max="9" width="24.42578125" style="14" customWidth="1"/>
    <col min="10" max="10" width="33.85546875" style="1" customWidth="1"/>
    <col min="11" max="20" width="9.140625" style="1"/>
    <col min="21" max="23" width="0" style="1" hidden="1" customWidth="1"/>
    <col min="24" max="26" width="9.140625" style="1"/>
    <col min="27" max="27" width="7.85546875" style="1" customWidth="1"/>
    <col min="28" max="16384" width="9.140625" style="1"/>
  </cols>
  <sheetData>
    <row r="1" spans="1:19" ht="20.25" x14ac:dyDescent="0.25">
      <c r="A1" s="108" t="s">
        <v>41</v>
      </c>
      <c r="B1" s="109"/>
      <c r="C1" s="109"/>
      <c r="D1" s="109"/>
      <c r="E1" s="109"/>
      <c r="F1" s="109"/>
      <c r="G1" s="109"/>
      <c r="H1" s="109"/>
      <c r="I1" s="110"/>
    </row>
    <row r="2" spans="1:19" ht="42" customHeight="1" x14ac:dyDescent="0.25">
      <c r="A2" s="141" t="s">
        <v>11</v>
      </c>
      <c r="B2" s="141"/>
      <c r="C2" s="141"/>
      <c r="D2" s="4" t="s">
        <v>4</v>
      </c>
      <c r="E2" s="142" t="s">
        <v>95</v>
      </c>
      <c r="F2" s="142"/>
      <c r="G2" s="111" t="s">
        <v>15</v>
      </c>
      <c r="H2" s="111"/>
      <c r="I2" s="58">
        <v>45840</v>
      </c>
    </row>
    <row r="3" spans="1:19" ht="42.75" customHeight="1" x14ac:dyDescent="0.25">
      <c r="A3" s="113" t="s">
        <v>42</v>
      </c>
      <c r="B3" s="114"/>
      <c r="C3" s="115"/>
      <c r="D3" s="21" t="s">
        <v>4</v>
      </c>
      <c r="E3" s="131" t="s">
        <v>195</v>
      </c>
      <c r="F3" s="132"/>
      <c r="G3" s="111" t="s">
        <v>184</v>
      </c>
      <c r="H3" s="111"/>
      <c r="I3" s="58" t="s">
        <v>261</v>
      </c>
    </row>
    <row r="4" spans="1:19" ht="43.5" customHeight="1" x14ac:dyDescent="0.25">
      <c r="A4" s="113" t="s">
        <v>39</v>
      </c>
      <c r="B4" s="114"/>
      <c r="C4" s="115"/>
      <c r="D4" s="28" t="s">
        <v>4</v>
      </c>
      <c r="E4" s="116" t="s">
        <v>263</v>
      </c>
      <c r="F4" s="117"/>
      <c r="G4" s="111" t="s">
        <v>36</v>
      </c>
      <c r="H4" s="111"/>
      <c r="I4" s="18" t="str">
        <f ca="1">TEXT(TODAY(),"DD/MM/YYYY")</f>
        <v>07/07/2025</v>
      </c>
    </row>
    <row r="5" spans="1:19" ht="20.25" x14ac:dyDescent="0.25">
      <c r="A5" s="72" t="s">
        <v>43</v>
      </c>
      <c r="B5" s="72"/>
      <c r="C5" s="72"/>
      <c r="D5" s="72"/>
      <c r="E5" s="72"/>
      <c r="F5" s="72"/>
      <c r="G5" s="72"/>
      <c r="H5" s="72"/>
      <c r="I5" s="135"/>
    </row>
    <row r="6" spans="1:19" ht="48.75" customHeight="1" x14ac:dyDescent="0.25">
      <c r="A6" s="128" t="s">
        <v>32</v>
      </c>
      <c r="B6" s="128"/>
      <c r="C6" s="128"/>
      <c r="D6" s="2" t="s">
        <v>4</v>
      </c>
      <c r="E6" s="22" t="s">
        <v>107</v>
      </c>
      <c r="F6" s="21" t="s">
        <v>38</v>
      </c>
      <c r="G6" s="2" t="s">
        <v>4</v>
      </c>
      <c r="H6" s="90" t="s">
        <v>262</v>
      </c>
      <c r="I6" s="90"/>
    </row>
    <row r="7" spans="1:19" ht="41.25" customHeight="1" x14ac:dyDescent="0.25">
      <c r="A7" s="128" t="s">
        <v>45</v>
      </c>
      <c r="B7" s="128"/>
      <c r="C7" s="128"/>
      <c r="D7" s="2" t="s">
        <v>4</v>
      </c>
      <c r="E7" s="5" t="s">
        <v>196</v>
      </c>
      <c r="F7" s="21" t="s">
        <v>46</v>
      </c>
      <c r="G7" s="2" t="s">
        <v>4</v>
      </c>
      <c r="H7" s="116" t="s">
        <v>196</v>
      </c>
      <c r="I7" s="117"/>
    </row>
    <row r="8" spans="1:19" ht="20.25" x14ac:dyDescent="0.25">
      <c r="A8" s="128" t="s">
        <v>47</v>
      </c>
      <c r="B8" s="128"/>
      <c r="C8" s="128"/>
      <c r="D8" s="2" t="s">
        <v>4</v>
      </c>
      <c r="E8" s="129" t="s">
        <v>197</v>
      </c>
      <c r="F8" s="129"/>
      <c r="G8" s="129"/>
      <c r="H8" s="129"/>
      <c r="I8" s="129"/>
    </row>
    <row r="9" spans="1:19" ht="20.25" x14ac:dyDescent="0.25">
      <c r="A9" s="111" t="s">
        <v>174</v>
      </c>
      <c r="B9" s="21" t="s">
        <v>4</v>
      </c>
      <c r="C9" s="21" t="s">
        <v>44</v>
      </c>
      <c r="D9" s="2" t="s">
        <v>4</v>
      </c>
      <c r="E9" s="116" t="s">
        <v>198</v>
      </c>
      <c r="F9" s="130"/>
      <c r="G9" s="130"/>
      <c r="H9" s="130"/>
      <c r="I9" s="117"/>
    </row>
    <row r="10" spans="1:19" ht="46.5" customHeight="1" x14ac:dyDescent="0.25">
      <c r="A10" s="111"/>
      <c r="B10" s="21" t="s">
        <v>4</v>
      </c>
      <c r="C10" s="21" t="s">
        <v>14</v>
      </c>
      <c r="D10" s="2" t="s">
        <v>4</v>
      </c>
      <c r="E10" s="116" t="s">
        <v>240</v>
      </c>
      <c r="F10" s="130"/>
      <c r="G10" s="130"/>
      <c r="H10" s="130"/>
      <c r="I10" s="117"/>
    </row>
    <row r="11" spans="1:19" ht="42" customHeight="1" x14ac:dyDescent="0.25">
      <c r="A11" s="111"/>
      <c r="B11" s="21" t="s">
        <v>4</v>
      </c>
      <c r="C11" s="21" t="s">
        <v>5</v>
      </c>
      <c r="D11" s="2" t="s">
        <v>4</v>
      </c>
      <c r="E11" s="116" t="s">
        <v>250</v>
      </c>
      <c r="F11" s="130"/>
      <c r="G11" s="130"/>
      <c r="H11" s="130"/>
      <c r="I11" s="117"/>
    </row>
    <row r="12" spans="1:19" ht="20.25" x14ac:dyDescent="0.25">
      <c r="A12" s="111" t="s">
        <v>37</v>
      </c>
      <c r="B12" s="111"/>
      <c r="C12" s="111"/>
      <c r="D12" s="2" t="s">
        <v>4</v>
      </c>
      <c r="E12" s="90" t="s">
        <v>241</v>
      </c>
      <c r="F12" s="90"/>
      <c r="G12" s="90"/>
      <c r="H12" s="90"/>
      <c r="I12" s="90"/>
    </row>
    <row r="13" spans="1:19" ht="20.100000000000001" customHeight="1" x14ac:dyDescent="0.25">
      <c r="A13" s="72" t="s">
        <v>48</v>
      </c>
      <c r="B13" s="72"/>
      <c r="C13" s="72"/>
      <c r="D13" s="72"/>
      <c r="E13" s="72"/>
      <c r="F13" s="72"/>
      <c r="G13" s="72"/>
      <c r="H13" s="72"/>
      <c r="I13" s="72"/>
    </row>
    <row r="14" spans="1:19" ht="60.75" x14ac:dyDescent="0.25">
      <c r="A14" s="21" t="s">
        <v>30</v>
      </c>
      <c r="B14" s="2" t="s">
        <v>4</v>
      </c>
      <c r="C14" s="104" t="s">
        <v>96</v>
      </c>
      <c r="D14" s="105"/>
      <c r="E14" s="106"/>
      <c r="F14" s="17" t="s">
        <v>49</v>
      </c>
      <c r="G14" s="2" t="s">
        <v>4</v>
      </c>
      <c r="H14" s="90" t="s">
        <v>199</v>
      </c>
      <c r="I14" s="90"/>
      <c r="N14" s="159"/>
      <c r="O14" s="159"/>
      <c r="P14" s="159"/>
      <c r="Q14" s="159"/>
      <c r="R14" s="159"/>
      <c r="S14" s="159"/>
    </row>
    <row r="15" spans="1:19" ht="40.5" x14ac:dyDescent="0.25">
      <c r="A15" s="21" t="s">
        <v>50</v>
      </c>
      <c r="B15" s="2" t="s">
        <v>4</v>
      </c>
      <c r="C15" s="104" t="s">
        <v>200</v>
      </c>
      <c r="D15" s="105"/>
      <c r="E15" s="106"/>
      <c r="F15" s="21" t="s">
        <v>51</v>
      </c>
      <c r="G15" s="2" t="s">
        <v>4</v>
      </c>
      <c r="H15" s="157">
        <v>47483</v>
      </c>
      <c r="I15" s="90"/>
    </row>
    <row r="16" spans="1:19" ht="40.5" x14ac:dyDescent="0.25">
      <c r="A16" s="49" t="s">
        <v>52</v>
      </c>
      <c r="B16" s="2" t="s">
        <v>4</v>
      </c>
      <c r="C16" s="107">
        <v>45355</v>
      </c>
      <c r="D16" s="105"/>
      <c r="E16" s="106"/>
      <c r="F16" s="21" t="s">
        <v>53</v>
      </c>
      <c r="G16" s="2" t="s">
        <v>4</v>
      </c>
      <c r="H16" s="156">
        <v>45352</v>
      </c>
      <c r="I16" s="117"/>
    </row>
    <row r="17" spans="1:9" ht="60.75" x14ac:dyDescent="0.25">
      <c r="A17" s="49" t="s">
        <v>54</v>
      </c>
      <c r="B17" s="2" t="s">
        <v>4</v>
      </c>
      <c r="C17" s="107">
        <v>47483</v>
      </c>
      <c r="D17" s="105"/>
      <c r="E17" s="106"/>
      <c r="F17" s="21" t="s">
        <v>55</v>
      </c>
      <c r="G17" s="2" t="s">
        <v>4</v>
      </c>
      <c r="H17" s="116" t="s">
        <v>242</v>
      </c>
      <c r="I17" s="117"/>
    </row>
    <row r="18" spans="1:9" ht="40.5" x14ac:dyDescent="0.25">
      <c r="A18" s="49" t="s">
        <v>56</v>
      </c>
      <c r="B18" s="2" t="s">
        <v>4</v>
      </c>
      <c r="C18" s="104" t="s">
        <v>185</v>
      </c>
      <c r="D18" s="105"/>
      <c r="E18" s="106"/>
      <c r="F18" s="21" t="s">
        <v>110</v>
      </c>
      <c r="G18" s="2" t="s">
        <v>4</v>
      </c>
      <c r="H18" s="90">
        <v>60667.16</v>
      </c>
      <c r="I18" s="90"/>
    </row>
    <row r="19" spans="1:9" ht="40.5" x14ac:dyDescent="0.25">
      <c r="A19" s="21" t="s">
        <v>57</v>
      </c>
      <c r="B19" s="2" t="s">
        <v>4</v>
      </c>
      <c r="C19" s="104">
        <v>1</v>
      </c>
      <c r="D19" s="105"/>
      <c r="E19" s="106"/>
      <c r="F19" s="21" t="s">
        <v>109</v>
      </c>
      <c r="G19" s="2" t="s">
        <v>4</v>
      </c>
      <c r="H19" s="90">
        <v>104952.04</v>
      </c>
      <c r="I19" s="90"/>
    </row>
    <row r="20" spans="1:9" ht="40.5" x14ac:dyDescent="0.25">
      <c r="A20" s="21" t="s">
        <v>108</v>
      </c>
      <c r="B20" s="2" t="s">
        <v>4</v>
      </c>
      <c r="C20" s="104">
        <v>105656.08</v>
      </c>
      <c r="D20" s="105"/>
      <c r="E20" s="106"/>
      <c r="F20" s="6" t="s">
        <v>58</v>
      </c>
      <c r="G20" s="2" t="s">
        <v>4</v>
      </c>
      <c r="H20" s="116" t="s">
        <v>264</v>
      </c>
      <c r="I20" s="117"/>
    </row>
    <row r="21" spans="1:9" ht="40.5" x14ac:dyDescent="0.25">
      <c r="A21" s="21" t="s">
        <v>59</v>
      </c>
      <c r="B21" s="2" t="s">
        <v>4</v>
      </c>
      <c r="C21" s="104" t="s">
        <v>234</v>
      </c>
      <c r="D21" s="105"/>
      <c r="E21" s="106"/>
      <c r="F21" s="21" t="s">
        <v>60</v>
      </c>
      <c r="G21" s="2" t="s">
        <v>4</v>
      </c>
      <c r="H21" s="90" t="s">
        <v>235</v>
      </c>
      <c r="I21" s="90"/>
    </row>
    <row r="22" spans="1:9" ht="20.25" x14ac:dyDescent="0.25">
      <c r="A22" s="49" t="s">
        <v>190</v>
      </c>
      <c r="B22" s="2" t="s">
        <v>4</v>
      </c>
      <c r="C22" s="104" t="s">
        <v>243</v>
      </c>
      <c r="D22" s="105"/>
      <c r="E22" s="106"/>
      <c r="F22" s="59" t="s">
        <v>191</v>
      </c>
      <c r="G22" s="29" t="s">
        <v>4</v>
      </c>
      <c r="H22" s="104" t="s">
        <v>248</v>
      </c>
      <c r="I22" s="106"/>
    </row>
    <row r="23" spans="1:9" ht="20.25" x14ac:dyDescent="0.25">
      <c r="A23" s="49" t="s">
        <v>188</v>
      </c>
      <c r="B23" s="2" t="s">
        <v>4</v>
      </c>
      <c r="C23" s="91" t="s">
        <v>201</v>
      </c>
      <c r="D23" s="92"/>
      <c r="E23" s="92"/>
      <c r="F23" s="92"/>
      <c r="G23" s="92"/>
      <c r="H23" s="92"/>
      <c r="I23" s="92"/>
    </row>
    <row r="24" spans="1:9" ht="48" customHeight="1" x14ac:dyDescent="0.25">
      <c r="A24" s="49" t="s">
        <v>28</v>
      </c>
      <c r="B24" s="2" t="s">
        <v>4</v>
      </c>
      <c r="C24" s="90" t="s">
        <v>202</v>
      </c>
      <c r="D24" s="90"/>
      <c r="E24" s="90"/>
      <c r="F24" s="90"/>
      <c r="G24" s="90"/>
      <c r="H24" s="90"/>
      <c r="I24" s="90"/>
    </row>
    <row r="25" spans="1:9" ht="24" customHeight="1" x14ac:dyDescent="0.25">
      <c r="A25" s="108" t="s">
        <v>23</v>
      </c>
      <c r="B25" s="109"/>
      <c r="C25" s="109"/>
      <c r="D25" s="109"/>
      <c r="E25" s="109"/>
      <c r="F25" s="109"/>
      <c r="G25" s="109"/>
      <c r="H25" s="109"/>
      <c r="I25" s="110"/>
    </row>
    <row r="26" spans="1:9" ht="20.25" x14ac:dyDescent="0.25">
      <c r="A26" s="21" t="s">
        <v>29</v>
      </c>
      <c r="B26" s="2" t="s">
        <v>4</v>
      </c>
      <c r="C26" s="90" t="s">
        <v>97</v>
      </c>
      <c r="D26" s="90"/>
      <c r="E26" s="90"/>
      <c r="F26" s="21" t="s">
        <v>16</v>
      </c>
      <c r="G26" s="2" t="s">
        <v>4</v>
      </c>
      <c r="H26" s="90" t="s">
        <v>192</v>
      </c>
      <c r="I26" s="90"/>
    </row>
    <row r="27" spans="1:9" ht="20.25" x14ac:dyDescent="0.25">
      <c r="A27" s="21" t="s">
        <v>17</v>
      </c>
      <c r="B27" s="2" t="s">
        <v>4</v>
      </c>
      <c r="C27" s="90" t="s">
        <v>113</v>
      </c>
      <c r="D27" s="90"/>
      <c r="E27" s="90"/>
      <c r="F27" s="21" t="s">
        <v>175</v>
      </c>
      <c r="G27" s="2" t="s">
        <v>4</v>
      </c>
      <c r="H27" s="90" t="s">
        <v>244</v>
      </c>
      <c r="I27" s="90"/>
    </row>
    <row r="28" spans="1:9" ht="40.5" x14ac:dyDescent="0.25">
      <c r="A28" s="21" t="s">
        <v>26</v>
      </c>
      <c r="B28" s="2" t="s">
        <v>4</v>
      </c>
      <c r="C28" s="90" t="s">
        <v>112</v>
      </c>
      <c r="D28" s="90"/>
      <c r="E28" s="90"/>
      <c r="F28" s="21" t="s">
        <v>19</v>
      </c>
      <c r="G28" s="2" t="s">
        <v>4</v>
      </c>
      <c r="H28" s="90" t="s">
        <v>238</v>
      </c>
      <c r="I28" s="90"/>
    </row>
    <row r="29" spans="1:9" ht="40.5" x14ac:dyDescent="0.25">
      <c r="A29" s="49" t="s">
        <v>134</v>
      </c>
      <c r="B29" s="2" t="s">
        <v>4</v>
      </c>
      <c r="C29" s="90" t="s">
        <v>237</v>
      </c>
      <c r="D29" s="90"/>
      <c r="E29" s="90"/>
      <c r="F29" s="21" t="s">
        <v>135</v>
      </c>
      <c r="G29" s="2" t="s">
        <v>4</v>
      </c>
      <c r="H29" s="116" t="s">
        <v>236</v>
      </c>
      <c r="I29" s="117"/>
    </row>
    <row r="30" spans="1:9" ht="68.25" customHeight="1" x14ac:dyDescent="0.25">
      <c r="A30" s="21" t="s">
        <v>20</v>
      </c>
      <c r="B30" s="2" t="s">
        <v>4</v>
      </c>
      <c r="C30" s="90" t="s">
        <v>247</v>
      </c>
      <c r="D30" s="90"/>
      <c r="E30" s="90"/>
      <c r="F30" s="21" t="s">
        <v>18</v>
      </c>
      <c r="G30" s="2" t="s">
        <v>4</v>
      </c>
      <c r="H30" s="90" t="s">
        <v>239</v>
      </c>
      <c r="I30" s="90"/>
    </row>
    <row r="31" spans="1:9" ht="21.75" customHeight="1" x14ac:dyDescent="0.25">
      <c r="A31" s="49" t="s">
        <v>140</v>
      </c>
      <c r="B31" s="2" t="s">
        <v>4</v>
      </c>
      <c r="C31" s="90" t="s">
        <v>141</v>
      </c>
      <c r="D31" s="90"/>
      <c r="E31" s="90"/>
      <c r="F31" s="21" t="s">
        <v>142</v>
      </c>
      <c r="G31" s="2" t="s">
        <v>4</v>
      </c>
      <c r="H31" s="116" t="s">
        <v>141</v>
      </c>
      <c r="I31" s="117"/>
    </row>
    <row r="32" spans="1:9" ht="21.75" customHeight="1" x14ac:dyDescent="0.25">
      <c r="A32" s="49" t="s">
        <v>143</v>
      </c>
      <c r="B32" s="2" t="s">
        <v>4</v>
      </c>
      <c r="C32" s="116" t="s">
        <v>141</v>
      </c>
      <c r="D32" s="130"/>
      <c r="E32" s="130"/>
      <c r="F32" s="130"/>
      <c r="G32" s="130"/>
      <c r="H32" s="130"/>
      <c r="I32" s="117"/>
    </row>
    <row r="33" spans="1:9" ht="20.25" x14ac:dyDescent="0.25">
      <c r="A33" s="93" t="s">
        <v>40</v>
      </c>
      <c r="B33" s="94"/>
      <c r="C33" s="94"/>
      <c r="D33" s="94"/>
      <c r="E33" s="94"/>
      <c r="F33" s="94"/>
      <c r="G33" s="94"/>
      <c r="H33" s="94"/>
      <c r="I33" s="136"/>
    </row>
    <row r="34" spans="1:9" ht="40.5" x14ac:dyDescent="0.25">
      <c r="A34" s="113" t="s">
        <v>21</v>
      </c>
      <c r="B34" s="114"/>
      <c r="C34" s="115"/>
      <c r="D34" s="2" t="s">
        <v>4</v>
      </c>
      <c r="E34" s="22" t="s">
        <v>114</v>
      </c>
      <c r="F34" s="21" t="s">
        <v>22</v>
      </c>
      <c r="G34" s="7" t="s">
        <v>4</v>
      </c>
      <c r="H34" s="116" t="s">
        <v>115</v>
      </c>
      <c r="I34" s="117"/>
    </row>
    <row r="35" spans="1:9" ht="40.5" x14ac:dyDescent="0.25">
      <c r="A35" s="113" t="s">
        <v>25</v>
      </c>
      <c r="B35" s="114"/>
      <c r="C35" s="115"/>
      <c r="D35" s="2" t="s">
        <v>4</v>
      </c>
      <c r="E35" s="22" t="s">
        <v>115</v>
      </c>
      <c r="F35" s="8" t="s">
        <v>35</v>
      </c>
      <c r="G35" s="2" t="s">
        <v>4</v>
      </c>
      <c r="H35" s="116" t="s">
        <v>115</v>
      </c>
      <c r="I35" s="117"/>
    </row>
    <row r="36" spans="1:9" ht="40.5" x14ac:dyDescent="0.25">
      <c r="A36" s="113" t="s">
        <v>34</v>
      </c>
      <c r="B36" s="114"/>
      <c r="C36" s="115"/>
      <c r="D36" s="2" t="s">
        <v>4</v>
      </c>
      <c r="E36" s="5" t="s">
        <v>116</v>
      </c>
      <c r="F36" s="21" t="s">
        <v>24</v>
      </c>
      <c r="G36" s="24" t="s">
        <v>4</v>
      </c>
      <c r="H36" s="116" t="s">
        <v>117</v>
      </c>
      <c r="I36" s="117"/>
    </row>
    <row r="37" spans="1:9" ht="20.25" x14ac:dyDescent="0.25">
      <c r="A37" s="108" t="s">
        <v>0</v>
      </c>
      <c r="B37" s="109"/>
      <c r="C37" s="109"/>
      <c r="D37" s="109"/>
      <c r="E37" s="109"/>
      <c r="F37" s="109"/>
      <c r="G37" s="109"/>
      <c r="H37" s="109"/>
      <c r="I37" s="110"/>
    </row>
    <row r="38" spans="1:9" ht="20.25" x14ac:dyDescent="0.25">
      <c r="A38" s="153" t="s">
        <v>0</v>
      </c>
      <c r="B38" s="155"/>
      <c r="C38" s="154"/>
      <c r="D38" s="2" t="s">
        <v>4</v>
      </c>
      <c r="E38" s="9" t="s">
        <v>1</v>
      </c>
      <c r="F38" s="9" t="s">
        <v>6</v>
      </c>
      <c r="G38" s="153" t="s">
        <v>2</v>
      </c>
      <c r="H38" s="154"/>
      <c r="I38" s="9" t="s">
        <v>3</v>
      </c>
    </row>
    <row r="39" spans="1:9" ht="20.25" x14ac:dyDescent="0.25">
      <c r="A39" s="113" t="s">
        <v>7</v>
      </c>
      <c r="B39" s="114"/>
      <c r="C39" s="115"/>
      <c r="D39" s="2" t="s">
        <v>4</v>
      </c>
      <c r="E39" s="23" t="s">
        <v>203</v>
      </c>
      <c r="F39" s="23" t="s">
        <v>203</v>
      </c>
      <c r="G39" s="133" t="s">
        <v>249</v>
      </c>
      <c r="H39" s="134"/>
      <c r="I39" s="23" t="s">
        <v>207</v>
      </c>
    </row>
    <row r="40" spans="1:9" ht="42" customHeight="1" x14ac:dyDescent="0.25">
      <c r="A40" s="113" t="s">
        <v>8</v>
      </c>
      <c r="B40" s="114"/>
      <c r="C40" s="115"/>
      <c r="D40" s="2" t="s">
        <v>4</v>
      </c>
      <c r="E40" s="23" t="s">
        <v>204</v>
      </c>
      <c r="F40" s="23" t="s">
        <v>205</v>
      </c>
      <c r="G40" s="133" t="s">
        <v>206</v>
      </c>
      <c r="H40" s="134"/>
      <c r="I40" s="23" t="s">
        <v>208</v>
      </c>
    </row>
    <row r="41" spans="1:9" ht="20.25" customHeight="1" x14ac:dyDescent="0.25">
      <c r="A41" s="113" t="s">
        <v>12</v>
      </c>
      <c r="B41" s="114"/>
      <c r="C41" s="115"/>
      <c r="D41" s="2" t="s">
        <v>4</v>
      </c>
      <c r="E41" s="18" t="s">
        <v>112</v>
      </c>
      <c r="F41" s="21" t="s">
        <v>13</v>
      </c>
      <c r="G41" s="2" t="s">
        <v>4</v>
      </c>
      <c r="H41" s="116" t="s">
        <v>111</v>
      </c>
      <c r="I41" s="117"/>
    </row>
    <row r="42" spans="1:9" ht="20.25" x14ac:dyDescent="0.25">
      <c r="A42" s="108" t="s">
        <v>61</v>
      </c>
      <c r="B42" s="109"/>
      <c r="C42" s="109"/>
      <c r="D42" s="109"/>
      <c r="E42" s="109"/>
      <c r="F42" s="109"/>
      <c r="G42" s="109"/>
      <c r="H42" s="109"/>
      <c r="I42" s="110"/>
    </row>
    <row r="43" spans="1:9" ht="21" customHeight="1" x14ac:dyDescent="0.25">
      <c r="A43" s="102" t="s">
        <v>62</v>
      </c>
      <c r="B43" s="102"/>
      <c r="C43" s="102" t="s">
        <v>63</v>
      </c>
      <c r="D43" s="102"/>
      <c r="E43" s="102" t="s">
        <v>173</v>
      </c>
      <c r="F43" s="102"/>
      <c r="G43" s="102"/>
      <c r="H43" s="102" t="s">
        <v>64</v>
      </c>
      <c r="I43" s="102"/>
    </row>
    <row r="44" spans="1:9" ht="20.25" customHeight="1" x14ac:dyDescent="0.25">
      <c r="A44" s="125" t="s">
        <v>209</v>
      </c>
      <c r="B44" s="125"/>
      <c r="C44" s="103" t="s">
        <v>98</v>
      </c>
      <c r="D44" s="103"/>
      <c r="E44" s="103" t="s">
        <v>211</v>
      </c>
      <c r="F44" s="103"/>
      <c r="G44" s="103"/>
      <c r="H44" s="103" t="s">
        <v>211</v>
      </c>
      <c r="I44" s="103"/>
    </row>
    <row r="45" spans="1:9" ht="20.25" x14ac:dyDescent="0.25">
      <c r="A45" s="125" t="s">
        <v>210</v>
      </c>
      <c r="B45" s="125"/>
      <c r="C45" s="103" t="s">
        <v>98</v>
      </c>
      <c r="D45" s="103"/>
      <c r="E45" s="103" t="s">
        <v>211</v>
      </c>
      <c r="F45" s="103"/>
      <c r="G45" s="103"/>
      <c r="H45" s="103" t="s">
        <v>211</v>
      </c>
      <c r="I45" s="103"/>
    </row>
    <row r="46" spans="1:9" ht="20.25" x14ac:dyDescent="0.25">
      <c r="A46" s="72" t="s">
        <v>65</v>
      </c>
      <c r="B46" s="72"/>
      <c r="C46" s="72"/>
      <c r="D46" s="72"/>
      <c r="E46" s="72"/>
      <c r="F46" s="72"/>
      <c r="G46" s="72"/>
      <c r="H46" s="72"/>
      <c r="I46" s="72"/>
    </row>
    <row r="47" spans="1:9" ht="72" customHeight="1" x14ac:dyDescent="0.25">
      <c r="A47" s="17" t="s">
        <v>66</v>
      </c>
      <c r="B47" s="17" t="s">
        <v>4</v>
      </c>
      <c r="C47" s="90" t="s">
        <v>112</v>
      </c>
      <c r="D47" s="90"/>
      <c r="E47" s="90"/>
      <c r="F47" s="17" t="s">
        <v>67</v>
      </c>
      <c r="G47" s="17" t="s">
        <v>4</v>
      </c>
      <c r="H47" s="90" t="s">
        <v>259</v>
      </c>
      <c r="I47" s="90"/>
    </row>
    <row r="48" spans="1:9" ht="224.25" customHeight="1" x14ac:dyDescent="0.25">
      <c r="A48" s="17" t="s">
        <v>99</v>
      </c>
      <c r="B48" s="17" t="s">
        <v>4</v>
      </c>
      <c r="C48" s="90" t="s">
        <v>265</v>
      </c>
      <c r="D48" s="90"/>
      <c r="E48" s="90"/>
      <c r="F48" s="17" t="s">
        <v>68</v>
      </c>
      <c r="G48" s="17" t="s">
        <v>4</v>
      </c>
      <c r="H48" s="90" t="str">
        <f>H47</f>
        <v>CHE/ES/4409/S/337(NEW)/IOD/1/Amend
Date: 08/12/2023</v>
      </c>
      <c r="I48" s="90"/>
    </row>
    <row r="49" spans="1:11" ht="46.5" hidden="1" customHeight="1" x14ac:dyDescent="0.25">
      <c r="A49" s="17" t="s">
        <v>69</v>
      </c>
      <c r="B49" s="17" t="s">
        <v>4</v>
      </c>
      <c r="C49" s="90" t="s">
        <v>187</v>
      </c>
      <c r="D49" s="90"/>
      <c r="E49" s="90"/>
      <c r="F49" s="17" t="s">
        <v>70</v>
      </c>
      <c r="G49" s="17" t="s">
        <v>4</v>
      </c>
      <c r="H49" s="90" t="s">
        <v>187</v>
      </c>
      <c r="I49" s="90"/>
    </row>
    <row r="50" spans="1:11" ht="45" hidden="1" customHeight="1" x14ac:dyDescent="0.25">
      <c r="A50" s="17" t="s">
        <v>71</v>
      </c>
      <c r="B50" s="17" t="s">
        <v>4</v>
      </c>
      <c r="C50" s="90" t="s">
        <v>111</v>
      </c>
      <c r="D50" s="90"/>
      <c r="E50" s="90"/>
      <c r="F50" s="17" t="s">
        <v>72</v>
      </c>
      <c r="G50" s="17" t="s">
        <v>4</v>
      </c>
      <c r="H50" s="90"/>
      <c r="I50" s="90"/>
    </row>
    <row r="51" spans="1:11" ht="21" thickBot="1" x14ac:dyDescent="0.3">
      <c r="A51" s="72" t="s">
        <v>73</v>
      </c>
      <c r="B51" s="72"/>
      <c r="C51" s="72"/>
      <c r="D51" s="72"/>
      <c r="E51" s="72"/>
      <c r="F51" s="72"/>
      <c r="G51" s="72"/>
      <c r="H51" s="72"/>
      <c r="I51" s="72"/>
    </row>
    <row r="52" spans="1:11" ht="20.25" customHeight="1" x14ac:dyDescent="0.3">
      <c r="A52" s="69" t="str">
        <f>CONCATENATE((IF(OR(A44="",A44="NA"),"",A44)),"= ",(IF(OR(E44="",E44="NA"),"",E44)),".")</f>
        <v>Tower C1= 4B + G + P + S + 1st to 32nd Floor.</v>
      </c>
      <c r="B52" s="69"/>
      <c r="C52" s="69"/>
      <c r="D52" s="70" t="s">
        <v>4</v>
      </c>
      <c r="E52" s="60" t="s">
        <v>144</v>
      </c>
      <c r="F52" s="66" t="s">
        <v>130</v>
      </c>
      <c r="G52" s="66"/>
      <c r="H52" s="60" t="s">
        <v>145</v>
      </c>
      <c r="I52" s="60" t="s">
        <v>146</v>
      </c>
      <c r="J52" s="36" t="str">
        <f ca="1">(IF(F55&gt;99%,"All work completed. Please provide OC.",IF(F55&gt;89.8%,"Plinth, RCC, Brick, Plaster, Flooring, Wooden, Plumbing, Electrification, etc., work Completed. Finishing work is in process.",IF(F55&lt;94%,(IF(C55=0,"Work not yet Started.",IF(E55=25%,"Piling work in process",IF(E55=50%,"Excavation work in process",IF(E55=100%,"Excavation work Completed. ","0")))&amp;(IF(C56=0%,"",IF(C56=K57,"Footing work is process",IF(C56=K58,"Footing work Completed",IF(C56=K59,"1st Basement Completed",IF(C56=K60,"1st &amp; 2nd Basement Completed",IF(C56=K61,"1st to 3rd Basement Completed",IF(C56=K62,"1st to 4th Basement Completed",IF(C56=K63,"Plinth work is process",IF(C56=K64,"Plinth work completed","0")))))))))))&amp;(IF(C57=(F53+H53+I53),", RCC Slab",IF(C57&gt;0,", RCC upto "&amp;C57&amp;" Slab",""))&amp;(IF(C58=I53,", Brickwork",IF(C58&gt;0,", Brickwork upto "&amp;C58&amp;" Floor",""))&amp;(IF(C59=I53,", Internal Plaster",IF(C59&gt;0,", Internal Plaster upto "&amp;C59&amp;" Floor",""))&amp;(IF(C60=I53,", External Plaster",IF(C60&gt;0,", External Plaster upto "&amp;C60&amp;" Floor",""))&amp;(IF(C61=I53,", External Plumbing, Elevation and Waterproofing",IF(C61&gt;0,", External Plumbing, Elevation and Waterproofing upto "&amp;C61&amp;" Floor",""))&amp;(IF(C62=I53,", Flooring &amp; Fitting",IF(C62&gt;0,", Flooring &amp; Fitting upto "&amp;C62&amp;" Floor",""))&amp;(IF(C63=I53,", Wooden Work",IF(C63&gt;0,", Wooden Work upto "&amp;C63&amp;" Floor",""))&amp;(IF(C64=I53,", Electrical &amp; Sanitary fittings",IF(C64&gt;0,", Electrical &amp; Sanitary fittings upto "&amp;C64&amp;" Floor",""))&amp;(IF(C65&gt;0,", Finishing upto "&amp;C65&amp;" Floor","")&amp;(IF(C57&gt;0.5," Completed",""))))))))))))))))</f>
        <v>Excavation work Completed. Plinth work completed, RCC upto 1 Slab Completed</v>
      </c>
      <c r="K52" s="38"/>
    </row>
    <row r="53" spans="1:11" ht="20.25" x14ac:dyDescent="0.3">
      <c r="A53" s="69"/>
      <c r="B53" s="69"/>
      <c r="C53" s="69"/>
      <c r="D53" s="70"/>
      <c r="E53" s="60">
        <v>4</v>
      </c>
      <c r="F53" s="66">
        <v>1</v>
      </c>
      <c r="G53" s="66"/>
      <c r="H53" s="60">
        <v>2</v>
      </c>
      <c r="I53" s="60">
        <f ca="1">--TRIM(RIGHT(SUBSTITUTE(LEFT(A52,_xlfn.AGGREGATE(16,6,FIND({0,1,2,3,4,5,6,7,8,9},A52,ROW(INDIRECT("1:"&amp;LEN(A52)))),1))," ",REPT(" ",LEN(A52))),LEN(A52)))</f>
        <v>32</v>
      </c>
      <c r="J53" s="37" t="s">
        <v>150</v>
      </c>
      <c r="K53" s="38"/>
    </row>
    <row r="54" spans="1:11" ht="20.25" customHeight="1" x14ac:dyDescent="0.3">
      <c r="A54" s="71" t="s">
        <v>148</v>
      </c>
      <c r="B54" s="71"/>
      <c r="C54" s="71" t="s">
        <v>158</v>
      </c>
      <c r="D54" s="71"/>
      <c r="E54" s="61" t="s">
        <v>159</v>
      </c>
      <c r="F54" s="71" t="s">
        <v>149</v>
      </c>
      <c r="G54" s="71"/>
      <c r="H54" s="48" t="s">
        <v>147</v>
      </c>
      <c r="I54" s="48"/>
      <c r="J54" s="40" t="s">
        <v>160</v>
      </c>
      <c r="K54" s="39">
        <f ca="1">I53*25%</f>
        <v>8</v>
      </c>
    </row>
    <row r="55" spans="1:11" ht="20.25" customHeight="1" x14ac:dyDescent="0.3">
      <c r="A55" s="64" t="s">
        <v>161</v>
      </c>
      <c r="B55" s="64"/>
      <c r="C55" s="66">
        <f ca="1">K56</f>
        <v>32</v>
      </c>
      <c r="D55" s="66"/>
      <c r="E55" s="62">
        <f ca="1">((100/I53)*C55)/100</f>
        <v>1</v>
      </c>
      <c r="F55" s="64">
        <f ca="1">(((C55/I53*5)+(C56/I53*20)+(25/(F53+H53+I53)*C57)+(5/(I53)*C58)+(2.5/(I53)*C59)+(2.5/(I53)*C60)+(5/I53*C61)+(10/I53*C62)+(2.5/I53*C63)+(2.5/I53*C64)+(10/I53*C65)+(10/I53*C66))/100)</f>
        <v>0.25714285714285717</v>
      </c>
      <c r="G55" s="64"/>
      <c r="H55" s="64" t="str">
        <f ca="1">J52</f>
        <v>Excavation work Completed. Plinth work completed, RCC upto 1 Slab Completed</v>
      </c>
      <c r="I55" s="64"/>
      <c r="J55" s="40" t="s">
        <v>151</v>
      </c>
      <c r="K55" s="44">
        <f ca="1">I53*50%</f>
        <v>16</v>
      </c>
    </row>
    <row r="56" spans="1:11" ht="20.25" x14ac:dyDescent="0.3">
      <c r="A56" s="64" t="s">
        <v>131</v>
      </c>
      <c r="B56" s="64"/>
      <c r="C56" s="65">
        <f ca="1">K64</f>
        <v>32</v>
      </c>
      <c r="D56" s="66"/>
      <c r="E56" s="62">
        <f ca="1">((100/I53)*C56)/100</f>
        <v>1</v>
      </c>
      <c r="F56" s="64"/>
      <c r="G56" s="64"/>
      <c r="H56" s="64"/>
      <c r="I56" s="64"/>
      <c r="J56" s="40" t="s">
        <v>152</v>
      </c>
      <c r="K56" s="44">
        <f ca="1">I53</f>
        <v>32</v>
      </c>
    </row>
    <row r="57" spans="1:11" ht="21" customHeight="1" x14ac:dyDescent="0.35">
      <c r="A57" s="64" t="s">
        <v>162</v>
      </c>
      <c r="B57" s="64"/>
      <c r="C57" s="66">
        <v>1</v>
      </c>
      <c r="D57" s="66"/>
      <c r="E57" s="62">
        <f ca="1">((100/(F53+H53+I53))*C57)/100</f>
        <v>2.8571428571428571E-2</v>
      </c>
      <c r="F57" s="64"/>
      <c r="G57" s="64"/>
      <c r="H57" s="64"/>
      <c r="I57" s="64"/>
      <c r="J57" s="40" t="s">
        <v>153</v>
      </c>
      <c r="K57" s="45">
        <f ca="1">(IF(E53&gt;1,(I53/(E53+2)),I53*0.2))</f>
        <v>5.333333333333333</v>
      </c>
    </row>
    <row r="58" spans="1:11" ht="21" customHeight="1" x14ac:dyDescent="0.35">
      <c r="A58" s="64" t="s">
        <v>163</v>
      </c>
      <c r="B58" s="64"/>
      <c r="C58" s="66">
        <v>0</v>
      </c>
      <c r="D58" s="66"/>
      <c r="E58" s="62">
        <f ca="1">((100/I53)*C58)/100</f>
        <v>0</v>
      </c>
      <c r="F58" s="64"/>
      <c r="G58" s="64"/>
      <c r="H58" s="64"/>
      <c r="I58" s="64"/>
      <c r="J58" s="40" t="s">
        <v>154</v>
      </c>
      <c r="K58" s="45">
        <f ca="1">(IF(E53&gt;1,(I53/(E53+2)+K57),I53*0.2+K57))</f>
        <v>10.666666666666666</v>
      </c>
    </row>
    <row r="59" spans="1:11" ht="21" customHeight="1" x14ac:dyDescent="0.35">
      <c r="A59" s="67" t="s">
        <v>164</v>
      </c>
      <c r="B59" s="68"/>
      <c r="C59" s="66">
        <v>0</v>
      </c>
      <c r="D59" s="66"/>
      <c r="E59" s="62">
        <f ca="1">((100/I53)*C59)/100</f>
        <v>0</v>
      </c>
      <c r="F59" s="64"/>
      <c r="G59" s="64"/>
      <c r="H59" s="64"/>
      <c r="I59" s="64"/>
      <c r="J59" s="40" t="s">
        <v>165</v>
      </c>
      <c r="K59" s="45">
        <f ca="1">(IF(E53&gt;1,(I53/(E53+2)+K58),0))</f>
        <v>16</v>
      </c>
    </row>
    <row r="60" spans="1:11" ht="21" customHeight="1" x14ac:dyDescent="0.35">
      <c r="A60" s="67" t="s">
        <v>254</v>
      </c>
      <c r="B60" s="68"/>
      <c r="C60" s="66">
        <v>0</v>
      </c>
      <c r="D60" s="66"/>
      <c r="E60" s="62">
        <f ca="1">((100/I53)*C60)/100</f>
        <v>0</v>
      </c>
      <c r="F60" s="64"/>
      <c r="G60" s="64"/>
      <c r="H60" s="64"/>
      <c r="I60" s="64"/>
      <c r="J60" s="40" t="s">
        <v>166</v>
      </c>
      <c r="K60" s="45">
        <f ca="1">(IF(E53&gt;2,(I53/(E53+2)+K59),0))</f>
        <v>21.333333333333332</v>
      </c>
    </row>
    <row r="61" spans="1:11" ht="57.75" customHeight="1" x14ac:dyDescent="0.35">
      <c r="A61" s="67" t="s">
        <v>255</v>
      </c>
      <c r="B61" s="68"/>
      <c r="C61" s="66">
        <v>0</v>
      </c>
      <c r="D61" s="66"/>
      <c r="E61" s="62">
        <f ca="1">((100/(I53))*C61)/100</f>
        <v>0</v>
      </c>
      <c r="F61" s="64"/>
      <c r="G61" s="64"/>
      <c r="H61" s="64"/>
      <c r="I61" s="64"/>
      <c r="J61" s="40" t="s">
        <v>168</v>
      </c>
      <c r="K61" s="46">
        <f ca="1">(IF(E53&gt;3,(I53/(E53+2)+K60),0))</f>
        <v>26.666666666666664</v>
      </c>
    </row>
    <row r="62" spans="1:11" ht="21" x14ac:dyDescent="0.35">
      <c r="A62" s="64" t="s">
        <v>167</v>
      </c>
      <c r="B62" s="64"/>
      <c r="C62" s="66">
        <v>0</v>
      </c>
      <c r="D62" s="66"/>
      <c r="E62" s="62">
        <f ca="1">((100/(I53))*C62)/100</f>
        <v>0</v>
      </c>
      <c r="F62" s="64"/>
      <c r="G62" s="64"/>
      <c r="H62" s="64"/>
      <c r="I62" s="64"/>
      <c r="J62" s="40" t="s">
        <v>169</v>
      </c>
      <c r="K62" s="45">
        <f>(IF(E53&gt;4,(I53/(E53+2)+K61),0))</f>
        <v>0</v>
      </c>
    </row>
    <row r="63" spans="1:11" ht="21" customHeight="1" x14ac:dyDescent="0.35">
      <c r="A63" s="64" t="s">
        <v>256</v>
      </c>
      <c r="B63" s="64"/>
      <c r="C63" s="66">
        <v>0</v>
      </c>
      <c r="D63" s="66"/>
      <c r="E63" s="62">
        <f ca="1">((100/I53)*C63)/100</f>
        <v>0</v>
      </c>
      <c r="F63" s="64"/>
      <c r="G63" s="64"/>
      <c r="H63" s="64"/>
      <c r="I63" s="64"/>
      <c r="J63" s="40" t="s">
        <v>155</v>
      </c>
      <c r="K63" s="45">
        <f>(IF(E53=1,(I53/(E53+3)+K58),IF(E53=0,(I53*0.3+K58),IF(E53&gt;1,0))))</f>
        <v>0</v>
      </c>
    </row>
    <row r="64" spans="1:11" ht="21.75" thickBot="1" x14ac:dyDescent="0.4">
      <c r="A64" s="64" t="s">
        <v>257</v>
      </c>
      <c r="B64" s="64"/>
      <c r="C64" s="66">
        <v>0</v>
      </c>
      <c r="D64" s="66"/>
      <c r="E64" s="62">
        <f ca="1">((100/I53)*C64)/100</f>
        <v>0</v>
      </c>
      <c r="F64" s="64"/>
      <c r="G64" s="64"/>
      <c r="H64" s="64"/>
      <c r="I64" s="64"/>
      <c r="J64" s="42" t="s">
        <v>156</v>
      </c>
      <c r="K64" s="47">
        <f ca="1">(IF(E53&gt;1.5,(I53/(E53+2)+K58+MAX(0,K59-K58)+MAX(0,K60-K59)+MAX(0,K61-K60)+MAX(0,K62-K61)+MAX(0,K63-K62)),IF(E53=1,(I53/(E53+3)+K63),IF(E53=0,I53*0.3+K63))))</f>
        <v>32</v>
      </c>
    </row>
    <row r="65" spans="1:11" ht="20.25" x14ac:dyDescent="0.25">
      <c r="A65" s="64" t="s">
        <v>170</v>
      </c>
      <c r="B65" s="64"/>
      <c r="C65" s="66">
        <v>0</v>
      </c>
      <c r="D65" s="66"/>
      <c r="E65" s="62">
        <f ca="1">((100/(I53))*C65)/100</f>
        <v>0</v>
      </c>
      <c r="F65" s="64"/>
      <c r="G65" s="64"/>
      <c r="H65" s="64"/>
      <c r="I65" s="64"/>
    </row>
    <row r="66" spans="1:11" ht="20.25" x14ac:dyDescent="0.25">
      <c r="A66" s="64" t="s">
        <v>171</v>
      </c>
      <c r="B66" s="64"/>
      <c r="C66" s="66">
        <v>0</v>
      </c>
      <c r="D66" s="66"/>
      <c r="E66" s="62">
        <f ca="1">((100/(I53))*C66)/100</f>
        <v>0</v>
      </c>
      <c r="F66" s="64"/>
      <c r="G66" s="64"/>
      <c r="H66" s="64"/>
      <c r="I66" s="64"/>
    </row>
    <row r="67" spans="1:11" ht="21" thickBot="1" x14ac:dyDescent="0.3">
      <c r="A67" s="72" t="s">
        <v>73</v>
      </c>
      <c r="B67" s="72"/>
      <c r="C67" s="72"/>
      <c r="D67" s="72"/>
      <c r="E67" s="72"/>
      <c r="F67" s="72"/>
      <c r="G67" s="72"/>
      <c r="H67" s="72"/>
      <c r="I67" s="72"/>
    </row>
    <row r="68" spans="1:11" ht="20.25" customHeight="1" x14ac:dyDescent="0.3">
      <c r="A68" s="69" t="str">
        <f>CONCATENATE((IF(OR(A45="",A45="NA"),"",A45)),"= ",(IF(OR(E45="",E45="NA"),"",E45)),".")</f>
        <v>Tower C2= 4B + G + P + S + 1st to 32nd Floor.</v>
      </c>
      <c r="B68" s="69"/>
      <c r="C68" s="69"/>
      <c r="D68" s="70" t="s">
        <v>4</v>
      </c>
      <c r="E68" s="60" t="s">
        <v>144</v>
      </c>
      <c r="F68" s="66" t="s">
        <v>130</v>
      </c>
      <c r="G68" s="66"/>
      <c r="H68" s="60" t="s">
        <v>145</v>
      </c>
      <c r="I68" s="60" t="s">
        <v>146</v>
      </c>
      <c r="J68" s="36" t="str">
        <f ca="1">(IF(F71&gt;99%,"All work completed. Please provide OC.",IF(F71&gt;89.8%,"Plinth, RCC, Brick, Plaster, Flooring, Wooden, Plumbing, Electrification, etc., work Completed. Finishing work is in process.",IF(F71&lt;94%,(IF(C71=0,"Work not yet Started.",IF(E71=25%,"Piling work in process",IF(E71=50%,"Excavation work in process",IF(E71=100%,"Excavation work Completed. ","0")))&amp;(IF(C72=0%,"",IF(C72=K73,"Footing work is process",IF(C72=K74,"Footing work Completed",IF(C72=K75,"1st Basement Completed",IF(C72=K76,"1st &amp; 2nd Basement Completed",IF(C72=K77,"1st to 3rd Basement Completed",IF(C72=K78,"1st to 4th Basement Completed",IF(C72=K79,"Plinth work is process",IF(C72=K80,"Plinth work completed","0")))))))))))&amp;(IF(C73=(F69+H69+I69),", RCC Slab",IF(C73&gt;0,", RCC upto "&amp;C73&amp;" Slab",""))&amp;(IF(C74=I69,", Brickwork",IF(C74&gt;0,", Brickwork upto "&amp;C74&amp;" Floor",""))&amp;(IF(C75=I69,", Internal Plaster",IF(C75&gt;0,", Internal Plaster upto "&amp;C75&amp;" Floor",""))&amp;(IF(C76=I69,", External Plaster",IF(C76&gt;0,", External Plaster upto "&amp;C76&amp;" Floor",""))&amp;(IF(C77=I69,", External Plumbing, Elevation and Waterproofing",IF(C77&gt;0,", External Plumbing, Elevation and Waterproofing upto "&amp;C77&amp;" Floor",""))&amp;(IF(C78=I69,", Flooring &amp; Fitting",IF(C78&gt;0,", Flooring &amp; Fitting upto "&amp;C78&amp;" Floor",""))&amp;(IF(C79=I69,", Wooden Work",IF(C79&gt;0,", Wooden Work upto "&amp;C79&amp;" Floor",""))&amp;(IF(C80=I69,", Electrical &amp; Sanitary fittings",IF(C80&gt;0,", Electrical &amp; Sanitary fittings upto "&amp;C80&amp;" Floor",""))&amp;(IF(C81&gt;0,", Finishing upto "&amp;C81&amp;" Floor","")&amp;(IF(C73&gt;0.5," Completed",""))))))))))))))))</f>
        <v>Excavation work Completed. Plinth work completed, RCC upto 1 Slab Completed</v>
      </c>
      <c r="K68" s="38"/>
    </row>
    <row r="69" spans="1:11" ht="20.25" x14ac:dyDescent="0.3">
      <c r="A69" s="69"/>
      <c r="B69" s="69"/>
      <c r="C69" s="69"/>
      <c r="D69" s="70"/>
      <c r="E69" s="60">
        <v>4</v>
      </c>
      <c r="F69" s="66">
        <v>1</v>
      </c>
      <c r="G69" s="66"/>
      <c r="H69" s="60">
        <v>2</v>
      </c>
      <c r="I69" s="60">
        <f ca="1">--TRIM(RIGHT(SUBSTITUTE(LEFT(A68,_xlfn.AGGREGATE(16,6,FIND({0,1,2,3,4,5,6,7,8,9},A68,ROW(INDIRECT("1:"&amp;LEN(A68)))),1))," ",REPT(" ",LEN(A68))),LEN(A68)))</f>
        <v>32</v>
      </c>
      <c r="J69" s="37" t="s">
        <v>150</v>
      </c>
      <c r="K69" s="38"/>
    </row>
    <row r="70" spans="1:11" ht="20.25" customHeight="1" x14ac:dyDescent="0.3">
      <c r="A70" s="71" t="s">
        <v>148</v>
      </c>
      <c r="B70" s="71"/>
      <c r="C70" s="71" t="s">
        <v>158</v>
      </c>
      <c r="D70" s="71"/>
      <c r="E70" s="61" t="s">
        <v>159</v>
      </c>
      <c r="F70" s="71" t="s">
        <v>149</v>
      </c>
      <c r="G70" s="71"/>
      <c r="H70" s="48" t="s">
        <v>147</v>
      </c>
      <c r="I70" s="48"/>
      <c r="J70" s="40" t="s">
        <v>160</v>
      </c>
      <c r="K70" s="39">
        <f ca="1">I69*25%</f>
        <v>8</v>
      </c>
    </row>
    <row r="71" spans="1:11" ht="20.25" customHeight="1" x14ac:dyDescent="0.3">
      <c r="A71" s="64" t="s">
        <v>161</v>
      </c>
      <c r="B71" s="64"/>
      <c r="C71" s="66">
        <f ca="1">K72</f>
        <v>32</v>
      </c>
      <c r="D71" s="66"/>
      <c r="E71" s="62">
        <f ca="1">((100/I69)*C71)/100</f>
        <v>1</v>
      </c>
      <c r="F71" s="64">
        <f ca="1">(((C71/I69*5)+(C72/I69*20)+(25/(F69+H69+I69)*C73)+(5/(I69)*C74)+(2.5/(I69)*C75)+(2.5/(I69)*C76)+(5/I69*C77)+(10/I69*C78)+(2.5/I69*C79)+(2.5/I69*C80)+(10/I69*C81)+(10/I69*C82))/100)</f>
        <v>0.25714285714285717</v>
      </c>
      <c r="G71" s="64"/>
      <c r="H71" s="64" t="str">
        <f ca="1">J68</f>
        <v>Excavation work Completed. Plinth work completed, RCC upto 1 Slab Completed</v>
      </c>
      <c r="I71" s="64"/>
      <c r="J71" s="40" t="s">
        <v>151</v>
      </c>
      <c r="K71" s="44">
        <f ca="1">I69*50%</f>
        <v>16</v>
      </c>
    </row>
    <row r="72" spans="1:11" ht="20.25" x14ac:dyDescent="0.3">
      <c r="A72" s="64" t="s">
        <v>131</v>
      </c>
      <c r="B72" s="64"/>
      <c r="C72" s="65">
        <f ca="1">K80</f>
        <v>32</v>
      </c>
      <c r="D72" s="66"/>
      <c r="E72" s="62">
        <f ca="1">((100/I69)*C72)/100</f>
        <v>1</v>
      </c>
      <c r="F72" s="64"/>
      <c r="G72" s="64"/>
      <c r="H72" s="64"/>
      <c r="I72" s="64"/>
      <c r="J72" s="40" t="s">
        <v>152</v>
      </c>
      <c r="K72" s="44">
        <f ca="1">I69</f>
        <v>32</v>
      </c>
    </row>
    <row r="73" spans="1:11" ht="21" customHeight="1" x14ac:dyDescent="0.35">
      <c r="A73" s="64" t="s">
        <v>162</v>
      </c>
      <c r="B73" s="64"/>
      <c r="C73" s="66">
        <v>1</v>
      </c>
      <c r="D73" s="66"/>
      <c r="E73" s="62">
        <f ca="1">((100/(F69+H69+I69))*C73)/100</f>
        <v>2.8571428571428571E-2</v>
      </c>
      <c r="F73" s="64"/>
      <c r="G73" s="64"/>
      <c r="H73" s="64"/>
      <c r="I73" s="64"/>
      <c r="J73" s="40" t="s">
        <v>153</v>
      </c>
      <c r="K73" s="45">
        <f ca="1">(IF(E69&gt;1,(I69/(E69+2)),I69*0.2))</f>
        <v>5.333333333333333</v>
      </c>
    </row>
    <row r="74" spans="1:11" ht="21" customHeight="1" x14ac:dyDescent="0.35">
      <c r="A74" s="64" t="s">
        <v>163</v>
      </c>
      <c r="B74" s="64"/>
      <c r="C74" s="66">
        <v>0</v>
      </c>
      <c r="D74" s="66"/>
      <c r="E74" s="62">
        <f ca="1">((100/I69)*C74)/100</f>
        <v>0</v>
      </c>
      <c r="F74" s="64"/>
      <c r="G74" s="64"/>
      <c r="H74" s="64"/>
      <c r="I74" s="64"/>
      <c r="J74" s="40" t="s">
        <v>154</v>
      </c>
      <c r="K74" s="45">
        <f ca="1">(IF(E69&gt;1,(I69/(E69+2)+K73),I69*0.2+K73))</f>
        <v>10.666666666666666</v>
      </c>
    </row>
    <row r="75" spans="1:11" ht="21" customHeight="1" x14ac:dyDescent="0.35">
      <c r="A75" s="67" t="s">
        <v>164</v>
      </c>
      <c r="B75" s="68"/>
      <c r="C75" s="66">
        <v>0</v>
      </c>
      <c r="D75" s="66"/>
      <c r="E75" s="62">
        <f ca="1">((100/I69)*C75)/100</f>
        <v>0</v>
      </c>
      <c r="F75" s="64"/>
      <c r="G75" s="64"/>
      <c r="H75" s="64"/>
      <c r="I75" s="64"/>
      <c r="J75" s="40" t="s">
        <v>165</v>
      </c>
      <c r="K75" s="45">
        <f ca="1">(IF(E69&gt;1,(I69/(E69+2)+K74),0))</f>
        <v>16</v>
      </c>
    </row>
    <row r="76" spans="1:11" ht="21" customHeight="1" x14ac:dyDescent="0.35">
      <c r="A76" s="67" t="s">
        <v>254</v>
      </c>
      <c r="B76" s="68"/>
      <c r="C76" s="66">
        <v>0</v>
      </c>
      <c r="D76" s="66"/>
      <c r="E76" s="62">
        <f ca="1">((100/I69)*C76)/100</f>
        <v>0</v>
      </c>
      <c r="F76" s="64"/>
      <c r="G76" s="64"/>
      <c r="H76" s="64"/>
      <c r="I76" s="64"/>
      <c r="J76" s="40" t="s">
        <v>166</v>
      </c>
      <c r="K76" s="45">
        <f ca="1">(IF(E69&gt;2,(I69/(E69+2)+K75),0))</f>
        <v>21.333333333333332</v>
      </c>
    </row>
    <row r="77" spans="1:11" ht="57.75" customHeight="1" x14ac:dyDescent="0.35">
      <c r="A77" s="67" t="s">
        <v>255</v>
      </c>
      <c r="B77" s="68"/>
      <c r="C77" s="66">
        <v>0</v>
      </c>
      <c r="D77" s="66"/>
      <c r="E77" s="62">
        <f ca="1">((100/(I69))*C77)/100</f>
        <v>0</v>
      </c>
      <c r="F77" s="64"/>
      <c r="G77" s="64"/>
      <c r="H77" s="64"/>
      <c r="I77" s="64"/>
      <c r="J77" s="40" t="s">
        <v>168</v>
      </c>
      <c r="K77" s="46">
        <f ca="1">(IF(E69&gt;3,(I69/(E69+2)+K76),0))</f>
        <v>26.666666666666664</v>
      </c>
    </row>
    <row r="78" spans="1:11" ht="21" x14ac:dyDescent="0.35">
      <c r="A78" s="64" t="s">
        <v>167</v>
      </c>
      <c r="B78" s="64"/>
      <c r="C78" s="66">
        <v>0</v>
      </c>
      <c r="D78" s="66"/>
      <c r="E78" s="62">
        <f ca="1">((100/(I69))*C78)/100</f>
        <v>0</v>
      </c>
      <c r="F78" s="64"/>
      <c r="G78" s="64"/>
      <c r="H78" s="64"/>
      <c r="I78" s="64"/>
      <c r="J78" s="40" t="s">
        <v>169</v>
      </c>
      <c r="K78" s="45">
        <f>(IF(E69&gt;4,(I69/(E69+2)+K77),0))</f>
        <v>0</v>
      </c>
    </row>
    <row r="79" spans="1:11" ht="21" customHeight="1" x14ac:dyDescent="0.35">
      <c r="A79" s="64" t="s">
        <v>256</v>
      </c>
      <c r="B79" s="64"/>
      <c r="C79" s="66">
        <v>0</v>
      </c>
      <c r="D79" s="66"/>
      <c r="E79" s="62">
        <f ca="1">((100/I69)*C79)/100</f>
        <v>0</v>
      </c>
      <c r="F79" s="64"/>
      <c r="G79" s="64"/>
      <c r="H79" s="64"/>
      <c r="I79" s="64"/>
      <c r="J79" s="40" t="s">
        <v>155</v>
      </c>
      <c r="K79" s="45">
        <f>(IF(E69=1,(I69/(E69+3)+K74),IF(E69=0,(I69*0.3+K74),IF(E69&gt;1,0))))</f>
        <v>0</v>
      </c>
    </row>
    <row r="80" spans="1:11" ht="21.75" thickBot="1" x14ac:dyDescent="0.4">
      <c r="A80" s="64" t="s">
        <v>257</v>
      </c>
      <c r="B80" s="64"/>
      <c r="C80" s="66">
        <v>0</v>
      </c>
      <c r="D80" s="66"/>
      <c r="E80" s="62">
        <f ca="1">((100/I69)*C80)/100</f>
        <v>0</v>
      </c>
      <c r="F80" s="64"/>
      <c r="G80" s="64"/>
      <c r="H80" s="64"/>
      <c r="I80" s="64"/>
      <c r="J80" s="42" t="s">
        <v>156</v>
      </c>
      <c r="K80" s="47">
        <f ca="1">(IF(E69&gt;1.5,(I69/(E69+2)+K74+MAX(0,K75-K74)+MAX(0,K76-K75)+MAX(0,K77-K76)+MAX(0,K78-K77)+MAX(0,K79-K78)),IF(E69=1,(I69/(E69+3)+K79),IF(E69=0,I69*0.3+K79))))</f>
        <v>32</v>
      </c>
    </row>
    <row r="81" spans="1:17" ht="20.25" x14ac:dyDescent="0.25">
      <c r="A81" s="64" t="s">
        <v>170</v>
      </c>
      <c r="B81" s="64"/>
      <c r="C81" s="66">
        <v>0</v>
      </c>
      <c r="D81" s="66"/>
      <c r="E81" s="62">
        <f ca="1">((100/(I69))*C81)/100</f>
        <v>0</v>
      </c>
      <c r="F81" s="64"/>
      <c r="G81" s="64"/>
      <c r="H81" s="64"/>
      <c r="I81" s="64"/>
    </row>
    <row r="82" spans="1:17" ht="20.25" x14ac:dyDescent="0.25">
      <c r="A82" s="64" t="s">
        <v>171</v>
      </c>
      <c r="B82" s="64"/>
      <c r="C82" s="66">
        <v>0</v>
      </c>
      <c r="D82" s="66"/>
      <c r="E82" s="62">
        <f ca="1">((100/(I69))*C82)/100</f>
        <v>0</v>
      </c>
      <c r="F82" s="64"/>
      <c r="G82" s="64"/>
      <c r="H82" s="64"/>
      <c r="I82" s="64"/>
    </row>
    <row r="83" spans="1:17" ht="36.75" customHeight="1" x14ac:dyDescent="0.3">
      <c r="A83" s="98" t="s">
        <v>157</v>
      </c>
      <c r="B83" s="99"/>
      <c r="C83" s="99"/>
      <c r="D83" s="99"/>
      <c r="E83" s="99"/>
      <c r="F83" s="99"/>
      <c r="G83" s="99"/>
      <c r="H83" s="100">
        <f ca="1">AVERAGE(F71,F55)</f>
        <v>0.25714285714285717</v>
      </c>
      <c r="I83" s="101"/>
      <c r="J83" s="40"/>
      <c r="K83" s="41"/>
      <c r="L83" s="41"/>
    </row>
    <row r="84" spans="1:17" ht="20.25" x14ac:dyDescent="0.25">
      <c r="A84" s="108" t="s">
        <v>77</v>
      </c>
      <c r="B84" s="109"/>
      <c r="C84" s="109"/>
      <c r="D84" s="109"/>
      <c r="E84" s="109"/>
      <c r="F84" s="109"/>
      <c r="G84" s="109"/>
      <c r="H84" s="109"/>
      <c r="I84" s="110"/>
    </row>
    <row r="85" spans="1:17" ht="60.75" x14ac:dyDescent="0.25">
      <c r="A85" s="111" t="s">
        <v>78</v>
      </c>
      <c r="B85" s="111"/>
      <c r="C85" s="111"/>
      <c r="D85" s="3" t="s">
        <v>4</v>
      </c>
      <c r="E85" s="15" t="s">
        <v>136</v>
      </c>
      <c r="F85" s="21" t="s">
        <v>172</v>
      </c>
      <c r="G85" s="3" t="s">
        <v>4</v>
      </c>
      <c r="H85" s="112" t="s">
        <v>186</v>
      </c>
      <c r="I85" s="112"/>
    </row>
    <row r="86" spans="1:17" ht="60.75" x14ac:dyDescent="0.25">
      <c r="A86" s="111" t="s">
        <v>182</v>
      </c>
      <c r="B86" s="111"/>
      <c r="C86" s="111"/>
      <c r="D86" s="2" t="s">
        <v>132</v>
      </c>
      <c r="E86" s="18">
        <v>42000</v>
      </c>
      <c r="F86" s="21" t="s">
        <v>183</v>
      </c>
      <c r="G86" s="2" t="s">
        <v>4</v>
      </c>
      <c r="H86" s="90" t="s">
        <v>258</v>
      </c>
      <c r="I86" s="90"/>
      <c r="L86" s="63" t="s">
        <v>260</v>
      </c>
      <c r="M86" s="63"/>
      <c r="N86" s="63"/>
      <c r="O86" s="63"/>
      <c r="P86" s="63"/>
      <c r="Q86" s="63"/>
    </row>
    <row r="87" spans="1:17" ht="26.25" customHeight="1" x14ac:dyDescent="0.25">
      <c r="A87" s="119" t="s">
        <v>81</v>
      </c>
      <c r="B87" s="119"/>
      <c r="C87" s="119"/>
      <c r="D87" s="3" t="s">
        <v>4</v>
      </c>
      <c r="E87" s="18">
        <v>1200000</v>
      </c>
      <c r="F87" s="3" t="s">
        <v>129</v>
      </c>
      <c r="G87" s="3" t="s">
        <v>4</v>
      </c>
      <c r="H87" s="122" t="s">
        <v>137</v>
      </c>
      <c r="I87" s="123"/>
    </row>
    <row r="88" spans="1:17" ht="20.25" hidden="1" x14ac:dyDescent="0.25">
      <c r="A88" s="111" t="s">
        <v>119</v>
      </c>
      <c r="B88" s="111"/>
      <c r="C88" s="111"/>
      <c r="D88" s="2" t="s">
        <v>4</v>
      </c>
      <c r="E88" s="18" t="s">
        <v>120</v>
      </c>
      <c r="F88" s="21" t="s">
        <v>121</v>
      </c>
      <c r="G88" s="2" t="s">
        <v>4</v>
      </c>
      <c r="H88" s="90" t="s">
        <v>100</v>
      </c>
      <c r="I88" s="90"/>
    </row>
    <row r="89" spans="1:17" ht="60.75" hidden="1" x14ac:dyDescent="0.25">
      <c r="A89" s="111" t="s">
        <v>122</v>
      </c>
      <c r="B89" s="111"/>
      <c r="C89" s="111"/>
      <c r="D89" s="2" t="s">
        <v>4</v>
      </c>
      <c r="E89" s="18" t="s">
        <v>123</v>
      </c>
      <c r="F89" s="21" t="s">
        <v>124</v>
      </c>
      <c r="G89" s="2" t="s">
        <v>4</v>
      </c>
      <c r="H89" s="90" t="s">
        <v>125</v>
      </c>
      <c r="I89" s="90"/>
    </row>
    <row r="90" spans="1:17" ht="20.25" hidden="1" x14ac:dyDescent="0.25">
      <c r="A90" s="111" t="s">
        <v>80</v>
      </c>
      <c r="B90" s="111"/>
      <c r="C90" s="111"/>
      <c r="D90" s="2" t="s">
        <v>4</v>
      </c>
      <c r="E90" s="18" t="s">
        <v>102</v>
      </c>
      <c r="F90" s="21" t="s">
        <v>79</v>
      </c>
      <c r="G90" s="2" t="s">
        <v>4</v>
      </c>
      <c r="H90" s="116" t="s">
        <v>102</v>
      </c>
      <c r="I90" s="117"/>
    </row>
    <row r="91" spans="1:17" ht="20.25" hidden="1" x14ac:dyDescent="0.25">
      <c r="A91" s="111" t="s">
        <v>126</v>
      </c>
      <c r="B91" s="111"/>
      <c r="C91" s="111"/>
      <c r="D91" s="2" t="s">
        <v>4</v>
      </c>
      <c r="E91" s="18" t="s">
        <v>101</v>
      </c>
      <c r="F91" s="21" t="s">
        <v>81</v>
      </c>
      <c r="G91" s="2" t="s">
        <v>4</v>
      </c>
      <c r="H91" s="90" t="s">
        <v>118</v>
      </c>
      <c r="I91" s="90"/>
    </row>
    <row r="92" spans="1:17" ht="20.25" hidden="1" x14ac:dyDescent="0.25">
      <c r="A92" s="111" t="s">
        <v>127</v>
      </c>
      <c r="B92" s="111"/>
      <c r="C92" s="111"/>
      <c r="D92" s="2" t="s">
        <v>4</v>
      </c>
      <c r="E92" s="19" t="s">
        <v>111</v>
      </c>
      <c r="F92" s="21" t="s">
        <v>128</v>
      </c>
      <c r="G92" s="2" t="s">
        <v>4</v>
      </c>
      <c r="H92" s="118" t="s">
        <v>111</v>
      </c>
      <c r="I92" s="118"/>
    </row>
    <row r="93" spans="1:17" ht="18" hidden="1" customHeight="1" x14ac:dyDescent="0.25">
      <c r="A93" s="119" t="s">
        <v>129</v>
      </c>
      <c r="B93" s="119"/>
      <c r="C93" s="119"/>
      <c r="D93" s="3" t="s">
        <v>4</v>
      </c>
      <c r="E93" s="10"/>
      <c r="F93" s="3" t="s">
        <v>129</v>
      </c>
      <c r="G93" s="3" t="s">
        <v>4</v>
      </c>
      <c r="H93" s="120" t="s">
        <v>111</v>
      </c>
      <c r="I93" s="121"/>
    </row>
    <row r="94" spans="1:17" ht="20.25" x14ac:dyDescent="0.25">
      <c r="A94" s="108" t="s">
        <v>76</v>
      </c>
      <c r="B94" s="109"/>
      <c r="C94" s="109"/>
      <c r="D94" s="109"/>
      <c r="E94" s="109"/>
      <c r="F94" s="109"/>
      <c r="G94" s="109"/>
      <c r="H94" s="109"/>
      <c r="I94" s="110"/>
    </row>
    <row r="95" spans="1:17" ht="20.25" x14ac:dyDescent="0.25">
      <c r="A95" s="113" t="s">
        <v>9</v>
      </c>
      <c r="B95" s="114"/>
      <c r="C95" s="114"/>
      <c r="D95" s="114"/>
      <c r="E95" s="114"/>
      <c r="F95" s="115"/>
      <c r="G95" s="2" t="s">
        <v>4</v>
      </c>
      <c r="H95" s="126">
        <f>85270/10.764</f>
        <v>7921.776291341509</v>
      </c>
      <c r="I95" s="127"/>
    </row>
    <row r="96" spans="1:17" ht="20.25" x14ac:dyDescent="0.25">
      <c r="A96" s="113" t="s">
        <v>31</v>
      </c>
      <c r="B96" s="114"/>
      <c r="C96" s="114"/>
      <c r="D96" s="114"/>
      <c r="E96" s="114"/>
      <c r="F96" s="115"/>
      <c r="G96" s="2" t="s">
        <v>4</v>
      </c>
      <c r="H96" s="124">
        <f>187540/10.764</f>
        <v>17422.891118543295</v>
      </c>
      <c r="I96" s="124"/>
    </row>
    <row r="97" spans="1:151 16227:16384" ht="20.25" x14ac:dyDescent="0.25">
      <c r="A97" s="113" t="s">
        <v>138</v>
      </c>
      <c r="B97" s="114"/>
      <c r="C97" s="114"/>
      <c r="D97" s="114"/>
      <c r="E97" s="114"/>
      <c r="F97" s="115"/>
      <c r="G97" s="2" t="s">
        <v>4</v>
      </c>
      <c r="H97" s="124">
        <f>H95*0.8</f>
        <v>6337.4210330732076</v>
      </c>
      <c r="I97" s="124"/>
    </row>
    <row r="98" spans="1:151 16227:16384" ht="20.25" x14ac:dyDescent="0.25">
      <c r="A98" s="139" t="s">
        <v>85</v>
      </c>
      <c r="B98" s="140"/>
      <c r="C98" s="140"/>
      <c r="D98" s="140"/>
      <c r="E98" s="140"/>
      <c r="F98" s="140"/>
      <c r="G98" s="140"/>
      <c r="H98" s="140"/>
      <c r="I98" s="95"/>
    </row>
    <row r="99" spans="1:151 16227:16384" s="11" customFormat="1" ht="40.5" x14ac:dyDescent="0.25">
      <c r="A99" s="96" t="s">
        <v>178</v>
      </c>
      <c r="B99" s="97"/>
      <c r="C99" s="96" t="s">
        <v>179</v>
      </c>
      <c r="D99" s="97"/>
      <c r="E99" s="50" t="s">
        <v>180</v>
      </c>
      <c r="F99" s="96" t="s">
        <v>177</v>
      </c>
      <c r="G99" s="97"/>
      <c r="H99" s="96" t="s">
        <v>193</v>
      </c>
      <c r="I99" s="97"/>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c r="XFD99" s="1"/>
    </row>
    <row r="100" spans="1:151 16227:16384" s="11" customFormat="1" ht="20.25" x14ac:dyDescent="0.25">
      <c r="A100" s="80" t="s">
        <v>231</v>
      </c>
      <c r="B100" s="81"/>
      <c r="C100" s="80" t="s">
        <v>98</v>
      </c>
      <c r="D100" s="81"/>
      <c r="E100" s="51" t="s">
        <v>231</v>
      </c>
      <c r="F100" s="80">
        <f>COUNT(I109:I115)</f>
        <v>7</v>
      </c>
      <c r="G100" s="81"/>
      <c r="H100" s="80">
        <f>SUM(I109:I115)</f>
        <v>9939.7951379999995</v>
      </c>
      <c r="I100" s="8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1" customFormat="1" ht="20.25" x14ac:dyDescent="0.25">
      <c r="A101" s="53" t="s">
        <v>232</v>
      </c>
      <c r="B101" s="54"/>
      <c r="C101" s="80" t="s">
        <v>98</v>
      </c>
      <c r="D101" s="81"/>
      <c r="E101" s="51" t="s">
        <v>233</v>
      </c>
      <c r="F101" s="80">
        <f>COUNT(I120:I125)+COUNT(I127:I132)*22+COUNT(I134)*3+COUNT(I137:I139)*3+COUNT(I141)+COUNT(I144:I145)+COUNT(I148:I152)*3+COUNT(I154:I156)+COUNT(I158)</f>
        <v>172</v>
      </c>
      <c r="G101" s="81"/>
      <c r="H101" s="80">
        <f>SUM(I120:I125)+SUM(I127:I132)*22+SUM(I134)*3+SUM(I137:I139)*3+SUM(I141)+SUM(I144:I145)+SUM(I148:I152)*3+SUM(I154:I156)+SUM(I158)</f>
        <v>170462.42296199998</v>
      </c>
      <c r="I101" s="8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1" customFormat="1" ht="20.25" x14ac:dyDescent="0.25">
      <c r="A102" s="80" t="s">
        <v>210</v>
      </c>
      <c r="B102" s="81"/>
      <c r="C102" s="80" t="s">
        <v>98</v>
      </c>
      <c r="D102" s="81"/>
      <c r="E102" s="51" t="s">
        <v>233</v>
      </c>
      <c r="F102" s="80">
        <f>COUNT(I162:I168)+COUNT(I170:I176)*22+COUNT(I178)*3+COUNT(I181:I184)*3+COUNT(I186)+COUNT(I189:I191)+COUNT(I193:I198)*3+COUNT(I201:I205)</f>
        <v>203</v>
      </c>
      <c r="G102" s="81"/>
      <c r="H102" s="80">
        <f>SUM(I162:I168)+SUM(I170:I176)*22+SUM(I178)*3+SUM(I181:I184)*3+SUM(I186)+SUM(I189:I191)+SUM(I193:I198)*3+SUM(I201:I205)</f>
        <v>186840.33872399994</v>
      </c>
      <c r="I102" s="8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s="11" customFormat="1" ht="20.25" x14ac:dyDescent="0.25">
      <c r="A103" s="96" t="s">
        <v>181</v>
      </c>
      <c r="B103" s="97"/>
      <c r="C103" s="96">
        <f>SUM(C100:D102)</f>
        <v>0</v>
      </c>
      <c r="D103" s="97"/>
      <c r="E103" s="50">
        <f>SUM(E100:E102)</f>
        <v>0</v>
      </c>
      <c r="F103" s="96">
        <f>SUM(F100:G102)</f>
        <v>382</v>
      </c>
      <c r="G103" s="97"/>
      <c r="H103" s="96">
        <f>SUM(H100:I102)</f>
        <v>367242.55682399991</v>
      </c>
      <c r="I103" s="97">
        <f>SUM(I100:I102)</f>
        <v>0</v>
      </c>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c r="XFD103" s="1"/>
    </row>
    <row r="104" spans="1:151 16227:16384" ht="20.25" x14ac:dyDescent="0.25">
      <c r="A104" s="93" t="s">
        <v>176</v>
      </c>
      <c r="B104" s="94"/>
      <c r="C104" s="94"/>
      <c r="D104" s="94"/>
      <c r="E104" s="94"/>
      <c r="F104" s="94"/>
      <c r="G104" s="94"/>
      <c r="H104" s="94"/>
      <c r="I104" s="95"/>
    </row>
    <row r="105" spans="1:151 16227:16384" ht="66" customHeight="1" x14ac:dyDescent="0.25">
      <c r="A105" s="158" t="s">
        <v>103</v>
      </c>
      <c r="B105" s="158"/>
      <c r="C105" s="158" t="s">
        <v>104</v>
      </c>
      <c r="D105" s="158"/>
      <c r="E105" s="52" t="s">
        <v>194</v>
      </c>
      <c r="F105" s="165" t="s">
        <v>251</v>
      </c>
      <c r="G105" s="165"/>
      <c r="H105" s="52" t="s">
        <v>106</v>
      </c>
      <c r="I105" s="52" t="s">
        <v>105</v>
      </c>
    </row>
    <row r="106" spans="1:151 16227:16384" s="11" customFormat="1" ht="20.25" x14ac:dyDescent="0.25">
      <c r="A106" s="76" t="s">
        <v>245</v>
      </c>
      <c r="B106" s="77"/>
      <c r="C106" s="77"/>
      <c r="D106" s="77"/>
      <c r="E106" s="77"/>
      <c r="F106" s="77"/>
      <c r="G106" s="77"/>
      <c r="H106" s="77"/>
      <c r="I106" s="82"/>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1" customFormat="1" ht="20.25" x14ac:dyDescent="0.25">
      <c r="A107" s="76" t="s">
        <v>212</v>
      </c>
      <c r="B107" s="77"/>
      <c r="C107" s="77"/>
      <c r="D107" s="77"/>
      <c r="E107" s="77"/>
      <c r="F107" s="77"/>
      <c r="G107" s="77"/>
      <c r="H107" s="77"/>
      <c r="I107" s="82"/>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1" customFormat="1" ht="20.25" x14ac:dyDescent="0.25">
      <c r="A108" s="76" t="s">
        <v>213</v>
      </c>
      <c r="B108" s="77"/>
      <c r="C108" s="77"/>
      <c r="D108" s="77"/>
      <c r="E108" s="77"/>
      <c r="F108" s="77"/>
      <c r="G108" s="77"/>
      <c r="H108" s="77"/>
      <c r="I108" s="82"/>
      <c r="J108" s="1"/>
      <c r="K108" s="1"/>
      <c r="L108" s="57">
        <f>10.764</f>
        <v>10.763999999999999</v>
      </c>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0.25" x14ac:dyDescent="0.25">
      <c r="A109" s="75">
        <v>1</v>
      </c>
      <c r="B109" s="75"/>
      <c r="C109" s="75" t="s">
        <v>214</v>
      </c>
      <c r="D109" s="75"/>
      <c r="E109" s="57">
        <f>(12.35*8.1+8.85*3.25+1.65*2.45+1.8*2.45)*(10.764)</f>
        <v>1477.3589999999997</v>
      </c>
      <c r="F109" s="73">
        <v>0</v>
      </c>
      <c r="G109" s="74"/>
      <c r="H109" s="20">
        <v>0</v>
      </c>
      <c r="I109" s="20">
        <f>E109+F109+(IF(H109&lt;101,H109,IF(H109&lt;201,H109/2,IF(H109&lt;=301,H109/3,H109/4))))</f>
        <v>1477.3589999999997</v>
      </c>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1" customFormat="1" ht="20.25" x14ac:dyDescent="0.25">
      <c r="A110" s="73">
        <f>A109+1</f>
        <v>2</v>
      </c>
      <c r="B110" s="74"/>
      <c r="C110" s="75" t="s">
        <v>214</v>
      </c>
      <c r="D110" s="75"/>
      <c r="E110" s="57">
        <f>(14.85*9.85+8.2*1.55+3.65*3.3+4.4*3.15)*(10.764)</f>
        <v>1990.1290499999998</v>
      </c>
      <c r="F110" s="73">
        <v>0</v>
      </c>
      <c r="G110" s="74"/>
      <c r="H110" s="20">
        <v>0</v>
      </c>
      <c r="I110" s="20">
        <f>E110+F110+(IF(H110&lt;101,H110,IF(H110&lt;201,H110/2,IF(H110&lt;=301,H110/3,H110/4))))</f>
        <v>1990.1290499999998</v>
      </c>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1" customFormat="1" ht="20.25" x14ac:dyDescent="0.25">
      <c r="A111" s="73">
        <f t="shared" ref="A111:A115" si="0">A110+1</f>
        <v>3</v>
      </c>
      <c r="B111" s="74"/>
      <c r="C111" s="75" t="s">
        <v>214</v>
      </c>
      <c r="D111" s="75"/>
      <c r="E111" s="57">
        <f>(9.95*9.85+9.5*9.5+3.8*4.5+4.4*4.5)*(10.764)</f>
        <v>2423.5953299999996</v>
      </c>
      <c r="F111" s="73">
        <v>0</v>
      </c>
      <c r="G111" s="74"/>
      <c r="H111" s="20">
        <v>0</v>
      </c>
      <c r="I111" s="20">
        <f t="shared" ref="I111:I115" si="1">E111+F111+(IF(H111&lt;101,H111,IF(H111&lt;201,H111/2,IF(H111&lt;=301,H111/3,H111/4))))</f>
        <v>2423.5953299999996</v>
      </c>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1" customFormat="1" ht="20.25" x14ac:dyDescent="0.25">
      <c r="A112" s="73">
        <f t="shared" si="0"/>
        <v>4</v>
      </c>
      <c r="B112" s="74"/>
      <c r="C112" s="86" t="s">
        <v>214</v>
      </c>
      <c r="D112" s="86"/>
      <c r="E112" s="57">
        <f>(12*7.35+12*2.5)*(10.764)</f>
        <v>1272.3047999999999</v>
      </c>
      <c r="F112" s="73">
        <v>0</v>
      </c>
      <c r="G112" s="74"/>
      <c r="H112" s="20">
        <v>0</v>
      </c>
      <c r="I112" s="20">
        <f t="shared" si="1"/>
        <v>1272.3047999999999</v>
      </c>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0.25" x14ac:dyDescent="0.25">
      <c r="A113" s="73">
        <f t="shared" si="0"/>
        <v>5</v>
      </c>
      <c r="B113" s="74"/>
      <c r="C113" s="86" t="s">
        <v>214</v>
      </c>
      <c r="D113" s="86"/>
      <c r="E113" s="57">
        <f>(2.1*7.6+6.8*9.15+4.75*7.65+1.65*1.4+2.9*2.1)*(10.764)</f>
        <v>1323.0839699999999</v>
      </c>
      <c r="F113" s="73">
        <v>0</v>
      </c>
      <c r="G113" s="74"/>
      <c r="H113" s="20">
        <v>0</v>
      </c>
      <c r="I113" s="20">
        <f t="shared" si="1"/>
        <v>1323.0839699999999</v>
      </c>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0.25" x14ac:dyDescent="0.25">
      <c r="A114" s="73">
        <f t="shared" si="0"/>
        <v>6</v>
      </c>
      <c r="B114" s="74"/>
      <c r="C114" s="86" t="s">
        <v>214</v>
      </c>
      <c r="D114" s="86"/>
      <c r="E114" s="57">
        <f>(12.3*7.3+3.15*4.99+5.65*1.52+3.15*2.75+1.53*2.1+1.53*2.1)*(10.764)</f>
        <v>1390.5473399999998</v>
      </c>
      <c r="F114" s="73">
        <v>0</v>
      </c>
      <c r="G114" s="74"/>
      <c r="H114" s="20">
        <v>0</v>
      </c>
      <c r="I114" s="20">
        <f t="shared" si="1"/>
        <v>1390.5473399999998</v>
      </c>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x14ac:dyDescent="0.25">
      <c r="A115" s="73">
        <f t="shared" si="0"/>
        <v>7</v>
      </c>
      <c r="B115" s="74"/>
      <c r="C115" s="86" t="s">
        <v>214</v>
      </c>
      <c r="D115" s="86"/>
      <c r="E115" s="57">
        <f>(2.7*2.16)*(10.764)</f>
        <v>62.775648000000004</v>
      </c>
      <c r="F115" s="73">
        <v>0</v>
      </c>
      <c r="G115" s="74"/>
      <c r="H115" s="20">
        <v>0</v>
      </c>
      <c r="I115" s="20">
        <f t="shared" si="1"/>
        <v>62.775648000000004</v>
      </c>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x14ac:dyDescent="0.25">
      <c r="A116" s="76" t="s">
        <v>215</v>
      </c>
      <c r="B116" s="77"/>
      <c r="C116" s="77"/>
      <c r="D116" s="77"/>
      <c r="E116" s="77"/>
      <c r="F116" s="77"/>
      <c r="G116" s="77"/>
      <c r="H116" s="77"/>
      <c r="I116" s="8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x14ac:dyDescent="0.25">
      <c r="A117" s="84" t="s">
        <v>216</v>
      </c>
      <c r="B117" s="85"/>
      <c r="C117" s="85"/>
      <c r="D117" s="85"/>
      <c r="E117" s="85"/>
      <c r="F117" s="85"/>
      <c r="G117" s="85"/>
      <c r="H117" s="85"/>
      <c r="I117" s="89"/>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x14ac:dyDescent="0.25">
      <c r="A118" s="76" t="s">
        <v>209</v>
      </c>
      <c r="B118" s="77"/>
      <c r="C118" s="77"/>
      <c r="D118" s="77"/>
      <c r="E118" s="77"/>
      <c r="F118" s="77"/>
      <c r="G118" s="77"/>
      <c r="H118" s="77"/>
      <c r="I118" s="8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x14ac:dyDescent="0.25">
      <c r="A119" s="84" t="s">
        <v>219</v>
      </c>
      <c r="B119" s="85"/>
      <c r="C119" s="85"/>
      <c r="D119" s="85"/>
      <c r="E119" s="85"/>
      <c r="F119" s="85"/>
      <c r="G119" s="85"/>
      <c r="H119" s="85"/>
      <c r="I119" s="89"/>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x14ac:dyDescent="0.25">
      <c r="A120" s="75">
        <v>1</v>
      </c>
      <c r="B120" s="75"/>
      <c r="C120" s="75" t="s">
        <v>217</v>
      </c>
      <c r="D120" s="75"/>
      <c r="E120" s="57">
        <f>((3.5*6.4+1.8*3.65+2.45*3.95+3.2*4.05+3.45*4.7+3.45*4.55+1.65*0.95+1.65*1.05+1.55*2.45+1.55*2.65+2.95*1.25+2.45*2.55+1.4*1.8+1.7*0.8+5.1*1.15+1.4*2.45))*(10.764)</f>
        <v>1268.3759399999999</v>
      </c>
      <c r="F120" s="57">
        <f>(4.6*1.55)*(10.764)</f>
        <v>76.747319999999988</v>
      </c>
      <c r="G120" s="57">
        <f t="shared" ref="G120:G125" si="2">0*(10.764)</f>
        <v>0</v>
      </c>
      <c r="H120" s="20">
        <v>0</v>
      </c>
      <c r="I120" s="20">
        <f>E120+F120+(IF(H120&lt;101,H120,IF(H120&lt;201,H120/2,IF(H120&lt;=301,H120/3,H120/4))))</f>
        <v>1345.1232599999998</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x14ac:dyDescent="0.25">
      <c r="A121" s="73">
        <f>A120+1</f>
        <v>2</v>
      </c>
      <c r="B121" s="74"/>
      <c r="C121" s="75" t="s">
        <v>218</v>
      </c>
      <c r="D121" s="75"/>
      <c r="E121" s="57">
        <f>((3.2*6+1.35*1.2+3.05*2.4+3.05*3.65+3.5*3.95+5.15*1+0.95*0.75+2.45*1.55+1.55*2.4+2.15*1.5+2.53*0.6))*(10.764)</f>
        <v>766.61746199999993</v>
      </c>
      <c r="F121" s="57">
        <f>(3.2*1.15)*(10.764)</f>
        <v>39.611519999999992</v>
      </c>
      <c r="G121" s="57">
        <f t="shared" si="2"/>
        <v>0</v>
      </c>
      <c r="H121" s="20">
        <v>0</v>
      </c>
      <c r="I121" s="20">
        <f t="shared" ref="I121:I125" si="3">E121+F121+(IF(H121&lt;101,H121,IF(H121&lt;201,H121/2,IF(H121&lt;=301,H121/3,H121/4))))</f>
        <v>806.22898199999997</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x14ac:dyDescent="0.25">
      <c r="A122" s="73">
        <f t="shared" ref="A122:A125" si="4">A121+1</f>
        <v>3</v>
      </c>
      <c r="B122" s="74"/>
      <c r="C122" s="75" t="s">
        <v>218</v>
      </c>
      <c r="D122" s="75"/>
      <c r="E122" s="57">
        <f>((3.2*6+1.35*1.2+3.05*2.4+3.05*3.65+3.5*3.95+5.15*1+0.95*0.75+2.45*1.55+1.55*2.4+2.15*1.5+2.53*0.6))*(10.764)</f>
        <v>766.61746199999993</v>
      </c>
      <c r="F122" s="57">
        <f>(3.2*1.15)*(10.764)</f>
        <v>39.611519999999992</v>
      </c>
      <c r="G122" s="57">
        <f t="shared" si="2"/>
        <v>0</v>
      </c>
      <c r="H122" s="20">
        <v>0</v>
      </c>
      <c r="I122" s="20">
        <f t="shared" si="3"/>
        <v>806.22898199999997</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customHeight="1" x14ac:dyDescent="0.25">
      <c r="A123" s="73">
        <f t="shared" si="4"/>
        <v>4</v>
      </c>
      <c r="B123" s="74"/>
      <c r="C123" s="75" t="s">
        <v>217</v>
      </c>
      <c r="D123" s="75"/>
      <c r="E123" s="57">
        <f>((3.35*6.45+5.95*1.1+2.45*3+3.05*3.55+3.35*4.75+3.35*3.75+2.05*1.05+2.05*0.15+1.65*1.5+1.65*1.45+1.55*2.45+1.55*2.45+1.3*1.1+1.5*1.5+1.5*1.55+1.4*2.6+2.4*1.2))*(10.764)</f>
        <v>1100.64591</v>
      </c>
      <c r="F123" s="57">
        <f>(2.65*1.35)*(10.764)</f>
        <v>38.508209999999998</v>
      </c>
      <c r="G123" s="57">
        <f t="shared" si="2"/>
        <v>0</v>
      </c>
      <c r="H123" s="20">
        <v>0</v>
      </c>
      <c r="I123" s="20">
        <f t="shared" si="3"/>
        <v>1139.1541199999999</v>
      </c>
      <c r="J123" s="1"/>
      <c r="K123" s="56"/>
      <c r="L123" s="83"/>
      <c r="M123" s="83"/>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customHeight="1" x14ac:dyDescent="0.25">
      <c r="A124" s="73">
        <f t="shared" si="4"/>
        <v>5</v>
      </c>
      <c r="B124" s="74"/>
      <c r="C124" s="75" t="s">
        <v>218</v>
      </c>
      <c r="D124" s="75"/>
      <c r="E124" s="57">
        <f>((3.2*6+1.35*1.2+3.05*2.4+3.05*3.65+3.5*3.95+5.15*1+0.95*0.75+2.45*1.55+1.55*2.4+2.15*1.5+2.53*0.6))*(10.764)</f>
        <v>766.61746199999993</v>
      </c>
      <c r="F124" s="57">
        <f>(3*1.15)*(10.764)</f>
        <v>37.135799999999996</v>
      </c>
      <c r="G124" s="57">
        <f t="shared" si="2"/>
        <v>0</v>
      </c>
      <c r="H124" s="20">
        <v>0</v>
      </c>
      <c r="I124" s="20">
        <f t="shared" si="3"/>
        <v>803.75326199999995</v>
      </c>
      <c r="J124" s="1"/>
      <c r="K124" s="56"/>
      <c r="L124" s="83"/>
      <c r="M124" s="83"/>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customHeight="1" x14ac:dyDescent="0.25">
      <c r="A125" s="73">
        <f t="shared" si="4"/>
        <v>6</v>
      </c>
      <c r="B125" s="74"/>
      <c r="C125" s="75" t="s">
        <v>218</v>
      </c>
      <c r="D125" s="75"/>
      <c r="E125" s="57">
        <f>((3.2*6+1.35*1.2+3.05*2.4+3.05*3.65+3.5*3.95+5.15*1+0.95*0.75+2.45*1.55+1.55*2.4+1.4*2.4+2.53*0.6))*(10.764)</f>
        <v>768.07060200000001</v>
      </c>
      <c r="F125" s="57">
        <f>(3*1.15)*(10.764)</f>
        <v>37.135799999999996</v>
      </c>
      <c r="G125" s="57">
        <f t="shared" si="2"/>
        <v>0</v>
      </c>
      <c r="H125" s="20">
        <v>0</v>
      </c>
      <c r="I125" s="20">
        <f t="shared" si="3"/>
        <v>805.20640200000003</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x14ac:dyDescent="0.25">
      <c r="A126" s="76" t="s">
        <v>252</v>
      </c>
      <c r="B126" s="77"/>
      <c r="C126" s="77"/>
      <c r="D126" s="77"/>
      <c r="E126" s="77"/>
      <c r="F126" s="77"/>
      <c r="G126" s="77"/>
      <c r="H126" s="77"/>
      <c r="I126" s="8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customHeight="1" x14ac:dyDescent="0.25">
      <c r="A127" s="75">
        <v>1</v>
      </c>
      <c r="B127" s="75"/>
      <c r="C127" s="75" t="s">
        <v>217</v>
      </c>
      <c r="D127" s="75"/>
      <c r="E127" s="57">
        <f>((3.5*6.4+1.8*3.65+2.45*3.95+3.2*4.05+3.45*4.7+3.45*4.55+1.65*0.95+1.65*1.05+1.55*2.45+1.55*2.65+2.95*1.25+2.45*2.55+1.4*1.8+1.7*0.8+5.1*1.15+1.4*2.45))*(10.764)</f>
        <v>1268.3759399999999</v>
      </c>
      <c r="F127" s="57">
        <f>(4.6*1.55)*(10.764)</f>
        <v>76.747319999999988</v>
      </c>
      <c r="G127" s="57">
        <f t="shared" ref="G127:G132" si="5">0*(10.764)</f>
        <v>0</v>
      </c>
      <c r="H127" s="20">
        <v>0</v>
      </c>
      <c r="I127" s="20">
        <f t="shared" ref="I127:I132" si="6">E127+F127+(IF(H127&lt;101,H127,IF(H127&lt;201,H127/2,IF(H127&lt;=301,H127/3,H127/4))))</f>
        <v>1345.1232599999998</v>
      </c>
      <c r="J127" s="1"/>
      <c r="K127" s="1"/>
      <c r="L127" s="1"/>
      <c r="M127" s="1"/>
      <c r="N127" s="1"/>
      <c r="O127" s="1"/>
      <c r="P127" s="1"/>
      <c r="Q127" s="1"/>
      <c r="R127" s="1"/>
      <c r="S127" s="1"/>
      <c r="T127" s="1"/>
      <c r="U127" s="43" t="str">
        <f t="shared" ref="U127:U132" ca="1" si="7">V127&amp;""&amp;",..,"&amp;""&amp;W127</f>
        <v>2501,..,2601</v>
      </c>
      <c r="V127" s="43">
        <f ca="1">(SUMPRODUCT(MID(0&amp;(LEFT(A126,SUM(LEN(A126)-LEN(SUBSTITUTE(A126,{"0","1","2","3"},""))))), LARGE(INDEX(ISNUMBER(--MID((LEFT(A126,SUM(LEN(A126)-LEN(SUBSTITUTE(A126,{"0","1","2","3"},""))))), ROW(INDIRECT("1:"&amp;LEN((LEFT(A126,SUM(LEN(A126)-LEN(SUBSTITUTE(A126,{"0","1","2","3"},"")))))))), 1)) * ROW(INDIRECT("1:"&amp;LEN((LEFT(A126,SUM(LEN(A126)-LEN(SUBSTITUTE(A126,{"0","1","2","3"},"")))))))), 0), ROW(INDIRECT("1:"&amp;LEN((LEFT(A126,SUM(LEN(A126)-LEN(SUBSTITUTE(A126,{"0","1","2","3"},"")))))))))+1, 1) * 10^ROW(INDIRECT("1:"&amp;LEN((LEFT(A126,SUM(LEN(A126)-LEN(SUBSTITUTE(A126,{"0","1","2","3"},""))))))))/10))*100+1</f>
        <v>2501</v>
      </c>
      <c r="W127" s="43">
        <f ca="1">(SUMPRODUCT(MID(0&amp;(--TRIM(RIGHT(SUBSTITUTE(LEFT(A126,_xlfn.AGGREGATE(16,6,FIND({0,1,2,3,4,5,6,7,8,9},A126,ROW(INDIRECT("1:"&amp;LEN(A126)))),1))," ",REPT(" ",LEN(A126))),LEN(A126)))), LARGE(INDEX(ISNUMBER(--MID((--TRIM(RIGHT(SUBSTITUTE(LEFT(A126,_xlfn.AGGREGATE(16,6,FIND({0,1,2,3,4,5,6,7,8,9},A126,ROW(INDIRECT("1:"&amp;LEN(A126)))),1))," ",REPT(" ",LEN(A126))),LEN(A126)))), ROW(INDIRECT("1:"&amp;LEN((--TRIM(RIGHT(SUBSTITUTE(LEFT(A126,_xlfn.AGGREGATE(16,6,FIND({0,1,2,3,4,5,6,7,8,9},A126,ROW(INDIRECT("1:"&amp;LEN(A126)))),1))," ",REPT(" ",LEN(A126))),LEN(A126))))))), 1)) * ROW(INDIRECT("1:"&amp;LEN((--TRIM(RIGHT(SUBSTITUTE(LEFT(A126,_xlfn.AGGREGATE(16,6,FIND({0,1,2,3,4,5,6,7,8,9},A126,ROW(INDIRECT("1:"&amp;LEN(A126)))),1))," ",REPT(" ",LEN(A126))),LEN(A126))))))), 0), ROW(INDIRECT("1:"&amp;LEN((--TRIM(RIGHT(SUBSTITUTE(LEFT(A126,_xlfn.AGGREGATE(16,6,FIND({0,1,2,3,4,5,6,7,8,9},A126,ROW(INDIRECT("1:"&amp;LEN(A126)))),1))," ",REPT(" ",LEN(A126))),LEN(A126))))))))+1, 1) * 10^ROW(INDIRECT("1:"&amp;LEN((--TRIM(RIGHT(SUBSTITUTE(LEFT(A126,_xlfn.AGGREGATE(16,6,FIND({0,1,2,3,4,5,6,7,8,9},A126,ROW(INDIRECT("1:"&amp;LEN(A126)))),1))," ",REPT(" ",LEN(A126))),LEN(A126)))))))/10))*100+1</f>
        <v>2601</v>
      </c>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customHeight="1" x14ac:dyDescent="0.25">
      <c r="A128" s="73">
        <f>A127+1</f>
        <v>2</v>
      </c>
      <c r="B128" s="74"/>
      <c r="C128" s="75" t="s">
        <v>218</v>
      </c>
      <c r="D128" s="75"/>
      <c r="E128" s="57">
        <f>((3.2*6+1.35*1.2+3.05*2.4+3.05*3.65+3.5*3.95+5.15*1+0.95*0.75+2.45*1.55+1.55*2.4+2.15*1.5+2.53*0.6))*(10.764)</f>
        <v>766.61746199999993</v>
      </c>
      <c r="F128" s="57">
        <f>(3.2*1.15)*(10.764)</f>
        <v>39.611519999999992</v>
      </c>
      <c r="G128" s="57">
        <f t="shared" si="5"/>
        <v>0</v>
      </c>
      <c r="H128" s="20">
        <v>0</v>
      </c>
      <c r="I128" s="20">
        <f t="shared" si="6"/>
        <v>806.22898199999997</v>
      </c>
      <c r="J128" s="1"/>
      <c r="K128" s="1"/>
      <c r="L128" s="1"/>
      <c r="M128" s="1"/>
      <c r="N128" s="1"/>
      <c r="O128" s="1"/>
      <c r="P128" s="1"/>
      <c r="Q128" s="1"/>
      <c r="R128" s="1"/>
      <c r="S128" s="1"/>
      <c r="T128" s="1"/>
      <c r="U128" s="43" t="str">
        <f t="shared" ca="1" si="7"/>
        <v>2502,..,2602</v>
      </c>
      <c r="V128" s="43">
        <f ca="1">V127+1</f>
        <v>2502</v>
      </c>
      <c r="W128" s="43">
        <f ca="1">W127+1</f>
        <v>2602</v>
      </c>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customHeight="1" x14ac:dyDescent="0.25">
      <c r="A129" s="73">
        <f t="shared" ref="A129:A132" si="8">A128+1</f>
        <v>3</v>
      </c>
      <c r="B129" s="74"/>
      <c r="C129" s="73" t="s">
        <v>218</v>
      </c>
      <c r="D129" s="74"/>
      <c r="E129" s="57">
        <f>((3.2*6+1.35*1.2+3.05*2.4+3.05*3.65+3.5*3.95+5.15*1+0.95*0.75+2.45*1.55+1.55*2.4+2.15*1.5+2.53*0.6))*(10.764)</f>
        <v>766.61746199999993</v>
      </c>
      <c r="F129" s="57">
        <f>(3.2*1.15)*(10.764)</f>
        <v>39.611519999999992</v>
      </c>
      <c r="G129" s="57">
        <f t="shared" si="5"/>
        <v>0</v>
      </c>
      <c r="H129" s="20">
        <v>0</v>
      </c>
      <c r="I129" s="20">
        <f t="shared" si="6"/>
        <v>806.22898199999997</v>
      </c>
      <c r="J129" s="1"/>
      <c r="K129" s="1"/>
      <c r="L129" s="1"/>
      <c r="M129" s="1"/>
      <c r="N129" s="1"/>
      <c r="O129" s="1"/>
      <c r="P129" s="1"/>
      <c r="Q129" s="1"/>
      <c r="R129" s="1"/>
      <c r="S129" s="1"/>
      <c r="T129" s="1"/>
      <c r="U129" s="43" t="str">
        <f t="shared" ca="1" si="7"/>
        <v>2503,..,2603</v>
      </c>
      <c r="V129" s="43">
        <f t="shared" ref="V129:V132" ca="1" si="9">V128+1</f>
        <v>2503</v>
      </c>
      <c r="W129" s="43">
        <f t="shared" ref="W129:W132" ca="1" si="10">W128+1</f>
        <v>2603</v>
      </c>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customHeight="1" x14ac:dyDescent="0.25">
      <c r="A130" s="73">
        <f t="shared" si="8"/>
        <v>4</v>
      </c>
      <c r="B130" s="74"/>
      <c r="C130" s="75" t="s">
        <v>217</v>
      </c>
      <c r="D130" s="75"/>
      <c r="E130" s="57">
        <f>((3.35*6.45+5.95*1.1+2.45*3+3.05*3.55+3.35*4.75+3.35*3.75+2.05*1.05+2.05*0.15+1.65*1.5+1.65*1.45+1.55*2.45+1.55*2.45+1.3*1.1+1.5*1.5+1.5*1.55+1.4*2.6+2.4*1.2))*(10.764)</f>
        <v>1100.64591</v>
      </c>
      <c r="F130" s="57">
        <f>(2.65*1.35)*(10.764)</f>
        <v>38.508209999999998</v>
      </c>
      <c r="G130" s="57">
        <f t="shared" si="5"/>
        <v>0</v>
      </c>
      <c r="H130" s="20">
        <v>0</v>
      </c>
      <c r="I130" s="20">
        <f t="shared" si="6"/>
        <v>1139.1541199999999</v>
      </c>
      <c r="J130" s="1"/>
      <c r="K130" s="1"/>
      <c r="L130" s="1"/>
      <c r="M130" s="1"/>
      <c r="N130" s="1"/>
      <c r="O130" s="1"/>
      <c r="P130" s="1"/>
      <c r="Q130" s="1"/>
      <c r="R130" s="1"/>
      <c r="S130" s="1"/>
      <c r="T130" s="1"/>
      <c r="U130" s="43" t="str">
        <f t="shared" ca="1" si="7"/>
        <v>2504,..,2604</v>
      </c>
      <c r="V130" s="43">
        <f t="shared" ca="1" si="9"/>
        <v>2504</v>
      </c>
      <c r="W130" s="43">
        <f t="shared" ca="1" si="10"/>
        <v>2604</v>
      </c>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customHeight="1" x14ac:dyDescent="0.25">
      <c r="A131" s="73">
        <f t="shared" si="8"/>
        <v>5</v>
      </c>
      <c r="B131" s="74"/>
      <c r="C131" s="75" t="s">
        <v>218</v>
      </c>
      <c r="D131" s="75"/>
      <c r="E131" s="57">
        <f>((3.2*6+1.35*1.2+3.05*2.4+3.05*3.65+3.5*3.95+5.15*1+0.95*0.75+2.45*1.55+1.55*2.4+2.15*1.5+2.53*0.6))*(10.764)</f>
        <v>766.61746199999993</v>
      </c>
      <c r="F131" s="57">
        <f>(3*1.15)*(10.764)</f>
        <v>37.135799999999996</v>
      </c>
      <c r="G131" s="57">
        <f t="shared" si="5"/>
        <v>0</v>
      </c>
      <c r="H131" s="20">
        <v>0</v>
      </c>
      <c r="I131" s="20">
        <f t="shared" si="6"/>
        <v>803.75326199999995</v>
      </c>
      <c r="J131" s="1"/>
      <c r="K131" s="1"/>
      <c r="L131" s="1"/>
      <c r="M131" s="1"/>
      <c r="N131" s="1"/>
      <c r="O131" s="1"/>
      <c r="P131" s="1"/>
      <c r="Q131" s="1"/>
      <c r="R131" s="1"/>
      <c r="S131" s="1"/>
      <c r="T131" s="1"/>
      <c r="U131" s="43" t="str">
        <f t="shared" ca="1" si="7"/>
        <v>2505,..,2605</v>
      </c>
      <c r="V131" s="43">
        <f t="shared" ca="1" si="9"/>
        <v>2505</v>
      </c>
      <c r="W131" s="43">
        <f t="shared" ca="1" si="10"/>
        <v>2605</v>
      </c>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customHeight="1" x14ac:dyDescent="0.25">
      <c r="A132" s="73">
        <f t="shared" si="8"/>
        <v>6</v>
      </c>
      <c r="B132" s="74"/>
      <c r="C132" s="75" t="s">
        <v>218</v>
      </c>
      <c r="D132" s="75"/>
      <c r="E132" s="57">
        <f>((3.2*6+1.35*1.2+3.05*2.4+3.05*3.65+3.5*3.95+5.15*1+0.95*0.75+2.45*1.55+1.55*2.4+1.4*2.4+2.53*0.6))*(10.764)</f>
        <v>768.07060200000001</v>
      </c>
      <c r="F132" s="57">
        <f>(3*1.15)*(10.764)</f>
        <v>37.135799999999996</v>
      </c>
      <c r="G132" s="57">
        <f t="shared" si="5"/>
        <v>0</v>
      </c>
      <c r="H132" s="20">
        <v>0</v>
      </c>
      <c r="I132" s="20">
        <f t="shared" si="6"/>
        <v>805.20640200000003</v>
      </c>
      <c r="J132" s="1"/>
      <c r="K132" s="1"/>
      <c r="L132" s="1"/>
      <c r="M132" s="1"/>
      <c r="N132" s="1"/>
      <c r="O132" s="1"/>
      <c r="P132" s="1"/>
      <c r="Q132" s="1"/>
      <c r="R132" s="1"/>
      <c r="S132" s="1"/>
      <c r="T132" s="1"/>
      <c r="U132" s="43" t="str">
        <f t="shared" ca="1" si="7"/>
        <v>2506,..,2606</v>
      </c>
      <c r="V132" s="43">
        <f t="shared" ca="1" si="9"/>
        <v>2506</v>
      </c>
      <c r="W132" s="43">
        <f t="shared" ca="1" si="10"/>
        <v>2606</v>
      </c>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customHeight="1" x14ac:dyDescent="0.25">
      <c r="A133" s="76" t="s">
        <v>221</v>
      </c>
      <c r="B133" s="77"/>
      <c r="C133" s="77"/>
      <c r="D133" s="77"/>
      <c r="E133" s="77"/>
      <c r="F133" s="77"/>
      <c r="G133" s="77"/>
      <c r="H133" s="77"/>
      <c r="I133" s="82"/>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customHeight="1" x14ac:dyDescent="0.25">
      <c r="A134" s="75">
        <v>1</v>
      </c>
      <c r="B134" s="75"/>
      <c r="C134" s="75" t="s">
        <v>217</v>
      </c>
      <c r="D134" s="75"/>
      <c r="E134" s="57">
        <f>((3.5*6.4+1.8*3.65+2.45*3.95+3.2*4.05+3.45*4.7+3.45*4.55+1.65*0.95+1.65*1.05+1.55*2.45+1.55*2.65+2.95*1.25+2.45*2.55+1.4*1.8+1.7*0.8+5.1*1.15+1.4*2.45))*(10.764)</f>
        <v>1268.3759399999999</v>
      </c>
      <c r="F134" s="57">
        <f>(4.6*1.55)*(10.764)</f>
        <v>76.747319999999988</v>
      </c>
      <c r="G134" s="57">
        <f>0*(10.764)</f>
        <v>0</v>
      </c>
      <c r="H134" s="20">
        <v>0</v>
      </c>
      <c r="I134" s="20">
        <f t="shared" ref="I134:I139" si="11">E134+F134+(IF(H134&lt;101,H134,IF(H134&lt;201,H134/2,IF(H134&lt;=301,H134/3,H134/4))))</f>
        <v>1345.1232599999998</v>
      </c>
      <c r="J134" s="1"/>
      <c r="K134" s="1"/>
      <c r="L134" s="1"/>
      <c r="M134" s="1"/>
      <c r="N134" s="1"/>
      <c r="O134" s="1"/>
      <c r="P134" s="1"/>
      <c r="Q134" s="1"/>
      <c r="R134" s="1"/>
      <c r="S134" s="1"/>
      <c r="T134" s="1"/>
      <c r="U134" s="43" t="str">
        <f t="shared" ref="U134:U139" ca="1" si="12">V134&amp;""&amp;",..,"&amp;""&amp;W134</f>
        <v>601,..,2001</v>
      </c>
      <c r="V134" s="43">
        <f ca="1">(SUMPRODUCT(MID(0&amp;(LEFT(A133,SUM(LEN(A133)-LEN(SUBSTITUTE(A133,{"0","1","2","3"},""))))), LARGE(INDEX(ISNUMBER(--MID((LEFT(A133,SUM(LEN(A133)-LEN(SUBSTITUTE(A133,{"0","1","2","3"},""))))), ROW(INDIRECT("1:"&amp;LEN((LEFT(A133,SUM(LEN(A133)-LEN(SUBSTITUTE(A133,{"0","1","2","3"},"")))))))), 1)) * ROW(INDIRECT("1:"&amp;LEN((LEFT(A133,SUM(LEN(A133)-LEN(SUBSTITUTE(A133,{"0","1","2","3"},"")))))))), 0), ROW(INDIRECT("1:"&amp;LEN((LEFT(A133,SUM(LEN(A133)-LEN(SUBSTITUTE(A133,{"0","1","2","3"},"")))))))))+1, 1) * 10^ROW(INDIRECT("1:"&amp;LEN((LEFT(A133,SUM(LEN(A133)-LEN(SUBSTITUTE(A133,{"0","1","2","3"},""))))))))/10))*100+1</f>
        <v>601</v>
      </c>
      <c r="W134" s="43">
        <f ca="1">(SUMPRODUCT(MID(0&amp;(--TRIM(RIGHT(SUBSTITUTE(LEFT(A133,_xlfn.AGGREGATE(16,6,FIND({0,1,2,3,4,5,6,7,8,9},A133,ROW(INDIRECT("1:"&amp;LEN(A133)))),1))," ",REPT(" ",LEN(A133))),LEN(A133)))), LARGE(INDEX(ISNUMBER(--MID((--TRIM(RIGHT(SUBSTITUTE(LEFT(A133,_xlfn.AGGREGATE(16,6,FIND({0,1,2,3,4,5,6,7,8,9},A133,ROW(INDIRECT("1:"&amp;LEN(A133)))),1))," ",REPT(" ",LEN(A133))),LEN(A133)))), ROW(INDIRECT("1:"&amp;LEN((--TRIM(RIGHT(SUBSTITUTE(LEFT(A133,_xlfn.AGGREGATE(16,6,FIND({0,1,2,3,4,5,6,7,8,9},A133,ROW(INDIRECT("1:"&amp;LEN(A133)))),1))," ",REPT(" ",LEN(A133))),LEN(A133))))))), 1)) * ROW(INDIRECT("1:"&amp;LEN((--TRIM(RIGHT(SUBSTITUTE(LEFT(A133,_xlfn.AGGREGATE(16,6,FIND({0,1,2,3,4,5,6,7,8,9},A133,ROW(INDIRECT("1:"&amp;LEN(A133)))),1))," ",REPT(" ",LEN(A133))),LEN(A133))))))), 0), ROW(INDIRECT("1:"&amp;LEN((--TRIM(RIGHT(SUBSTITUTE(LEFT(A133,_xlfn.AGGREGATE(16,6,FIND({0,1,2,3,4,5,6,7,8,9},A133,ROW(INDIRECT("1:"&amp;LEN(A133)))),1))," ",REPT(" ",LEN(A133))),LEN(A133))))))))+1, 1) * 10^ROW(INDIRECT("1:"&amp;LEN((--TRIM(RIGHT(SUBSTITUTE(LEFT(A133,_xlfn.AGGREGATE(16,6,FIND({0,1,2,3,4,5,6,7,8,9},A133,ROW(INDIRECT("1:"&amp;LEN(A133)))),1))," ",REPT(" ",LEN(A133))),LEN(A133)))))))/10))*100+1</f>
        <v>2001</v>
      </c>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customHeight="1" x14ac:dyDescent="0.25">
      <c r="A135" s="73">
        <f>A134+1</f>
        <v>2</v>
      </c>
      <c r="B135" s="74"/>
      <c r="C135" s="160" t="s">
        <v>222</v>
      </c>
      <c r="D135" s="161"/>
      <c r="E135" s="161"/>
      <c r="F135" s="161"/>
      <c r="G135" s="161"/>
      <c r="H135" s="161"/>
      <c r="I135" s="162"/>
      <c r="J135" s="1"/>
      <c r="K135" s="1"/>
      <c r="L135" s="1"/>
      <c r="M135" s="1"/>
      <c r="N135" s="1"/>
      <c r="O135" s="1"/>
      <c r="P135" s="1"/>
      <c r="Q135" s="1"/>
      <c r="R135" s="1"/>
      <c r="S135" s="1"/>
      <c r="T135" s="1"/>
      <c r="U135" s="43" t="str">
        <f t="shared" ca="1" si="12"/>
        <v>602,..,2002</v>
      </c>
      <c r="V135" s="43">
        <f ca="1">V134+1</f>
        <v>602</v>
      </c>
      <c r="W135" s="43">
        <f ca="1">W134+1</f>
        <v>2002</v>
      </c>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customHeight="1" x14ac:dyDescent="0.25">
      <c r="A136" s="73">
        <f t="shared" ref="A136:A139" si="13">A135+1</f>
        <v>3</v>
      </c>
      <c r="B136" s="74"/>
      <c r="C136" s="87"/>
      <c r="D136" s="88"/>
      <c r="E136" s="88"/>
      <c r="F136" s="88"/>
      <c r="G136" s="88"/>
      <c r="H136" s="88"/>
      <c r="I136" s="163"/>
      <c r="J136" s="1"/>
      <c r="K136" s="1"/>
      <c r="L136" s="1"/>
      <c r="M136" s="1"/>
      <c r="N136" s="1"/>
      <c r="O136" s="1"/>
      <c r="P136" s="1"/>
      <c r="Q136" s="1"/>
      <c r="R136" s="1"/>
      <c r="S136" s="1"/>
      <c r="T136" s="1"/>
      <c r="U136" s="43" t="str">
        <f t="shared" ca="1" si="12"/>
        <v>603,..,2003</v>
      </c>
      <c r="V136" s="43">
        <f t="shared" ref="V136:W139" ca="1" si="14">V135+1</f>
        <v>603</v>
      </c>
      <c r="W136" s="43">
        <f t="shared" ca="1" si="14"/>
        <v>2003</v>
      </c>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customHeight="1" x14ac:dyDescent="0.25">
      <c r="A137" s="73">
        <f t="shared" si="13"/>
        <v>4</v>
      </c>
      <c r="B137" s="74"/>
      <c r="C137" s="75" t="s">
        <v>217</v>
      </c>
      <c r="D137" s="75"/>
      <c r="E137" s="57">
        <f>((3.35*6.45+5.95*1.1+2.45*3+3.05*3.55+3.35*4.75+3.35*3.75+2.05*1.05+2.05*0.15+1.65*1.5+1.65*1.45+1.55*2.45+1.55*2.45+1.3*1.1+1.5*1.5+1.5*1.55+1.4*2.6+2.4*1.2))*(10.764)</f>
        <v>1100.64591</v>
      </c>
      <c r="F137" s="57">
        <f>(2.65*1.35)*(10.764)</f>
        <v>38.508209999999998</v>
      </c>
      <c r="G137" s="57">
        <f>0*(10.764)</f>
        <v>0</v>
      </c>
      <c r="H137" s="20">
        <v>0</v>
      </c>
      <c r="I137" s="20">
        <f t="shared" si="11"/>
        <v>1139.1541199999999</v>
      </c>
      <c r="J137" s="1"/>
      <c r="K137" s="1"/>
      <c r="L137" s="1"/>
      <c r="M137" s="1"/>
      <c r="N137" s="1"/>
      <c r="O137" s="1"/>
      <c r="P137" s="1"/>
      <c r="Q137" s="1"/>
      <c r="R137" s="1"/>
      <c r="S137" s="1"/>
      <c r="T137" s="1"/>
      <c r="U137" s="43" t="str">
        <f t="shared" ca="1" si="12"/>
        <v>604,..,2004</v>
      </c>
      <c r="V137" s="43">
        <f t="shared" ca="1" si="14"/>
        <v>604</v>
      </c>
      <c r="W137" s="43">
        <f t="shared" ca="1" si="14"/>
        <v>2004</v>
      </c>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25">
      <c r="A138" s="73">
        <f t="shared" si="13"/>
        <v>5</v>
      </c>
      <c r="B138" s="74"/>
      <c r="C138" s="75" t="s">
        <v>218</v>
      </c>
      <c r="D138" s="75"/>
      <c r="E138" s="57">
        <f>((3.2*6+1.35*1.2+3.05*2.4+3.05*3.65+3.5*3.95+5.15*1+0.95*0.75+2.45*1.55+1.55*2.4+2.15*1.5+2.53*0.6))*(10.764)</f>
        <v>766.61746199999993</v>
      </c>
      <c r="F138" s="57">
        <f>(3*1.15)*(10.764)</f>
        <v>37.135799999999996</v>
      </c>
      <c r="G138" s="57">
        <f>0*(10.764)</f>
        <v>0</v>
      </c>
      <c r="H138" s="20">
        <v>0</v>
      </c>
      <c r="I138" s="20">
        <f t="shared" si="11"/>
        <v>803.75326199999995</v>
      </c>
      <c r="J138" s="1"/>
      <c r="K138" s="1"/>
      <c r="L138" s="1"/>
      <c r="M138" s="1"/>
      <c r="N138" s="1"/>
      <c r="O138" s="1"/>
      <c r="P138" s="1"/>
      <c r="Q138" s="1"/>
      <c r="R138" s="1"/>
      <c r="S138" s="1"/>
      <c r="T138" s="1"/>
      <c r="U138" s="43" t="str">
        <f t="shared" ca="1" si="12"/>
        <v>605,..,2005</v>
      </c>
      <c r="V138" s="43">
        <f t="shared" ca="1" si="14"/>
        <v>605</v>
      </c>
      <c r="W138" s="43">
        <f t="shared" ca="1" si="14"/>
        <v>2005</v>
      </c>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25">
      <c r="A139" s="73">
        <f t="shared" si="13"/>
        <v>6</v>
      </c>
      <c r="B139" s="74"/>
      <c r="C139" s="75" t="s">
        <v>218</v>
      </c>
      <c r="D139" s="75"/>
      <c r="E139" s="57">
        <f>((3.2*6+1.35*1.2+3.05*2.4+3.05*3.65+3.5*3.95+5.15*1+0.95*0.75+2.45*1.55+1.55*2.4+1.4*2.4+2.53*0.6))*(10.764)</f>
        <v>768.07060200000001</v>
      </c>
      <c r="F139" s="57">
        <f>(3*1.15)*(10.764)</f>
        <v>37.135799999999996</v>
      </c>
      <c r="G139" s="57">
        <f>0*(10.764)</f>
        <v>0</v>
      </c>
      <c r="H139" s="20">
        <v>0</v>
      </c>
      <c r="I139" s="20">
        <f t="shared" si="11"/>
        <v>805.20640200000003</v>
      </c>
      <c r="J139" s="1"/>
      <c r="K139" s="1"/>
      <c r="L139" s="1"/>
      <c r="M139" s="1"/>
      <c r="N139" s="1"/>
      <c r="O139" s="1"/>
      <c r="P139" s="1"/>
      <c r="Q139" s="1"/>
      <c r="R139" s="1"/>
      <c r="S139" s="1"/>
      <c r="T139" s="1"/>
      <c r="U139" s="43" t="str">
        <f t="shared" ca="1" si="12"/>
        <v>606,..,2006</v>
      </c>
      <c r="V139" s="43">
        <f t="shared" ca="1" si="14"/>
        <v>606</v>
      </c>
      <c r="W139" s="43">
        <f t="shared" ca="1" si="14"/>
        <v>2006</v>
      </c>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x14ac:dyDescent="0.25">
      <c r="A140" s="84" t="s">
        <v>223</v>
      </c>
      <c r="B140" s="85"/>
      <c r="C140" s="85"/>
      <c r="D140" s="85"/>
      <c r="E140" s="85"/>
      <c r="F140" s="85"/>
      <c r="G140" s="85"/>
      <c r="H140" s="85"/>
      <c r="I140" s="89"/>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x14ac:dyDescent="0.25">
      <c r="A141" s="75">
        <v>1</v>
      </c>
      <c r="B141" s="75"/>
      <c r="C141" s="75" t="s">
        <v>217</v>
      </c>
      <c r="D141" s="75"/>
      <c r="E141" s="57">
        <f>((3.5*6.4+1.8*3.65+2.45*3.95+3.2*4.05+3.45*4.7+3.45*4.55+1.65*0.95+1.65*1.05+1.55*2.45+1.55*2.65+2.95*1.25+2.45*2.55+1.4*1.8+1.7*0.8+5.1*1.15+1.4*2.45))*(10.764)</f>
        <v>1268.3759399999999</v>
      </c>
      <c r="F141" s="57">
        <f>(4.6*1.55)*(10.764)</f>
        <v>76.747319999999988</v>
      </c>
      <c r="G141" s="57">
        <f>0*(10.764)</f>
        <v>0</v>
      </c>
      <c r="H141" s="20">
        <v>0</v>
      </c>
      <c r="I141" s="20">
        <f>E141+F141+(IF(H141&lt;101,H141,IF(H141&lt;201,H141/2,IF(H141&lt;=301,H141/3,H141/4))))</f>
        <v>1345.1232599999998</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x14ac:dyDescent="0.25">
      <c r="A142" s="73">
        <f>A141+1</f>
        <v>2</v>
      </c>
      <c r="B142" s="74"/>
      <c r="C142" s="160" t="s">
        <v>222</v>
      </c>
      <c r="D142" s="161"/>
      <c r="E142" s="161"/>
      <c r="F142" s="161"/>
      <c r="G142" s="161"/>
      <c r="H142" s="161"/>
      <c r="I142" s="162"/>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x14ac:dyDescent="0.25">
      <c r="A143" s="73">
        <f t="shared" ref="A143:A146" si="15">A142+1</f>
        <v>3</v>
      </c>
      <c r="B143" s="74"/>
      <c r="C143" s="87"/>
      <c r="D143" s="88"/>
      <c r="E143" s="88"/>
      <c r="F143" s="88"/>
      <c r="G143" s="88"/>
      <c r="H143" s="88"/>
      <c r="I143" s="16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25">
      <c r="A144" s="73">
        <f t="shared" si="15"/>
        <v>4</v>
      </c>
      <c r="B144" s="74"/>
      <c r="C144" s="75" t="s">
        <v>217</v>
      </c>
      <c r="D144" s="75"/>
      <c r="E144" s="57">
        <f>((3.35*6.45+5.95*1.1+2.45*3+3.05*3.55+3.35*4.75+3.35*3.75+2.05*1.05+2.05*0.15+1.65*1.5+1.65*1.45+1.55*2.45+1.55*2.45+1.3*1.1+1.5*1.5+1.5*1.55+1.4*2.6+2.4*1.2))*(10.764)</f>
        <v>1100.64591</v>
      </c>
      <c r="F144" s="57">
        <f>(2.65*1.35)*(10.764)</f>
        <v>38.508209999999998</v>
      </c>
      <c r="G144" s="57">
        <f>0*(10.764)</f>
        <v>0</v>
      </c>
      <c r="H144" s="20">
        <v>0</v>
      </c>
      <c r="I144" s="55">
        <f t="shared" ref="I144:I145" si="16">E144+F144+(IF(H144&lt;101,H144,IF(H144&lt;201,H144/2,IF(H144&lt;=301,H144/3,H144/4))))</f>
        <v>1139.1541199999999</v>
      </c>
      <c r="J144" s="1"/>
      <c r="K144" s="56"/>
      <c r="L144" s="83"/>
      <c r="M144" s="83"/>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customHeight="1" x14ac:dyDescent="0.25">
      <c r="A145" s="73">
        <f t="shared" si="15"/>
        <v>5</v>
      </c>
      <c r="B145" s="74"/>
      <c r="C145" s="75" t="s">
        <v>224</v>
      </c>
      <c r="D145" s="75"/>
      <c r="E145" s="57">
        <f>((6.05*6.65+4.15*2.85+3.3*4.1+3.5*4.95+3.3*4.55+3.5*4.95+3.05*2.4+1.55*2.45+2.45*1.55+1.35*1.3+1.55*0.5+3.75*1.05+2.1*0.95+1.4*1.3+0.6*2.53+3.75*1.05+2.45*1.55+0.95*0.9+1.3*1.65+2.15*1.5+1.55*2.5+0.5*3.65))*(10.764)</f>
        <v>1739.790702</v>
      </c>
      <c r="F145" s="57">
        <f>(6.45*1.5)*(10.764)</f>
        <v>104.1417</v>
      </c>
      <c r="G145" s="57">
        <f>0*(10.764)</f>
        <v>0</v>
      </c>
      <c r="H145" s="20">
        <v>0</v>
      </c>
      <c r="I145" s="55">
        <f t="shared" si="16"/>
        <v>1843.9324019999999</v>
      </c>
      <c r="J145" s="1"/>
      <c r="K145" s="56"/>
      <c r="L145" s="83"/>
      <c r="M145" s="83"/>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25">
      <c r="A146" s="73">
        <f t="shared" si="15"/>
        <v>6</v>
      </c>
      <c r="B146" s="74"/>
      <c r="C146" s="75" t="s">
        <v>111</v>
      </c>
      <c r="D146" s="75"/>
      <c r="E146" s="87" t="s">
        <v>111</v>
      </c>
      <c r="F146" s="88"/>
      <c r="G146" s="88"/>
      <c r="H146" s="74"/>
      <c r="I146" s="55">
        <v>0</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x14ac:dyDescent="0.25">
      <c r="A147" s="76" t="s">
        <v>225</v>
      </c>
      <c r="B147" s="77"/>
      <c r="C147" s="77"/>
      <c r="D147" s="77"/>
      <c r="E147" s="77"/>
      <c r="F147" s="77"/>
      <c r="G147" s="77"/>
      <c r="H147" s="77"/>
      <c r="I147" s="77"/>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25">
      <c r="A148" s="75">
        <v>1</v>
      </c>
      <c r="B148" s="75"/>
      <c r="C148" s="75" t="s">
        <v>217</v>
      </c>
      <c r="D148" s="75"/>
      <c r="E148" s="57">
        <f>((3.5*6.4+1.8*3.65+2.45*3.95+3.2*4.05+3.45*4.7+3.45*4.55+1.65*0.95+1.65*1.05+1.55*2.45+1.55*2.65+2.95*1.25+2.45*2.55+1.4*1.8+1.7*0.8+5.1*1.15+1.4*2.45))*(10.764)</f>
        <v>1268.3759399999999</v>
      </c>
      <c r="F148" s="57">
        <f>(4.6*1.55)*(10.764)</f>
        <v>76.747319999999988</v>
      </c>
      <c r="G148" s="57">
        <f>0*(10.764)</f>
        <v>0</v>
      </c>
      <c r="H148" s="20">
        <v>0</v>
      </c>
      <c r="I148" s="55">
        <f t="shared" ref="I148:I152" si="17">E148+F148+(IF(H148&lt;101,H148,IF(H148&lt;201,H148/2,IF(H148&lt;=301,H148/3,H148/4))))</f>
        <v>1345.1232599999998</v>
      </c>
      <c r="J148" s="1"/>
      <c r="K148" s="1"/>
      <c r="L148" s="1"/>
      <c r="M148" s="1"/>
      <c r="N148" s="1"/>
      <c r="O148" s="1"/>
      <c r="P148" s="1"/>
      <c r="Q148" s="1"/>
      <c r="R148" s="1"/>
      <c r="S148" s="1"/>
      <c r="T148" s="1"/>
      <c r="U148" s="43" t="str">
        <f ca="1">V148&amp;""&amp;" to "&amp;""&amp;W148</f>
        <v>2801 to 3001</v>
      </c>
      <c r="V148" s="43">
        <f ca="1">(SUMPRODUCT(MID(0&amp;(LEFT(A147,SUM(LEN(A147)-LEN(SUBSTITUTE(A147,{"0","1","2","3"},""))))), LARGE(INDEX(ISNUMBER(--MID((LEFT(A147,SUM(LEN(A147)-LEN(SUBSTITUTE(A147,{"0","1","2","3"},""))))), ROW(INDIRECT("1:"&amp;LEN((LEFT(A147,SUM(LEN(A147)-LEN(SUBSTITUTE(A147,{"0","1","2","3"},"")))))))), 1)) * ROW(INDIRECT("1:"&amp;LEN((LEFT(A147,SUM(LEN(A147)-LEN(SUBSTITUTE(A147,{"0","1","2","3"},"")))))))), 0), ROW(INDIRECT("1:"&amp;LEN((LEFT(A147,SUM(LEN(A147)-LEN(SUBSTITUTE(A147,{"0","1","2","3"},"")))))))))+1, 1) * 10^ROW(INDIRECT("1:"&amp;LEN((LEFT(A147,SUM(LEN(A147)-LEN(SUBSTITUTE(A147,{"0","1","2","3"},""))))))))/10))*100+1</f>
        <v>2801</v>
      </c>
      <c r="W148" s="43">
        <f ca="1">(SUMPRODUCT(MID(0&amp;(--TRIM(RIGHT(SUBSTITUTE(LEFT(A147,_xlfn.AGGREGATE(16,6,FIND({0,1,2,3,4,5,6,7,8,9},A147,ROW(INDIRECT("1:"&amp;LEN(A147)))),1)),"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",LEN(A147))),LEN(A147)))))))/10))*100+1</f>
        <v>3001</v>
      </c>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25">
      <c r="A149" s="73">
        <f>A148+1</f>
        <v>2</v>
      </c>
      <c r="B149" s="74"/>
      <c r="C149" s="75" t="s">
        <v>218</v>
      </c>
      <c r="D149" s="75"/>
      <c r="E149" s="57">
        <f>((3.2*6+1.35*1.2+3.05*2.4+3.05*3.65+3.5*3.95+5.15*1+0.95*0.75+2.45*1.55+1.55*2.4+2.15*1.5+2.53*0.6))*(10.764)</f>
        <v>766.61746199999993</v>
      </c>
      <c r="F149" s="57">
        <f>(3.2*1.15)*(10.764)</f>
        <v>39.611519999999992</v>
      </c>
      <c r="G149" s="57">
        <f>0*(10.764)</f>
        <v>0</v>
      </c>
      <c r="H149" s="20">
        <v>0</v>
      </c>
      <c r="I149" s="55">
        <f t="shared" si="17"/>
        <v>806.22898199999997</v>
      </c>
      <c r="J149" s="1"/>
      <c r="K149" s="1"/>
      <c r="L149" s="1"/>
      <c r="M149" s="1"/>
      <c r="N149" s="1"/>
      <c r="O149" s="1"/>
      <c r="P149" s="1"/>
      <c r="Q149" s="1"/>
      <c r="R149" s="1"/>
      <c r="S149" s="1"/>
      <c r="T149" s="1"/>
      <c r="U149" s="43" t="str">
        <f t="shared" ref="U149:U152" ca="1" si="18">V149&amp;""&amp;" to "&amp;""&amp;W149</f>
        <v>2802 to 3002</v>
      </c>
      <c r="V149" s="43">
        <f ca="1">V148+1</f>
        <v>2802</v>
      </c>
      <c r="W149" s="43">
        <f ca="1">W148+1</f>
        <v>3002</v>
      </c>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25">
      <c r="A150" s="73">
        <f t="shared" ref="A150:A152" si="19">A149+1</f>
        <v>3</v>
      </c>
      <c r="B150" s="74"/>
      <c r="C150" s="73" t="s">
        <v>218</v>
      </c>
      <c r="D150" s="74"/>
      <c r="E150" s="57">
        <f>((3.2*6+1.35*1.2+3.05*2.4+3.05*3.65+3.5*3.95+5.15*1+0.95*0.75+2.45*1.55+1.55*2.4+2.15*1.5+2.53*0.6))*(10.764)</f>
        <v>766.61746199999993</v>
      </c>
      <c r="F150" s="57">
        <f>(3.2*1.15)*(10.764)</f>
        <v>39.611519999999992</v>
      </c>
      <c r="G150" s="57">
        <f>0*(10.764)</f>
        <v>0</v>
      </c>
      <c r="H150" s="20">
        <v>0</v>
      </c>
      <c r="I150" s="55">
        <f t="shared" si="17"/>
        <v>806.22898199999997</v>
      </c>
      <c r="J150" s="1"/>
      <c r="K150" s="1"/>
      <c r="L150" s="1"/>
      <c r="M150" s="1"/>
      <c r="N150" s="1"/>
      <c r="O150" s="1"/>
      <c r="P150" s="1"/>
      <c r="Q150" s="1"/>
      <c r="R150" s="1"/>
      <c r="S150" s="1"/>
      <c r="T150" s="1"/>
      <c r="U150" s="43" t="str">
        <f t="shared" ca="1" si="18"/>
        <v>2803 to 3003</v>
      </c>
      <c r="V150" s="43">
        <f t="shared" ref="V150:W152" ca="1" si="20">V149+1</f>
        <v>2803</v>
      </c>
      <c r="W150" s="43">
        <f t="shared" ca="1" si="20"/>
        <v>3003</v>
      </c>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25">
      <c r="A151" s="73">
        <f t="shared" si="19"/>
        <v>4</v>
      </c>
      <c r="B151" s="74"/>
      <c r="C151" s="75" t="s">
        <v>217</v>
      </c>
      <c r="D151" s="75"/>
      <c r="E151" s="57">
        <f>((3.35*6.45+5.95*1.1+2.45*3+3.05*3.55+3.35*4.75+3.35*3.75+2.05*1.05+2.05*0.15+1.65*1.5+1.65*1.45+1.55*2.45+1.55*2.45+1.3*1.1+1.5*1.5+1.5*1.55+1.4*2.6+2.4*1.2))*(10.764)</f>
        <v>1100.64591</v>
      </c>
      <c r="F151" s="57">
        <f>(2.65*1.35)*(10.764)</f>
        <v>38.508209999999998</v>
      </c>
      <c r="G151" s="57">
        <f>0*(10.764)</f>
        <v>0</v>
      </c>
      <c r="H151" s="20">
        <v>0</v>
      </c>
      <c r="I151" s="55">
        <f t="shared" si="17"/>
        <v>1139.1541199999999</v>
      </c>
      <c r="J151" s="1"/>
      <c r="K151" s="1"/>
      <c r="L151" s="1"/>
      <c r="M151" s="1"/>
      <c r="N151" s="1"/>
      <c r="O151" s="1"/>
      <c r="P151" s="1"/>
      <c r="Q151" s="1"/>
      <c r="R151" s="1"/>
      <c r="S151" s="1"/>
      <c r="T151" s="1"/>
      <c r="U151" s="43" t="str">
        <f t="shared" ca="1" si="18"/>
        <v>2804 to 3004</v>
      </c>
      <c r="V151" s="43">
        <f t="shared" ca="1" si="20"/>
        <v>2804</v>
      </c>
      <c r="W151" s="43">
        <f t="shared" ca="1" si="20"/>
        <v>3004</v>
      </c>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customHeight="1" x14ac:dyDescent="0.25">
      <c r="A152" s="73">
        <f t="shared" si="19"/>
        <v>5</v>
      </c>
      <c r="B152" s="74"/>
      <c r="C152" s="75" t="s">
        <v>224</v>
      </c>
      <c r="D152" s="75"/>
      <c r="E152" s="57">
        <f>((6.05*6.65+4.15*2.85+3.3*4.1+3.5*4.95+3.3*4.55+3.5*4.95+3.05*2.4+1.55*2.45+2.45*1.55+1.35*1.3+1.55*0.5+3.75*1.05+2.1*0.95+1.4*1.3+0.6*2.53+3.75*1.05+2.45*1.55+0.95*0.9+1.3*1.65+2.15*1.5+1.55*2.5+0.5*3.65))*(10.764)</f>
        <v>1739.790702</v>
      </c>
      <c r="F152" s="57">
        <f>(6.45*1.5)*(10.764)</f>
        <v>104.1417</v>
      </c>
      <c r="G152" s="57">
        <f>0*(10.764)</f>
        <v>0</v>
      </c>
      <c r="H152" s="20">
        <v>0</v>
      </c>
      <c r="I152" s="55">
        <f t="shared" si="17"/>
        <v>1843.9324019999999</v>
      </c>
      <c r="J152" s="1"/>
      <c r="K152" s="1"/>
      <c r="L152" s="1"/>
      <c r="M152" s="1"/>
      <c r="N152" s="1"/>
      <c r="O152" s="1"/>
      <c r="P152" s="1"/>
      <c r="Q152" s="1"/>
      <c r="R152" s="1"/>
      <c r="S152" s="1"/>
      <c r="T152" s="1"/>
      <c r="U152" s="43" t="str">
        <f t="shared" ca="1" si="18"/>
        <v>2805 to 3005</v>
      </c>
      <c r="V152" s="43">
        <f t="shared" ca="1" si="20"/>
        <v>2805</v>
      </c>
      <c r="W152" s="43">
        <f t="shared" ca="1" si="20"/>
        <v>3005</v>
      </c>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x14ac:dyDescent="0.25">
      <c r="A153" s="84" t="s">
        <v>226</v>
      </c>
      <c r="B153" s="85"/>
      <c r="C153" s="85"/>
      <c r="D153" s="85"/>
      <c r="E153" s="85"/>
      <c r="F153" s="85"/>
      <c r="G153" s="85"/>
      <c r="H153" s="85"/>
      <c r="I153" s="85"/>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x14ac:dyDescent="0.25">
      <c r="A154" s="75">
        <f>LEFT(A153,SUM(LEN(A153)-LEN(SUBSTITUTE(A153,{"0","1","2","3","4","5","6","7","8","9"},""))))*100+1</f>
        <v>3101</v>
      </c>
      <c r="B154" s="75"/>
      <c r="C154" s="75" t="s">
        <v>217</v>
      </c>
      <c r="D154" s="75"/>
      <c r="E154" s="57">
        <f>((3.5*6.4+1.8*3.65+2.45*3.95+3.2*4.05+3.45*4.7+3.45*4.55+1.65*0.95+1.65*1.05+1.55*2.45+1.55*2.65+2.95*1.25+2.45*2.55+1.4*1.8+1.7*0.8+5.1*1.15+1.4*2.45))*(10.764)</f>
        <v>1268.3759399999999</v>
      </c>
      <c r="F154" s="57">
        <f>(4.6*1.55)*(10.764)</f>
        <v>76.747319999999988</v>
      </c>
      <c r="G154" s="57">
        <f>0*(10.764)</f>
        <v>0</v>
      </c>
      <c r="H154" s="20">
        <v>0</v>
      </c>
      <c r="I154" s="55">
        <f>E154+F154+(IF(H154&lt;101,H154,IF(H154&lt;201,H154/2,IF(H154&lt;=301,H154/3,H154/4))))</f>
        <v>1345.1232599999998</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x14ac:dyDescent="0.25">
      <c r="A155" s="73">
        <f>A154+1</f>
        <v>3102</v>
      </c>
      <c r="B155" s="74"/>
      <c r="C155" s="75" t="s">
        <v>218</v>
      </c>
      <c r="D155" s="75"/>
      <c r="E155" s="57">
        <f>((3.2*6+1.35*1.2+3.05*2.4+3.05*3.65+3.5*3.95+5.15*1+0.95*0.75+2.45*1.55+1.55*2.4+2.15*1.5+2.53*0.6))*(10.764)</f>
        <v>766.61746199999993</v>
      </c>
      <c r="F155" s="57">
        <f>(3.2*1.15)*(10.764)</f>
        <v>39.611519999999992</v>
      </c>
      <c r="G155" s="57">
        <f>0*(10.764)</f>
        <v>0</v>
      </c>
      <c r="H155" s="20">
        <v>0</v>
      </c>
      <c r="I155" s="55">
        <f t="shared" ref="I155:I158" si="21">E155+F155+(IF(H155&lt;101,H155,IF(H155&lt;201,H155/2,IF(H155&lt;=301,H155/3,H155/4))))</f>
        <v>806.22898199999997</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x14ac:dyDescent="0.25">
      <c r="A156" s="73">
        <f t="shared" ref="A156:A158" si="22">A155+1</f>
        <v>3103</v>
      </c>
      <c r="B156" s="74"/>
      <c r="C156" s="75" t="s">
        <v>218</v>
      </c>
      <c r="D156" s="75"/>
      <c r="E156" s="57">
        <f>((3.2*6+1.35*1.2+3.05*2.4+3.05*3.65+3.5*3.95+5.15*1+0.95*0.75+2.45*1.55+1.55*2.4+2.15*1.5+2.53*0.6))*(10.764)</f>
        <v>766.61746199999993</v>
      </c>
      <c r="F156" s="57">
        <f>(3.2*1.15)*(10.764)</f>
        <v>39.611519999999992</v>
      </c>
      <c r="G156" s="57">
        <f>0*(10.764)</f>
        <v>0</v>
      </c>
      <c r="H156" s="20">
        <v>0</v>
      </c>
      <c r="I156" s="55">
        <f t="shared" si="21"/>
        <v>806.22898199999997</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25">
      <c r="A157" s="73">
        <f t="shared" si="22"/>
        <v>3104</v>
      </c>
      <c r="B157" s="74"/>
      <c r="C157" s="73" t="s">
        <v>227</v>
      </c>
      <c r="D157" s="164"/>
      <c r="E157" s="164"/>
      <c r="F157" s="164"/>
      <c r="G157" s="164"/>
      <c r="H157" s="164"/>
      <c r="I157" s="164"/>
      <c r="J157" s="1"/>
      <c r="K157" s="56"/>
      <c r="L157" s="83"/>
      <c r="M157" s="83"/>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25">
      <c r="A158" s="73">
        <f t="shared" si="22"/>
        <v>3105</v>
      </c>
      <c r="B158" s="74"/>
      <c r="C158" s="75" t="s">
        <v>224</v>
      </c>
      <c r="D158" s="75"/>
      <c r="E158" s="57">
        <f>((6.05*6.65+4.15*2.85+3.3*4.1+3.5*4.95+3.3*4.55+3.5*4.95+3.05*2.4+1.55*2.45+2.45*1.55+1.35*1.3+1.55*0.5+3.75*1.05+2.1*0.95+1.4*1.3+0.6*2.53+3.75*1.05+2.45*1.55+0.95*0.9+1.3*1.65+2.15*1.5+1.55*2.5+0.5*3.65))*(10.764)</f>
        <v>1739.790702</v>
      </c>
      <c r="F158" s="57">
        <f>(6.45*1.5)*(10.764)</f>
        <v>104.1417</v>
      </c>
      <c r="G158" s="57">
        <f>0*(10.764)</f>
        <v>0</v>
      </c>
      <c r="H158" s="20">
        <v>0</v>
      </c>
      <c r="I158" s="55">
        <f t="shared" si="21"/>
        <v>1843.9324019999999</v>
      </c>
      <c r="J158" s="1"/>
      <c r="K158" s="56"/>
      <c r="L158" s="83"/>
      <c r="M158" s="83"/>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x14ac:dyDescent="0.25">
      <c r="A159" s="76" t="s">
        <v>230</v>
      </c>
      <c r="B159" s="77"/>
      <c r="C159" s="77"/>
      <c r="D159" s="77"/>
      <c r="E159" s="77"/>
      <c r="F159" s="77"/>
      <c r="G159" s="77"/>
      <c r="H159" s="77"/>
      <c r="I159" s="77"/>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x14ac:dyDescent="0.25">
      <c r="A160" s="76" t="s">
        <v>210</v>
      </c>
      <c r="B160" s="77"/>
      <c r="C160" s="77"/>
      <c r="D160" s="77"/>
      <c r="E160" s="77"/>
      <c r="F160" s="77"/>
      <c r="G160" s="77"/>
      <c r="H160" s="77"/>
      <c r="I160" s="77"/>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x14ac:dyDescent="0.25">
      <c r="A161" s="84" t="s">
        <v>219</v>
      </c>
      <c r="B161" s="85"/>
      <c r="C161" s="85"/>
      <c r="D161" s="85"/>
      <c r="E161" s="85"/>
      <c r="F161" s="85"/>
      <c r="G161" s="85"/>
      <c r="H161" s="85"/>
      <c r="I161" s="85"/>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x14ac:dyDescent="0.25">
      <c r="A162" s="75">
        <f>LEFT(A161,SUM(LEN(A161)-LEN(SUBSTITUTE(A161,{"0","1","2","3","4","5","6","7","8","9"},""))))*100+1</f>
        <v>101</v>
      </c>
      <c r="B162" s="75"/>
      <c r="C162" s="75" t="s">
        <v>217</v>
      </c>
      <c r="D162" s="75"/>
      <c r="E162" s="57">
        <f>((3.35*6.45+5.95*1.1+2.45*3+3.05*3.55+3.35*4.75+3.35*3.75+2.05*1.05+2.05*0.15+1.65*1.5+1.65*1.45+1.55*2.45+1.55*2.45+1.3*1.1+1.5*1.5+1.5*1.55+1.4*2.6+2.4*1.2))*(10.764)</f>
        <v>1100.64591</v>
      </c>
      <c r="F162" s="57">
        <f>(2.65*1.35)*(10.764)</f>
        <v>38.508209999999998</v>
      </c>
      <c r="G162" s="57">
        <f t="shared" ref="G162:G168" si="23">0*(10.764)</f>
        <v>0</v>
      </c>
      <c r="H162" s="20">
        <v>0</v>
      </c>
      <c r="I162" s="55">
        <f>E162+F162+(IF(H162&lt;101,H162,IF(H162&lt;201,H162/2,IF(H162&lt;=301,H162/3,H162/4))))</f>
        <v>1139.1541199999999</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x14ac:dyDescent="0.25">
      <c r="A163" s="73">
        <f>A162+1</f>
        <v>102</v>
      </c>
      <c r="B163" s="74"/>
      <c r="C163" s="75" t="s">
        <v>218</v>
      </c>
      <c r="D163" s="75"/>
      <c r="E163" s="57">
        <f>((3.2*6+1.35*1.2+3.05*2.4+3.05*3.65+3.5*3.95+5.15*1+0.95*0.75+2.45*1.55+1.55*2.4+2.15*1.5+2.53*0.6))*(10.764)</f>
        <v>766.61746199999993</v>
      </c>
      <c r="F163" s="57">
        <f>(3.2*1.15)*(10.764)</f>
        <v>39.611519999999992</v>
      </c>
      <c r="G163" s="57">
        <f t="shared" si="23"/>
        <v>0</v>
      </c>
      <c r="H163" s="20">
        <v>0</v>
      </c>
      <c r="I163" s="55">
        <f t="shared" ref="I163:I168" si="24">E163+F163+(IF(H163&lt;101,H163,IF(H163&lt;201,H163/2,IF(H163&lt;=301,H163/3,H163/4))))</f>
        <v>806.22898199999997</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x14ac:dyDescent="0.25">
      <c r="A164" s="73">
        <f t="shared" ref="A164:A168" si="25">A163+1</f>
        <v>103</v>
      </c>
      <c r="B164" s="74"/>
      <c r="C164" s="75" t="s">
        <v>218</v>
      </c>
      <c r="D164" s="75"/>
      <c r="E164" s="57">
        <f>((3.2*6+1.35*1.2+2.45*3.25+1.55*1.63+3.05*3.8+3.5*3.95+5.8*1+0.95*0.9+2.45*1.4+2.3*1.55+2.13*1.15))*(10.764)</f>
        <v>783.87215399999991</v>
      </c>
      <c r="F164" s="57">
        <f>(2.95*1.15)*(10.764)</f>
        <v>36.516869999999997</v>
      </c>
      <c r="G164" s="57">
        <f t="shared" si="23"/>
        <v>0</v>
      </c>
      <c r="H164" s="20">
        <v>0</v>
      </c>
      <c r="I164" s="55">
        <f t="shared" si="24"/>
        <v>820.38902399999995</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25">
      <c r="A165" s="73">
        <f t="shared" si="25"/>
        <v>104</v>
      </c>
      <c r="B165" s="74"/>
      <c r="C165" s="75" t="s">
        <v>253</v>
      </c>
      <c r="D165" s="75"/>
      <c r="E165" s="57">
        <f>((3.05*7.2+0.9*3.92+2.55*1.15+2.45*3.05+3.05*3.4+3.2*4.45+2.55*3.2+5.22*1+2.45*1.55+1.55*2.45+1.55*1.55+2.4*1.2))*(10.764)</f>
        <v>933.89002199999982</v>
      </c>
      <c r="F165" s="57">
        <f>0*(10.764)</f>
        <v>0</v>
      </c>
      <c r="G165" s="57">
        <f t="shared" si="23"/>
        <v>0</v>
      </c>
      <c r="H165" s="20">
        <v>0</v>
      </c>
      <c r="I165" s="55">
        <f t="shared" si="24"/>
        <v>933.89002199999982</v>
      </c>
      <c r="J165" s="1"/>
      <c r="K165" s="56"/>
      <c r="L165" s="83"/>
      <c r="M165" s="83"/>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25">
      <c r="A166" s="73">
        <f t="shared" si="25"/>
        <v>105</v>
      </c>
      <c r="B166" s="74"/>
      <c r="C166" s="75" t="s">
        <v>253</v>
      </c>
      <c r="D166" s="75"/>
      <c r="E166" s="57">
        <f>((3.05*7.2+0.9*3.92+2.55*1.15+2.45*3.05+3.05*3.4+3.2*4.45+2.55*3.2+5.22*1+2.45*1.55+1.55*2.45+1.55*1.55+2.4*1.2))*(10.764)</f>
        <v>933.89002199999982</v>
      </c>
      <c r="F166" s="57">
        <f>0*(10.764)</f>
        <v>0</v>
      </c>
      <c r="G166" s="57">
        <f t="shared" si="23"/>
        <v>0</v>
      </c>
      <c r="H166" s="20">
        <v>0</v>
      </c>
      <c r="I166" s="55">
        <f t="shared" si="24"/>
        <v>933.89002199999982</v>
      </c>
      <c r="J166" s="1"/>
      <c r="K166" s="56"/>
      <c r="L166" s="83"/>
      <c r="M166" s="83"/>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25">
      <c r="A167" s="73">
        <f t="shared" si="25"/>
        <v>106</v>
      </c>
      <c r="B167" s="74"/>
      <c r="C167" s="75" t="s">
        <v>218</v>
      </c>
      <c r="D167" s="75"/>
      <c r="E167" s="57">
        <f>((3.2*6+1.35*1.2+3.05*2.4+3.05*3.65+3.5*3.95+3.75*1+1.3*1.12+0.95*0.75+2.45*1.55+1.55*2.4+2.15*1.5+2.53*0.6))*(10.764)</f>
        <v>767.22024599999997</v>
      </c>
      <c r="F167" s="57">
        <f>(3*1.15)*(10.764)</f>
        <v>37.135799999999996</v>
      </c>
      <c r="G167" s="57">
        <f t="shared" si="23"/>
        <v>0</v>
      </c>
      <c r="H167" s="20">
        <v>0</v>
      </c>
      <c r="I167" s="55">
        <f t="shared" si="24"/>
        <v>804.35604599999999</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25">
      <c r="A168" s="73">
        <f t="shared" si="25"/>
        <v>107</v>
      </c>
      <c r="B168" s="74"/>
      <c r="C168" s="75" t="s">
        <v>218</v>
      </c>
      <c r="D168" s="75"/>
      <c r="E168" s="57">
        <f>((3.2*6+1.35*1.2+3.05*2.4+3.05*3.65+3.5*3.95+5.15*1+0.95*0.75+2.45*1.55+1.55*2.4+1.4*2.4+2.53*0.6))*(10.764)</f>
        <v>768.07060200000001</v>
      </c>
      <c r="F168" s="57">
        <f>(3*1.15)*(10.764)</f>
        <v>37.135799999999996</v>
      </c>
      <c r="G168" s="57">
        <f t="shared" si="23"/>
        <v>0</v>
      </c>
      <c r="H168" s="20">
        <v>0</v>
      </c>
      <c r="I168" s="55">
        <f t="shared" si="24"/>
        <v>805.20640200000003</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x14ac:dyDescent="0.25">
      <c r="A169" s="76" t="s">
        <v>220</v>
      </c>
      <c r="B169" s="77"/>
      <c r="C169" s="77"/>
      <c r="D169" s="77"/>
      <c r="E169" s="77"/>
      <c r="F169" s="77"/>
      <c r="G169" s="77"/>
      <c r="H169" s="77"/>
      <c r="I169" s="77"/>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25">
      <c r="A170" s="75" t="str">
        <f ca="1">U170</f>
        <v>201,..,2601</v>
      </c>
      <c r="B170" s="75"/>
      <c r="C170" s="75" t="s">
        <v>217</v>
      </c>
      <c r="D170" s="75"/>
      <c r="E170" s="57">
        <f>((3.35*6.45+5.95*1.1+2.45*3+3.05*3.55+3.35*4.75+3.35*3.75+2.05*1.05+2.05*0.15+1.65*1.5+1.65*1.45+1.55*2.45+1.55*2.45+1.3*1.1+1.5*1.5+1.5*1.55+1.4*2.6+2.4*1.2))*(10.764)</f>
        <v>1100.64591</v>
      </c>
      <c r="F170" s="57">
        <f>(2.65*1.35)*(10.764)</f>
        <v>38.508209999999998</v>
      </c>
      <c r="G170" s="57">
        <f t="shared" ref="G170:G176" si="26">0*(10.764)</f>
        <v>0</v>
      </c>
      <c r="H170" s="20">
        <v>0</v>
      </c>
      <c r="I170" s="55">
        <f t="shared" ref="I170:I176" si="27">E170+F170+(IF(H170&lt;101,H170,IF(H170&lt;201,H170/2,IF(H170&lt;=301,H170/3,H170/4))))</f>
        <v>1139.1541199999999</v>
      </c>
      <c r="J170" s="1"/>
      <c r="K170" s="1"/>
      <c r="L170" s="1"/>
      <c r="M170" s="1"/>
      <c r="N170" s="1"/>
      <c r="O170" s="1"/>
      <c r="P170" s="1"/>
      <c r="Q170" s="1"/>
      <c r="R170" s="1"/>
      <c r="S170" s="1"/>
      <c r="T170" s="1"/>
      <c r="U170" s="43" t="str">
        <f t="shared" ref="U170:U176" ca="1" si="28">V170&amp;""&amp;",..,"&amp;""&amp;W170</f>
        <v>201,..,2601</v>
      </c>
      <c r="V170" s="43">
        <f ca="1">(SUMPRODUCT(MID(0&amp;(LEFT(A169,SUM(LEN(A169)-LEN(SUBSTITUTE(A169,{"0","1","2","3"},""))))), LARGE(INDEX(ISNUMBER(--MID((LEFT(A169,SUM(LEN(A169)-LEN(SUBSTITUTE(A169,{"0","1","2","3"},""))))), ROW(INDIRECT("1:"&amp;LEN((LEFT(A169,SUM(LEN(A169)-LEN(SUBSTITUTE(A169,{"0","1","2","3"},"")))))))), 1)) * ROW(INDIRECT("1:"&amp;LEN((LEFT(A169,SUM(LEN(A169)-LEN(SUBSTITUTE(A169,{"0","1","2","3"},"")))))))), 0), ROW(INDIRECT("1:"&amp;LEN((LEFT(A169,SUM(LEN(A169)-LEN(SUBSTITUTE(A169,{"0","1","2","3"},"")))))))))+1, 1) * 10^ROW(INDIRECT("1:"&amp;LEN((LEFT(A169,SUM(LEN(A169)-LEN(SUBSTITUTE(A169,{"0","1","2","3"},""))))))))/10))*100+1</f>
        <v>201</v>
      </c>
      <c r="W170" s="43">
        <f ca="1">(SUMPRODUCT(MID(0&amp;(--TRIM(RIGHT(SUBSTITUTE(LEFT(A169,_xlfn.AGGREGATE(16,6,FIND({0,1,2,3,4,5,6,7,8,9},A169,ROW(INDIRECT("1:"&amp;LEN(A169)))),1)),"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",LEN(A169))),LEN(A169)))))))/10))*100+1</f>
        <v>2601</v>
      </c>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25">
      <c r="A171" s="75" t="str">
        <f t="shared" ref="A171:A174" ca="1" si="29">U171</f>
        <v>202,..,2602</v>
      </c>
      <c r="B171" s="75"/>
      <c r="C171" s="75" t="s">
        <v>218</v>
      </c>
      <c r="D171" s="75"/>
      <c r="E171" s="57">
        <f>((3.2*6+1.35*1.2+3.05*2.4+3.05*3.65+3.5*3.95+5.15*1+0.95*0.75+2.45*1.55+1.55*2.4+2.15*1.5+2.53*0.6))*(10.764)</f>
        <v>766.61746199999993</v>
      </c>
      <c r="F171" s="57">
        <f>(3.2*1.15)*(10.764)</f>
        <v>39.611519999999992</v>
      </c>
      <c r="G171" s="57">
        <f t="shared" si="26"/>
        <v>0</v>
      </c>
      <c r="H171" s="20">
        <v>0</v>
      </c>
      <c r="I171" s="55">
        <f t="shared" si="27"/>
        <v>806.22898199999997</v>
      </c>
      <c r="J171" s="1"/>
      <c r="K171" s="1"/>
      <c r="L171" s="1"/>
      <c r="M171" s="1"/>
      <c r="N171" s="1"/>
      <c r="O171" s="1"/>
      <c r="P171" s="1"/>
      <c r="Q171" s="1"/>
      <c r="R171" s="1"/>
      <c r="S171" s="1"/>
      <c r="T171" s="1"/>
      <c r="U171" s="43" t="str">
        <f t="shared" ca="1" si="28"/>
        <v>202,..,2602</v>
      </c>
      <c r="V171" s="43">
        <f ca="1">V170+1</f>
        <v>202</v>
      </c>
      <c r="W171" s="43">
        <f ca="1">W170+1</f>
        <v>2602</v>
      </c>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25">
      <c r="A172" s="75" t="str">
        <f t="shared" ca="1" si="29"/>
        <v>203,..,2603</v>
      </c>
      <c r="B172" s="75"/>
      <c r="C172" s="75" t="s">
        <v>218</v>
      </c>
      <c r="D172" s="75"/>
      <c r="E172" s="57">
        <f>((3.2*6+1.35*1.2+2.45*3.25+1.55*1.63+3.05*3.8+3.5*3.95+5.8*1+0.95*0.9+2.45*1.4+2.3*1.55+2.13*1.15))*(10.764)</f>
        <v>783.87215399999991</v>
      </c>
      <c r="F172" s="57">
        <f>(2.95*1.15)*(10.764)</f>
        <v>36.516869999999997</v>
      </c>
      <c r="G172" s="57">
        <f t="shared" si="26"/>
        <v>0</v>
      </c>
      <c r="H172" s="20">
        <v>0</v>
      </c>
      <c r="I172" s="55">
        <f t="shared" si="27"/>
        <v>820.38902399999995</v>
      </c>
      <c r="J172" s="1"/>
      <c r="K172" s="1"/>
      <c r="L172" s="1"/>
      <c r="M172" s="1"/>
      <c r="N172" s="1"/>
      <c r="O172" s="1"/>
      <c r="P172" s="1"/>
      <c r="Q172" s="1"/>
      <c r="R172" s="1"/>
      <c r="S172" s="1"/>
      <c r="T172" s="1"/>
      <c r="U172" s="43" t="str">
        <f t="shared" ca="1" si="28"/>
        <v>203,..,2603</v>
      </c>
      <c r="V172" s="43">
        <f t="shared" ref="V172:W176" ca="1" si="30">V171+1</f>
        <v>203</v>
      </c>
      <c r="W172" s="43">
        <f t="shared" ca="1" si="30"/>
        <v>2603</v>
      </c>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25">
      <c r="A173" s="75" t="str">
        <f t="shared" ca="1" si="29"/>
        <v>204,..,2604</v>
      </c>
      <c r="B173" s="75"/>
      <c r="C173" s="75" t="s">
        <v>253</v>
      </c>
      <c r="D173" s="75"/>
      <c r="E173" s="57">
        <f>((3.05*7.2+0.9*3.92+2.55*1.15+2.45*3.05+3.05*3.4+3.2*4.45+2.55*3.2+5.22*1+2.45*1.55+1.55*2.45+1.55*1.55+2.4*1.2))*(10.764)</f>
        <v>933.89002199999982</v>
      </c>
      <c r="F173" s="57">
        <f>0*(10.764)</f>
        <v>0</v>
      </c>
      <c r="G173" s="57">
        <f t="shared" si="26"/>
        <v>0</v>
      </c>
      <c r="H173" s="20">
        <v>0</v>
      </c>
      <c r="I173" s="55">
        <f t="shared" si="27"/>
        <v>933.89002199999982</v>
      </c>
      <c r="J173" s="1"/>
      <c r="K173" s="1"/>
      <c r="L173" s="1"/>
      <c r="M173" s="1"/>
      <c r="N173" s="1"/>
      <c r="O173" s="1"/>
      <c r="P173" s="1"/>
      <c r="Q173" s="1"/>
      <c r="R173" s="1"/>
      <c r="S173" s="1"/>
      <c r="T173" s="1"/>
      <c r="U173" s="43" t="str">
        <f t="shared" ca="1" si="28"/>
        <v>204,..,2604</v>
      </c>
      <c r="V173" s="43">
        <f t="shared" ca="1" si="30"/>
        <v>204</v>
      </c>
      <c r="W173" s="43">
        <f t="shared" ca="1" si="30"/>
        <v>2604</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25">
      <c r="A174" s="75" t="str">
        <f t="shared" ca="1" si="29"/>
        <v>205,..,2605</v>
      </c>
      <c r="B174" s="75"/>
      <c r="C174" s="75" t="s">
        <v>253</v>
      </c>
      <c r="D174" s="75"/>
      <c r="E174" s="57">
        <f>((3.05*7.2+0.9*3.92+2.55*1.15+2.45*3.05+3.05*3.4+3.2*4.45+2.55*3.2+5.22*1+2.45*1.55+1.55*2.45+1.55*1.55+2.4*1.2))*(10.764)</f>
        <v>933.89002199999982</v>
      </c>
      <c r="F174" s="57">
        <f>0*(10.764)</f>
        <v>0</v>
      </c>
      <c r="G174" s="57">
        <f t="shared" si="26"/>
        <v>0</v>
      </c>
      <c r="H174" s="20">
        <v>0</v>
      </c>
      <c r="I174" s="55">
        <f t="shared" si="27"/>
        <v>933.89002199999982</v>
      </c>
      <c r="J174" s="1"/>
      <c r="K174" s="1"/>
      <c r="L174" s="1"/>
      <c r="M174" s="1"/>
      <c r="N174" s="1"/>
      <c r="O174" s="1"/>
      <c r="P174" s="1"/>
      <c r="Q174" s="1"/>
      <c r="R174" s="1"/>
      <c r="S174" s="1"/>
      <c r="T174" s="1"/>
      <c r="U174" s="43" t="str">
        <f t="shared" ca="1" si="28"/>
        <v>205,..,2605</v>
      </c>
      <c r="V174" s="43">
        <f t="shared" ca="1" si="30"/>
        <v>205</v>
      </c>
      <c r="W174" s="43">
        <f t="shared" ca="1" si="30"/>
        <v>2605</v>
      </c>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25">
      <c r="A175" s="75" t="str">
        <f t="shared" ref="A175:A176" ca="1" si="31">U175</f>
        <v>206,..,2606</v>
      </c>
      <c r="B175" s="75"/>
      <c r="C175" s="75" t="s">
        <v>218</v>
      </c>
      <c r="D175" s="75"/>
      <c r="E175" s="57">
        <f>((3.2*6+1.35*1.2+3.05*2.4+3.05*3.65+3.5*3.95+3.75*1+1.3*1.12+0.95*0.75+2.45*1.55+1.55*2.4+2.15*1.5+2.53*0.6))*(10.764)</f>
        <v>767.22024599999997</v>
      </c>
      <c r="F175" s="57">
        <f>(3*1.15)*(10.764)</f>
        <v>37.135799999999996</v>
      </c>
      <c r="G175" s="57">
        <f t="shared" si="26"/>
        <v>0</v>
      </c>
      <c r="H175" s="20">
        <v>0</v>
      </c>
      <c r="I175" s="55">
        <f t="shared" si="27"/>
        <v>804.35604599999999</v>
      </c>
      <c r="J175" s="1"/>
      <c r="K175" s="1"/>
      <c r="L175" s="1"/>
      <c r="M175" s="1"/>
      <c r="N175" s="1"/>
      <c r="O175" s="1"/>
      <c r="P175" s="1"/>
      <c r="Q175" s="1"/>
      <c r="R175" s="1"/>
      <c r="S175" s="1"/>
      <c r="T175" s="1"/>
      <c r="U175" s="43" t="str">
        <f t="shared" ca="1" si="28"/>
        <v>206,..,2606</v>
      </c>
      <c r="V175" s="43">
        <f t="shared" ca="1" si="30"/>
        <v>206</v>
      </c>
      <c r="W175" s="43">
        <f t="shared" ca="1" si="30"/>
        <v>2606</v>
      </c>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25">
      <c r="A176" s="73" t="str">
        <f t="shared" ca="1" si="31"/>
        <v>207,..,2607</v>
      </c>
      <c r="B176" s="74"/>
      <c r="C176" s="75" t="s">
        <v>218</v>
      </c>
      <c r="D176" s="75"/>
      <c r="E176" s="57">
        <f>((3.2*6+1.35*1.2+3.05*2.4+3.05*3.65+3.5*3.95+5.15*1+0.95*0.75+2.45*1.55+1.55*2.4+1.4*2.4+2.53*0.6))*(10.764)</f>
        <v>768.07060200000001</v>
      </c>
      <c r="F176" s="57">
        <f>(3*1.15)*(10.764)</f>
        <v>37.135799999999996</v>
      </c>
      <c r="G176" s="57">
        <f t="shared" si="26"/>
        <v>0</v>
      </c>
      <c r="H176" s="20">
        <v>0</v>
      </c>
      <c r="I176" s="55">
        <f t="shared" si="27"/>
        <v>805.20640200000003</v>
      </c>
      <c r="J176" s="1"/>
      <c r="K176" s="1"/>
      <c r="L176" s="1"/>
      <c r="M176" s="1"/>
      <c r="N176" s="1"/>
      <c r="O176" s="1"/>
      <c r="P176" s="1"/>
      <c r="Q176" s="1"/>
      <c r="R176" s="1"/>
      <c r="S176" s="1"/>
      <c r="T176" s="1"/>
      <c r="U176" s="43" t="str">
        <f t="shared" ca="1" si="28"/>
        <v>207,..,2607</v>
      </c>
      <c r="V176" s="43">
        <f t="shared" ca="1" si="30"/>
        <v>207</v>
      </c>
      <c r="W176" s="43">
        <f t="shared" ca="1" si="30"/>
        <v>2607</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x14ac:dyDescent="0.25">
      <c r="A177" s="76" t="s">
        <v>228</v>
      </c>
      <c r="B177" s="77"/>
      <c r="C177" s="77"/>
      <c r="D177" s="77"/>
      <c r="E177" s="77"/>
      <c r="F177" s="77"/>
      <c r="G177" s="77"/>
      <c r="H177" s="77"/>
      <c r="I177" s="77"/>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25">
      <c r="A178" s="75" t="str">
        <f ca="1">U178</f>
        <v>601,..,2001</v>
      </c>
      <c r="B178" s="75"/>
      <c r="C178" s="75" t="s">
        <v>217</v>
      </c>
      <c r="D178" s="75"/>
      <c r="E178" s="57">
        <f>((3.35*6.45+5.95*1.1+2.45*3+3.05*3.55+3.35*4.75+3.35*3.75+2.05*1.05+2.05*0.15+1.65*1.5+1.65*1.45+1.55*2.45+1.55*2.45+1.3*1.1+1.5*1.5+1.5*1.55+1.4*2.6+2.4*1.2))*(10.764)</f>
        <v>1100.64591</v>
      </c>
      <c r="F178" s="57">
        <f>(2.65*1.35)*(10.764)</f>
        <v>38.508209999999998</v>
      </c>
      <c r="G178" s="57">
        <f>0*(10.764)</f>
        <v>0</v>
      </c>
      <c r="H178" s="20">
        <v>0</v>
      </c>
      <c r="I178" s="55">
        <f t="shared" ref="I178:I184" si="32">E178+F178+(IF(H178&lt;101,H178,IF(H178&lt;201,H178/2,IF(H178&lt;=301,H178/3,H178/4))))</f>
        <v>1139.1541199999999</v>
      </c>
      <c r="J178" s="1"/>
      <c r="K178" s="1"/>
      <c r="L178" s="1"/>
      <c r="M178" s="1"/>
      <c r="N178" s="1"/>
      <c r="O178" s="1"/>
      <c r="P178" s="1"/>
      <c r="Q178" s="1"/>
      <c r="R178" s="1"/>
      <c r="S178" s="1"/>
      <c r="T178" s="1"/>
      <c r="U178" s="43" t="str">
        <f t="shared" ref="U178:U184" ca="1" si="33">V178&amp;""&amp;",..,"&amp;""&amp;W178</f>
        <v>601,..,2001</v>
      </c>
      <c r="V178" s="43">
        <f ca="1">(SUMPRODUCT(MID(0&amp;(LEFT(A177,SUM(LEN(A177)-LEN(SUBSTITUTE(A177,{"0","1","2","3"},""))))), LARGE(INDEX(ISNUMBER(--MID((LEFT(A177,SUM(LEN(A177)-LEN(SUBSTITUTE(A177,{"0","1","2","3"},""))))), ROW(INDIRECT("1:"&amp;LEN((LEFT(A177,SUM(LEN(A177)-LEN(SUBSTITUTE(A177,{"0","1","2","3"},"")))))))), 1)) * ROW(INDIRECT("1:"&amp;LEN((LEFT(A177,SUM(LEN(A177)-LEN(SUBSTITUTE(A177,{"0","1","2","3"},"")))))))), 0), ROW(INDIRECT("1:"&amp;LEN((LEFT(A177,SUM(LEN(A177)-LEN(SUBSTITUTE(A177,{"0","1","2","3"},"")))))))))+1, 1) * 10^ROW(INDIRECT("1:"&amp;LEN((LEFT(A177,SUM(LEN(A177)-LEN(SUBSTITUTE(A177,{"0","1","2","3"},""))))))))/10))*100+1</f>
        <v>601</v>
      </c>
      <c r="W178" s="43">
        <f ca="1">(SUMPRODUCT(MID(0&amp;(--TRIM(RIGHT(SUBSTITUTE(LEFT(A177,_xlfn.AGGREGATE(16,6,FIND({0,1,2,3,4,5,6,7,8,9},A177,ROW(INDIRECT("1:"&amp;LEN(A177)))),1)),"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2001</v>
      </c>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25">
      <c r="A179" s="75" t="str">
        <f t="shared" ref="A179:A184" ca="1" si="34">U179</f>
        <v>602,..,2002</v>
      </c>
      <c r="B179" s="75"/>
      <c r="C179" s="160" t="s">
        <v>222</v>
      </c>
      <c r="D179" s="161"/>
      <c r="E179" s="161"/>
      <c r="F179" s="161"/>
      <c r="G179" s="161"/>
      <c r="H179" s="161"/>
      <c r="I179" s="161"/>
      <c r="J179" s="1"/>
      <c r="K179" s="1"/>
      <c r="L179" s="1"/>
      <c r="M179" s="1"/>
      <c r="N179" s="1"/>
      <c r="O179" s="1"/>
      <c r="P179" s="1"/>
      <c r="Q179" s="1"/>
      <c r="R179" s="1"/>
      <c r="S179" s="1"/>
      <c r="T179" s="1"/>
      <c r="U179" s="43" t="str">
        <f t="shared" ca="1" si="33"/>
        <v>602,..,2002</v>
      </c>
      <c r="V179" s="43">
        <f ca="1">V178+1</f>
        <v>602</v>
      </c>
      <c r="W179" s="43">
        <f ca="1">W178+1</f>
        <v>2002</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25">
      <c r="A180" s="75" t="str">
        <f t="shared" ca="1" si="34"/>
        <v>603,..,2003</v>
      </c>
      <c r="B180" s="75"/>
      <c r="C180" s="87"/>
      <c r="D180" s="88"/>
      <c r="E180" s="88"/>
      <c r="F180" s="88"/>
      <c r="G180" s="88"/>
      <c r="H180" s="88"/>
      <c r="I180" s="88"/>
      <c r="J180" s="1"/>
      <c r="K180" s="1"/>
      <c r="L180" s="1"/>
      <c r="M180" s="1"/>
      <c r="N180" s="1"/>
      <c r="O180" s="1"/>
      <c r="P180" s="1"/>
      <c r="Q180" s="1"/>
      <c r="R180" s="1"/>
      <c r="S180" s="1"/>
      <c r="T180" s="1"/>
      <c r="U180" s="43" t="str">
        <f t="shared" ca="1" si="33"/>
        <v>603,..,2003</v>
      </c>
      <c r="V180" s="43">
        <f t="shared" ref="V180:W180" ca="1" si="35">V179+1</f>
        <v>603</v>
      </c>
      <c r="W180" s="43">
        <f t="shared" ca="1" si="35"/>
        <v>2003</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25">
      <c r="A181" s="75" t="str">
        <f t="shared" ca="1" si="34"/>
        <v>604,..,2004</v>
      </c>
      <c r="B181" s="75"/>
      <c r="C181" s="75" t="s">
        <v>253</v>
      </c>
      <c r="D181" s="75"/>
      <c r="E181" s="57">
        <f>((3.05*7.2+0.9*3.92+2.55*1.15+2.45*3.05+3.05*3.4+3.2*4.45+2.55*3.2+5.22*1+2.45*1.55+1.55*2.45+1.55*1.55+2.4*1.2))*(10.764)</f>
        <v>933.89002199999982</v>
      </c>
      <c r="F181" s="57">
        <f>0*(10.764)</f>
        <v>0</v>
      </c>
      <c r="G181" s="57">
        <f>0*(10.764)</f>
        <v>0</v>
      </c>
      <c r="H181" s="20">
        <v>0</v>
      </c>
      <c r="I181" s="55">
        <f t="shared" si="32"/>
        <v>933.89002199999982</v>
      </c>
      <c r="J181" s="1"/>
      <c r="K181" s="1"/>
      <c r="L181" s="1"/>
      <c r="M181" s="1"/>
      <c r="N181" s="1"/>
      <c r="O181" s="1"/>
      <c r="P181" s="1"/>
      <c r="Q181" s="1"/>
      <c r="R181" s="1"/>
      <c r="S181" s="1"/>
      <c r="T181" s="1"/>
      <c r="U181" s="43" t="str">
        <f t="shared" ca="1" si="33"/>
        <v>604,..,2004</v>
      </c>
      <c r="V181" s="43">
        <f t="shared" ref="V181:W181" ca="1" si="36">V180+1</f>
        <v>604</v>
      </c>
      <c r="W181" s="43">
        <f t="shared" ca="1" si="36"/>
        <v>2004</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25">
      <c r="A182" s="75" t="str">
        <f t="shared" ca="1" si="34"/>
        <v>605,..,2005</v>
      </c>
      <c r="B182" s="75"/>
      <c r="C182" s="75" t="s">
        <v>253</v>
      </c>
      <c r="D182" s="75"/>
      <c r="E182" s="57">
        <f>((3.05*7.2+0.9*3.92+2.55*1.15+2.45*3.05+3.05*3.4+3.2*4.45+2.55*3.2+5.22*1+2.45*1.55+1.55*2.45+1.55*1.55+2.4*1.2))*(10.764)</f>
        <v>933.89002199999982</v>
      </c>
      <c r="F182" s="57">
        <f>0*(10.764)</f>
        <v>0</v>
      </c>
      <c r="G182" s="57">
        <f>0*(10.764)</f>
        <v>0</v>
      </c>
      <c r="H182" s="20">
        <v>0</v>
      </c>
      <c r="I182" s="55">
        <f t="shared" si="32"/>
        <v>933.89002199999982</v>
      </c>
      <c r="J182" s="1"/>
      <c r="K182" s="1"/>
      <c r="L182" s="1"/>
      <c r="M182" s="1"/>
      <c r="N182" s="1"/>
      <c r="O182" s="1"/>
      <c r="P182" s="1"/>
      <c r="Q182" s="1"/>
      <c r="R182" s="1"/>
      <c r="S182" s="1"/>
      <c r="T182" s="1"/>
      <c r="U182" s="43" t="str">
        <f t="shared" ca="1" si="33"/>
        <v>605,..,2005</v>
      </c>
      <c r="V182" s="43">
        <f t="shared" ref="V182:W182" ca="1" si="37">V181+1</f>
        <v>605</v>
      </c>
      <c r="W182" s="43">
        <f t="shared" ca="1" si="37"/>
        <v>2005</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25">
      <c r="A183" s="75" t="str">
        <f t="shared" ca="1" si="34"/>
        <v>606,..,2006</v>
      </c>
      <c r="B183" s="75"/>
      <c r="C183" s="75" t="s">
        <v>218</v>
      </c>
      <c r="D183" s="75"/>
      <c r="E183" s="57">
        <f>((3.2*6+1.35*1.2+3.05*2.4+3.05*3.65+3.5*3.95+3.75*1+1.3*1.12+0.95*0.75+2.45*1.55+1.55*2.4+2.15*1.5+2.53*0.6))*(10.764)</f>
        <v>767.22024599999997</v>
      </c>
      <c r="F183" s="57">
        <f>(3*1.15)*(10.764)</f>
        <v>37.135799999999996</v>
      </c>
      <c r="G183" s="57">
        <f>0*(10.764)</f>
        <v>0</v>
      </c>
      <c r="H183" s="20">
        <v>0</v>
      </c>
      <c r="I183" s="55">
        <f t="shared" si="32"/>
        <v>804.35604599999999</v>
      </c>
      <c r="J183" s="1"/>
      <c r="K183" s="1"/>
      <c r="L183" s="1"/>
      <c r="M183" s="1"/>
      <c r="N183" s="1"/>
      <c r="O183" s="1"/>
      <c r="P183" s="1"/>
      <c r="Q183" s="1"/>
      <c r="R183" s="1"/>
      <c r="S183" s="1"/>
      <c r="T183" s="1"/>
      <c r="U183" s="43" t="str">
        <f t="shared" ca="1" si="33"/>
        <v>606,..,2006</v>
      </c>
      <c r="V183" s="43">
        <f t="shared" ref="V183:W183" ca="1" si="38">V182+1</f>
        <v>606</v>
      </c>
      <c r="W183" s="43">
        <f t="shared" ca="1" si="38"/>
        <v>2006</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25">
      <c r="A184" s="73" t="str">
        <f t="shared" ca="1" si="34"/>
        <v>607,..,2007</v>
      </c>
      <c r="B184" s="74"/>
      <c r="C184" s="75" t="s">
        <v>218</v>
      </c>
      <c r="D184" s="75"/>
      <c r="E184" s="57">
        <f>((3.2*6+1.35*1.2+3.05*2.4+3.05*3.65+3.5*3.95+5.15*1+0.95*0.75+2.45*1.55+1.55*2.4+1.4*2.4+2.53*0.6))*(10.764)</f>
        <v>768.07060200000001</v>
      </c>
      <c r="F184" s="57">
        <f>(3*1.15)*(10.764)</f>
        <v>37.135799999999996</v>
      </c>
      <c r="G184" s="57">
        <f>0*(10.764)</f>
        <v>0</v>
      </c>
      <c r="H184" s="20"/>
      <c r="I184" s="55">
        <f t="shared" si="32"/>
        <v>805.20640200000003</v>
      </c>
      <c r="J184" s="1"/>
      <c r="K184" s="1"/>
      <c r="L184" s="1"/>
      <c r="M184" s="1"/>
      <c r="N184" s="1"/>
      <c r="O184" s="1"/>
      <c r="P184" s="1"/>
      <c r="Q184" s="1"/>
      <c r="R184" s="1"/>
      <c r="S184" s="1"/>
      <c r="T184" s="1"/>
      <c r="U184" s="43" t="str">
        <f t="shared" ca="1" si="33"/>
        <v>607,..,2007</v>
      </c>
      <c r="V184" s="43">
        <f t="shared" ref="V184:W184" ca="1" si="39">V183+1</f>
        <v>607</v>
      </c>
      <c r="W184" s="43">
        <f t="shared" ca="1" si="39"/>
        <v>2007</v>
      </c>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x14ac:dyDescent="0.25">
      <c r="A185" s="78" t="s">
        <v>223</v>
      </c>
      <c r="B185" s="79"/>
      <c r="C185" s="79"/>
      <c r="D185" s="79"/>
      <c r="E185" s="79"/>
      <c r="F185" s="79"/>
      <c r="G185" s="79"/>
      <c r="H185" s="79"/>
      <c r="I185" s="79"/>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x14ac:dyDescent="0.25">
      <c r="A186" s="75">
        <f>LEFT(A185,SUM(LEN(A185)-LEN(SUBSTITUTE(A185,{"0","1","2","3","4","5","6","7","8","9"},""))))*100+1</f>
        <v>2701</v>
      </c>
      <c r="B186" s="75"/>
      <c r="C186" s="75" t="s">
        <v>217</v>
      </c>
      <c r="D186" s="75"/>
      <c r="E186" s="57">
        <f>((3.35*6.45+5.95*1.1+2.45*3+3.05*3.55+3.35*4.75+3.35*3.75+2.05*1.05+2.05*0.15+1.65*1.5+1.65*1.45+1.55*2.45+1.55*2.45+1.3*1.1+1.5*1.5+1.5*1.55+1.4*2.6+2.4*1.2))*(10.764)</f>
        <v>1100.64591</v>
      </c>
      <c r="F186" s="57">
        <f>(2.65*1.35)*(10.764)</f>
        <v>38.508209999999998</v>
      </c>
      <c r="G186" s="57">
        <f>0*(10.764)</f>
        <v>0</v>
      </c>
      <c r="H186" s="20">
        <v>0</v>
      </c>
      <c r="I186" s="55">
        <f>E186+F186+(IF(H186&lt;101,H186,IF(H186&lt;201,H186/2,IF(H186&lt;=301,H186/3,H186/4))))</f>
        <v>1139.1541199999999</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x14ac:dyDescent="0.25">
      <c r="A187" s="73">
        <f>A186+1</f>
        <v>2702</v>
      </c>
      <c r="B187" s="74"/>
      <c r="C187" s="160" t="s">
        <v>222</v>
      </c>
      <c r="D187" s="161"/>
      <c r="E187" s="161"/>
      <c r="F187" s="161"/>
      <c r="G187" s="161"/>
      <c r="H187" s="161"/>
      <c r="I187" s="16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x14ac:dyDescent="0.25">
      <c r="A188" s="73">
        <f t="shared" ref="A188:A191" si="40">A187+1</f>
        <v>2703</v>
      </c>
      <c r="B188" s="74"/>
      <c r="C188" s="87"/>
      <c r="D188" s="88"/>
      <c r="E188" s="88"/>
      <c r="F188" s="88"/>
      <c r="G188" s="88"/>
      <c r="H188" s="88"/>
      <c r="I188" s="88"/>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25">
      <c r="A189" s="73">
        <f t="shared" si="40"/>
        <v>2704</v>
      </c>
      <c r="B189" s="74"/>
      <c r="C189" s="75" t="s">
        <v>253</v>
      </c>
      <c r="D189" s="75"/>
      <c r="E189" s="57">
        <f>((3.05*7.2+0.9*3.92+2.55*1.15+2.45*3.05+3.05*3.4+3.2*4.45+2.55*3.2+5.22*1+2.45*1.55+1.55*2.45+1.55*1.55+2.4*1.2))*(10.764)</f>
        <v>933.89002199999982</v>
      </c>
      <c r="F189" s="57">
        <f>0*(10.764)</f>
        <v>0</v>
      </c>
      <c r="G189" s="57">
        <f>0*(10.764)</f>
        <v>0</v>
      </c>
      <c r="H189" s="20">
        <v>0</v>
      </c>
      <c r="I189" s="55">
        <f t="shared" ref="I189:I191" si="41">E189+F189+(IF(H189&lt;101,H189,IF(H189&lt;201,H189/2,IF(H189&lt;=301,H189/3,H189/4))))</f>
        <v>933.89002199999982</v>
      </c>
      <c r="J189" s="1"/>
      <c r="K189" s="56"/>
      <c r="L189" s="83"/>
      <c r="M189" s="83"/>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25">
      <c r="A190" s="73">
        <f t="shared" si="40"/>
        <v>2705</v>
      </c>
      <c r="B190" s="74"/>
      <c r="C190" s="75" t="s">
        <v>253</v>
      </c>
      <c r="D190" s="75"/>
      <c r="E190" s="57">
        <f>((3.05*7.2+0.9*3.92+2.55*1.15+2.45*3.05+3.05*3.4+3.2*4.45+2.55*3.2+5.22*1+2.45*1.55+1.55*2.45+1.55*1.55+2.4*1.2))*(10.764)</f>
        <v>933.89002199999982</v>
      </c>
      <c r="F190" s="57">
        <f>0*(10.764)</f>
        <v>0</v>
      </c>
      <c r="G190" s="57">
        <f>0*(10.764)</f>
        <v>0</v>
      </c>
      <c r="H190" s="20">
        <v>0</v>
      </c>
      <c r="I190" s="55">
        <f t="shared" si="41"/>
        <v>933.89002199999982</v>
      </c>
      <c r="J190" s="1"/>
      <c r="K190" s="56"/>
      <c r="L190" s="83"/>
      <c r="M190" s="83"/>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25">
      <c r="A191" s="73">
        <f t="shared" si="40"/>
        <v>2706</v>
      </c>
      <c r="B191" s="74"/>
      <c r="C191" s="75" t="s">
        <v>224</v>
      </c>
      <c r="D191" s="75"/>
      <c r="E191" s="57">
        <f>((6.05*6.65+4.15*2.85+3.3*4.1+3.5*4.95+3.3*4.55+3.5*4.95+2.85*2.45+0.8*2.55+1.55*2.45+2.45*1.55+1.15*1.3+1.55*0.5+5.15*1.05+2.15*1+0.95*0.75+1.55*2.4+3.75*1.05+1.3*1.5+0.95*0.75+2.15*1.5+2.45*1.55))*(10.764)</f>
        <v>1719.6028200000005</v>
      </c>
      <c r="F191" s="57">
        <f>(6.45*1.15)*(10.764)</f>
        <v>79.841969999999989</v>
      </c>
      <c r="G191" s="57">
        <f>0*(10.764)</f>
        <v>0</v>
      </c>
      <c r="H191" s="20">
        <v>0</v>
      </c>
      <c r="I191" s="55">
        <f t="shared" si="41"/>
        <v>1799.4447900000005</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25">
      <c r="A192" s="76" t="s">
        <v>229</v>
      </c>
      <c r="B192" s="77"/>
      <c r="C192" s="77"/>
      <c r="D192" s="77"/>
      <c r="E192" s="77"/>
      <c r="F192" s="77"/>
      <c r="G192" s="77"/>
      <c r="H192" s="77"/>
      <c r="I192" s="77"/>
      <c r="J192" s="1"/>
      <c r="K192" s="1"/>
      <c r="L192" s="1"/>
      <c r="M192" s="1"/>
      <c r="N192" s="1"/>
      <c r="O192" s="1"/>
      <c r="P192" s="1"/>
      <c r="Q192" s="1"/>
      <c r="R192" s="1"/>
      <c r="S192" s="1"/>
      <c r="T192" s="1"/>
      <c r="U192" s="43" t="str">
        <f ca="1">V192&amp;""&amp;" to "&amp;""&amp;W192</f>
        <v>2801 to 3001</v>
      </c>
      <c r="V192" s="43">
        <f ca="1">(SUMPRODUCT(MID(0&amp;(LEFT(A192,SUM(LEN(A192)-LEN(SUBSTITUTE(A192,{"0","1","2","3"},""))))), LARGE(INDEX(ISNUMBER(--MID((LEFT(A192,SUM(LEN(A192)-LEN(SUBSTITUTE(A192,{"0","1","2","3"},""))))), ROW(INDIRECT("1:"&amp;LEN((LEFT(A192,SUM(LEN(A192)-LEN(SUBSTITUTE(A192,{"0","1","2","3"},"")))))))), 1)) * ROW(INDIRECT("1:"&amp;LEN((LEFT(A192,SUM(LEN(A192)-LEN(SUBSTITUTE(A192,{"0","1","2","3"},"")))))))), 0), ROW(INDIRECT("1:"&amp;LEN((LEFT(A192,SUM(LEN(A192)-LEN(SUBSTITUTE(A192,{"0","1","2","3"},"")))))))))+1, 1) * 10^ROW(INDIRECT("1:"&amp;LEN((LEFT(A192,SUM(LEN(A192)-LEN(SUBSTITUTE(A192,{"0","1","2","3"},""))))))))/10))*100+1</f>
        <v>2801</v>
      </c>
      <c r="W192" s="43">
        <f ca="1">(SUMPRODUCT(MID(0&amp;(--TRIM(RIGHT(SUBSTITUTE(LEFT(A192,_xlfn.AGGREGATE(16,6,FIND({0,1,2,3,4,5,6,7,8,9},A192,ROW(INDIRECT("1:"&amp;LEN(A192)))),1)),"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",LEN(A192))),LEN(A192)))))))/10))*100+1</f>
        <v>3001</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25">
      <c r="A193" s="75" t="str">
        <f ca="1">U192</f>
        <v>2801 to 3001</v>
      </c>
      <c r="B193" s="75"/>
      <c r="C193" s="75" t="s">
        <v>217</v>
      </c>
      <c r="D193" s="75"/>
      <c r="E193" s="57">
        <f>((3.35*6.45+5.95*1.1+2.45*3+3.05*3.55+3.35*4.75+3.35*3.75+2.05*1.05+2.05*0.15+1.65*1.5+1.65*1.45+1.55*2.45+1.55*2.45+1.3*1.1+1.5*1.5+1.5*1.55+1.4*2.6+2.4*1.2))*(10.764)</f>
        <v>1100.64591</v>
      </c>
      <c r="F193" s="57">
        <f>(2.65*1.35)*(10.764)</f>
        <v>38.508209999999998</v>
      </c>
      <c r="G193" s="57">
        <f t="shared" ref="G193:G198" si="42">0*(10.764)</f>
        <v>0</v>
      </c>
      <c r="H193" s="20">
        <v>0</v>
      </c>
      <c r="I193" s="20">
        <f t="shared" ref="I193:I198" si="43">E193+F193+(IF(H193&lt;101,H193,IF(H193&lt;201,H193/2,IF(H193&lt;=301,H193/3,H193/4))))</f>
        <v>1139.1541199999999</v>
      </c>
      <c r="J193" s="1"/>
      <c r="K193" s="1"/>
      <c r="L193" s="1"/>
      <c r="M193" s="1"/>
      <c r="N193" s="1"/>
      <c r="O193" s="1"/>
      <c r="P193" s="1"/>
      <c r="Q193" s="1"/>
      <c r="R193" s="1"/>
      <c r="S193" s="1"/>
      <c r="T193" s="1"/>
      <c r="U193" s="43" t="str">
        <f t="shared" ref="U193:U198" ca="1" si="44">V193&amp;""&amp;" to "&amp;""&amp;W193</f>
        <v>2802 to 3002</v>
      </c>
      <c r="V193" s="43">
        <f ca="1">V192+1</f>
        <v>2802</v>
      </c>
      <c r="W193" s="43">
        <f ca="1">W192+1</f>
        <v>3002</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25">
      <c r="A194" s="75" t="str">
        <f t="shared" ref="A194:A198" ca="1" si="45">U193</f>
        <v>2802 to 3002</v>
      </c>
      <c r="B194" s="75"/>
      <c r="C194" s="75" t="s">
        <v>218</v>
      </c>
      <c r="D194" s="75"/>
      <c r="E194" s="57">
        <f>((3.2*6+1.35*1.2+3.05*2.4+3.05*3.65+3.5*3.95+5.15*1+0.95*0.75+2.45*1.55+1.55*2.4+2.15*1.5+2.53*0.6))*(10.764)</f>
        <v>766.61746199999993</v>
      </c>
      <c r="F194" s="57">
        <f>(3.2*1.15)*(10.764)</f>
        <v>39.611519999999992</v>
      </c>
      <c r="G194" s="57">
        <f t="shared" si="42"/>
        <v>0</v>
      </c>
      <c r="H194" s="20">
        <v>0</v>
      </c>
      <c r="I194" s="20">
        <f t="shared" si="43"/>
        <v>806.22898199999997</v>
      </c>
      <c r="J194" s="1"/>
      <c r="K194" s="1"/>
      <c r="L194" s="1"/>
      <c r="M194" s="1"/>
      <c r="N194" s="1"/>
      <c r="O194" s="1"/>
      <c r="P194" s="1"/>
      <c r="Q194" s="1"/>
      <c r="R194" s="1"/>
      <c r="S194" s="1"/>
      <c r="T194" s="1"/>
      <c r="U194" s="43" t="str">
        <f t="shared" ca="1" si="44"/>
        <v>2803 to 3003</v>
      </c>
      <c r="V194" s="43">
        <f t="shared" ref="V194:V198" ca="1" si="46">V193+1</f>
        <v>2803</v>
      </c>
      <c r="W194" s="43">
        <f t="shared" ref="W194:W198" ca="1" si="47">W193+1</f>
        <v>3003</v>
      </c>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25">
      <c r="A195" s="75" t="str">
        <f t="shared" ca="1" si="45"/>
        <v>2803 to 3003</v>
      </c>
      <c r="B195" s="75"/>
      <c r="C195" s="75" t="s">
        <v>218</v>
      </c>
      <c r="D195" s="75"/>
      <c r="E195" s="57">
        <f>((3.2*6+1.35*1.2+2.45*3.25+1.55*1.63+3.05*3.8+3.5*3.95+5.8*1+0.95*0.9+2.45*1.4+2.3*1.55+2.13*1.15))*(10.764)</f>
        <v>783.87215399999991</v>
      </c>
      <c r="F195" s="57">
        <f>(2.95*1.15)*(10.764)</f>
        <v>36.516869999999997</v>
      </c>
      <c r="G195" s="57">
        <f t="shared" si="42"/>
        <v>0</v>
      </c>
      <c r="H195" s="20">
        <v>0</v>
      </c>
      <c r="I195" s="20">
        <f t="shared" si="43"/>
        <v>820.38902399999995</v>
      </c>
      <c r="J195" s="1"/>
      <c r="K195" s="1"/>
      <c r="L195" s="1"/>
      <c r="M195" s="1"/>
      <c r="N195" s="1"/>
      <c r="O195" s="1"/>
      <c r="P195" s="1"/>
      <c r="Q195" s="1"/>
      <c r="R195" s="1"/>
      <c r="S195" s="1"/>
      <c r="T195" s="1"/>
      <c r="U195" s="43" t="str">
        <f t="shared" ca="1" si="44"/>
        <v>2804 to 3004</v>
      </c>
      <c r="V195" s="43">
        <f t="shared" ca="1" si="46"/>
        <v>2804</v>
      </c>
      <c r="W195" s="43">
        <f t="shared" ca="1" si="47"/>
        <v>3004</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25">
      <c r="A196" s="75" t="str">
        <f t="shared" ca="1" si="45"/>
        <v>2804 to 3004</v>
      </c>
      <c r="B196" s="75"/>
      <c r="C196" s="75" t="s">
        <v>253</v>
      </c>
      <c r="D196" s="75"/>
      <c r="E196" s="57">
        <f>((3.05*7.2+0.9*3.92+2.55*1.15+2.45*3.05+3.05*3.4+3.2*4.45+2.55*3.2+5.22*1+2.45*1.55+1.55*2.45+1.55*1.55+2.4*1.2))*(10.764)</f>
        <v>933.89002199999982</v>
      </c>
      <c r="F196" s="57">
        <f>0*(10.764)</f>
        <v>0</v>
      </c>
      <c r="G196" s="57">
        <f t="shared" si="42"/>
        <v>0</v>
      </c>
      <c r="H196" s="20">
        <v>0</v>
      </c>
      <c r="I196" s="20">
        <f t="shared" si="43"/>
        <v>933.89002199999982</v>
      </c>
      <c r="J196" s="1"/>
      <c r="K196" s="1"/>
      <c r="L196" s="1"/>
      <c r="M196" s="1"/>
      <c r="N196" s="1"/>
      <c r="O196" s="1"/>
      <c r="P196" s="1"/>
      <c r="Q196" s="1"/>
      <c r="R196" s="1"/>
      <c r="S196" s="1"/>
      <c r="T196" s="1"/>
      <c r="U196" s="43" t="str">
        <f t="shared" ca="1" si="44"/>
        <v>2805 to 3005</v>
      </c>
      <c r="V196" s="43">
        <f t="shared" ca="1" si="46"/>
        <v>2805</v>
      </c>
      <c r="W196" s="43">
        <f t="shared" ca="1" si="47"/>
        <v>3005</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25">
      <c r="A197" s="75" t="str">
        <f t="shared" ca="1" si="45"/>
        <v>2805 to 3005</v>
      </c>
      <c r="B197" s="75"/>
      <c r="C197" s="75" t="s">
        <v>253</v>
      </c>
      <c r="D197" s="75"/>
      <c r="E197" s="57">
        <f>((3.05*7.2+0.9*3.92+2.55*1.15+2.45*3.05+3.05*3.4+3.2*4.45+2.55*3.2+5.22*1+2.45*1.55+1.55*2.45+1.55*1.55+2.4*1.2))*(10.764)</f>
        <v>933.89002199999982</v>
      </c>
      <c r="F197" s="57">
        <f>0*(10.764)</f>
        <v>0</v>
      </c>
      <c r="G197" s="57">
        <f t="shared" si="42"/>
        <v>0</v>
      </c>
      <c r="H197" s="20">
        <v>0</v>
      </c>
      <c r="I197" s="20">
        <f t="shared" si="43"/>
        <v>933.89002199999982</v>
      </c>
      <c r="J197" s="1"/>
      <c r="K197" s="1"/>
      <c r="L197" s="1"/>
      <c r="M197" s="1"/>
      <c r="N197" s="1"/>
      <c r="O197" s="1"/>
      <c r="P197" s="1"/>
      <c r="Q197" s="1"/>
      <c r="R197" s="1"/>
      <c r="S197" s="1"/>
      <c r="T197" s="1"/>
      <c r="U197" s="43" t="str">
        <f t="shared" ca="1" si="44"/>
        <v>2806 to 3006</v>
      </c>
      <c r="V197" s="43">
        <f t="shared" ca="1" si="46"/>
        <v>2806</v>
      </c>
      <c r="W197" s="43">
        <f t="shared" ca="1" si="47"/>
        <v>3006</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25">
      <c r="A198" s="75" t="str">
        <f t="shared" ca="1" si="45"/>
        <v>2806 to 3006</v>
      </c>
      <c r="B198" s="75"/>
      <c r="C198" s="75" t="s">
        <v>224</v>
      </c>
      <c r="D198" s="75"/>
      <c r="E198" s="57">
        <f>((6.05*6.65+4.15*2.85+3.3*4.1+3.5*4.95+3.3*4.55+3.5*4.95+2.85*2.45+0.8*2.55+1.55*2.45+2.45*1.55+1.15*1.3+1.55*0.5+5.15*1.05+2.15*1+0.95*0.75+1.55*2.4+3.75*1.05+1.3*1.5+0.95*0.75+2.15*1.5+2.45*1.55))*(10.764)</f>
        <v>1719.6028200000005</v>
      </c>
      <c r="F198" s="57">
        <f>(6.45*1.15)*(10.764)</f>
        <v>79.841969999999989</v>
      </c>
      <c r="G198" s="57">
        <f t="shared" si="42"/>
        <v>0</v>
      </c>
      <c r="H198" s="20">
        <v>0</v>
      </c>
      <c r="I198" s="20">
        <f t="shared" si="43"/>
        <v>1799.4447900000005</v>
      </c>
      <c r="J198" s="1"/>
      <c r="K198" s="1"/>
      <c r="L198" s="1"/>
      <c r="M198" s="1"/>
      <c r="N198" s="1"/>
      <c r="O198" s="1"/>
      <c r="P198" s="1"/>
      <c r="Q198" s="1"/>
      <c r="R198" s="1"/>
      <c r="S198" s="1"/>
      <c r="T198" s="1"/>
      <c r="U198" s="43" t="str">
        <f t="shared" ca="1" si="44"/>
        <v>2807 to 3007</v>
      </c>
      <c r="V198" s="43">
        <f t="shared" ca="1" si="46"/>
        <v>2807</v>
      </c>
      <c r="W198" s="43">
        <f t="shared" ca="1" si="47"/>
        <v>3007</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x14ac:dyDescent="0.25">
      <c r="A199" s="84" t="s">
        <v>226</v>
      </c>
      <c r="B199" s="85"/>
      <c r="C199" s="85"/>
      <c r="D199" s="85"/>
      <c r="E199" s="85"/>
      <c r="F199" s="85"/>
      <c r="G199" s="85"/>
      <c r="H199" s="85"/>
      <c r="I199" s="85"/>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x14ac:dyDescent="0.25">
      <c r="A200" s="75">
        <f>LEFT(A199,SUM(LEN(A199)-LEN(SUBSTITUTE(A199,{"0","1","2","3","4","5","6","7","8","9"},""))))*100+1</f>
        <v>3101</v>
      </c>
      <c r="B200" s="75"/>
      <c r="C200" s="73" t="s">
        <v>227</v>
      </c>
      <c r="D200" s="164"/>
      <c r="E200" s="164"/>
      <c r="F200" s="164"/>
      <c r="G200" s="164"/>
      <c r="H200" s="164"/>
      <c r="I200" s="164"/>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x14ac:dyDescent="0.25">
      <c r="A201" s="73">
        <f>A200+1</f>
        <v>3102</v>
      </c>
      <c r="B201" s="74"/>
      <c r="C201" s="75" t="s">
        <v>218</v>
      </c>
      <c r="D201" s="75"/>
      <c r="E201" s="57">
        <f>((3.2*6+1.35*1.2+3.05*2.4+3.05*3.65+3.5*3.95+5.15*1+0.95*0.75+2.45*1.55+1.55*2.4+2.15*1.5+2.53*0.6))*(10.764)</f>
        <v>766.61746199999993</v>
      </c>
      <c r="F201" s="57">
        <f>(3.2*1.15)*(10.764)</f>
        <v>39.611519999999992</v>
      </c>
      <c r="G201" s="57">
        <f>0*(10.764)</f>
        <v>0</v>
      </c>
      <c r="H201" s="20">
        <v>0</v>
      </c>
      <c r="I201" s="55">
        <f t="shared" ref="I201:I205" si="48">E201+F201+(IF(H201&lt;101,H201,IF(H201&lt;201,H201/2,IF(H201&lt;=301,H201/3,H201/4))))</f>
        <v>806.22898199999997</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x14ac:dyDescent="0.25">
      <c r="A202" s="73">
        <f t="shared" ref="A202:A205" si="49">A201+1</f>
        <v>3103</v>
      </c>
      <c r="B202" s="74"/>
      <c r="C202" s="75" t="s">
        <v>218</v>
      </c>
      <c r="D202" s="75"/>
      <c r="E202" s="57">
        <f>((3.2*6+1.35*1.2+2.45*3.25+1.55*1.63+3.05*3.8+3.5*3.95+5.8*1+0.95*0.9+2.45*1.4+2.3*1.55+2.13*1.15))*(10.764)</f>
        <v>783.87215399999991</v>
      </c>
      <c r="F202" s="57">
        <f>(2.95*1.15)*(10.764)</f>
        <v>36.516869999999997</v>
      </c>
      <c r="G202" s="57">
        <f>0*(10.764)</f>
        <v>0</v>
      </c>
      <c r="H202" s="20">
        <v>0</v>
      </c>
      <c r="I202" s="55">
        <f t="shared" si="48"/>
        <v>820.38902399999995</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25">
      <c r="A203" s="73">
        <f t="shared" si="49"/>
        <v>3104</v>
      </c>
      <c r="B203" s="74"/>
      <c r="C203" s="75" t="s">
        <v>253</v>
      </c>
      <c r="D203" s="75"/>
      <c r="E203" s="57">
        <f>((3.05*7.2+0.9*3.92+2.55*1.15+2.45*3.05+3.05*3.4+3.2*4.45+2.55*3.2+5.22*1+2.45*1.55+1.55*2.45+1.55*1.55+2.4*1.2))*(10.764)</f>
        <v>933.89002199999982</v>
      </c>
      <c r="F203" s="57">
        <f>0*(10.764)</f>
        <v>0</v>
      </c>
      <c r="G203" s="57">
        <f>0*(10.764)</f>
        <v>0</v>
      </c>
      <c r="H203" s="20">
        <v>0</v>
      </c>
      <c r="I203" s="55">
        <f t="shared" si="48"/>
        <v>933.89002199999982</v>
      </c>
      <c r="J203" s="1"/>
      <c r="K203" s="56"/>
      <c r="L203" s="83"/>
      <c r="M203" s="83"/>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25">
      <c r="A204" s="73">
        <f t="shared" si="49"/>
        <v>3105</v>
      </c>
      <c r="B204" s="74"/>
      <c r="C204" s="75" t="s">
        <v>253</v>
      </c>
      <c r="D204" s="75"/>
      <c r="E204" s="57">
        <f>((3.05*7.2+0.9*3.92+2.55*1.15+2.45*3.05+3.05*3.4+3.2*4.45+2.55*3.2+5.22*1+2.45*1.55+1.55*2.45+1.55*1.55+2.4*1.2))*(10.764)</f>
        <v>933.89002199999982</v>
      </c>
      <c r="F204" s="57">
        <f>0*(10.764)</f>
        <v>0</v>
      </c>
      <c r="G204" s="57">
        <f>0*(10.764)</f>
        <v>0</v>
      </c>
      <c r="H204" s="20">
        <v>0</v>
      </c>
      <c r="I204" s="55">
        <f t="shared" si="48"/>
        <v>933.89002199999982</v>
      </c>
      <c r="J204" s="1"/>
      <c r="K204" s="56"/>
      <c r="L204" s="83"/>
      <c r="M204" s="83"/>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25">
      <c r="A205" s="73">
        <f t="shared" si="49"/>
        <v>3106</v>
      </c>
      <c r="B205" s="74"/>
      <c r="C205" s="75" t="s">
        <v>224</v>
      </c>
      <c r="D205" s="75"/>
      <c r="E205" s="57">
        <f>((6.05*6.65+4.15*2.85+3.3*4.1+3.5*4.95+3.3*4.55+3.5*4.95+2.85*2.45+0.8*2.55+1.55*2.45+2.45*1.55+1.15*1.3+1.55*0.5+5.15*1.05+2.15*1+0.95*0.75+1.55*2.4+3.75*1.05+1.3*1.5+0.95*0.75+2.15*1.5+2.45*1.55))*(10.764)</f>
        <v>1719.6028200000005</v>
      </c>
      <c r="F205" s="57">
        <f>(6.45*1.15)*(10.764)</f>
        <v>79.841969999999989</v>
      </c>
      <c r="G205" s="57">
        <f>0*(10.764)</f>
        <v>0</v>
      </c>
      <c r="H205" s="20">
        <v>0</v>
      </c>
      <c r="I205" s="55">
        <f t="shared" si="48"/>
        <v>1799.4447900000005</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x14ac:dyDescent="0.25">
      <c r="A206" s="76" t="s">
        <v>230</v>
      </c>
      <c r="B206" s="77"/>
      <c r="C206" s="77"/>
      <c r="D206" s="77"/>
      <c r="E206" s="77"/>
      <c r="F206" s="77"/>
      <c r="G206" s="77"/>
      <c r="H206" s="77"/>
      <c r="I206" s="7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ht="20.25" x14ac:dyDescent="0.25">
      <c r="A207" s="72" t="s">
        <v>74</v>
      </c>
      <c r="B207" s="72"/>
      <c r="C207" s="72"/>
      <c r="D207" s="72"/>
      <c r="E207" s="72"/>
      <c r="F207" s="72"/>
      <c r="G207" s="72"/>
      <c r="H207" s="72"/>
      <c r="I207" s="72"/>
    </row>
    <row r="208" spans="1:151 16227:16384" ht="146.25" customHeight="1" x14ac:dyDescent="0.25">
      <c r="A208" s="9" t="s">
        <v>82</v>
      </c>
      <c r="B208" s="12" t="s">
        <v>4</v>
      </c>
      <c r="C208" s="90" t="s">
        <v>267</v>
      </c>
      <c r="D208" s="90"/>
      <c r="E208" s="90"/>
      <c r="F208" s="90"/>
      <c r="G208" s="90"/>
      <c r="H208" s="90"/>
      <c r="I208" s="90"/>
    </row>
    <row r="209" spans="1:9" ht="22.5" customHeight="1" x14ac:dyDescent="0.25">
      <c r="A209" s="138" t="s">
        <v>83</v>
      </c>
      <c r="B209" s="138"/>
      <c r="C209" s="138"/>
      <c r="D209" s="138"/>
      <c r="E209" s="138"/>
      <c r="F209" s="138"/>
      <c r="G209" s="138"/>
      <c r="H209" s="138"/>
      <c r="I209" s="138"/>
    </row>
    <row r="210" spans="1:9" ht="20.25" x14ac:dyDescent="0.25">
      <c r="A210" s="111" t="s">
        <v>75</v>
      </c>
      <c r="B210" s="111"/>
      <c r="C210" s="111"/>
      <c r="D210" s="2" t="s">
        <v>4</v>
      </c>
      <c r="E210" s="116" t="str">
        <f>E3</f>
        <v>Godrej Vistas</v>
      </c>
      <c r="F210" s="130"/>
      <c r="G210" s="130"/>
      <c r="H210" s="130"/>
      <c r="I210" s="117"/>
    </row>
    <row r="211" spans="1:9" ht="20.25" customHeight="1" x14ac:dyDescent="0.25">
      <c r="A211" s="111" t="s">
        <v>133</v>
      </c>
      <c r="B211" s="111"/>
      <c r="C211" s="111"/>
      <c r="D211" s="2" t="s">
        <v>4</v>
      </c>
      <c r="E211" s="116" t="str">
        <f>E9</f>
        <v>Godrej Vistas, Vikhroli, Pirojshanagar, Vikhroli, Mumbai, Maharashtra</v>
      </c>
      <c r="F211" s="130"/>
      <c r="G211" s="130"/>
      <c r="H211" s="130"/>
      <c r="I211" s="117"/>
    </row>
    <row r="212" spans="1:9" ht="20.25" x14ac:dyDescent="0.25">
      <c r="A212" s="137" t="s">
        <v>139</v>
      </c>
      <c r="B212" s="137"/>
      <c r="C212" s="137"/>
      <c r="D212" s="16" t="s">
        <v>4</v>
      </c>
      <c r="E212" s="116" t="str">
        <f>I3</f>
        <v>07/07/2025 @03:12 PM</v>
      </c>
      <c r="F212" s="130"/>
      <c r="G212" s="130"/>
      <c r="H212" s="130"/>
      <c r="I212" s="117"/>
    </row>
    <row r="213" spans="1:9" ht="20.25" x14ac:dyDescent="0.25">
      <c r="A213" s="30"/>
      <c r="B213" s="31"/>
      <c r="C213" s="31"/>
      <c r="D213" s="31"/>
      <c r="E213" s="31"/>
      <c r="F213" s="31"/>
      <c r="G213" s="31"/>
      <c r="H213" s="31"/>
      <c r="I213" s="25"/>
    </row>
    <row r="214" spans="1:9" ht="20.25" x14ac:dyDescent="0.25">
      <c r="A214" s="32"/>
      <c r="B214" s="33"/>
      <c r="C214" s="33"/>
      <c r="D214" s="33"/>
      <c r="E214" s="33"/>
      <c r="F214" s="33"/>
      <c r="G214" s="33"/>
      <c r="H214" s="33"/>
      <c r="I214" s="26"/>
    </row>
    <row r="215" spans="1:9" ht="20.25" x14ac:dyDescent="0.25">
      <c r="A215" s="32"/>
      <c r="B215" s="33"/>
      <c r="C215" s="33"/>
      <c r="D215" s="33"/>
      <c r="E215" s="33"/>
      <c r="F215" s="33"/>
      <c r="G215" s="33"/>
      <c r="H215" s="33"/>
      <c r="I215" s="26"/>
    </row>
    <row r="216" spans="1:9" ht="20.25" x14ac:dyDescent="0.25">
      <c r="A216" s="32"/>
      <c r="B216" s="33"/>
      <c r="C216" s="33"/>
      <c r="D216" s="33"/>
      <c r="E216" s="33"/>
      <c r="F216" s="33"/>
      <c r="G216" s="33"/>
      <c r="H216" s="33"/>
      <c r="I216" s="26"/>
    </row>
    <row r="217" spans="1:9" ht="20.25" x14ac:dyDescent="0.25">
      <c r="A217" s="32"/>
      <c r="B217" s="33"/>
      <c r="C217" s="33"/>
      <c r="D217" s="33"/>
      <c r="E217" s="33"/>
      <c r="F217" s="33"/>
      <c r="G217" s="33"/>
      <c r="H217" s="33"/>
      <c r="I217" s="26"/>
    </row>
    <row r="218" spans="1:9" ht="20.25" x14ac:dyDescent="0.25">
      <c r="A218" s="32"/>
      <c r="B218" s="33"/>
      <c r="C218" s="33"/>
      <c r="D218" s="33"/>
      <c r="E218" s="33"/>
      <c r="F218" s="33"/>
      <c r="G218" s="33"/>
      <c r="H218" s="33"/>
      <c r="I218" s="26"/>
    </row>
    <row r="219" spans="1:9" ht="20.25" x14ac:dyDescent="0.25">
      <c r="A219" s="32"/>
      <c r="B219" s="33"/>
      <c r="C219" s="33"/>
      <c r="D219" s="33"/>
      <c r="E219" s="33"/>
      <c r="F219" s="33"/>
      <c r="G219" s="33"/>
      <c r="H219" s="33"/>
      <c r="I219" s="26"/>
    </row>
    <row r="220" spans="1:9" ht="20.25" x14ac:dyDescent="0.25">
      <c r="A220" s="32"/>
      <c r="B220" s="33"/>
      <c r="C220" s="33"/>
      <c r="D220" s="33"/>
      <c r="E220" s="33"/>
      <c r="F220" s="33"/>
      <c r="G220" s="33"/>
      <c r="H220" s="33"/>
      <c r="I220" s="26"/>
    </row>
    <row r="221" spans="1:9" ht="20.25" x14ac:dyDescent="0.25">
      <c r="A221" s="32"/>
      <c r="B221" s="33"/>
      <c r="C221" s="33"/>
      <c r="D221" s="33"/>
      <c r="E221" s="33"/>
      <c r="F221" s="33"/>
      <c r="G221" s="33"/>
      <c r="H221" s="33"/>
      <c r="I221" s="26"/>
    </row>
    <row r="222" spans="1:9" ht="20.25" x14ac:dyDescent="0.25">
      <c r="A222" s="32"/>
      <c r="B222" s="33"/>
      <c r="C222" s="33"/>
      <c r="D222" s="33"/>
      <c r="E222" s="33"/>
      <c r="F222" s="33"/>
      <c r="G222" s="33"/>
      <c r="H222" s="33"/>
      <c r="I222" s="26"/>
    </row>
    <row r="223" spans="1:9" ht="20.25" x14ac:dyDescent="0.25">
      <c r="A223" s="32"/>
      <c r="B223" s="33"/>
      <c r="C223" s="33"/>
      <c r="D223" s="33"/>
      <c r="E223" s="33"/>
      <c r="F223" s="33"/>
      <c r="G223" s="33"/>
      <c r="H223" s="33"/>
      <c r="I223" s="26"/>
    </row>
    <row r="224" spans="1:9" ht="20.25" x14ac:dyDescent="0.25">
      <c r="A224" s="32"/>
      <c r="B224" s="33"/>
      <c r="C224" s="33"/>
      <c r="D224" s="33"/>
      <c r="E224" s="33"/>
      <c r="F224" s="33"/>
      <c r="G224" s="33"/>
      <c r="H224" s="33"/>
      <c r="I224" s="26"/>
    </row>
    <row r="225" spans="1:9" ht="20.25" x14ac:dyDescent="0.25">
      <c r="A225" s="32"/>
      <c r="B225" s="33"/>
      <c r="C225" s="33"/>
      <c r="D225" s="33"/>
      <c r="E225" s="33"/>
      <c r="F225" s="33"/>
      <c r="G225" s="33"/>
      <c r="H225" s="33"/>
      <c r="I225" s="26"/>
    </row>
    <row r="226" spans="1:9" ht="20.25" x14ac:dyDescent="0.25">
      <c r="A226" s="32"/>
      <c r="B226" s="33"/>
      <c r="C226" s="33"/>
      <c r="D226" s="33"/>
      <c r="E226" s="33"/>
      <c r="F226" s="33"/>
      <c r="G226" s="33"/>
      <c r="H226" s="33"/>
      <c r="I226" s="26"/>
    </row>
    <row r="227" spans="1:9" ht="20.25" x14ac:dyDescent="0.25">
      <c r="A227" s="32"/>
      <c r="B227" s="33"/>
      <c r="C227" s="33"/>
      <c r="D227" s="33"/>
      <c r="E227" s="33"/>
      <c r="F227" s="33"/>
      <c r="G227" s="33"/>
      <c r="H227" s="33"/>
      <c r="I227" s="26"/>
    </row>
    <row r="228" spans="1:9" ht="20.25" x14ac:dyDescent="0.25">
      <c r="A228" s="32"/>
      <c r="B228" s="33"/>
      <c r="C228" s="33"/>
      <c r="D228" s="33"/>
      <c r="E228" s="33"/>
      <c r="F228" s="33"/>
      <c r="G228" s="33"/>
      <c r="H228" s="33"/>
      <c r="I228" s="26"/>
    </row>
    <row r="229" spans="1:9" ht="20.25" x14ac:dyDescent="0.25">
      <c r="A229" s="32"/>
      <c r="B229" s="33"/>
      <c r="C229" s="33"/>
      <c r="D229" s="33"/>
      <c r="E229" s="33"/>
      <c r="F229" s="33"/>
      <c r="G229" s="33"/>
      <c r="H229" s="33"/>
      <c r="I229" s="26"/>
    </row>
    <row r="230" spans="1:9" ht="20.25" x14ac:dyDescent="0.25">
      <c r="A230" s="32"/>
      <c r="B230" s="33"/>
      <c r="C230" s="33"/>
      <c r="D230" s="33"/>
      <c r="E230" s="33"/>
      <c r="F230" s="33"/>
      <c r="G230" s="33"/>
      <c r="H230" s="33"/>
      <c r="I230" s="26"/>
    </row>
    <row r="231" spans="1:9" ht="20.25" x14ac:dyDescent="0.25">
      <c r="A231" s="32"/>
      <c r="B231" s="33"/>
      <c r="C231" s="33"/>
      <c r="D231" s="33"/>
      <c r="E231" s="33"/>
      <c r="F231" s="33"/>
      <c r="G231" s="33"/>
      <c r="H231" s="33"/>
      <c r="I231" s="26"/>
    </row>
    <row r="232" spans="1:9" ht="20.25" x14ac:dyDescent="0.25">
      <c r="A232" s="32"/>
      <c r="B232" s="33"/>
      <c r="C232" s="33"/>
      <c r="D232" s="33"/>
      <c r="E232" s="33"/>
      <c r="F232" s="33"/>
      <c r="G232" s="33"/>
      <c r="H232" s="33"/>
      <c r="I232" s="26"/>
    </row>
    <row r="233" spans="1:9" ht="20.25" x14ac:dyDescent="0.25">
      <c r="A233" s="32"/>
      <c r="B233" s="33"/>
      <c r="C233" s="33"/>
      <c r="D233" s="33"/>
      <c r="E233" s="33"/>
      <c r="F233" s="33"/>
      <c r="G233" s="33"/>
      <c r="H233" s="33"/>
      <c r="I233" s="26"/>
    </row>
    <row r="234" spans="1:9" ht="20.25" x14ac:dyDescent="0.25">
      <c r="A234" s="32"/>
      <c r="B234" s="33"/>
      <c r="C234" s="33"/>
      <c r="D234" s="33"/>
      <c r="E234" s="33"/>
      <c r="F234" s="33"/>
      <c r="G234" s="33"/>
      <c r="H234" s="33"/>
      <c r="I234" s="26"/>
    </row>
    <row r="235" spans="1:9" ht="20.25" x14ac:dyDescent="0.25">
      <c r="A235" s="32"/>
      <c r="B235" s="33"/>
      <c r="C235" s="33"/>
      <c r="D235" s="33"/>
      <c r="E235" s="33"/>
      <c r="F235" s="33"/>
      <c r="G235" s="33"/>
      <c r="H235" s="33"/>
      <c r="I235" s="26"/>
    </row>
    <row r="236" spans="1:9" ht="20.25" x14ac:dyDescent="0.25">
      <c r="A236" s="32"/>
      <c r="B236" s="33"/>
      <c r="C236" s="33"/>
      <c r="D236" s="33"/>
      <c r="E236" s="33"/>
      <c r="F236" s="33"/>
      <c r="G236" s="33"/>
      <c r="H236" s="33"/>
      <c r="I236" s="26"/>
    </row>
    <row r="237" spans="1:9" ht="20.25" x14ac:dyDescent="0.25">
      <c r="A237" s="32"/>
      <c r="B237" s="33"/>
      <c r="C237" s="33"/>
      <c r="D237" s="33"/>
      <c r="E237" s="33"/>
      <c r="F237" s="33"/>
      <c r="G237" s="33"/>
      <c r="H237" s="33"/>
      <c r="I237" s="26"/>
    </row>
    <row r="238" spans="1:9" ht="20.25" x14ac:dyDescent="0.25">
      <c r="A238" s="32"/>
      <c r="B238" s="33"/>
      <c r="C238" s="33"/>
      <c r="D238" s="33"/>
      <c r="E238" s="33"/>
      <c r="F238" s="33"/>
      <c r="G238" s="33"/>
      <c r="H238" s="33"/>
      <c r="I238" s="26"/>
    </row>
    <row r="239" spans="1:9" ht="20.25" x14ac:dyDescent="0.25">
      <c r="A239" s="32"/>
      <c r="B239" s="33"/>
      <c r="C239" s="33"/>
      <c r="D239" s="33"/>
      <c r="E239" s="33"/>
      <c r="F239" s="33"/>
      <c r="G239" s="33"/>
      <c r="H239" s="33"/>
      <c r="I239" s="26"/>
    </row>
    <row r="240" spans="1:9" ht="20.25" x14ac:dyDescent="0.25">
      <c r="A240" s="32"/>
      <c r="B240" s="33"/>
      <c r="C240" s="33"/>
      <c r="D240" s="33"/>
      <c r="E240" s="33"/>
      <c r="F240" s="33"/>
      <c r="G240" s="33"/>
      <c r="H240" s="33"/>
      <c r="I240" s="26"/>
    </row>
    <row r="241" spans="1:9" ht="20.25" x14ac:dyDescent="0.25">
      <c r="A241" s="32"/>
      <c r="B241" s="33"/>
      <c r="C241" s="33"/>
      <c r="D241" s="33"/>
      <c r="E241" s="33"/>
      <c r="F241" s="33"/>
      <c r="G241" s="33"/>
      <c r="H241" s="33"/>
      <c r="I241" s="26"/>
    </row>
    <row r="242" spans="1:9" ht="20.25" x14ac:dyDescent="0.25">
      <c r="A242" s="32"/>
      <c r="B242" s="33"/>
      <c r="C242" s="33"/>
      <c r="D242" s="33"/>
      <c r="E242" s="33"/>
      <c r="F242" s="33"/>
      <c r="G242" s="33"/>
      <c r="H242" s="33"/>
      <c r="I242" s="26"/>
    </row>
    <row r="243" spans="1:9" ht="20.25" x14ac:dyDescent="0.25">
      <c r="A243" s="32"/>
      <c r="B243" s="33"/>
      <c r="C243" s="33"/>
      <c r="D243" s="33"/>
      <c r="E243" s="33"/>
      <c r="F243" s="33"/>
      <c r="G243" s="33"/>
      <c r="H243" s="33"/>
      <c r="I243" s="26"/>
    </row>
    <row r="244" spans="1:9" ht="20.25" x14ac:dyDescent="0.25">
      <c r="A244" s="32"/>
      <c r="B244" s="33"/>
      <c r="C244" s="33"/>
      <c r="D244" s="33"/>
      <c r="E244" s="33"/>
      <c r="F244" s="33"/>
      <c r="G244" s="33"/>
      <c r="H244" s="33"/>
      <c r="I244" s="26"/>
    </row>
    <row r="245" spans="1:9" ht="20.25" x14ac:dyDescent="0.25">
      <c r="A245" s="32"/>
      <c r="B245" s="33"/>
      <c r="C245" s="33"/>
      <c r="D245" s="33"/>
      <c r="E245" s="33"/>
      <c r="F245" s="33"/>
      <c r="G245" s="33"/>
      <c r="H245" s="33"/>
      <c r="I245" s="26"/>
    </row>
    <row r="246" spans="1:9" ht="20.25" x14ac:dyDescent="0.25">
      <c r="A246" s="32"/>
      <c r="B246" s="33"/>
      <c r="C246" s="33"/>
      <c r="D246" s="33"/>
      <c r="E246" s="33"/>
      <c r="F246" s="33"/>
      <c r="G246" s="33"/>
      <c r="H246" s="33"/>
      <c r="I246" s="26"/>
    </row>
    <row r="247" spans="1:9" ht="20.25" x14ac:dyDescent="0.25">
      <c r="A247" s="32"/>
      <c r="B247" s="33"/>
      <c r="C247" s="33"/>
      <c r="D247" s="33"/>
      <c r="E247" s="33"/>
      <c r="F247" s="33"/>
      <c r="G247" s="33"/>
      <c r="H247" s="33"/>
      <c r="I247" s="26"/>
    </row>
    <row r="248" spans="1:9" ht="20.25" x14ac:dyDescent="0.25">
      <c r="A248" s="32"/>
      <c r="B248" s="33"/>
      <c r="C248" s="33"/>
      <c r="D248" s="33"/>
      <c r="E248" s="33"/>
      <c r="F248" s="33"/>
      <c r="G248" s="33"/>
      <c r="H248" s="33"/>
      <c r="I248" s="26"/>
    </row>
    <row r="249" spans="1:9" ht="20.25" x14ac:dyDescent="0.25">
      <c r="A249" s="32"/>
      <c r="B249" s="33"/>
      <c r="C249" s="33"/>
      <c r="D249" s="33"/>
      <c r="E249" s="33"/>
      <c r="F249" s="33"/>
      <c r="G249" s="33"/>
      <c r="H249" s="33"/>
      <c r="I249" s="26"/>
    </row>
    <row r="250" spans="1:9" ht="20.25" x14ac:dyDescent="0.25">
      <c r="A250" s="32"/>
      <c r="B250" s="33"/>
      <c r="C250" s="33"/>
      <c r="D250" s="33"/>
      <c r="E250" s="33"/>
      <c r="F250" s="33"/>
      <c r="G250" s="33"/>
      <c r="H250" s="33"/>
      <c r="I250" s="26"/>
    </row>
    <row r="251" spans="1:9" ht="20.25" x14ac:dyDescent="0.25">
      <c r="A251" s="32"/>
      <c r="B251" s="33"/>
      <c r="C251" s="33"/>
      <c r="D251" s="33"/>
      <c r="E251" s="33"/>
      <c r="F251" s="33"/>
      <c r="G251" s="33"/>
      <c r="H251" s="33"/>
      <c r="I251" s="26"/>
    </row>
    <row r="252" spans="1:9" ht="20.25" x14ac:dyDescent="0.25">
      <c r="A252" s="32"/>
      <c r="B252" s="33"/>
      <c r="C252" s="33"/>
      <c r="D252" s="33"/>
      <c r="E252" s="33"/>
      <c r="F252" s="33"/>
      <c r="G252" s="33"/>
      <c r="H252" s="33"/>
      <c r="I252" s="26"/>
    </row>
    <row r="253" spans="1:9" ht="20.25" x14ac:dyDescent="0.25">
      <c r="A253" s="32"/>
      <c r="B253" s="33"/>
      <c r="C253" s="33"/>
      <c r="D253" s="33"/>
      <c r="E253" s="33"/>
      <c r="F253" s="33"/>
      <c r="G253" s="33"/>
      <c r="H253" s="33"/>
      <c r="I253" s="26"/>
    </row>
    <row r="254" spans="1:9" ht="20.25" x14ac:dyDescent="0.25">
      <c r="A254" s="32"/>
      <c r="B254" s="33"/>
      <c r="C254" s="33"/>
      <c r="D254" s="33"/>
      <c r="E254" s="33"/>
      <c r="F254" s="33"/>
      <c r="G254" s="33"/>
      <c r="H254" s="33"/>
      <c r="I254" s="26"/>
    </row>
    <row r="255" spans="1:9" ht="20.25" x14ac:dyDescent="0.25">
      <c r="A255" s="32"/>
      <c r="B255" s="33"/>
      <c r="C255" s="33"/>
      <c r="D255" s="33"/>
      <c r="E255" s="33"/>
      <c r="F255" s="33"/>
      <c r="G255" s="33"/>
      <c r="H255" s="33"/>
      <c r="I255" s="26"/>
    </row>
    <row r="256" spans="1:9" ht="20.25" x14ac:dyDescent="0.25">
      <c r="A256" s="32"/>
      <c r="B256" s="33"/>
      <c r="C256" s="33"/>
      <c r="D256" s="33"/>
      <c r="E256" s="33"/>
      <c r="F256" s="33"/>
      <c r="G256" s="33"/>
      <c r="H256" s="33"/>
      <c r="I256" s="26"/>
    </row>
    <row r="257" spans="1:9" ht="20.25" x14ac:dyDescent="0.25">
      <c r="A257" s="34"/>
      <c r="B257" s="35"/>
      <c r="C257" s="35"/>
      <c r="D257" s="35"/>
      <c r="E257" s="35"/>
      <c r="F257" s="35"/>
      <c r="G257" s="35"/>
      <c r="H257" s="35"/>
      <c r="I257" s="27"/>
    </row>
    <row r="258" spans="1:9" ht="20.25" x14ac:dyDescent="0.25">
      <c r="A258" s="138" t="s">
        <v>189</v>
      </c>
      <c r="B258" s="138"/>
      <c r="C258" s="138"/>
      <c r="D258" s="138"/>
      <c r="E258" s="138"/>
      <c r="F258" s="138"/>
      <c r="G258" s="138"/>
      <c r="H258" s="138"/>
      <c r="I258" s="138"/>
    </row>
    <row r="259" spans="1:9" ht="20.25" x14ac:dyDescent="0.25">
      <c r="A259" s="30"/>
      <c r="B259" s="31"/>
      <c r="C259" s="31"/>
      <c r="D259" s="31"/>
      <c r="E259" s="31"/>
      <c r="F259" s="31"/>
      <c r="G259" s="31"/>
      <c r="H259" s="31"/>
      <c r="I259" s="25"/>
    </row>
    <row r="260" spans="1:9" ht="20.25" x14ac:dyDescent="0.25">
      <c r="A260" s="32"/>
      <c r="B260" s="33"/>
      <c r="C260" s="33"/>
      <c r="D260" s="33"/>
      <c r="E260" s="33"/>
      <c r="F260" s="33"/>
      <c r="G260" s="33"/>
      <c r="H260" s="33"/>
      <c r="I260" s="26"/>
    </row>
    <row r="261" spans="1:9" ht="20.25" x14ac:dyDescent="0.25">
      <c r="A261" s="32"/>
      <c r="B261" s="33"/>
      <c r="C261" s="33"/>
      <c r="D261" s="33"/>
      <c r="E261" s="33"/>
      <c r="F261" s="33"/>
      <c r="G261" s="33"/>
      <c r="H261" s="33"/>
      <c r="I261" s="26"/>
    </row>
    <row r="262" spans="1:9" ht="20.25" x14ac:dyDescent="0.25">
      <c r="A262" s="32"/>
      <c r="B262" s="33"/>
      <c r="C262" s="33"/>
      <c r="D262" s="33"/>
      <c r="E262" s="33"/>
      <c r="F262" s="33"/>
      <c r="G262" s="33"/>
      <c r="H262" s="33"/>
      <c r="I262" s="26"/>
    </row>
    <row r="263" spans="1:9" ht="20.25" x14ac:dyDescent="0.25">
      <c r="A263" s="32"/>
      <c r="B263" s="33"/>
      <c r="C263" s="33"/>
      <c r="D263" s="33"/>
      <c r="E263" s="33"/>
      <c r="F263" s="33"/>
      <c r="G263" s="33"/>
      <c r="H263" s="33"/>
      <c r="I263" s="26"/>
    </row>
    <row r="264" spans="1:9" ht="20.25" x14ac:dyDescent="0.25">
      <c r="A264" s="32"/>
      <c r="B264" s="33"/>
      <c r="C264" s="33"/>
      <c r="D264" s="33"/>
      <c r="E264" s="33"/>
      <c r="F264" s="33"/>
      <c r="G264" s="33"/>
      <c r="H264" s="33"/>
      <c r="I264" s="26"/>
    </row>
    <row r="265" spans="1:9" ht="20.25" x14ac:dyDescent="0.25">
      <c r="A265" s="32"/>
      <c r="B265" s="33"/>
      <c r="C265" s="33"/>
      <c r="D265" s="33"/>
      <c r="E265" s="33"/>
      <c r="F265" s="33"/>
      <c r="G265" s="33"/>
      <c r="H265" s="33"/>
      <c r="I265" s="26"/>
    </row>
    <row r="266" spans="1:9" ht="20.25" x14ac:dyDescent="0.25">
      <c r="A266" s="32"/>
      <c r="B266" s="33"/>
      <c r="C266" s="33"/>
      <c r="D266" s="33"/>
      <c r="E266" s="33"/>
      <c r="F266" s="33"/>
      <c r="G266" s="33"/>
      <c r="H266" s="33"/>
      <c r="I266" s="26"/>
    </row>
    <row r="267" spans="1:9" ht="20.25" x14ac:dyDescent="0.25">
      <c r="A267" s="32"/>
      <c r="B267" s="33"/>
      <c r="C267" s="33"/>
      <c r="D267" s="33"/>
      <c r="E267" s="33"/>
      <c r="F267" s="33"/>
      <c r="G267" s="33"/>
      <c r="H267" s="33"/>
      <c r="I267" s="26"/>
    </row>
    <row r="268" spans="1:9" ht="20.25" x14ac:dyDescent="0.25">
      <c r="A268" s="32"/>
      <c r="B268" s="33"/>
      <c r="C268" s="33"/>
      <c r="D268" s="33"/>
      <c r="E268" s="33"/>
      <c r="F268" s="33"/>
      <c r="G268" s="33"/>
      <c r="H268" s="33"/>
      <c r="I268" s="26"/>
    </row>
    <row r="269" spans="1:9" ht="20.25" x14ac:dyDescent="0.25">
      <c r="A269" s="32"/>
      <c r="B269" s="33"/>
      <c r="C269" s="33"/>
      <c r="D269" s="33"/>
      <c r="E269" s="33"/>
      <c r="F269" s="33"/>
      <c r="G269" s="33"/>
      <c r="H269" s="33"/>
      <c r="I269" s="26"/>
    </row>
    <row r="270" spans="1:9" ht="20.25" x14ac:dyDescent="0.25">
      <c r="A270" s="32"/>
      <c r="B270" s="33"/>
      <c r="C270" s="33"/>
      <c r="D270" s="33"/>
      <c r="E270" s="33"/>
      <c r="F270" s="33"/>
      <c r="G270" s="33"/>
      <c r="H270" s="33"/>
      <c r="I270" s="26"/>
    </row>
    <row r="271" spans="1:9" ht="20.25" x14ac:dyDescent="0.25">
      <c r="A271" s="32"/>
      <c r="B271" s="33"/>
      <c r="C271" s="33"/>
      <c r="D271" s="33"/>
      <c r="E271" s="33"/>
      <c r="F271" s="33"/>
      <c r="G271" s="33"/>
      <c r="H271" s="33"/>
      <c r="I271" s="26"/>
    </row>
    <row r="272" spans="1:9" ht="20.25" x14ac:dyDescent="0.25">
      <c r="A272" s="32"/>
      <c r="B272" s="33"/>
      <c r="C272" s="33"/>
      <c r="D272" s="33"/>
      <c r="E272" s="33"/>
      <c r="F272" s="33"/>
      <c r="G272" s="33"/>
      <c r="H272" s="33"/>
      <c r="I272" s="26"/>
    </row>
    <row r="273" spans="1:9" ht="20.25" x14ac:dyDescent="0.25">
      <c r="A273" s="32"/>
      <c r="B273" s="33"/>
      <c r="C273" s="33"/>
      <c r="D273" s="33"/>
      <c r="E273" s="33"/>
      <c r="F273" s="33"/>
      <c r="G273" s="33"/>
      <c r="H273" s="33"/>
      <c r="I273" s="26"/>
    </row>
    <row r="274" spans="1:9" ht="20.25" x14ac:dyDescent="0.25">
      <c r="A274" s="32"/>
      <c r="B274" s="33"/>
      <c r="C274" s="33"/>
      <c r="D274" s="33"/>
      <c r="E274" s="33"/>
      <c r="F274" s="33"/>
      <c r="G274" s="33"/>
      <c r="H274" s="33"/>
      <c r="I274" s="26"/>
    </row>
    <row r="275" spans="1:9" ht="20.25" x14ac:dyDescent="0.25">
      <c r="A275" s="32"/>
      <c r="B275" s="33"/>
      <c r="C275" s="33"/>
      <c r="D275" s="33"/>
      <c r="E275" s="33"/>
      <c r="F275" s="33"/>
      <c r="G275" s="33"/>
      <c r="H275" s="33"/>
      <c r="I275" s="26"/>
    </row>
    <row r="276" spans="1:9" ht="20.25" x14ac:dyDescent="0.25">
      <c r="A276" s="32"/>
      <c r="B276" s="33"/>
      <c r="C276" s="33"/>
      <c r="D276" s="33"/>
      <c r="E276" s="33"/>
      <c r="F276" s="33"/>
      <c r="G276" s="33"/>
      <c r="H276" s="33"/>
      <c r="I276" s="26"/>
    </row>
    <row r="277" spans="1:9" ht="20.25" x14ac:dyDescent="0.25">
      <c r="A277" s="32"/>
      <c r="B277" s="33"/>
      <c r="C277" s="33"/>
      <c r="D277" s="33"/>
      <c r="E277" s="33"/>
      <c r="F277" s="33"/>
      <c r="G277" s="33"/>
      <c r="H277" s="33"/>
      <c r="I277" s="26"/>
    </row>
    <row r="278" spans="1:9" ht="20.25" x14ac:dyDescent="0.25">
      <c r="A278" s="32"/>
      <c r="B278" s="33"/>
      <c r="C278" s="33"/>
      <c r="D278" s="33"/>
      <c r="E278" s="33"/>
      <c r="F278" s="33"/>
      <c r="G278" s="33"/>
      <c r="H278" s="33"/>
      <c r="I278" s="26"/>
    </row>
    <row r="279" spans="1:9" ht="20.25" x14ac:dyDescent="0.25">
      <c r="A279" s="32"/>
      <c r="B279" s="33"/>
      <c r="C279" s="33"/>
      <c r="D279" s="33"/>
      <c r="E279" s="33"/>
      <c r="F279" s="33"/>
      <c r="G279" s="33"/>
      <c r="H279" s="33"/>
      <c r="I279" s="26"/>
    </row>
    <row r="280" spans="1:9" ht="20.25" x14ac:dyDescent="0.25">
      <c r="A280" s="32"/>
      <c r="B280" s="33"/>
      <c r="C280" s="33"/>
      <c r="D280" s="33"/>
      <c r="E280" s="33"/>
      <c r="F280" s="33"/>
      <c r="G280" s="33"/>
      <c r="H280" s="33"/>
      <c r="I280" s="26"/>
    </row>
    <row r="281" spans="1:9" ht="20.25" x14ac:dyDescent="0.25">
      <c r="A281" s="32"/>
      <c r="B281" s="33"/>
      <c r="C281" s="33"/>
      <c r="D281" s="33"/>
      <c r="E281" s="33"/>
      <c r="F281" s="33"/>
      <c r="G281" s="33"/>
      <c r="H281" s="33"/>
      <c r="I281" s="26"/>
    </row>
    <row r="282" spans="1:9" ht="20.25" x14ac:dyDescent="0.25">
      <c r="A282" s="32"/>
      <c r="B282" s="33"/>
      <c r="C282" s="33"/>
      <c r="D282" s="33"/>
      <c r="E282" s="33"/>
      <c r="F282" s="33"/>
      <c r="G282" s="33"/>
      <c r="H282" s="33"/>
      <c r="I282" s="26"/>
    </row>
    <row r="283" spans="1:9" ht="20.25" x14ac:dyDescent="0.25">
      <c r="A283" s="32"/>
      <c r="B283" s="33"/>
      <c r="C283" s="33"/>
      <c r="D283" s="33"/>
      <c r="E283" s="33"/>
      <c r="F283" s="33"/>
      <c r="G283" s="33"/>
      <c r="H283" s="33"/>
      <c r="I283" s="26"/>
    </row>
    <row r="284" spans="1:9" ht="20.25" x14ac:dyDescent="0.25">
      <c r="A284" s="32"/>
      <c r="B284" s="33"/>
      <c r="C284" s="33"/>
      <c r="D284" s="33"/>
      <c r="E284" s="33"/>
      <c r="F284" s="33"/>
      <c r="G284" s="33"/>
      <c r="H284" s="33"/>
      <c r="I284" s="26"/>
    </row>
    <row r="285" spans="1:9" ht="20.25" x14ac:dyDescent="0.25">
      <c r="A285" s="32"/>
      <c r="B285" s="33"/>
      <c r="C285" s="33"/>
      <c r="D285" s="33"/>
      <c r="E285" s="33"/>
      <c r="F285" s="33"/>
      <c r="G285" s="33"/>
      <c r="H285" s="33"/>
      <c r="I285" s="26"/>
    </row>
    <row r="286" spans="1:9" ht="20.25" x14ac:dyDescent="0.25">
      <c r="A286" s="32"/>
      <c r="B286" s="33"/>
      <c r="C286" s="33"/>
      <c r="D286" s="33"/>
      <c r="E286" s="33"/>
      <c r="F286" s="33"/>
      <c r="G286" s="33"/>
      <c r="H286" s="33"/>
      <c r="I286" s="26"/>
    </row>
    <row r="287" spans="1:9" ht="20.25" x14ac:dyDescent="0.25">
      <c r="A287" s="32"/>
      <c r="B287" s="33"/>
      <c r="C287" s="33"/>
      <c r="D287" s="33"/>
      <c r="E287" s="33"/>
      <c r="F287" s="33"/>
      <c r="G287" s="33"/>
      <c r="H287" s="33"/>
      <c r="I287" s="26"/>
    </row>
    <row r="288" spans="1:9" ht="20.25" x14ac:dyDescent="0.25">
      <c r="A288" s="32"/>
      <c r="B288" s="33"/>
      <c r="C288" s="33"/>
      <c r="D288" s="33"/>
      <c r="E288" s="33"/>
      <c r="F288" s="33"/>
      <c r="G288" s="33"/>
      <c r="H288" s="33"/>
      <c r="I288" s="26"/>
    </row>
    <row r="289" spans="1:9" ht="20.25" x14ac:dyDescent="0.25">
      <c r="A289" s="32"/>
      <c r="B289" s="33"/>
      <c r="C289" s="33"/>
      <c r="D289" s="33"/>
      <c r="E289" s="33"/>
      <c r="F289" s="33"/>
      <c r="G289" s="33"/>
      <c r="H289" s="33"/>
      <c r="I289" s="26"/>
    </row>
    <row r="290" spans="1:9" ht="20.25" x14ac:dyDescent="0.25">
      <c r="A290" s="32"/>
      <c r="B290" s="33"/>
      <c r="C290" s="33"/>
      <c r="D290" s="33"/>
      <c r="E290" s="33"/>
      <c r="F290" s="33"/>
      <c r="G290" s="33"/>
      <c r="H290" s="33"/>
      <c r="I290" s="26"/>
    </row>
    <row r="291" spans="1:9" ht="20.25" x14ac:dyDescent="0.25">
      <c r="A291" s="32"/>
      <c r="B291" s="33"/>
      <c r="C291" s="33"/>
      <c r="D291" s="33"/>
      <c r="E291" s="33"/>
      <c r="F291" s="33"/>
      <c r="G291" s="33"/>
      <c r="H291" s="33"/>
      <c r="I291" s="26"/>
    </row>
    <row r="292" spans="1:9" ht="20.25" x14ac:dyDescent="0.25">
      <c r="A292" s="32"/>
      <c r="B292" s="33"/>
      <c r="C292" s="33"/>
      <c r="D292" s="33"/>
      <c r="E292" s="33"/>
      <c r="F292" s="33"/>
      <c r="G292" s="33"/>
      <c r="H292" s="33"/>
      <c r="I292" s="26"/>
    </row>
    <row r="293" spans="1:9" ht="20.25" x14ac:dyDescent="0.25">
      <c r="A293" s="32"/>
      <c r="B293" s="33"/>
      <c r="C293" s="33"/>
      <c r="D293" s="33"/>
      <c r="E293" s="33"/>
      <c r="F293" s="33"/>
      <c r="G293" s="33"/>
      <c r="H293" s="33"/>
      <c r="I293" s="26"/>
    </row>
    <row r="294" spans="1:9" ht="20.25" x14ac:dyDescent="0.25">
      <c r="A294" s="32"/>
      <c r="B294" s="33"/>
      <c r="C294" s="33"/>
      <c r="D294" s="33"/>
      <c r="E294" s="33"/>
      <c r="F294" s="33"/>
      <c r="G294" s="33"/>
      <c r="H294" s="33"/>
      <c r="I294" s="26"/>
    </row>
    <row r="295" spans="1:9" ht="20.25" x14ac:dyDescent="0.25">
      <c r="A295" s="32"/>
      <c r="B295" s="33"/>
      <c r="C295" s="33"/>
      <c r="D295" s="33"/>
      <c r="E295" s="33"/>
      <c r="F295" s="33"/>
      <c r="G295" s="33"/>
      <c r="H295" s="33"/>
      <c r="I295" s="26"/>
    </row>
    <row r="296" spans="1:9" ht="20.25" x14ac:dyDescent="0.25">
      <c r="A296" s="32"/>
      <c r="B296" s="33"/>
      <c r="C296" s="33"/>
      <c r="D296" s="33"/>
      <c r="E296" s="33"/>
      <c r="F296" s="33"/>
      <c r="G296" s="33"/>
      <c r="H296" s="33"/>
      <c r="I296" s="26"/>
    </row>
    <row r="297" spans="1:9" ht="20.25" x14ac:dyDescent="0.25">
      <c r="A297" s="32"/>
      <c r="B297" s="33"/>
      <c r="C297" s="33"/>
      <c r="D297" s="33"/>
      <c r="E297" s="33"/>
      <c r="F297" s="33"/>
      <c r="G297" s="33"/>
      <c r="H297" s="33"/>
      <c r="I297" s="26"/>
    </row>
    <row r="298" spans="1:9" ht="20.25" x14ac:dyDescent="0.25">
      <c r="A298" s="34"/>
      <c r="B298" s="35"/>
      <c r="C298" s="35"/>
      <c r="D298" s="35"/>
      <c r="E298" s="35"/>
      <c r="F298" s="35"/>
      <c r="G298" s="35"/>
      <c r="H298" s="35"/>
      <c r="I298" s="27"/>
    </row>
    <row r="299" spans="1:9" ht="20.25" x14ac:dyDescent="0.25">
      <c r="A299" s="72" t="s">
        <v>246</v>
      </c>
      <c r="B299" s="72"/>
      <c r="C299" s="72"/>
      <c r="D299" s="72"/>
      <c r="E299" s="72"/>
      <c r="F299" s="72"/>
      <c r="G299" s="72"/>
      <c r="H299" s="72"/>
      <c r="I299" s="72"/>
    </row>
    <row r="300" spans="1:9" ht="20.25" x14ac:dyDescent="0.25">
      <c r="A300" s="30"/>
      <c r="B300" s="31"/>
      <c r="C300" s="31"/>
      <c r="D300" s="31"/>
      <c r="E300" s="31"/>
      <c r="F300" s="31"/>
      <c r="G300" s="31"/>
      <c r="H300" s="31"/>
      <c r="I300" s="25"/>
    </row>
    <row r="301" spans="1:9" ht="20.25" x14ac:dyDescent="0.25">
      <c r="A301" s="32"/>
      <c r="B301" s="33"/>
      <c r="C301" s="33"/>
      <c r="D301" s="33"/>
      <c r="E301" s="33"/>
      <c r="F301" s="33"/>
      <c r="G301" s="33"/>
      <c r="H301" s="33"/>
      <c r="I301" s="26"/>
    </row>
    <row r="302" spans="1:9" ht="20.25" x14ac:dyDescent="0.25">
      <c r="A302" s="32"/>
      <c r="B302" s="33"/>
      <c r="C302" s="33"/>
      <c r="D302" s="33"/>
      <c r="E302" s="33"/>
      <c r="F302" s="33"/>
      <c r="G302" s="33"/>
      <c r="H302" s="33"/>
      <c r="I302" s="26"/>
    </row>
    <row r="303" spans="1:9" ht="20.25" x14ac:dyDescent="0.25">
      <c r="A303" s="32"/>
      <c r="B303" s="33"/>
      <c r="C303" s="33"/>
      <c r="D303" s="33"/>
      <c r="E303" s="33"/>
      <c r="F303" s="33"/>
      <c r="G303" s="33"/>
      <c r="H303" s="33"/>
      <c r="I303" s="26"/>
    </row>
    <row r="304" spans="1:9" ht="20.25" x14ac:dyDescent="0.25">
      <c r="A304" s="32"/>
      <c r="B304" s="33"/>
      <c r="C304" s="33"/>
      <c r="D304" s="33"/>
      <c r="E304" s="33"/>
      <c r="F304" s="33"/>
      <c r="G304" s="33"/>
      <c r="H304" s="33"/>
      <c r="I304" s="26"/>
    </row>
    <row r="305" spans="1:9" ht="20.25" x14ac:dyDescent="0.25">
      <c r="A305" s="32"/>
      <c r="B305" s="33"/>
      <c r="C305" s="33"/>
      <c r="D305" s="33"/>
      <c r="E305" s="33"/>
      <c r="F305" s="33"/>
      <c r="G305" s="33"/>
      <c r="H305" s="33"/>
      <c r="I305" s="26"/>
    </row>
    <row r="306" spans="1:9" ht="20.25" x14ac:dyDescent="0.25">
      <c r="A306" s="32"/>
      <c r="B306" s="33"/>
      <c r="C306" s="33"/>
      <c r="D306" s="33"/>
      <c r="E306" s="33"/>
      <c r="F306" s="33"/>
      <c r="G306" s="33"/>
      <c r="H306" s="33"/>
      <c r="I306" s="26"/>
    </row>
    <row r="307" spans="1:9" ht="20.25" x14ac:dyDescent="0.25">
      <c r="A307" s="32"/>
      <c r="B307" s="33"/>
      <c r="C307" s="33"/>
      <c r="D307" s="33"/>
      <c r="E307" s="33"/>
      <c r="F307" s="33"/>
      <c r="G307" s="33"/>
      <c r="H307" s="33"/>
      <c r="I307" s="26"/>
    </row>
    <row r="308" spans="1:9" ht="20.25" x14ac:dyDescent="0.25">
      <c r="A308" s="32"/>
      <c r="B308" s="33"/>
      <c r="C308" s="33"/>
      <c r="D308" s="33"/>
      <c r="E308" s="33"/>
      <c r="F308" s="33"/>
      <c r="G308" s="33"/>
      <c r="H308" s="33"/>
      <c r="I308" s="26"/>
    </row>
    <row r="309" spans="1:9" ht="20.25" x14ac:dyDescent="0.25">
      <c r="A309" s="32"/>
      <c r="B309" s="33"/>
      <c r="C309" s="33"/>
      <c r="D309" s="33"/>
      <c r="E309" s="33"/>
      <c r="F309" s="33"/>
      <c r="G309" s="33"/>
      <c r="H309" s="33"/>
      <c r="I309" s="26"/>
    </row>
    <row r="310" spans="1:9" ht="20.25" x14ac:dyDescent="0.25">
      <c r="A310" s="32"/>
      <c r="B310" s="33"/>
      <c r="C310" s="33"/>
      <c r="D310" s="33"/>
      <c r="E310" s="33"/>
      <c r="F310" s="33"/>
      <c r="G310" s="33"/>
      <c r="H310" s="33"/>
      <c r="I310" s="26"/>
    </row>
    <row r="311" spans="1:9" ht="20.25" x14ac:dyDescent="0.25">
      <c r="A311" s="32"/>
      <c r="B311" s="33"/>
      <c r="C311" s="33"/>
      <c r="D311" s="33"/>
      <c r="E311" s="33"/>
      <c r="F311" s="33"/>
      <c r="G311" s="33"/>
      <c r="H311" s="33"/>
      <c r="I311" s="26"/>
    </row>
    <row r="312" spans="1:9" ht="20.25" x14ac:dyDescent="0.25">
      <c r="A312" s="32"/>
      <c r="B312" s="33"/>
      <c r="C312" s="33"/>
      <c r="D312" s="33"/>
      <c r="E312" s="33"/>
      <c r="F312" s="33"/>
      <c r="G312" s="33"/>
      <c r="H312" s="33"/>
      <c r="I312" s="26"/>
    </row>
    <row r="313" spans="1:9" ht="20.25" x14ac:dyDescent="0.25">
      <c r="A313" s="32"/>
      <c r="B313" s="33"/>
      <c r="C313" s="33"/>
      <c r="D313" s="33"/>
      <c r="E313" s="33"/>
      <c r="F313" s="33"/>
      <c r="G313" s="33"/>
      <c r="H313" s="33"/>
      <c r="I313" s="26"/>
    </row>
    <row r="314" spans="1:9" ht="20.25" x14ac:dyDescent="0.25">
      <c r="A314" s="32"/>
      <c r="B314" s="33"/>
      <c r="C314" s="33"/>
      <c r="D314" s="33"/>
      <c r="E314" s="33"/>
      <c r="F314" s="33"/>
      <c r="G314" s="33"/>
      <c r="H314" s="33"/>
      <c r="I314" s="26"/>
    </row>
    <row r="315" spans="1:9" ht="20.25" x14ac:dyDescent="0.25">
      <c r="A315" s="32"/>
      <c r="B315" s="33"/>
      <c r="C315" s="33"/>
      <c r="D315" s="33"/>
      <c r="E315" s="33"/>
      <c r="F315" s="33"/>
      <c r="G315" s="33"/>
      <c r="H315" s="33"/>
      <c r="I315" s="26"/>
    </row>
    <row r="316" spans="1:9" ht="20.25" x14ac:dyDescent="0.25">
      <c r="A316" s="32"/>
      <c r="B316" s="33"/>
      <c r="C316" s="33"/>
      <c r="D316" s="33"/>
      <c r="E316" s="33"/>
      <c r="F316" s="33"/>
      <c r="G316" s="33"/>
      <c r="H316" s="33"/>
      <c r="I316" s="26"/>
    </row>
    <row r="317" spans="1:9" ht="20.25" x14ac:dyDescent="0.25">
      <c r="A317" s="32"/>
      <c r="B317" s="33"/>
      <c r="C317" s="33"/>
      <c r="D317" s="33"/>
      <c r="E317" s="33"/>
      <c r="F317" s="33"/>
      <c r="G317" s="33"/>
      <c r="H317" s="33"/>
      <c r="I317" s="26"/>
    </row>
    <row r="318" spans="1:9" ht="20.25" x14ac:dyDescent="0.25">
      <c r="A318" s="32"/>
      <c r="B318" s="33"/>
      <c r="C318" s="33"/>
      <c r="D318" s="33"/>
      <c r="E318" s="33"/>
      <c r="F318" s="33"/>
      <c r="G318" s="33"/>
      <c r="H318" s="33"/>
      <c r="I318" s="26"/>
    </row>
    <row r="319" spans="1:9" ht="20.25" x14ac:dyDescent="0.25">
      <c r="A319" s="32"/>
      <c r="B319" s="33"/>
      <c r="C319" s="33"/>
      <c r="D319" s="33"/>
      <c r="E319" s="33"/>
      <c r="F319" s="33"/>
      <c r="G319" s="33"/>
      <c r="H319" s="33"/>
      <c r="I319" s="26"/>
    </row>
    <row r="320" spans="1:9" ht="20.25" x14ac:dyDescent="0.25">
      <c r="A320" s="32"/>
      <c r="B320" s="33"/>
      <c r="C320" s="33"/>
      <c r="D320" s="33"/>
      <c r="E320" s="33"/>
      <c r="F320" s="33"/>
      <c r="G320" s="33"/>
      <c r="H320" s="33"/>
      <c r="I320" s="26"/>
    </row>
    <row r="321" spans="1:9" ht="20.25" x14ac:dyDescent="0.25">
      <c r="A321" s="32"/>
      <c r="B321" s="33"/>
      <c r="C321" s="33"/>
      <c r="D321" s="33"/>
      <c r="E321" s="33"/>
      <c r="F321" s="33"/>
      <c r="G321" s="33"/>
      <c r="H321" s="33"/>
      <c r="I321" s="26"/>
    </row>
    <row r="322" spans="1:9" ht="20.25" x14ac:dyDescent="0.25">
      <c r="A322" s="32"/>
      <c r="B322" s="33"/>
      <c r="C322" s="33"/>
      <c r="D322" s="33"/>
      <c r="E322" s="33"/>
      <c r="F322" s="33"/>
      <c r="G322" s="33"/>
      <c r="H322" s="33"/>
      <c r="I322" s="26"/>
    </row>
    <row r="323" spans="1:9" ht="20.25" x14ac:dyDescent="0.25">
      <c r="A323" s="32"/>
      <c r="B323" s="33"/>
      <c r="C323" s="33"/>
      <c r="D323" s="33"/>
      <c r="E323" s="33"/>
      <c r="F323" s="33"/>
      <c r="G323" s="33"/>
      <c r="H323" s="33"/>
      <c r="I323" s="26"/>
    </row>
    <row r="324" spans="1:9" ht="20.25" x14ac:dyDescent="0.25">
      <c r="A324" s="32"/>
      <c r="B324" s="33"/>
      <c r="C324" s="33"/>
      <c r="D324" s="33"/>
      <c r="E324" s="33"/>
      <c r="F324" s="33"/>
      <c r="G324" s="33"/>
      <c r="H324" s="33"/>
      <c r="I324" s="26"/>
    </row>
    <row r="325" spans="1:9" ht="20.25" x14ac:dyDescent="0.25">
      <c r="A325" s="32"/>
      <c r="B325" s="33"/>
      <c r="C325" s="33"/>
      <c r="D325" s="33"/>
      <c r="E325" s="33"/>
      <c r="F325" s="33"/>
      <c r="G325" s="33"/>
      <c r="H325" s="33"/>
      <c r="I325" s="26"/>
    </row>
    <row r="326" spans="1:9" ht="20.25" x14ac:dyDescent="0.25">
      <c r="A326" s="32"/>
      <c r="B326" s="33"/>
      <c r="C326" s="33"/>
      <c r="D326" s="33"/>
      <c r="E326" s="33"/>
      <c r="F326" s="33"/>
      <c r="G326" s="33"/>
      <c r="H326" s="33"/>
      <c r="I326" s="26"/>
    </row>
    <row r="327" spans="1:9" ht="20.25" x14ac:dyDescent="0.25">
      <c r="A327" s="32"/>
      <c r="B327" s="33"/>
      <c r="C327" s="33"/>
      <c r="D327" s="33"/>
      <c r="E327" s="33"/>
      <c r="F327" s="33"/>
      <c r="G327" s="33"/>
      <c r="H327" s="33"/>
      <c r="I327" s="26"/>
    </row>
    <row r="328" spans="1:9" ht="20.25" x14ac:dyDescent="0.25">
      <c r="A328" s="32"/>
      <c r="B328" s="33"/>
      <c r="C328" s="33"/>
      <c r="D328" s="33"/>
      <c r="E328" s="33"/>
      <c r="F328" s="33"/>
      <c r="G328" s="33"/>
      <c r="H328" s="33"/>
      <c r="I328" s="26"/>
    </row>
    <row r="329" spans="1:9" ht="20.25" x14ac:dyDescent="0.25">
      <c r="A329" s="32"/>
      <c r="B329" s="33"/>
      <c r="C329" s="33"/>
      <c r="D329" s="33"/>
      <c r="E329" s="33"/>
      <c r="F329" s="33"/>
      <c r="G329" s="33"/>
      <c r="H329" s="33"/>
      <c r="I329" s="26"/>
    </row>
    <row r="330" spans="1:9" ht="20.25" x14ac:dyDescent="0.25">
      <c r="A330" s="32"/>
      <c r="B330" s="33"/>
      <c r="C330" s="33"/>
      <c r="D330" s="33"/>
      <c r="E330" s="33"/>
      <c r="F330" s="33"/>
      <c r="G330" s="33"/>
      <c r="H330" s="33"/>
      <c r="I330" s="26"/>
    </row>
    <row r="331" spans="1:9" ht="20.25" x14ac:dyDescent="0.25">
      <c r="A331" s="32"/>
      <c r="B331" s="33"/>
      <c r="C331" s="33"/>
      <c r="D331" s="33"/>
      <c r="E331" s="33"/>
      <c r="F331" s="33"/>
      <c r="G331" s="33"/>
      <c r="H331" s="33"/>
      <c r="I331" s="26"/>
    </row>
    <row r="332" spans="1:9" ht="20.25" x14ac:dyDescent="0.25">
      <c r="A332" s="32"/>
      <c r="B332" s="33"/>
      <c r="C332" s="33"/>
      <c r="D332" s="33"/>
      <c r="E332" s="33"/>
      <c r="F332" s="33"/>
      <c r="G332" s="33"/>
      <c r="H332" s="33"/>
      <c r="I332" s="26"/>
    </row>
    <row r="333" spans="1:9" ht="20.25" x14ac:dyDescent="0.25">
      <c r="A333" s="32"/>
      <c r="B333" s="33"/>
      <c r="C333" s="33"/>
      <c r="D333" s="33"/>
      <c r="E333" s="33"/>
      <c r="F333" s="33"/>
      <c r="G333" s="33"/>
      <c r="H333" s="33"/>
      <c r="I333" s="26"/>
    </row>
    <row r="334" spans="1:9" ht="20.25" x14ac:dyDescent="0.25">
      <c r="A334" s="32"/>
      <c r="B334" s="33"/>
      <c r="C334" s="33"/>
      <c r="D334" s="33"/>
      <c r="E334" s="33"/>
      <c r="F334" s="33"/>
      <c r="G334" s="33"/>
      <c r="H334" s="33"/>
      <c r="I334" s="26"/>
    </row>
    <row r="335" spans="1:9" ht="20.25" x14ac:dyDescent="0.25">
      <c r="A335" s="32"/>
      <c r="B335" s="33"/>
      <c r="C335" s="33"/>
      <c r="D335" s="33"/>
      <c r="E335" s="33"/>
      <c r="F335" s="33"/>
      <c r="G335" s="33"/>
      <c r="H335" s="33"/>
      <c r="I335" s="26"/>
    </row>
    <row r="336" spans="1:9" ht="20.25" x14ac:dyDescent="0.25">
      <c r="A336" s="32"/>
      <c r="B336" s="33"/>
      <c r="C336" s="33"/>
      <c r="D336" s="33"/>
      <c r="E336" s="33"/>
      <c r="F336" s="33"/>
      <c r="G336" s="33"/>
      <c r="H336" s="33"/>
      <c r="I336" s="26"/>
    </row>
    <row r="337" spans="1:9" ht="20.25" x14ac:dyDescent="0.25">
      <c r="A337" s="32"/>
      <c r="B337" s="33"/>
      <c r="C337" s="33"/>
      <c r="D337" s="33"/>
      <c r="E337" s="33"/>
      <c r="F337" s="33"/>
      <c r="G337" s="33"/>
      <c r="H337" s="33"/>
      <c r="I337" s="26"/>
    </row>
    <row r="338" spans="1:9" ht="20.25" x14ac:dyDescent="0.25">
      <c r="A338" s="32"/>
      <c r="B338" s="33"/>
      <c r="C338" s="33"/>
      <c r="D338" s="33"/>
      <c r="E338" s="33"/>
      <c r="F338" s="33"/>
      <c r="G338" s="33"/>
      <c r="H338" s="33"/>
      <c r="I338" s="26"/>
    </row>
    <row r="339" spans="1:9" ht="20.25" x14ac:dyDescent="0.25">
      <c r="A339" s="32"/>
      <c r="B339" s="33"/>
      <c r="C339" s="33"/>
      <c r="D339" s="33"/>
      <c r="E339" s="33"/>
      <c r="F339" s="33"/>
      <c r="G339" s="33"/>
      <c r="H339" s="33"/>
      <c r="I339" s="26"/>
    </row>
    <row r="340" spans="1:9" ht="20.25" x14ac:dyDescent="0.25">
      <c r="A340" s="32"/>
      <c r="B340" s="33"/>
      <c r="C340" s="33"/>
      <c r="D340" s="33"/>
      <c r="E340" s="33"/>
      <c r="F340" s="33"/>
      <c r="G340" s="33"/>
      <c r="H340" s="33"/>
      <c r="I340" s="26"/>
    </row>
    <row r="341" spans="1:9" ht="20.25" x14ac:dyDescent="0.25">
      <c r="A341" s="32"/>
      <c r="B341" s="33"/>
      <c r="C341" s="33"/>
      <c r="D341" s="33"/>
      <c r="E341" s="33"/>
      <c r="F341" s="33"/>
      <c r="G341" s="33"/>
      <c r="H341" s="33"/>
      <c r="I341" s="26"/>
    </row>
    <row r="342" spans="1:9" ht="20.25" x14ac:dyDescent="0.25">
      <c r="A342" s="34"/>
      <c r="B342" s="35"/>
      <c r="C342" s="35"/>
      <c r="D342" s="35"/>
      <c r="E342" s="35"/>
      <c r="F342" s="35"/>
      <c r="G342" s="35"/>
      <c r="H342" s="35"/>
      <c r="I342" s="27"/>
    </row>
    <row r="343" spans="1:9" ht="20.25" x14ac:dyDescent="0.25">
      <c r="A343" s="108" t="s">
        <v>84</v>
      </c>
      <c r="B343" s="109"/>
      <c r="C343" s="109"/>
      <c r="D343" s="109"/>
      <c r="E343" s="109"/>
      <c r="F343" s="109"/>
      <c r="G343" s="109"/>
      <c r="H343" s="109"/>
      <c r="I343" s="110"/>
    </row>
    <row r="344" spans="1:9" ht="20.25" x14ac:dyDescent="0.25">
      <c r="A344" s="30"/>
      <c r="B344" s="31"/>
      <c r="C344" s="31"/>
      <c r="D344" s="31"/>
      <c r="E344" s="31"/>
      <c r="F344" s="31"/>
      <c r="G344" s="31"/>
      <c r="H344" s="31"/>
      <c r="I344" s="25"/>
    </row>
    <row r="345" spans="1:9" ht="20.25" x14ac:dyDescent="0.25">
      <c r="A345" s="32"/>
      <c r="B345" s="33"/>
      <c r="C345" s="33"/>
      <c r="D345" s="33"/>
      <c r="E345" s="33"/>
      <c r="F345" s="33"/>
      <c r="G345" s="33"/>
      <c r="H345" s="33"/>
      <c r="I345" s="26"/>
    </row>
    <row r="346" spans="1:9" ht="20.25" x14ac:dyDescent="0.25">
      <c r="A346" s="32"/>
      <c r="B346" s="33"/>
      <c r="C346" s="33"/>
      <c r="D346" s="33"/>
      <c r="E346" s="33"/>
      <c r="F346" s="33"/>
      <c r="G346" s="33"/>
      <c r="H346" s="33"/>
      <c r="I346" s="26"/>
    </row>
    <row r="347" spans="1:9" ht="20.25" x14ac:dyDescent="0.25">
      <c r="A347" s="32"/>
      <c r="B347" s="33"/>
      <c r="C347" s="33"/>
      <c r="D347" s="33"/>
      <c r="E347" s="33"/>
      <c r="F347" s="33"/>
      <c r="G347" s="33"/>
      <c r="H347" s="33"/>
      <c r="I347" s="26"/>
    </row>
    <row r="348" spans="1:9" ht="20.25" x14ac:dyDescent="0.25">
      <c r="A348" s="32"/>
      <c r="B348" s="33"/>
      <c r="C348" s="33"/>
      <c r="D348" s="33"/>
      <c r="E348" s="33"/>
      <c r="F348" s="33"/>
      <c r="G348" s="33"/>
      <c r="H348" s="33"/>
      <c r="I348" s="26"/>
    </row>
    <row r="349" spans="1:9" ht="20.25" x14ac:dyDescent="0.25">
      <c r="A349" s="32"/>
      <c r="B349" s="33"/>
      <c r="C349" s="33"/>
      <c r="D349" s="33"/>
      <c r="E349" s="33"/>
      <c r="F349" s="33"/>
      <c r="G349" s="33"/>
      <c r="H349" s="33"/>
      <c r="I349" s="26"/>
    </row>
    <row r="350" spans="1:9" ht="20.25" x14ac:dyDescent="0.25">
      <c r="A350" s="32"/>
      <c r="B350" s="33"/>
      <c r="C350" s="33"/>
      <c r="D350" s="33"/>
      <c r="E350" s="33"/>
      <c r="F350" s="33"/>
      <c r="G350" s="33"/>
      <c r="H350" s="33"/>
      <c r="I350" s="26"/>
    </row>
    <row r="351" spans="1:9" ht="20.25" x14ac:dyDescent="0.25">
      <c r="A351" s="32"/>
      <c r="B351" s="33"/>
      <c r="C351" s="33"/>
      <c r="D351" s="33"/>
      <c r="E351" s="33"/>
      <c r="F351" s="33"/>
      <c r="G351" s="33"/>
      <c r="H351" s="33"/>
      <c r="I351" s="26"/>
    </row>
    <row r="352" spans="1:9" ht="20.25" x14ac:dyDescent="0.25">
      <c r="A352" s="32"/>
      <c r="B352" s="33"/>
      <c r="C352" s="33"/>
      <c r="D352" s="33"/>
      <c r="E352" s="33"/>
      <c r="F352" s="33"/>
      <c r="G352" s="33"/>
      <c r="H352" s="33"/>
      <c r="I352" s="26"/>
    </row>
    <row r="353" spans="1:9" ht="20.25" x14ac:dyDescent="0.25">
      <c r="A353" s="32"/>
      <c r="B353" s="33"/>
      <c r="C353" s="33"/>
      <c r="D353" s="33"/>
      <c r="E353" s="33"/>
      <c r="F353" s="33"/>
      <c r="G353" s="33"/>
      <c r="H353" s="33"/>
      <c r="I353" s="26"/>
    </row>
    <row r="354" spans="1:9" ht="20.25" x14ac:dyDescent="0.25">
      <c r="A354" s="32"/>
      <c r="B354" s="33"/>
      <c r="C354" s="33"/>
      <c r="D354" s="33"/>
      <c r="E354" s="33"/>
      <c r="F354" s="33"/>
      <c r="G354" s="33"/>
      <c r="H354" s="33"/>
      <c r="I354" s="26"/>
    </row>
    <row r="355" spans="1:9" ht="20.25" x14ac:dyDescent="0.25">
      <c r="A355" s="32"/>
      <c r="B355" s="33"/>
      <c r="C355" s="33"/>
      <c r="D355" s="33"/>
      <c r="E355" s="33"/>
      <c r="F355" s="33"/>
      <c r="G355" s="33"/>
      <c r="H355" s="33"/>
      <c r="I355" s="26"/>
    </row>
    <row r="356" spans="1:9" ht="20.25" x14ac:dyDescent="0.25">
      <c r="A356" s="32"/>
      <c r="B356" s="33"/>
      <c r="C356" s="33"/>
      <c r="D356" s="33"/>
      <c r="E356" s="33"/>
      <c r="F356" s="33"/>
      <c r="G356" s="33"/>
      <c r="H356" s="33"/>
      <c r="I356" s="26"/>
    </row>
    <row r="357" spans="1:9" ht="20.25" x14ac:dyDescent="0.25">
      <c r="A357" s="32"/>
      <c r="B357" s="33"/>
      <c r="C357" s="33"/>
      <c r="D357" s="33"/>
      <c r="E357" s="33"/>
      <c r="F357" s="33"/>
      <c r="G357" s="33"/>
      <c r="H357" s="33"/>
      <c r="I357" s="26"/>
    </row>
    <row r="358" spans="1:9" ht="20.25" x14ac:dyDescent="0.25">
      <c r="A358" s="32"/>
      <c r="B358" s="33"/>
      <c r="C358" s="33"/>
      <c r="D358" s="33"/>
      <c r="E358" s="33"/>
      <c r="F358" s="33"/>
      <c r="G358" s="33"/>
      <c r="H358" s="33"/>
      <c r="I358" s="26"/>
    </row>
    <row r="359" spans="1:9" ht="20.25" x14ac:dyDescent="0.25">
      <c r="A359" s="32"/>
      <c r="B359" s="33"/>
      <c r="C359" s="33"/>
      <c r="D359" s="33"/>
      <c r="E359" s="33"/>
      <c r="F359" s="33"/>
      <c r="G359" s="33"/>
      <c r="H359" s="33"/>
      <c r="I359" s="26"/>
    </row>
    <row r="360" spans="1:9" ht="20.25" x14ac:dyDescent="0.25">
      <c r="A360" s="32"/>
      <c r="B360" s="33"/>
      <c r="C360" s="33"/>
      <c r="D360" s="33"/>
      <c r="E360" s="33"/>
      <c r="F360" s="33"/>
      <c r="G360" s="33"/>
      <c r="H360" s="33"/>
      <c r="I360" s="26"/>
    </row>
    <row r="361" spans="1:9" ht="20.25" x14ac:dyDescent="0.25">
      <c r="A361" s="32"/>
      <c r="B361" s="33"/>
      <c r="C361" s="33"/>
      <c r="D361" s="33"/>
      <c r="E361" s="33"/>
      <c r="F361" s="33"/>
      <c r="G361" s="33"/>
      <c r="H361" s="33"/>
      <c r="I361" s="26"/>
    </row>
    <row r="362" spans="1:9" ht="20.25" x14ac:dyDescent="0.25">
      <c r="A362" s="32"/>
      <c r="B362" s="33"/>
      <c r="C362" s="33"/>
      <c r="D362" s="33"/>
      <c r="E362" s="33"/>
      <c r="F362" s="33"/>
      <c r="G362" s="33"/>
      <c r="H362" s="33"/>
      <c r="I362" s="26"/>
    </row>
    <row r="363" spans="1:9" ht="20.25" x14ac:dyDescent="0.25">
      <c r="A363" s="32"/>
      <c r="B363" s="33"/>
      <c r="C363" s="33"/>
      <c r="D363" s="33"/>
      <c r="E363" s="33"/>
      <c r="F363" s="33"/>
      <c r="G363" s="33"/>
      <c r="H363" s="33"/>
      <c r="I363" s="26"/>
    </row>
    <row r="364" spans="1:9" ht="20.25" x14ac:dyDescent="0.25">
      <c r="A364" s="32"/>
      <c r="B364" s="33"/>
      <c r="C364" s="33"/>
      <c r="D364" s="33"/>
      <c r="E364" s="33"/>
      <c r="F364" s="33"/>
      <c r="G364" s="33"/>
      <c r="H364" s="33"/>
      <c r="I364" s="26"/>
    </row>
    <row r="365" spans="1:9" ht="20.25" x14ac:dyDescent="0.25">
      <c r="A365" s="32"/>
      <c r="B365" s="33"/>
      <c r="C365" s="33"/>
      <c r="D365" s="33"/>
      <c r="E365" s="33"/>
      <c r="F365" s="33"/>
      <c r="G365" s="33"/>
      <c r="H365" s="33"/>
      <c r="I365" s="26"/>
    </row>
    <row r="366" spans="1:9" ht="20.25" x14ac:dyDescent="0.25">
      <c r="A366" s="32"/>
      <c r="B366" s="33"/>
      <c r="C366" s="33"/>
      <c r="D366" s="33"/>
      <c r="E366" s="33"/>
      <c r="F366" s="33"/>
      <c r="G366" s="33"/>
      <c r="H366" s="33"/>
      <c r="I366" s="26"/>
    </row>
    <row r="367" spans="1:9" ht="20.25" x14ac:dyDescent="0.25">
      <c r="A367" s="32"/>
      <c r="B367" s="33"/>
      <c r="C367" s="33"/>
      <c r="D367" s="33"/>
      <c r="E367" s="33"/>
      <c r="F367" s="33"/>
      <c r="G367" s="33"/>
      <c r="H367" s="33"/>
      <c r="I367" s="26"/>
    </row>
    <row r="368" spans="1:9" ht="20.25" x14ac:dyDescent="0.25">
      <c r="A368" s="32"/>
      <c r="B368" s="33"/>
      <c r="C368" s="33"/>
      <c r="D368" s="33"/>
      <c r="E368" s="33"/>
      <c r="F368" s="33"/>
      <c r="G368" s="33"/>
      <c r="H368" s="33"/>
      <c r="I368" s="26"/>
    </row>
    <row r="369" spans="1:9" ht="20.25" x14ac:dyDescent="0.25">
      <c r="A369" s="32"/>
      <c r="B369" s="33"/>
      <c r="C369" s="33"/>
      <c r="D369" s="33"/>
      <c r="E369" s="33"/>
      <c r="F369" s="33"/>
      <c r="G369" s="33"/>
      <c r="H369" s="33"/>
      <c r="I369" s="26"/>
    </row>
    <row r="370" spans="1:9" ht="20.25" x14ac:dyDescent="0.25">
      <c r="A370" s="32"/>
      <c r="B370" s="33"/>
      <c r="C370" s="33"/>
      <c r="D370" s="33"/>
      <c r="E370" s="33"/>
      <c r="F370" s="33"/>
      <c r="G370" s="33"/>
      <c r="H370" s="33"/>
      <c r="I370" s="26"/>
    </row>
    <row r="371" spans="1:9" ht="20.25" x14ac:dyDescent="0.25">
      <c r="A371" s="32"/>
      <c r="B371" s="33"/>
      <c r="C371" s="33"/>
      <c r="D371" s="33"/>
      <c r="E371" s="33"/>
      <c r="F371" s="33"/>
      <c r="G371" s="33"/>
      <c r="H371" s="33"/>
      <c r="I371" s="26"/>
    </row>
    <row r="372" spans="1:9" ht="20.25" x14ac:dyDescent="0.25">
      <c r="A372" s="32"/>
      <c r="B372" s="33"/>
      <c r="C372" s="33"/>
      <c r="D372" s="33"/>
      <c r="E372" s="33"/>
      <c r="F372" s="33"/>
      <c r="G372" s="33"/>
      <c r="H372" s="33"/>
      <c r="I372" s="26"/>
    </row>
    <row r="373" spans="1:9" ht="20.25" x14ac:dyDescent="0.25">
      <c r="A373" s="32"/>
      <c r="B373" s="33"/>
      <c r="C373" s="33"/>
      <c r="D373" s="33"/>
      <c r="E373" s="33"/>
      <c r="F373" s="33"/>
      <c r="G373" s="33"/>
      <c r="H373" s="33"/>
      <c r="I373" s="26"/>
    </row>
    <row r="374" spans="1:9" ht="20.25" x14ac:dyDescent="0.25">
      <c r="A374" s="72" t="s">
        <v>27</v>
      </c>
      <c r="B374" s="72"/>
      <c r="C374" s="72"/>
      <c r="D374" s="72"/>
      <c r="E374" s="72"/>
      <c r="F374" s="72"/>
      <c r="G374" s="72"/>
      <c r="H374" s="72"/>
      <c r="I374" s="72"/>
    </row>
    <row r="375" spans="1:9" ht="20.25" x14ac:dyDescent="0.25">
      <c r="A375" s="144" t="s">
        <v>86</v>
      </c>
      <c r="B375" s="145"/>
      <c r="C375" s="145"/>
      <c r="D375" s="145"/>
      <c r="E375" s="145"/>
      <c r="F375" s="145"/>
      <c r="G375" s="145"/>
      <c r="H375" s="145"/>
      <c r="I375" s="146"/>
    </row>
    <row r="376" spans="1:9" ht="20.25" x14ac:dyDescent="0.25">
      <c r="A376" s="147" t="s">
        <v>87</v>
      </c>
      <c r="B376" s="148"/>
      <c r="C376" s="148"/>
      <c r="D376" s="148"/>
      <c r="E376" s="148"/>
      <c r="F376" s="148"/>
      <c r="G376" s="148"/>
      <c r="H376" s="148"/>
      <c r="I376" s="149"/>
    </row>
    <row r="377" spans="1:9" ht="42.75" customHeight="1" x14ac:dyDescent="0.25">
      <c r="A377" s="147" t="s">
        <v>88</v>
      </c>
      <c r="B377" s="148"/>
      <c r="C377" s="148"/>
      <c r="D377" s="148"/>
      <c r="E377" s="148"/>
      <c r="F377" s="148"/>
      <c r="G377" s="148"/>
      <c r="H377" s="148"/>
      <c r="I377" s="149"/>
    </row>
    <row r="378" spans="1:9" ht="20.25" x14ac:dyDescent="0.25">
      <c r="A378" s="147" t="s">
        <v>89</v>
      </c>
      <c r="B378" s="148"/>
      <c r="C378" s="148"/>
      <c r="D378" s="148"/>
      <c r="E378" s="148"/>
      <c r="F378" s="148"/>
      <c r="G378" s="148"/>
      <c r="H378" s="148"/>
      <c r="I378" s="149"/>
    </row>
    <row r="379" spans="1:9" ht="20.25" x14ac:dyDescent="0.25">
      <c r="A379" s="147" t="s">
        <v>90</v>
      </c>
      <c r="B379" s="148"/>
      <c r="C379" s="148"/>
      <c r="D379" s="148"/>
      <c r="E379" s="148"/>
      <c r="F379" s="148"/>
      <c r="G379" s="148"/>
      <c r="H379" s="148"/>
      <c r="I379" s="149"/>
    </row>
    <row r="380" spans="1:9" ht="20.25" x14ac:dyDescent="0.25">
      <c r="A380" s="147" t="s">
        <v>91</v>
      </c>
      <c r="B380" s="148"/>
      <c r="C380" s="148"/>
      <c r="D380" s="148"/>
      <c r="E380" s="148"/>
      <c r="F380" s="148"/>
      <c r="G380" s="148"/>
      <c r="H380" s="148"/>
      <c r="I380" s="149"/>
    </row>
    <row r="381" spans="1:9" ht="45" customHeight="1" x14ac:dyDescent="0.25">
      <c r="A381" s="147" t="s">
        <v>92</v>
      </c>
      <c r="B381" s="148"/>
      <c r="C381" s="148"/>
      <c r="D381" s="148"/>
      <c r="E381" s="148"/>
      <c r="F381" s="148"/>
      <c r="G381" s="148"/>
      <c r="H381" s="148"/>
      <c r="I381" s="149"/>
    </row>
    <row r="382" spans="1:9" ht="20.25" x14ac:dyDescent="0.25">
      <c r="A382" s="147" t="s">
        <v>93</v>
      </c>
      <c r="B382" s="148"/>
      <c r="C382" s="148"/>
      <c r="D382" s="148"/>
      <c r="E382" s="148"/>
      <c r="F382" s="148"/>
      <c r="G382" s="148"/>
      <c r="H382" s="148"/>
      <c r="I382" s="149"/>
    </row>
    <row r="383" spans="1:9" ht="37.5" customHeight="1" x14ac:dyDescent="0.25">
      <c r="A383" s="150" t="s">
        <v>94</v>
      </c>
      <c r="B383" s="151"/>
      <c r="C383" s="151"/>
      <c r="D383" s="151"/>
      <c r="E383" s="151"/>
      <c r="F383" s="151"/>
      <c r="G383" s="151"/>
      <c r="H383" s="151"/>
      <c r="I383" s="152"/>
    </row>
    <row r="384" spans="1:9" ht="63" customHeight="1" x14ac:dyDescent="0.25">
      <c r="A384" s="143" t="s">
        <v>33</v>
      </c>
      <c r="B384" s="143"/>
      <c r="C384" s="143"/>
      <c r="D384" s="2" t="s">
        <v>4</v>
      </c>
      <c r="E384" s="22" t="s">
        <v>266</v>
      </c>
      <c r="F384" s="13" t="s">
        <v>10</v>
      </c>
      <c r="G384" s="2" t="s">
        <v>4</v>
      </c>
      <c r="H384" s="103"/>
      <c r="I384" s="103"/>
    </row>
  </sheetData>
  <mergeCells count="438">
    <mergeCell ref="N14:S14"/>
    <mergeCell ref="C135:I136"/>
    <mergeCell ref="C142:I143"/>
    <mergeCell ref="C157:I157"/>
    <mergeCell ref="C179:I180"/>
    <mergeCell ref="C187:I188"/>
    <mergeCell ref="C200:I200"/>
    <mergeCell ref="A194:B194"/>
    <mergeCell ref="C194:D194"/>
    <mergeCell ref="A195:B195"/>
    <mergeCell ref="C195:D195"/>
    <mergeCell ref="A196:B196"/>
    <mergeCell ref="C196:D196"/>
    <mergeCell ref="A197:B197"/>
    <mergeCell ref="C197:D197"/>
    <mergeCell ref="A198:B198"/>
    <mergeCell ref="C198:D198"/>
    <mergeCell ref="A192:I192"/>
    <mergeCell ref="A193:B193"/>
    <mergeCell ref="A135:B135"/>
    <mergeCell ref="C131:D131"/>
    <mergeCell ref="A129:B129"/>
    <mergeCell ref="F105:G105"/>
    <mergeCell ref="C105:D105"/>
    <mergeCell ref="A105:B105"/>
    <mergeCell ref="A132:B132"/>
    <mergeCell ref="C132:D132"/>
    <mergeCell ref="A130:B130"/>
    <mergeCell ref="C130:D130"/>
    <mergeCell ref="C129:D129"/>
    <mergeCell ref="C120:D120"/>
    <mergeCell ref="C121:D121"/>
    <mergeCell ref="C122:D122"/>
    <mergeCell ref="C125:D125"/>
    <mergeCell ref="C110:D110"/>
    <mergeCell ref="C124:D124"/>
    <mergeCell ref="A119:I119"/>
    <mergeCell ref="A121:B121"/>
    <mergeCell ref="A122:B122"/>
    <mergeCell ref="A123:B123"/>
    <mergeCell ref="A124:B124"/>
    <mergeCell ref="A125:B125"/>
    <mergeCell ref="A120:B120"/>
    <mergeCell ref="A107:I107"/>
    <mergeCell ref="A108:I108"/>
    <mergeCell ref="A116:I116"/>
    <mergeCell ref="A117:I117"/>
    <mergeCell ref="A109:B109"/>
    <mergeCell ref="F110:G110"/>
    <mergeCell ref="A111:B111"/>
    <mergeCell ref="A128:B128"/>
    <mergeCell ref="C128:D128"/>
    <mergeCell ref="A126:I126"/>
    <mergeCell ref="A127:B127"/>
    <mergeCell ref="C127:D127"/>
    <mergeCell ref="C123:D123"/>
    <mergeCell ref="H14:I14"/>
    <mergeCell ref="G38:H38"/>
    <mergeCell ref="A39:C39"/>
    <mergeCell ref="A35:C35"/>
    <mergeCell ref="A40:C40"/>
    <mergeCell ref="A38:C38"/>
    <mergeCell ref="H16:I16"/>
    <mergeCell ref="H17:I17"/>
    <mergeCell ref="H15:I15"/>
    <mergeCell ref="H18:I18"/>
    <mergeCell ref="H19:I19"/>
    <mergeCell ref="H31:I31"/>
    <mergeCell ref="H22:I22"/>
    <mergeCell ref="G39:H39"/>
    <mergeCell ref="H36:I36"/>
    <mergeCell ref="A36:C36"/>
    <mergeCell ref="C28:E28"/>
    <mergeCell ref="C29:E29"/>
    <mergeCell ref="C30:E30"/>
    <mergeCell ref="C31:E31"/>
    <mergeCell ref="C32:I32"/>
    <mergeCell ref="H35:I35"/>
    <mergeCell ref="A34:C34"/>
    <mergeCell ref="H34:I34"/>
    <mergeCell ref="A384:C384"/>
    <mergeCell ref="H384:I384"/>
    <mergeCell ref="A209:I209"/>
    <mergeCell ref="E211:I211"/>
    <mergeCell ref="A375:I375"/>
    <mergeCell ref="A381:I381"/>
    <mergeCell ref="A382:I382"/>
    <mergeCell ref="A383:I383"/>
    <mergeCell ref="A376:I376"/>
    <mergeCell ref="A377:I377"/>
    <mergeCell ref="A378:I378"/>
    <mergeCell ref="A379:I379"/>
    <mergeCell ref="A211:C211"/>
    <mergeCell ref="A374:I374"/>
    <mergeCell ref="A380:I380"/>
    <mergeCell ref="A343:I343"/>
    <mergeCell ref="E210:I210"/>
    <mergeCell ref="A212:C212"/>
    <mergeCell ref="E212:I212"/>
    <mergeCell ref="A258:I258"/>
    <mergeCell ref="A299:I299"/>
    <mergeCell ref="A1:I1"/>
    <mergeCell ref="A4:C4"/>
    <mergeCell ref="A210:C210"/>
    <mergeCell ref="H27:I27"/>
    <mergeCell ref="H28:I28"/>
    <mergeCell ref="A37:I37"/>
    <mergeCell ref="H47:I47"/>
    <mergeCell ref="H49:I49"/>
    <mergeCell ref="A42:I42"/>
    <mergeCell ref="A46:I46"/>
    <mergeCell ref="A98:I98"/>
    <mergeCell ref="H96:I96"/>
    <mergeCell ref="A2:C2"/>
    <mergeCell ref="E2:F2"/>
    <mergeCell ref="A41:C41"/>
    <mergeCell ref="H41:I41"/>
    <mergeCell ref="E4:F4"/>
    <mergeCell ref="E12:I12"/>
    <mergeCell ref="A6:C6"/>
    <mergeCell ref="A7:C7"/>
    <mergeCell ref="A8:C8"/>
    <mergeCell ref="E8:I8"/>
    <mergeCell ref="H7:I7"/>
    <mergeCell ref="E9:I9"/>
    <mergeCell ref="G2:H2"/>
    <mergeCell ref="G3:H3"/>
    <mergeCell ref="G4:H4"/>
    <mergeCell ref="H45:I45"/>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A97:F97"/>
    <mergeCell ref="H97:I97"/>
    <mergeCell ref="A43:B43"/>
    <mergeCell ref="A44:B44"/>
    <mergeCell ref="A45:B45"/>
    <mergeCell ref="E44:G44"/>
    <mergeCell ref="E43:G43"/>
    <mergeCell ref="E45:G45"/>
    <mergeCell ref="H95:I95"/>
    <mergeCell ref="H44:I44"/>
    <mergeCell ref="A95:F95"/>
    <mergeCell ref="H50:I50"/>
    <mergeCell ref="H48:I48"/>
    <mergeCell ref="H86:I86"/>
    <mergeCell ref="A88:C88"/>
    <mergeCell ref="H88:I88"/>
    <mergeCell ref="A89:C89"/>
    <mergeCell ref="H89:I89"/>
    <mergeCell ref="A87:C87"/>
    <mergeCell ref="C208:I208"/>
    <mergeCell ref="A207:I207"/>
    <mergeCell ref="A143:B143"/>
    <mergeCell ref="A144:B144"/>
    <mergeCell ref="A147:I147"/>
    <mergeCell ref="A148:B148"/>
    <mergeCell ref="C148:D148"/>
    <mergeCell ref="A149:B149"/>
    <mergeCell ref="C149:D149"/>
    <mergeCell ref="A150:B150"/>
    <mergeCell ref="C150:D150"/>
    <mergeCell ref="A145:B145"/>
    <mergeCell ref="C145:D145"/>
    <mergeCell ref="A146:B146"/>
    <mergeCell ref="C146:D146"/>
    <mergeCell ref="C144:D144"/>
    <mergeCell ref="A153:I153"/>
    <mergeCell ref="A154:B154"/>
    <mergeCell ref="C154:D154"/>
    <mergeCell ref="A155:B155"/>
    <mergeCell ref="C155:D155"/>
    <mergeCell ref="A156:B156"/>
    <mergeCell ref="C156:D156"/>
    <mergeCell ref="A151:B151"/>
    <mergeCell ref="A85:C85"/>
    <mergeCell ref="H85:I85"/>
    <mergeCell ref="A96:F96"/>
    <mergeCell ref="A94:I94"/>
    <mergeCell ref="A90:C90"/>
    <mergeCell ref="H90:I90"/>
    <mergeCell ref="A91:C91"/>
    <mergeCell ref="H91:I91"/>
    <mergeCell ref="A92:C92"/>
    <mergeCell ref="H92:I92"/>
    <mergeCell ref="A93:C93"/>
    <mergeCell ref="H93:I93"/>
    <mergeCell ref="A86:C86"/>
    <mergeCell ref="H87:I87"/>
    <mergeCell ref="C109:D109"/>
    <mergeCell ref="F109:G109"/>
    <mergeCell ref="A110:B110"/>
    <mergeCell ref="C47:E47"/>
    <mergeCell ref="C48:E48"/>
    <mergeCell ref="C49:E49"/>
    <mergeCell ref="C50:E50"/>
    <mergeCell ref="C111:D111"/>
    <mergeCell ref="F111:G111"/>
    <mergeCell ref="A84:I84"/>
    <mergeCell ref="A67:I67"/>
    <mergeCell ref="A52:C53"/>
    <mergeCell ref="A54:B54"/>
    <mergeCell ref="A55:B55"/>
    <mergeCell ref="A56:B56"/>
    <mergeCell ref="A57:B57"/>
    <mergeCell ref="A58:B58"/>
    <mergeCell ref="A59:B59"/>
    <mergeCell ref="A60:B60"/>
    <mergeCell ref="A61:B61"/>
    <mergeCell ref="A62:B62"/>
    <mergeCell ref="A63:B63"/>
    <mergeCell ref="A64:B64"/>
    <mergeCell ref="A65:B65"/>
    <mergeCell ref="A112:B112"/>
    <mergeCell ref="A113:B113"/>
    <mergeCell ref="A114:B114"/>
    <mergeCell ref="C112:D112"/>
    <mergeCell ref="C113:D113"/>
    <mergeCell ref="C114:D114"/>
    <mergeCell ref="F112:G112"/>
    <mergeCell ref="F113:G113"/>
    <mergeCell ref="F114:G114"/>
    <mergeCell ref="C14:E14"/>
    <mergeCell ref="C15:E15"/>
    <mergeCell ref="C16:E16"/>
    <mergeCell ref="C17:E17"/>
    <mergeCell ref="C18:E18"/>
    <mergeCell ref="C19:E19"/>
    <mergeCell ref="C20:E20"/>
    <mergeCell ref="C21:E21"/>
    <mergeCell ref="C22:E22"/>
    <mergeCell ref="C24:I24"/>
    <mergeCell ref="C23:I23"/>
    <mergeCell ref="A104:I104"/>
    <mergeCell ref="F99:G99"/>
    <mergeCell ref="F100:G100"/>
    <mergeCell ref="F102:G102"/>
    <mergeCell ref="F103:G103"/>
    <mergeCell ref="A99:B99"/>
    <mergeCell ref="C99:D99"/>
    <mergeCell ref="A100:B100"/>
    <mergeCell ref="C100:D100"/>
    <mergeCell ref="A102:B102"/>
    <mergeCell ref="C102:D102"/>
    <mergeCell ref="A103:B103"/>
    <mergeCell ref="C103:D103"/>
    <mergeCell ref="H99:I99"/>
    <mergeCell ref="H100:I100"/>
    <mergeCell ref="H102:I102"/>
    <mergeCell ref="H103:I103"/>
    <mergeCell ref="A83:G83"/>
    <mergeCell ref="H83:I83"/>
    <mergeCell ref="C43:D43"/>
    <mergeCell ref="C44:D44"/>
    <mergeCell ref="C45:D45"/>
    <mergeCell ref="A115:B115"/>
    <mergeCell ref="C115:D115"/>
    <mergeCell ref="F115:G115"/>
    <mergeCell ref="A118:I118"/>
    <mergeCell ref="L123:M123"/>
    <mergeCell ref="L144:M144"/>
    <mergeCell ref="L145:M145"/>
    <mergeCell ref="E146:H146"/>
    <mergeCell ref="L124:M124"/>
    <mergeCell ref="A133:I133"/>
    <mergeCell ref="A134:B134"/>
    <mergeCell ref="C134:D134"/>
    <mergeCell ref="A137:B137"/>
    <mergeCell ref="C137:D137"/>
    <mergeCell ref="A138:B138"/>
    <mergeCell ref="C138:D138"/>
    <mergeCell ref="A136:B136"/>
    <mergeCell ref="A131:B131"/>
    <mergeCell ref="A139:B139"/>
    <mergeCell ref="C139:D139"/>
    <mergeCell ref="A140:I140"/>
    <mergeCell ref="A141:B141"/>
    <mergeCell ref="C141:D141"/>
    <mergeCell ref="A142:B142"/>
    <mergeCell ref="C151:D151"/>
    <mergeCell ref="A152:B152"/>
    <mergeCell ref="C152:D152"/>
    <mergeCell ref="A157:B157"/>
    <mergeCell ref="L157:M157"/>
    <mergeCell ref="A158:B158"/>
    <mergeCell ref="C158:D158"/>
    <mergeCell ref="L158:M158"/>
    <mergeCell ref="A164:B164"/>
    <mergeCell ref="C164:D164"/>
    <mergeCell ref="A165:B165"/>
    <mergeCell ref="C165:D165"/>
    <mergeCell ref="L165:M165"/>
    <mergeCell ref="A166:B166"/>
    <mergeCell ref="C166:D166"/>
    <mergeCell ref="L166:M166"/>
    <mergeCell ref="A160:I160"/>
    <mergeCell ref="A161:I161"/>
    <mergeCell ref="A162:B162"/>
    <mergeCell ref="C162:D162"/>
    <mergeCell ref="A163:B163"/>
    <mergeCell ref="C163:D163"/>
    <mergeCell ref="A176:B176"/>
    <mergeCell ref="C176:D176"/>
    <mergeCell ref="A171:B171"/>
    <mergeCell ref="C171:D171"/>
    <mergeCell ref="A172:B172"/>
    <mergeCell ref="C172:D172"/>
    <mergeCell ref="A173:B173"/>
    <mergeCell ref="C173:D173"/>
    <mergeCell ref="A167:B167"/>
    <mergeCell ref="C167:D167"/>
    <mergeCell ref="A168:B168"/>
    <mergeCell ref="C168:D168"/>
    <mergeCell ref="A169:I169"/>
    <mergeCell ref="A170:B170"/>
    <mergeCell ref="C170:D170"/>
    <mergeCell ref="L203:M203"/>
    <mergeCell ref="A204:B204"/>
    <mergeCell ref="C204:D204"/>
    <mergeCell ref="L204:M204"/>
    <mergeCell ref="A191:B191"/>
    <mergeCell ref="C191:D191"/>
    <mergeCell ref="A188:B188"/>
    <mergeCell ref="A189:B189"/>
    <mergeCell ref="C189:D189"/>
    <mergeCell ref="L189:M189"/>
    <mergeCell ref="A190:B190"/>
    <mergeCell ref="C190:D190"/>
    <mergeCell ref="L190:M190"/>
    <mergeCell ref="C193:D193"/>
    <mergeCell ref="A199:I199"/>
    <mergeCell ref="A200:B200"/>
    <mergeCell ref="A201:B201"/>
    <mergeCell ref="C201:D201"/>
    <mergeCell ref="A184:B184"/>
    <mergeCell ref="C184:D184"/>
    <mergeCell ref="A185:I185"/>
    <mergeCell ref="A186:B186"/>
    <mergeCell ref="A159:I159"/>
    <mergeCell ref="C101:D101"/>
    <mergeCell ref="H101:I101"/>
    <mergeCell ref="F101:G101"/>
    <mergeCell ref="A106:I106"/>
    <mergeCell ref="A181:B181"/>
    <mergeCell ref="C181:D181"/>
    <mergeCell ref="A182:B182"/>
    <mergeCell ref="C182:D182"/>
    <mergeCell ref="A183:B183"/>
    <mergeCell ref="C183:D183"/>
    <mergeCell ref="A177:I177"/>
    <mergeCell ref="A178:B178"/>
    <mergeCell ref="C178:D178"/>
    <mergeCell ref="A179:B179"/>
    <mergeCell ref="A180:B180"/>
    <mergeCell ref="A174:B174"/>
    <mergeCell ref="C174:D174"/>
    <mergeCell ref="A175:B175"/>
    <mergeCell ref="C175:D175"/>
    <mergeCell ref="A205:B205"/>
    <mergeCell ref="C205:D205"/>
    <mergeCell ref="A206:I206"/>
    <mergeCell ref="A202:B202"/>
    <mergeCell ref="C202:D202"/>
    <mergeCell ref="A203:B203"/>
    <mergeCell ref="C203:D203"/>
    <mergeCell ref="C186:D186"/>
    <mergeCell ref="A187:B187"/>
    <mergeCell ref="A66:B66"/>
    <mergeCell ref="A51:I51"/>
    <mergeCell ref="D52:D53"/>
    <mergeCell ref="F52:G52"/>
    <mergeCell ref="F53:G53"/>
    <mergeCell ref="C54:D54"/>
    <mergeCell ref="F54:G54"/>
    <mergeCell ref="C55:D55"/>
    <mergeCell ref="F55:G66"/>
    <mergeCell ref="H55:I66"/>
    <mergeCell ref="C56:D56"/>
    <mergeCell ref="C57:D57"/>
    <mergeCell ref="C58:D58"/>
    <mergeCell ref="C59:D59"/>
    <mergeCell ref="C60:D60"/>
    <mergeCell ref="C61:D61"/>
    <mergeCell ref="C62:D62"/>
    <mergeCell ref="C63:D63"/>
    <mergeCell ref="C64:D64"/>
    <mergeCell ref="C65:D65"/>
    <mergeCell ref="C66:D66"/>
    <mergeCell ref="A68:C69"/>
    <mergeCell ref="D68:D69"/>
    <mergeCell ref="F68:G68"/>
    <mergeCell ref="F69:G69"/>
    <mergeCell ref="A70:B70"/>
    <mergeCell ref="C70:D70"/>
    <mergeCell ref="F70:G70"/>
    <mergeCell ref="A71:B71"/>
    <mergeCell ref="C71:D71"/>
    <mergeCell ref="F71:G82"/>
    <mergeCell ref="H71:I82"/>
    <mergeCell ref="A72:B72"/>
    <mergeCell ref="C72:D72"/>
    <mergeCell ref="A73:B73"/>
    <mergeCell ref="C73:D73"/>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82:B82"/>
    <mergeCell ref="C82:D82"/>
  </mergeCells>
  <dataValidations count="6">
    <dataValidation type="list" allowBlank="1" showInputMessage="1" showErrorMessage="1" sqref="H6:I6">
      <formula1>"Mr. Suraj Khare, Mr.Rushil Sanghvi,Mr.Fahad Quershi,Mr.Vaibhav Gite,Miss Ankita Mohite"</formula1>
    </dataValidation>
    <dataValidation type="list" allowBlank="1" showInputMessage="1" showErrorMessage="1" sqref="H26:I26">
      <formula1>"Middle,Upper"</formula1>
    </dataValidation>
    <dataValidation type="list" allowBlank="1" showInputMessage="1" showErrorMessage="1" sqref="C26:E26">
      <formula1>"Developing,Developed"</formula1>
    </dataValidation>
    <dataValidation type="list" allowBlank="1" showInputMessage="1" showErrorMessage="1" sqref="C27:E27">
      <formula1>"Bitumen,Concrete"</formula1>
    </dataValidation>
    <dataValidation type="list" allowBlank="1" showInputMessage="1" showErrorMessage="1" sqref="E87">
      <formula1>"300000,350000,400000,500000,600000,700000,800000,900000,1000000,1200000,1400000,1500000,1600000"</formula1>
    </dataValidation>
    <dataValidation type="list" allowBlank="1" showInputMessage="1" showErrorMessage="1" sqref="F105:G105">
      <formula1>"Fungible area,Balcony Area,Deck Area,Cornice Area,AP Area,WS Area"</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5" manualBreakCount="5">
    <brk id="66" max="16383" man="1"/>
    <brk id="208" max="8" man="1"/>
    <brk id="257" max="8" man="1"/>
    <brk id="298" max="8" man="1"/>
    <brk id="342" max="8"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2025-07-07T11:26:27Z</cp:lastPrinted>
  <dcterms:created xsi:type="dcterms:W3CDTF">2010-11-23T11:42:48Z</dcterms:created>
  <dcterms:modified xsi:type="dcterms:W3CDTF">2025-07-07T11:27:11Z</dcterms:modified>
</cp:coreProperties>
</file>