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Old\"/>
    </mc:Choice>
  </mc:AlternateContent>
  <bookViews>
    <workbookView xWindow="0" yWindow="0" windowWidth="20490" windowHeight="7755"/>
  </bookViews>
  <sheets>
    <sheet name="report" sheetId="7" r:id="rId1"/>
    <sheet name="Sheet4" sheetId="6" r:id="rId2"/>
    <sheet name="A" sheetId="10" r:id="rId3"/>
    <sheet name="B" sheetId="4" r:id="rId4"/>
    <sheet name="C" sheetId="5" r:id="rId5"/>
    <sheet name="D" sheetId="8" r:id="rId6"/>
    <sheet name="E" sheetId="9" r:id="rId7"/>
  </sheets>
  <definedNames>
    <definedName name="_xlnm.Print_Area" localSheetId="0">report!$A$1:$I$317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5" i="7" l="1"/>
  <c r="C126" i="7" s="1"/>
  <c r="C127" i="7" l="1"/>
  <c r="C128" i="7" s="1"/>
  <c r="C78" i="7"/>
  <c r="C79" i="7" s="1"/>
  <c r="C80" i="7" s="1"/>
  <c r="M132" i="7"/>
  <c r="K130" i="7"/>
  <c r="K129" i="7"/>
  <c r="K128" i="7"/>
  <c r="M116" i="7"/>
  <c r="K114" i="7"/>
  <c r="K113" i="7"/>
  <c r="K112" i="7"/>
  <c r="M100" i="7"/>
  <c r="K98" i="7"/>
  <c r="K97" i="7"/>
  <c r="K96" i="7"/>
  <c r="M84" i="7"/>
  <c r="K82" i="7"/>
  <c r="K81" i="7"/>
  <c r="K80" i="7"/>
  <c r="M68" i="7"/>
  <c r="K66" i="7"/>
  <c r="K65" i="7"/>
  <c r="K64" i="7"/>
  <c r="I105" i="7"/>
  <c r="I121" i="7"/>
  <c r="I89" i="7"/>
  <c r="I57" i="7"/>
  <c r="I73" i="7"/>
  <c r="E134" i="7" l="1"/>
  <c r="E132" i="7"/>
  <c r="E130" i="7"/>
  <c r="E128" i="7"/>
  <c r="E126" i="7"/>
  <c r="E124" i="7"/>
  <c r="E129" i="7"/>
  <c r="E125" i="7"/>
  <c r="E133" i="7"/>
  <c r="K125" i="7"/>
  <c r="K126" i="7" s="1"/>
  <c r="K131" i="7" s="1"/>
  <c r="K123" i="7"/>
  <c r="E131" i="7"/>
  <c r="E127" i="7"/>
  <c r="K122" i="7"/>
  <c r="K124" i="7"/>
  <c r="E118" i="7"/>
  <c r="E116" i="7"/>
  <c r="E114" i="7"/>
  <c r="E112" i="7"/>
  <c r="E110" i="7"/>
  <c r="E113" i="7"/>
  <c r="E117" i="7"/>
  <c r="K109" i="7"/>
  <c r="K110" i="7" s="1"/>
  <c r="K115" i="7" s="1"/>
  <c r="K107" i="7"/>
  <c r="E115" i="7"/>
  <c r="E111" i="7"/>
  <c r="E109" i="7"/>
  <c r="K106" i="7"/>
  <c r="K108" i="7"/>
  <c r="E102" i="7"/>
  <c r="E100" i="7"/>
  <c r="E98" i="7"/>
  <c r="E96" i="7"/>
  <c r="E94" i="7"/>
  <c r="E92" i="7"/>
  <c r="K91" i="7"/>
  <c r="E99" i="7"/>
  <c r="E95" i="7"/>
  <c r="E93" i="7"/>
  <c r="K92" i="7"/>
  <c r="C91" i="7" s="1"/>
  <c r="F91" i="7" s="1"/>
  <c r="E101" i="7"/>
  <c r="K93" i="7"/>
  <c r="K94" i="7" s="1"/>
  <c r="K99" i="7" s="1"/>
  <c r="E97" i="7"/>
  <c r="K90" i="7"/>
  <c r="E86" i="7"/>
  <c r="E84" i="7"/>
  <c r="E82" i="7"/>
  <c r="E80" i="7"/>
  <c r="E78" i="7"/>
  <c r="E76" i="7"/>
  <c r="E85" i="7"/>
  <c r="K77" i="7"/>
  <c r="K78" i="7" s="1"/>
  <c r="K83" i="7" s="1"/>
  <c r="K75" i="7"/>
  <c r="E83" i="7"/>
  <c r="E81" i="7"/>
  <c r="E79" i="7"/>
  <c r="E77" i="7"/>
  <c r="K74" i="7"/>
  <c r="K76" i="7"/>
  <c r="C75" i="7" s="1"/>
  <c r="F75" i="7" s="1"/>
  <c r="E70" i="7"/>
  <c r="E68" i="7"/>
  <c r="E66" i="7"/>
  <c r="E64" i="7"/>
  <c r="E62" i="7"/>
  <c r="E69" i="7"/>
  <c r="K61" i="7"/>
  <c r="K62" i="7" s="1"/>
  <c r="K67" i="7" s="1"/>
  <c r="K59" i="7"/>
  <c r="E67" i="7"/>
  <c r="E65" i="7"/>
  <c r="E63" i="7"/>
  <c r="E61" i="7"/>
  <c r="K58" i="7"/>
  <c r="K60" i="7"/>
  <c r="K111" i="7" l="1"/>
  <c r="K116" i="7" s="1"/>
  <c r="C108" i="7" s="1"/>
  <c r="E108" i="7" s="1"/>
  <c r="K127" i="7"/>
  <c r="K132" i="7" s="1"/>
  <c r="C123" i="7"/>
  <c r="E123" i="7" s="1"/>
  <c r="C107" i="7"/>
  <c r="E107" i="7" s="1"/>
  <c r="K95" i="7"/>
  <c r="K100" i="7" s="1"/>
  <c r="K79" i="7"/>
  <c r="K84" i="7" s="1"/>
  <c r="K63" i="7"/>
  <c r="K68" i="7" s="1"/>
  <c r="C60" i="7" s="1"/>
  <c r="E60" i="7" s="1"/>
  <c r="C59" i="7"/>
  <c r="E59" i="7" s="1"/>
  <c r="E91" i="7"/>
  <c r="E75" i="7"/>
  <c r="J72" i="7" l="1"/>
  <c r="H75" i="7" s="1"/>
  <c r="F123" i="7"/>
  <c r="F107" i="7"/>
  <c r="J104" i="7" s="1"/>
  <c r="H107" i="7" s="1"/>
  <c r="J88" i="7"/>
  <c r="H91" i="7" s="1"/>
  <c r="F59" i="7"/>
  <c r="J56" i="7" s="1"/>
  <c r="H59" i="7" s="1"/>
  <c r="H135" i="7" l="1"/>
  <c r="J120" i="7"/>
  <c r="H123" i="7" s="1"/>
  <c r="F255" i="7" l="1"/>
  <c r="F254" i="7"/>
  <c r="F253" i="7"/>
  <c r="F252" i="7"/>
  <c r="F251" i="7"/>
  <c r="F250" i="7"/>
  <c r="F249" i="7"/>
  <c r="F248" i="7"/>
  <c r="F247" i="7"/>
  <c r="F246" i="7"/>
  <c r="F244" i="7"/>
  <c r="F243" i="7"/>
  <c r="F242" i="7"/>
  <c r="F241" i="7"/>
  <c r="F240" i="7"/>
  <c r="F239" i="7"/>
  <c r="F237" i="7"/>
  <c r="F236" i="7"/>
  <c r="F235" i="7"/>
  <c r="I4" i="7" l="1"/>
  <c r="B16" i="10" l="1"/>
  <c r="B14" i="10"/>
  <c r="E9" i="10" s="1"/>
  <c r="B12" i="10"/>
  <c r="E10" i="10"/>
  <c r="B10" i="10"/>
  <c r="L7" i="10" s="1"/>
  <c r="H16" i="10" s="1"/>
  <c r="E8" i="10"/>
  <c r="B8" i="10"/>
  <c r="K7" i="10" s="1"/>
  <c r="H15" i="10" s="1"/>
  <c r="O7" i="10"/>
  <c r="H19" i="10" s="1"/>
  <c r="N7" i="10"/>
  <c r="H18" i="10" s="1"/>
  <c r="M7" i="10"/>
  <c r="H17" i="10" s="1"/>
  <c r="O6" i="10"/>
  <c r="G19" i="10" s="1"/>
  <c r="M6" i="10"/>
  <c r="G17" i="10" s="1"/>
  <c r="I6" i="10"/>
  <c r="I7" i="10" s="1"/>
  <c r="H13" i="10" s="1"/>
  <c r="E6" i="10"/>
  <c r="B6" i="10"/>
  <c r="J7" i="10" s="1"/>
  <c r="H14" i="10" s="1"/>
  <c r="E4" i="10"/>
  <c r="E5" i="10" l="1"/>
  <c r="L6" i="10"/>
  <c r="G16" i="10" s="1"/>
  <c r="E7" i="10"/>
  <c r="N6" i="10"/>
  <c r="G18" i="10" s="1"/>
  <c r="G13" i="10"/>
  <c r="H20" i="10"/>
  <c r="J6" i="10"/>
  <c r="G14" i="10" s="1"/>
  <c r="K6" i="10"/>
  <c r="G15" i="10" s="1"/>
  <c r="F164" i="7"/>
  <c r="I164" i="7" s="1"/>
  <c r="F163" i="7"/>
  <c r="I163" i="7" s="1"/>
  <c r="F168" i="7"/>
  <c r="I168" i="7" s="1"/>
  <c r="F167" i="7"/>
  <c r="I167" i="7" s="1"/>
  <c r="F160" i="7"/>
  <c r="I160" i="7" s="1"/>
  <c r="F159" i="7"/>
  <c r="I159" i="7" s="1"/>
  <c r="F157" i="7"/>
  <c r="I157" i="7" s="1"/>
  <c r="F156" i="7"/>
  <c r="I156" i="7" s="1"/>
  <c r="F155" i="7"/>
  <c r="I155" i="7" s="1"/>
  <c r="F165" i="7"/>
  <c r="I165" i="7" s="1"/>
  <c r="F153" i="7"/>
  <c r="I153" i="7" s="1"/>
  <c r="F152" i="7"/>
  <c r="I152" i="7" s="1"/>
  <c r="F151" i="7"/>
  <c r="A167" i="7"/>
  <c r="A159" i="7"/>
  <c r="A155" i="7"/>
  <c r="A151" i="7"/>
  <c r="G20" i="10" l="1"/>
  <c r="I151" i="7"/>
  <c r="E261" i="7"/>
  <c r="H144" i="7" l="1"/>
  <c r="B16" i="9"/>
  <c r="O7" i="9" s="1"/>
  <c r="H19" i="9" s="1"/>
  <c r="B14" i="9"/>
  <c r="E9" i="9" s="1"/>
  <c r="B12" i="9"/>
  <c r="M7" i="9" s="1"/>
  <c r="H17" i="9" s="1"/>
  <c r="B10" i="9"/>
  <c r="L6" i="9" s="1"/>
  <c r="G16" i="9" s="1"/>
  <c r="B8" i="9"/>
  <c r="K7" i="9" s="1"/>
  <c r="H15" i="9" s="1"/>
  <c r="I6" i="9"/>
  <c r="G13" i="9" s="1"/>
  <c r="B6" i="9"/>
  <c r="J7" i="9" s="1"/>
  <c r="H14" i="9" s="1"/>
  <c r="E4" i="9"/>
  <c r="B16" i="8"/>
  <c r="E10" i="8" s="1"/>
  <c r="B14" i="8"/>
  <c r="E9" i="8" s="1"/>
  <c r="B12" i="8"/>
  <c r="M7" i="8" s="1"/>
  <c r="H17" i="8" s="1"/>
  <c r="B10" i="8"/>
  <c r="E7" i="8" s="1"/>
  <c r="B8" i="8"/>
  <c r="K7" i="8" s="1"/>
  <c r="H15" i="8" s="1"/>
  <c r="I6" i="8"/>
  <c r="G13" i="8" s="1"/>
  <c r="B6" i="8"/>
  <c r="J7" i="8" s="1"/>
  <c r="H14" i="8" s="1"/>
  <c r="E4" i="8"/>
  <c r="I250" i="7"/>
  <c r="A246" i="7"/>
  <c r="A235" i="7"/>
  <c r="A225" i="7"/>
  <c r="A218" i="7"/>
  <c r="A211" i="7"/>
  <c r="A204" i="7"/>
  <c r="A197" i="7"/>
  <c r="A190" i="7"/>
  <c r="A183" i="7"/>
  <c r="A177" i="7"/>
  <c r="A174" i="7"/>
  <c r="I255" i="7"/>
  <c r="I254" i="7"/>
  <c r="I253" i="7"/>
  <c r="I252" i="7"/>
  <c r="I251" i="7"/>
  <c r="I249" i="7"/>
  <c r="I248" i="7"/>
  <c r="I247" i="7"/>
  <c r="I246" i="7"/>
  <c r="I244" i="7"/>
  <c r="I243" i="7"/>
  <c r="I242" i="7"/>
  <c r="I241" i="7"/>
  <c r="I240" i="7"/>
  <c r="I239" i="7"/>
  <c r="I237" i="7"/>
  <c r="I236" i="7"/>
  <c r="I235" i="7"/>
  <c r="F229" i="7"/>
  <c r="I229" i="7" s="1"/>
  <c r="F228" i="7"/>
  <c r="I228" i="7" s="1"/>
  <c r="F227" i="7"/>
  <c r="I227" i="7" s="1"/>
  <c r="F226" i="7"/>
  <c r="I226" i="7" s="1"/>
  <c r="F225" i="7"/>
  <c r="I225" i="7" s="1"/>
  <c r="F221" i="7"/>
  <c r="I221" i="7" s="1"/>
  <c r="F220" i="7"/>
  <c r="I220" i="7" s="1"/>
  <c r="F219" i="7"/>
  <c r="I219" i="7" s="1"/>
  <c r="F218" i="7"/>
  <c r="I218" i="7" s="1"/>
  <c r="F216" i="7"/>
  <c r="I216" i="7" s="1"/>
  <c r="F215" i="7"/>
  <c r="I215" i="7" s="1"/>
  <c r="F212" i="7"/>
  <c r="I212" i="7" s="1"/>
  <c r="F211" i="7"/>
  <c r="I211" i="7" s="1"/>
  <c r="F214" i="7"/>
  <c r="I214" i="7" s="1"/>
  <c r="F213" i="7"/>
  <c r="I213" i="7" s="1"/>
  <c r="F207" i="7"/>
  <c r="I207" i="7" s="1"/>
  <c r="F206" i="7"/>
  <c r="I206" i="7" s="1"/>
  <c r="F209" i="7"/>
  <c r="I209" i="7" s="1"/>
  <c r="F208" i="7"/>
  <c r="I208" i="7" s="1"/>
  <c r="F205" i="7"/>
  <c r="I205" i="7" s="1"/>
  <c r="F204" i="7"/>
  <c r="I204" i="7" s="1"/>
  <c r="F202" i="7"/>
  <c r="I202" i="7" s="1"/>
  <c r="F201" i="7"/>
  <c r="I201" i="7" s="1"/>
  <c r="F200" i="7"/>
  <c r="I200" i="7" s="1"/>
  <c r="F199" i="7"/>
  <c r="I199" i="7" s="1"/>
  <c r="F198" i="7"/>
  <c r="I198" i="7" s="1"/>
  <c r="F197" i="7"/>
  <c r="I197" i="7" s="1"/>
  <c r="F195" i="7"/>
  <c r="I195" i="7" s="1"/>
  <c r="F194" i="7"/>
  <c r="I194" i="7" s="1"/>
  <c r="F193" i="7"/>
  <c r="I193" i="7" s="1"/>
  <c r="F192" i="7"/>
  <c r="I192" i="7" s="1"/>
  <c r="F191" i="7"/>
  <c r="I191" i="7" s="1"/>
  <c r="F190" i="7"/>
  <c r="I190" i="7" s="1"/>
  <c r="F185" i="7"/>
  <c r="I185" i="7" s="1"/>
  <c r="F184" i="7"/>
  <c r="I184" i="7" s="1"/>
  <c r="F183" i="7"/>
  <c r="I183" i="7" s="1"/>
  <c r="F178" i="7"/>
  <c r="I178" i="7" s="1"/>
  <c r="F177" i="7"/>
  <c r="I177" i="7" s="1"/>
  <c r="F175" i="7"/>
  <c r="I175" i="7" s="1"/>
  <c r="F174" i="7"/>
  <c r="I174" i="7" s="1"/>
  <c r="E8" i="8" l="1"/>
  <c r="L7" i="9"/>
  <c r="H16" i="9" s="1"/>
  <c r="E6" i="8"/>
  <c r="M6" i="8"/>
  <c r="G17" i="8" s="1"/>
  <c r="L6" i="8"/>
  <c r="G16" i="8" s="1"/>
  <c r="L7" i="8"/>
  <c r="H16" i="8" s="1"/>
  <c r="M6" i="9"/>
  <c r="G17" i="9" s="1"/>
  <c r="E6" i="9"/>
  <c r="E7" i="9"/>
  <c r="E8" i="9"/>
  <c r="E10" i="9"/>
  <c r="O6" i="8"/>
  <c r="G19" i="8" s="1"/>
  <c r="O7" i="8"/>
  <c r="H19" i="8" s="1"/>
  <c r="I7" i="9"/>
  <c r="H13" i="9" s="1"/>
  <c r="E5" i="9"/>
  <c r="J6" i="9"/>
  <c r="G14" i="9" s="1"/>
  <c r="N6" i="9"/>
  <c r="G18" i="9" s="1"/>
  <c r="N7" i="9"/>
  <c r="H18" i="9" s="1"/>
  <c r="K6" i="9"/>
  <c r="G15" i="9" s="1"/>
  <c r="O6" i="9"/>
  <c r="G19" i="9" s="1"/>
  <c r="I7" i="8"/>
  <c r="H13" i="8" s="1"/>
  <c r="E5" i="8"/>
  <c r="J6" i="8"/>
  <c r="G14" i="8" s="1"/>
  <c r="N6" i="8"/>
  <c r="G18" i="8" s="1"/>
  <c r="N7" i="8"/>
  <c r="H18" i="8" s="1"/>
  <c r="K6" i="8"/>
  <c r="G15" i="8" s="1"/>
  <c r="G20" i="9" l="1"/>
  <c r="G20" i="8"/>
  <c r="H20" i="9"/>
  <c r="H20" i="8"/>
  <c r="E260" i="7" l="1"/>
  <c r="E259" i="7"/>
  <c r="B16" i="5" l="1"/>
  <c r="O7" i="5" s="1"/>
  <c r="H19" i="5" s="1"/>
  <c r="B14" i="5"/>
  <c r="E9" i="5" s="1"/>
  <c r="B12" i="5"/>
  <c r="M7" i="5" s="1"/>
  <c r="H17" i="5" s="1"/>
  <c r="E10" i="5"/>
  <c r="B10" i="5"/>
  <c r="L7" i="5" s="1"/>
  <c r="H16" i="5" s="1"/>
  <c r="B8" i="5"/>
  <c r="K7" i="5" s="1"/>
  <c r="H15" i="5" s="1"/>
  <c r="M6" i="5"/>
  <c r="G17" i="5" s="1"/>
  <c r="I6" i="5"/>
  <c r="G13" i="5" s="1"/>
  <c r="B6" i="5"/>
  <c r="J7" i="5" s="1"/>
  <c r="H14" i="5" s="1"/>
  <c r="E4" i="5"/>
  <c r="B16" i="4"/>
  <c r="E10" i="4" s="1"/>
  <c r="B14" i="4"/>
  <c r="E9" i="4" s="1"/>
  <c r="B12" i="4"/>
  <c r="M7" i="4" s="1"/>
  <c r="H17" i="4" s="1"/>
  <c r="B10" i="4"/>
  <c r="L7" i="4" s="1"/>
  <c r="H16" i="4" s="1"/>
  <c r="B8" i="4"/>
  <c r="K7" i="4" s="1"/>
  <c r="H15" i="4" s="1"/>
  <c r="O7" i="4"/>
  <c r="H19" i="4" s="1"/>
  <c r="I6" i="4"/>
  <c r="G13" i="4" s="1"/>
  <c r="B6" i="4"/>
  <c r="J7" i="4" s="1"/>
  <c r="H14" i="4" s="1"/>
  <c r="E4" i="4"/>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O6" i="4" l="1"/>
  <c r="G19" i="4" s="1"/>
  <c r="E6" i="4"/>
  <c r="N6" i="4"/>
  <c r="G18" i="4" s="1"/>
  <c r="K6" i="4"/>
  <c r="G15" i="4" s="1"/>
  <c r="I7" i="4"/>
  <c r="H13" i="4" s="1"/>
  <c r="E8" i="4"/>
  <c r="E6" i="5"/>
  <c r="E8" i="5"/>
  <c r="M6" i="4"/>
  <c r="G17" i="4" s="1"/>
  <c r="L6" i="5"/>
  <c r="G16" i="5" s="1"/>
  <c r="E7" i="5"/>
  <c r="I7" i="5"/>
  <c r="H13" i="5" s="1"/>
  <c r="E5" i="5"/>
  <c r="J6" i="5"/>
  <c r="G14" i="5" s="1"/>
  <c r="N6" i="5"/>
  <c r="G18" i="5" s="1"/>
  <c r="N7" i="5"/>
  <c r="H18" i="5" s="1"/>
  <c r="H20" i="5" s="1"/>
  <c r="K6" i="5"/>
  <c r="G15" i="5" s="1"/>
  <c r="O6" i="5"/>
  <c r="G19" i="5" s="1"/>
  <c r="L6" i="4"/>
  <c r="G16" i="4" s="1"/>
  <c r="E7" i="4"/>
  <c r="E5" i="4"/>
  <c r="J6" i="4"/>
  <c r="G14" i="4" s="1"/>
  <c r="N7" i="4"/>
  <c r="H18" i="4" s="1"/>
  <c r="H20" i="4" s="1"/>
  <c r="G20" i="5" l="1"/>
  <c r="G20" i="4"/>
</calcChain>
</file>

<file path=xl/sharedStrings.xml><?xml version="1.0" encoding="utf-8"?>
<sst xmlns="http://schemas.openxmlformats.org/spreadsheetml/2006/main" count="953" uniqueCount="329">
  <si>
    <t>Boundaries</t>
  </si>
  <si>
    <t>North</t>
  </si>
  <si>
    <t>East</t>
  </si>
  <si>
    <t>West</t>
  </si>
  <si>
    <t>:</t>
  </si>
  <si>
    <t>As per Actual at site</t>
  </si>
  <si>
    <t>South</t>
  </si>
  <si>
    <t>As per Documents</t>
  </si>
  <si>
    <t>As per Site / Actual</t>
  </si>
  <si>
    <t>Government Guideline/ Circle rate for Land (Rs per sqft)</t>
  </si>
  <si>
    <t>Authorized Signatory Name &amp; Signature</t>
  </si>
  <si>
    <t>Name of Valuation Agency</t>
  </si>
  <si>
    <t>Boundaries Matching</t>
  </si>
  <si>
    <t>If No, then reason thereon</t>
  </si>
  <si>
    <t>As per Legal Documents</t>
  </si>
  <si>
    <t>Date of Technical Initiation</t>
  </si>
  <si>
    <t>Class of Locality</t>
  </si>
  <si>
    <t>Type of Road</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</si>
  <si>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</si>
  <si>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</si>
  <si>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</si>
  <si>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</si>
  <si>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</si>
  <si>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</si>
  <si>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</si>
  <si>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</si>
  <si>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Latitude</t>
  </si>
  <si>
    <t>Longitude</t>
  </si>
  <si>
    <t>Valuer Certification/Disclaimer</t>
  </si>
  <si>
    <t>Extra Amenities available</t>
  </si>
  <si>
    <t>Infrastructure in the area</t>
  </si>
  <si>
    <t>Status of Holding</t>
  </si>
  <si>
    <t>Government Guideline/ Circle rate for Flat/Unit/ Built up (Rs per sqft)</t>
  </si>
  <si>
    <t>Branch Name/ID</t>
  </si>
  <si>
    <t>Name of Engineer Visited the property</t>
  </si>
  <si>
    <t>Degree of Risk Associated</t>
  </si>
  <si>
    <t>Property Falls in CR Zone</t>
  </si>
  <si>
    <t>Date of Report Release</t>
  </si>
  <si>
    <t>Documents Provided by GHF</t>
  </si>
  <si>
    <t>Request from GHF Employee</t>
  </si>
  <si>
    <t>Name of the person met at site &amp; Contact No.</t>
  </si>
  <si>
    <t>Width of the Road in ft.</t>
  </si>
  <si>
    <t>NDMA Guidelines</t>
  </si>
  <si>
    <t>APF Report Format</t>
  </si>
  <si>
    <t>Project Name</t>
  </si>
  <si>
    <t>Project Address</t>
  </si>
  <si>
    <t>Data from APF Request Form</t>
  </si>
  <si>
    <t>As per ARF</t>
  </si>
  <si>
    <t>Builder Group Name</t>
  </si>
  <si>
    <t>Developer Name</t>
  </si>
  <si>
    <t>Developer Office Address</t>
  </si>
  <si>
    <t>General Details</t>
  </si>
  <si>
    <t>Name of Municipal Corporation/Authority</t>
  </si>
  <si>
    <t>RERA Registration No.</t>
  </si>
  <si>
    <t>RERA Registration Validity</t>
  </si>
  <si>
    <t>Project Launch Date</t>
  </si>
  <si>
    <t>Construction Start Date</t>
  </si>
  <si>
    <t>Proposed Date of Completion (As per RERA)</t>
  </si>
  <si>
    <t>Developer Bank Name (As per RERA)</t>
  </si>
  <si>
    <t>Project Type (Mixed, Residential, Comm.)</t>
  </si>
  <si>
    <t>Free/ Fungible FSI</t>
  </si>
  <si>
    <t>Total Number of Units Planned</t>
  </si>
  <si>
    <t>Total Number of Units Approved</t>
  </si>
  <si>
    <t>If Mixed, No. of Commercial Units</t>
  </si>
  <si>
    <t>Building/Tower Name/No.</t>
  </si>
  <si>
    <t>Type (Sale/Rehab)</t>
  </si>
  <si>
    <t>No. of Floors Planned</t>
  </si>
  <si>
    <t>No. of Floors Approved</t>
  </si>
  <si>
    <t>Building Permission &amp; Other Approvals</t>
  </si>
  <si>
    <t>Construction as per Approved/ Sanctioned Plans</t>
  </si>
  <si>
    <t>LOI/IOD Details</t>
  </si>
  <si>
    <t>Environmental Clearance Details</t>
  </si>
  <si>
    <t>Construction Status</t>
  </si>
  <si>
    <t xml:space="preserve">Project Specific Remarks &amp; Observation </t>
  </si>
  <si>
    <t>Name of the Project</t>
  </si>
  <si>
    <t>Measurement Unit of Area (Sq. Ft./Sq. Mt.)</t>
  </si>
  <si>
    <t>Type of Saleable Area (CA/BUA/SBA/Plot Area)</t>
  </si>
  <si>
    <t>Car Parking Charges</t>
  </si>
  <si>
    <t>Other Charges</t>
  </si>
  <si>
    <t>Remarks / Observations</t>
  </si>
  <si>
    <t>Site &amp; Building/Tower Photographs</t>
  </si>
  <si>
    <t>Location Cum Root Map (Satelite View)</t>
  </si>
  <si>
    <t>Unit Details, Nomenclature and Area Details</t>
  </si>
  <si>
    <t>I certify that to the best of my knowledge and belief:</t>
  </si>
  <si>
    <t>The statements of fact contained in this report are true and correct.</t>
  </si>
  <si>
    <t>The reported analyses, opinion and conclusions are limited only by the reported assumptions and limiting conditions, and are my personal, impartial, and unbiased professional analyses, opinions and conclusions.</t>
  </si>
  <si>
    <t>I have no present or prospective interest in the property that is the subject of this report, and I have no personal interest with respect to the parties involved.</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</si>
  <si>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</si>
  <si>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</si>
  <si>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</si>
  <si>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I have not made a personal inspection of the property that is the subject of this report. My valuation executive (valuer code above) has undertaken the inspection of the property that is the subject of this report.</t>
  </si>
  <si>
    <t>No one has provided significant mass appraisal assistance to the person signing this certification.</t>
  </si>
  <si>
    <t>V.S.JADON &amp; CO VALUERS  LLP</t>
  </si>
  <si>
    <t>Freehold</t>
  </si>
  <si>
    <t>Plot Area (In Sq.Mt)</t>
  </si>
  <si>
    <t>Proposed Built up Area (In Sq.Mt)</t>
  </si>
  <si>
    <t>Permissible Built up Area (In Sq.Mt)</t>
  </si>
  <si>
    <t>-</t>
  </si>
  <si>
    <t>Entrance, Drop-off points, Central Breezeway, Open Party, Lawn, Zen Garden, Jogging Track, Pet Zone, Amphitheatre, Senior Citizen's Area, Reflexology pathway, Outdoor Activity Lawn, Chlorine-free infinity Pool, Chlorine-free Kid's Pool, Kids Play Area, Barbeque corner, Seating Promenade, Clubhouse, Cafe, Gym, Basketball Court, Futsal Court, Cricket pitch, Sunken Seating with Planters, Canopy covered Walkway, Spa, Reading Room, Yoga/Aerobics Room, Indoor games, Billiards Room.</t>
  </si>
  <si>
    <t>Bitumen</t>
  </si>
  <si>
    <t>Yes</t>
  </si>
  <si>
    <t>III</t>
  </si>
  <si>
    <t>No</t>
  </si>
  <si>
    <t>None</t>
  </si>
  <si>
    <t>Low</t>
  </si>
  <si>
    <t>Road</t>
  </si>
  <si>
    <t>Open Plot</t>
  </si>
  <si>
    <t>Sale</t>
  </si>
  <si>
    <t>CC Details</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</si>
  <si>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</si>
  <si>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</si>
  <si>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</si>
  <si>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</si>
  <si>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</si>
  <si>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</si>
  <si>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</si>
  <si>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</si>
  <si>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</si>
  <si>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</si>
  <si>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</si>
  <si>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</si>
  <si>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</si>
  <si>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</si>
  <si>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</si>
  <si>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</si>
  <si>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</si>
  <si>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</si>
  <si>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</si>
  <si>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</si>
  <si>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</si>
  <si>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</si>
  <si>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</si>
  <si>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</si>
  <si>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</si>
  <si>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</si>
  <si>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Godrej One, Vikhroli East, Mumbai</t>
  </si>
  <si>
    <t>Floor</t>
  </si>
  <si>
    <t>Flat/Shop No.</t>
  </si>
  <si>
    <t>Description</t>
  </si>
  <si>
    <t>Gross Carpet area</t>
  </si>
  <si>
    <t>Attached Terrace area</t>
  </si>
  <si>
    <t>Saleable area</t>
  </si>
  <si>
    <t>Tower 1</t>
  </si>
  <si>
    <t>Ground Floor for Parking</t>
  </si>
  <si>
    <t>1st Floor</t>
  </si>
  <si>
    <t>2 BHK S</t>
  </si>
  <si>
    <t>1 BHK</t>
  </si>
  <si>
    <t>2 BHK</t>
  </si>
  <si>
    <t>2nd Floor</t>
  </si>
  <si>
    <t>3rd to 7th, 9th, 11th, 13th, 15th, 17th, 19th, 21th, 23th, 25th to 27th Floors</t>
  </si>
  <si>
    <t>8th, 10th, 12th, 14th, 16th, 18th, 20th, 22th, 24th Floors</t>
  </si>
  <si>
    <t>Tower 2</t>
  </si>
  <si>
    <t>3 BHK</t>
  </si>
  <si>
    <t>2nd to 7th, 9th, 11th, 13th, 15th, 17th, 19th, 21th, 23th &amp; 25th Floors</t>
  </si>
  <si>
    <t>8th, 10th, 12th, 14th, 16th, 18th, 20th, 22th, 24th, 26th Floors</t>
  </si>
  <si>
    <t>Tower 1 = 1st Floor</t>
  </si>
  <si>
    <t>Tower 1 = 2nd Floor</t>
  </si>
  <si>
    <t>Tower 1 = 3rd to 7th, 9th, 11th, 13th, 15th, 17th, 19th, 21th, 23th, 25th to 27th Floors</t>
  </si>
  <si>
    <t>Tower 1 = 8th, 10th, 12th, 14th, 16th, 18th, 20th, 22th, 24th Floors</t>
  </si>
  <si>
    <t>Tower 2 = 1st Floor</t>
  </si>
  <si>
    <t>Tower 2 = 2nd to 7th, 9th, 11th, 13th, 15th, 17th, 19th, 21th, 23th &amp; 25th Floors</t>
  </si>
  <si>
    <t>Tower 2 = 8th, 10th, 12th, 14th, 16th, 18th, 20th, 22th, 24th, 26th Floors</t>
  </si>
  <si>
    <t>Project Site Address</t>
  </si>
  <si>
    <t>Distance from nearest Railway/Metro/Airport (Km)</t>
  </si>
  <si>
    <t>Distance from the nearest School (Km)</t>
  </si>
  <si>
    <t>Distance from Hospital (Km)</t>
  </si>
  <si>
    <t>Market Value</t>
  </si>
  <si>
    <t>As per documentation</t>
  </si>
  <si>
    <t>Guideline Values &amp; Distress Value</t>
  </si>
  <si>
    <t>Distress Value (Rs. Per sqft)</t>
  </si>
  <si>
    <t>Building/Tower &amp; Floor</t>
  </si>
  <si>
    <t>Site Visit Date &amp; Time</t>
  </si>
  <si>
    <t>Purva Clermont</t>
  </si>
  <si>
    <t xml:space="preserve"> 130/1, Ulsoor Road, Near HDFC Bank, Yellappa Chetty Layout, Bangalore, Karnataka- 560042</t>
  </si>
  <si>
    <t>Purva Clermont, CTS No.395, 395/1, 395/2, 395/3, 395/4, 395/5, 395/6, 395/7, 395/8, 395/9, 395/10, Raheja Acropolis Lane, Deonar, Govandi, Mumbai - 400088.</t>
  </si>
  <si>
    <t>Purva Clermont, VN Purva Marg, Dattaguru Society, Chembur, Mumbai, Maharashtra.</t>
  </si>
  <si>
    <t>MCGM</t>
  </si>
  <si>
    <t>April - 2021.</t>
  </si>
  <si>
    <t>ICICI Bank
IFSC Code : ICIC0000002</t>
  </si>
  <si>
    <t>Developed</t>
  </si>
  <si>
    <t>Upper</t>
  </si>
  <si>
    <t xml:space="preserve">Yes </t>
  </si>
  <si>
    <t>Wing B</t>
  </si>
  <si>
    <t>Lower &amp; Upper Basement for Parking</t>
  </si>
  <si>
    <t>1st Podium Floor for Residential</t>
  </si>
  <si>
    <t>3BHK</t>
  </si>
  <si>
    <t>Saleable area
(60% Loading)</t>
  </si>
  <si>
    <t>1st to 4th Floor for Residential</t>
  </si>
  <si>
    <t>Wing C</t>
  </si>
  <si>
    <t>Wing D</t>
  </si>
  <si>
    <t>2BHK</t>
  </si>
  <si>
    <t>1st to 3rd Floor for Residential</t>
  </si>
  <si>
    <t>4th Floor</t>
  </si>
  <si>
    <t>101 to 301</t>
  </si>
  <si>
    <t>102 to 302</t>
  </si>
  <si>
    <t>103 to 303</t>
  </si>
  <si>
    <t>104 to 304</t>
  </si>
  <si>
    <t>105 to 305</t>
  </si>
  <si>
    <t>106 to 306</t>
  </si>
  <si>
    <t>5th, 7th to 12th, 14th to 16th Floor</t>
  </si>
  <si>
    <t>501 ,…, 1601</t>
  </si>
  <si>
    <t>502 ,…, 1602</t>
  </si>
  <si>
    <t>503 ,…, 1603</t>
  </si>
  <si>
    <t>504 ,…, 1604</t>
  </si>
  <si>
    <t>505 ,…, 1605</t>
  </si>
  <si>
    <t>506 ,…, 1606</t>
  </si>
  <si>
    <t>6th Floor (Part Refuge Area)</t>
  </si>
  <si>
    <t>Refuge Area</t>
  </si>
  <si>
    <t>13th Floor (Part Refuge Area)</t>
  </si>
  <si>
    <t>Room</t>
  </si>
  <si>
    <t>Safal Twins Tower</t>
  </si>
  <si>
    <t>P-2373/2019/(395 And Other)/M/E Ward/DEONAR-E</t>
  </si>
  <si>
    <t>Wing E</t>
  </si>
  <si>
    <t>Project Structure (As per Commencement Certificate)</t>
  </si>
  <si>
    <t>2B+ Gr. + 1st Podium Floor + 1st to 17th Floor</t>
  </si>
  <si>
    <t>2B+ Gr. + 1st Podium Floor + 1st to 4th Floor</t>
  </si>
  <si>
    <t>2B+ Gr. + 1st Podium Floor</t>
  </si>
  <si>
    <t>2B+ Gr. + 1st Podium Floor + 1st to 16th Floor</t>
  </si>
  <si>
    <t>2B+ Gr. + 1st Podium Floor + 1st to 7th Floor</t>
  </si>
  <si>
    <t>13.40 M.W Road</t>
  </si>
  <si>
    <t>CTS No.328</t>
  </si>
  <si>
    <t>CTS No.398</t>
  </si>
  <si>
    <t xml:space="preserve">Sq.ft </t>
  </si>
  <si>
    <t>SBA</t>
  </si>
  <si>
    <t>800000/-</t>
  </si>
  <si>
    <t>220m Punjabwadi Bus Stand</t>
  </si>
  <si>
    <t>1.5Km from The Gateway School Of Mumbai</t>
  </si>
  <si>
    <t>1.7Km from Pandit Madan Mohan Malviya Shatabdi Municipal General Hospital</t>
  </si>
  <si>
    <t>2.2Km Main Market</t>
  </si>
  <si>
    <t>2.2Km from Govandi Railway station</t>
  </si>
  <si>
    <t>2B+ Gr. + 1st Podium Floor + 1st to 18th Floor</t>
  </si>
  <si>
    <t>CFO NOC Details</t>
  </si>
  <si>
    <t>Mumbai Fire Brigade
CHE/ES/2373/M/E/337 (New).
Dated : 11/11/2019.</t>
  </si>
  <si>
    <t>SIA/MH/MIS/117641/2019
Dated : 31/03/2020.</t>
  </si>
  <si>
    <t>Labour NOC Details</t>
  </si>
  <si>
    <t>KA/NHP/P.No.12/2017/KY-7/2308
Dated : 27/02/2018.</t>
  </si>
  <si>
    <t xml:space="preserve"> SWM NOC Details</t>
  </si>
  <si>
    <t>P-2373/2019/(395 And Other)/M/E Ward/DEONAR-E-SWM/1/New
Dated : 14/02/2020.</t>
  </si>
  <si>
    <t>101 to 701</t>
  </si>
  <si>
    <t>102 to 702</t>
  </si>
  <si>
    <t>103 to 703</t>
  </si>
  <si>
    <t>104 to 704</t>
  </si>
  <si>
    <t>105 to 705</t>
  </si>
  <si>
    <t>106 to 706</t>
  </si>
  <si>
    <t>107 to 707</t>
  </si>
  <si>
    <t>108 to 708</t>
  </si>
  <si>
    <t>109 to 709</t>
  </si>
  <si>
    <t>110 to 710</t>
  </si>
  <si>
    <t>Approved Layout &amp; Floor Plans, CC, RERA certificate</t>
  </si>
  <si>
    <t>Floor Rise Details Per Sq.Ft. (on Saleable area)</t>
  </si>
  <si>
    <t>Wing A = P51800028571
Wing B = P51800028427
Wing C = P51800028428
Wing D = P51800028494
Wing E = P51800028427</t>
  </si>
  <si>
    <t>Wing A</t>
  </si>
  <si>
    <t>1st to 5th, 7th to 11th, 14th to 16th Floor</t>
  </si>
  <si>
    <t>12th Floor (Part Refuge Area)</t>
  </si>
  <si>
    <t>Mixed type i.e. Residential (Tower A to D) &amp; Commercial (Tower E)</t>
  </si>
  <si>
    <t>I to R Approval Details :</t>
  </si>
  <si>
    <t>Dy.Ch.E./B.P./12894/E.S.
Dated : 25/02/2019.</t>
  </si>
  <si>
    <t>Other NOC Details</t>
  </si>
  <si>
    <t>22000-22500/-</t>
  </si>
  <si>
    <t>Flats - 161, Rooms - 80</t>
  </si>
  <si>
    <t>3BHK
(Duplex Flat)</t>
  </si>
  <si>
    <t>12th + 13th Floor</t>
  </si>
  <si>
    <t>12th Floor</t>
  </si>
  <si>
    <t>101 to 401</t>
  </si>
  <si>
    <t>102 to 402</t>
  </si>
  <si>
    <t>101 ,…, 1601</t>
  </si>
  <si>
    <t>102 ,…, 1602</t>
  </si>
  <si>
    <t>103 ,…, 1603</t>
  </si>
  <si>
    <t>Basement</t>
  </si>
  <si>
    <t>Ground</t>
  </si>
  <si>
    <t>Podium</t>
  </si>
  <si>
    <t>Floors</t>
  </si>
  <si>
    <t>All work Completed. OC Received.</t>
  </si>
  <si>
    <t>Type of Work</t>
  </si>
  <si>
    <t>Slab/Floor</t>
  </si>
  <si>
    <t>Complition %</t>
  </si>
  <si>
    <t>Progress %</t>
  </si>
  <si>
    <t xml:space="preserve">Stage of construction: </t>
  </si>
  <si>
    <t>Piling Work in process</t>
  </si>
  <si>
    <t>Excavation</t>
  </si>
  <si>
    <t>Excavation in process</t>
  </si>
  <si>
    <t>Excavation Completed</t>
  </si>
  <si>
    <t>Footing in Process</t>
  </si>
  <si>
    <t>Brickwork</t>
  </si>
  <si>
    <t>Footing Completed</t>
  </si>
  <si>
    <t>Internal Plaster</t>
  </si>
  <si>
    <t>Basement 1</t>
  </si>
  <si>
    <t>Basement 2</t>
  </si>
  <si>
    <t>Flooring &amp; Fitting</t>
  </si>
  <si>
    <t>Basement 3</t>
  </si>
  <si>
    <t>Basement 4</t>
  </si>
  <si>
    <t>Building Common Amenities</t>
  </si>
  <si>
    <t>Plinth in process</t>
  </si>
  <si>
    <t>Possession</t>
  </si>
  <si>
    <t>Plinth completed</t>
  </si>
  <si>
    <t>Wing A  = 2B+ Gr. + 1st Podium Floor + 1st to 18th Floor</t>
  </si>
  <si>
    <t>Date of Site Visit</t>
  </si>
  <si>
    <t>RCC (Including podiums)</t>
  </si>
  <si>
    <t>Project Completion %</t>
  </si>
  <si>
    <t xml:space="preserve">Wing B = 2B+ Gr. + 1st Podium
Floor + 1st to 17th Floor </t>
  </si>
  <si>
    <t>Wing C = 2B+ Gr. + 1st Podium
Floor + 1st to 18th Floor</t>
  </si>
  <si>
    <t>Wing D = 2B+ Gr. + 1st Podium
Floor + 1st to 16th Floor</t>
  </si>
  <si>
    <t>Wing E = 2B+ Gr. + 1st Podium
Floor + 1st to 7th Floor</t>
  </si>
  <si>
    <t>Site Photographs</t>
  </si>
  <si>
    <t>External Plaster</t>
  </si>
  <si>
    <t>External Plumbing, Elevation and Waterproofing</t>
  </si>
  <si>
    <t>Wooden Work</t>
  </si>
  <si>
    <t>Electrical &amp; Sanitary fittings</t>
  </si>
  <si>
    <t>Mr.Neha - 7045717926</t>
  </si>
  <si>
    <t>Wing E (Commercial)</t>
  </si>
  <si>
    <t>1st Podium Floor for Commercial</t>
  </si>
  <si>
    <t>1st to 7th Floor for Commercial</t>
  </si>
  <si>
    <t>Common Toilet</t>
  </si>
  <si>
    <t>P-2373/2019/(395 And Other)/M/E Ward/DEONAR-E
Dated : 09/03/2020.
P-2373/2019/(395 And Other)/M/E Ward/DEONAR-E/337/3/Amend
Dated : 19/06/2023.</t>
  </si>
  <si>
    <t>Approved Plan Details
(Wing A to D)
(Wing E)</t>
  </si>
  <si>
    <t>Rate Per Sq. Ft. (on Saleable area)
(Flats)</t>
  </si>
  <si>
    <t>Rate Per Sq. Ft. (on Saleable area)
(Offices)</t>
  </si>
  <si>
    <t>18000-18500/-</t>
  </si>
  <si>
    <t>Under Construction</t>
  </si>
  <si>
    <t>P-2373/2019/(395 And Other)/M/E
Ward/DEONAR-E/FCC/2/Amend
Dated : 24/07/2024
Valid upto Dated : 23/07/2024
As Proposed, re-endorsed C.C. up top of 18th upper floor for ‘Wing A’, up to top of 17th upper floor for ‘Wing B’ and up to top of 16th upper floor for ‘Wing D’, as per approved amended plans dtd.19.06.2023.
P-2373/2019/(395 And Other)/M/E
Ward/DEONAR-E/FCC/3/Amend
Dated : 29/05/2024
Valid upto Dated : 28/05/2025
Further C.C. upto 9th (pt) upper floor (Excluding Flat No.2) for Wing ‘B’ and Full C.C. upto 7th upper floor including LMR &amp; OHT for Wing ‘E’ as per approved amended plan dt.19.06.2023 .</t>
  </si>
  <si>
    <t>P-2373/2019/(395 And Other)/M/E
Ward/DEONAR-E/FCC/4/Amend
Dated : 19/11/2024
Valid upto Dated : 17/02/2025
Further C.C. up to top of 1st floor for wing ‘ C’ as per approved amended plan dtd 23.9.2024 .</t>
  </si>
  <si>
    <t>Mr. Akash Kadam</t>
  </si>
  <si>
    <t>NA</t>
  </si>
  <si>
    <t>Mr. Suraj Khare</t>
  </si>
  <si>
    <t>M/s. Puravankara Limited</t>
  </si>
  <si>
    <t xml:space="preserve">31/12/2026
</t>
  </si>
  <si>
    <t>P-2373/2019/(395 And Other)/M/E
Ward/DEONAR-E/FCC/4/Amend
Dated : 19/09/2024
Valid upto Dated : 17/02/2026
Further C.C. up to top of 1st floor for wing ‘ C’ as per approved amended plan dtd. 23.9.2024 .</t>
  </si>
  <si>
    <r>
      <t xml:space="preserve">1. Wing A, D &amp; E = Construction work is in process at the time of visit. Internal Visit was not allowed.
    Wing B = Construction work is the same as last visit (dtd.13/11/2024), but work is in process at the time of the visit. (Slow Speed)
    Wing C = Construction work is same as last visit dtd. 18/05/2023.
    Wing E = Construction work is the same as last visit (dtd. 05/07/2025), but work is in process at the time of the visit. (Slow Speed)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We have updated approved floor plan of Wing A(on 26/03/2021).
8. We have updated approved floor plan of Wing E (on 17/05/2024).
9. We have updated CC from MCGM site on 05/02/2025.
10. Please provide revised approved plans.
11. </t>
    </r>
    <r>
      <rPr>
        <sz val="16"/>
        <color rgb="FFFF0000"/>
        <rFont val="Times New Roman"/>
        <family val="1"/>
      </rPr>
      <t>Construction work goes beyond approved CC permission. Please provide revised CC.</t>
    </r>
    <r>
      <rPr>
        <sz val="16"/>
        <rFont val="Times New Roman"/>
        <family val="1"/>
      </rPr>
      <t xml:space="preserve">
9. During visit we contacted Mr. Nirav Shah - 8369854696.
</t>
    </r>
  </si>
  <si>
    <t>05/07/2025 at 10:52 AM</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</si>
</sst>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font>
    <font>
      <sz val="11"/>
      <color theme="1"/>
      <name val="Calibri"/>
      <family val="2"/>
      <scheme val="minor"/>
    </font>
    <font>
      <sz val="11"/>
      <color theme="1"/>
      <name val="Calibri"/>
      <family val="2"/>
    </font>
    <font>
      <sz val="11"/>
      <color rgb="FFFF0000"/>
      <name val="Calibri"/>
      <family val="2"/>
      <scheme val="minor"/>
    </font>
    <font>
      <b/>
      <sz val="11"/>
      <color theme="1"/>
      <name val="Calibri"/>
      <family val="2"/>
      <scheme val="minor"/>
    </font>
    <font>
      <b/>
      <sz val="12"/>
      <color indexed="8"/>
      <name val="Times New Roman"/>
      <family val="1"/>
    </font>
    <font>
      <b/>
      <sz val="11"/>
      <color indexed="8"/>
      <name val="Times New Roman"/>
      <family val="1"/>
    </font>
    <font>
      <sz val="12"/>
      <color indexed="8"/>
      <name val="Times New Roman"/>
      <family val="1"/>
    </font>
    <font>
      <b/>
      <sz val="16"/>
      <name val="Times New Roman"/>
      <family val="1"/>
    </font>
    <font>
      <sz val="16"/>
      <color theme="1"/>
      <name val="Times New Roman"/>
      <family val="1"/>
    </font>
    <font>
      <sz val="16"/>
      <name val="Times New Roman"/>
      <family val="1"/>
    </font>
    <font>
      <b/>
      <sz val="16"/>
      <color indexed="8"/>
      <name val="Times New Roman"/>
      <family val="1"/>
    </font>
    <font>
      <sz val="16"/>
      <color theme="1"/>
      <name val="Calibri"/>
      <family val="2"/>
    </font>
    <font>
      <sz val="16"/>
      <color indexed="8"/>
      <name val="Times New Roman"/>
      <family val="1"/>
    </font>
    <font>
      <b/>
      <sz val="16"/>
      <color theme="1"/>
      <name val="Times New Roman"/>
      <family val="1"/>
    </font>
    <font>
      <sz val="16"/>
      <color rgb="FF000000"/>
      <name val="Times New Roman"/>
      <family val="1"/>
    </font>
    <font>
      <sz val="16"/>
      <color theme="1"/>
      <name val="Calibri"/>
      <family val="2"/>
      <scheme val="minor"/>
    </font>
    <font>
      <sz val="16"/>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3">
    <xf numFmtId="0" fontId="0" fillId="0" borderId="0"/>
    <xf numFmtId="9" fontId="2" fillId="0" borderId="0" applyFont="0" applyFill="0" applyBorder="0" applyAlignment="0" applyProtection="0"/>
    <xf numFmtId="0" fontId="1" fillId="0" borderId="0"/>
  </cellStyleXfs>
  <cellXfs count="135">
    <xf numFmtId="0" fontId="0" fillId="0" borderId="0" xfId="0"/>
    <xf numFmtId="0" fontId="4" fillId="2" borderId="1" xfId="0" applyFont="1" applyFill="1" applyBorder="1"/>
    <xf numFmtId="0" fontId="0" fillId="0" borderId="1" xfId="0" applyBorder="1"/>
    <xf numFmtId="0" fontId="0" fillId="0" borderId="5" xfId="0" applyBorder="1"/>
    <xf numFmtId="0" fontId="0" fillId="0" borderId="0" xfId="0" applyAlignment="1">
      <alignment wrapText="1"/>
    </xf>
    <xf numFmtId="0" fontId="0" fillId="0" borderId="1" xfId="0" applyBorder="1" applyAlignment="1">
      <alignment wrapText="1"/>
    </xf>
    <xf numFmtId="0" fontId="3" fillId="0" borderId="0" xfId="0" applyFont="1"/>
    <xf numFmtId="9" fontId="0" fillId="0" borderId="1" xfId="1" applyFont="1" applyBorder="1"/>
    <xf numFmtId="1" fontId="5" fillId="0" borderId="1" xfId="2" applyNumberFormat="1" applyFont="1" applyBorder="1" applyAlignment="1">
      <alignment horizontal="center" vertical="top" wrapText="1"/>
    </xf>
    <xf numFmtId="1" fontId="6" fillId="0" borderId="1" xfId="2"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0" fontId="10" fillId="0" borderId="1" xfId="0" applyFont="1" applyBorder="1" applyAlignment="1">
      <alignment horizontal="center" vertical="top" wrapText="1"/>
    </xf>
    <xf numFmtId="0" fontId="9" fillId="0" borderId="0" xfId="0" applyFont="1" applyAlignment="1">
      <alignment vertical="top"/>
    </xf>
    <xf numFmtId="0" fontId="10" fillId="0" borderId="5" xfId="0" applyFont="1" applyBorder="1" applyAlignment="1">
      <alignment horizontal="center" vertical="top" wrapText="1"/>
    </xf>
    <xf numFmtId="0" fontId="10" fillId="0" borderId="1" xfId="0" applyFont="1" applyBorder="1" applyAlignment="1">
      <alignment vertical="top"/>
    </xf>
    <xf numFmtId="0" fontId="10" fillId="4" borderId="1" xfId="0" applyFont="1" applyFill="1" applyBorder="1" applyAlignment="1">
      <alignment vertical="top" wrapText="1"/>
    </xf>
    <xf numFmtId="0" fontId="8" fillId="0" borderId="1" xfId="0" applyFont="1" applyBorder="1" applyAlignment="1">
      <alignment vertical="top" wrapText="1"/>
    </xf>
    <xf numFmtId="0" fontId="9" fillId="0" borderId="0" xfId="0" applyFont="1" applyAlignment="1">
      <alignment horizontal="center" vertical="top"/>
    </xf>
    <xf numFmtId="0" fontId="12" fillId="0" borderId="0" xfId="0" applyFont="1" applyAlignment="1">
      <alignment vertical="center"/>
    </xf>
    <xf numFmtId="0" fontId="8" fillId="0" borderId="1" xfId="0" applyFont="1" applyBorder="1" applyAlignment="1">
      <alignment horizontal="left" vertical="top" wrapText="1"/>
    </xf>
    <xf numFmtId="0" fontId="10" fillId="5" borderId="1" xfId="0" applyFont="1" applyFill="1" applyBorder="1" applyAlignment="1">
      <alignment horizontal="left" vertical="top" wrapText="1"/>
    </xf>
    <xf numFmtId="0" fontId="10" fillId="0" borderId="1" xfId="0" applyFont="1" applyBorder="1" applyAlignment="1">
      <alignment horizontal="left" vertical="top" wrapText="1"/>
    </xf>
    <xf numFmtId="1" fontId="11" fillId="0" borderId="1" xfId="2" applyNumberFormat="1" applyFont="1" applyBorder="1" applyAlignment="1">
      <alignment horizontal="center" vertical="top" wrapText="1"/>
    </xf>
    <xf numFmtId="0" fontId="10" fillId="0" borderId="1" xfId="0" applyFont="1" applyBorder="1" applyAlignment="1">
      <alignment horizontal="center" vertical="top"/>
    </xf>
    <xf numFmtId="0" fontId="8" fillId="0" borderId="1" xfId="0" applyFont="1" applyBorder="1" applyAlignment="1">
      <alignment horizontal="center" vertical="top" wrapText="1"/>
    </xf>
    <xf numFmtId="0" fontId="10" fillId="5" borderId="1" xfId="0" applyFont="1" applyFill="1" applyBorder="1" applyAlignment="1">
      <alignment horizontal="center" vertical="top" wrapText="1"/>
    </xf>
    <xf numFmtId="0" fontId="10" fillId="0" borderId="1" xfId="0" applyFont="1" applyBorder="1" applyAlignment="1">
      <alignment vertical="top" wrapText="1"/>
    </xf>
    <xf numFmtId="0" fontId="10" fillId="5" borderId="1" xfId="0" applyFont="1" applyFill="1" applyBorder="1" applyAlignment="1">
      <alignment vertical="top" wrapText="1"/>
    </xf>
    <xf numFmtId="0" fontId="12" fillId="0" borderId="0" xfId="0" applyFont="1" applyAlignment="1">
      <alignment horizontal="center" vertical="center"/>
    </xf>
    <xf numFmtId="0" fontId="9" fillId="5" borderId="1" xfId="0" applyFont="1" applyFill="1" applyBorder="1" applyAlignment="1">
      <alignment horizontal="center" vertical="center"/>
    </xf>
    <xf numFmtId="1"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14" fontId="10" fillId="5" borderId="1" xfId="0" applyNumberFormat="1" applyFont="1" applyFill="1" applyBorder="1" applyAlignment="1">
      <alignment horizontal="left" vertical="top" wrapText="1"/>
    </xf>
    <xf numFmtId="0" fontId="9" fillId="0" borderId="12" xfId="2" applyFont="1" applyBorder="1" applyProtection="1">
      <protection hidden="1"/>
    </xf>
    <xf numFmtId="0" fontId="9" fillId="0" borderId="13" xfId="2" applyFont="1" applyBorder="1" applyProtection="1">
      <protection hidden="1"/>
    </xf>
    <xf numFmtId="0" fontId="9" fillId="0" borderId="0" xfId="2" applyFont="1" applyProtection="1">
      <protection hidden="1"/>
    </xf>
    <xf numFmtId="0" fontId="10" fillId="3" borderId="1" xfId="0" applyFont="1" applyFill="1" applyBorder="1" applyAlignment="1">
      <alignment vertical="top"/>
    </xf>
    <xf numFmtId="0" fontId="15" fillId="0" borderId="0" xfId="0" applyFont="1" applyProtection="1">
      <protection hidden="1"/>
    </xf>
    <xf numFmtId="0" fontId="9" fillId="0" borderId="13" xfId="2" applyFont="1" applyBorder="1"/>
    <xf numFmtId="0" fontId="15" fillId="0" borderId="13" xfId="0" applyFont="1" applyBorder="1" applyProtection="1">
      <protection hidden="1"/>
    </xf>
    <xf numFmtId="1" fontId="16" fillId="0" borderId="13" xfId="0" applyNumberFormat="1" applyFont="1" applyBorder="1"/>
    <xf numFmtId="1" fontId="16" fillId="0" borderId="13" xfId="0" applyNumberFormat="1" applyFont="1" applyBorder="1" applyAlignment="1">
      <alignment horizontal="right"/>
    </xf>
    <xf numFmtId="0" fontId="15" fillId="0" borderId="14" xfId="0" applyFont="1" applyBorder="1" applyProtection="1">
      <protection hidden="1"/>
    </xf>
    <xf numFmtId="1" fontId="16" fillId="0" borderId="15" xfId="0" applyNumberFormat="1" applyFont="1" applyBorder="1"/>
    <xf numFmtId="9" fontId="15" fillId="0" borderId="0" xfId="0" applyNumberFormat="1" applyFont="1" applyProtection="1">
      <protection hidden="1"/>
    </xf>
    <xf numFmtId="0" fontId="10" fillId="5" borderId="1" xfId="0" applyFont="1" applyFill="1" applyBorder="1" applyAlignment="1">
      <alignment horizontal="left" vertical="top" wrapText="1"/>
    </xf>
    <xf numFmtId="0" fontId="10" fillId="0" borderId="1" xfId="0" applyFont="1" applyBorder="1" applyAlignment="1">
      <alignment vertical="top" wrapText="1"/>
    </xf>
    <xf numFmtId="0" fontId="10" fillId="5" borderId="1" xfId="2" applyFont="1" applyFill="1" applyBorder="1" applyAlignment="1" applyProtection="1">
      <alignment horizontal="center" vertical="center" wrapText="1"/>
      <protection hidden="1"/>
    </xf>
    <xf numFmtId="9" fontId="10" fillId="5" borderId="1" xfId="2" applyNumberFormat="1" applyFont="1" applyFill="1" applyBorder="1" applyAlignment="1" applyProtection="1">
      <alignment horizontal="center" vertical="center" wrapText="1"/>
      <protection hidden="1"/>
    </xf>
    <xf numFmtId="0" fontId="10" fillId="3" borderId="1" xfId="0" applyFont="1" applyFill="1" applyBorder="1" applyAlignment="1">
      <alignment horizontal="center" vertical="top"/>
    </xf>
    <xf numFmtId="0" fontId="10" fillId="0" borderId="1" xfId="0" applyFont="1" applyBorder="1" applyAlignment="1">
      <alignment horizontal="left" vertical="top" wrapText="1"/>
    </xf>
    <xf numFmtId="0" fontId="10" fillId="5" borderId="6" xfId="0" applyFont="1" applyFill="1" applyBorder="1" applyAlignment="1">
      <alignment horizontal="left" vertical="top" wrapText="1"/>
    </xf>
    <xf numFmtId="0" fontId="10" fillId="5" borderId="18"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5" borderId="10" xfId="0" applyFont="1" applyFill="1" applyBorder="1" applyAlignment="1">
      <alignment horizontal="left" vertical="top" wrapText="1"/>
    </xf>
    <xf numFmtId="0" fontId="10" fillId="5" borderId="16" xfId="0" applyFont="1" applyFill="1" applyBorder="1" applyAlignment="1">
      <alignment horizontal="left" vertical="top" wrapText="1"/>
    </xf>
    <xf numFmtId="0" fontId="10" fillId="5" borderId="11" xfId="0" applyFont="1" applyFill="1" applyBorder="1" applyAlignment="1">
      <alignment horizontal="left" vertical="top"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10" fillId="0" borderId="1" xfId="0" applyFont="1" applyBorder="1" applyAlignment="1">
      <alignment horizontal="left" vertical="top" wrapText="1"/>
    </xf>
    <xf numFmtId="0" fontId="10" fillId="5"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8" fillId="3" borderId="1" xfId="0" applyFont="1" applyFill="1" applyBorder="1" applyAlignment="1">
      <alignment horizontal="center" vertical="top"/>
    </xf>
    <xf numFmtId="2" fontId="10" fillId="5" borderId="1" xfId="0" applyNumberFormat="1" applyFont="1" applyFill="1" applyBorder="1" applyAlignment="1">
      <alignment horizontal="left" vertical="top" wrapText="1"/>
    </xf>
    <xf numFmtId="1"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10" fillId="0" borderId="1" xfId="0" applyFont="1" applyBorder="1" applyAlignment="1">
      <alignment horizontal="center"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9" fillId="5"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 fontId="11" fillId="0" borderId="1" xfId="2" applyNumberFormat="1" applyFont="1" applyBorder="1" applyAlignment="1">
      <alignment horizontal="center" vertical="top" wrapText="1"/>
    </xf>
    <xf numFmtId="1" fontId="11" fillId="5"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0" fontId="10" fillId="0" borderId="1" xfId="0" applyFont="1" applyBorder="1" applyAlignment="1">
      <alignment vertical="top" wrapText="1"/>
    </xf>
    <xf numFmtId="0" fontId="8" fillId="5" borderId="1" xfId="0" applyFont="1" applyFill="1" applyBorder="1" applyAlignment="1">
      <alignment horizontal="left" vertical="top" wrapText="1"/>
    </xf>
    <xf numFmtId="0" fontId="10" fillId="5" borderId="1" xfId="0" applyFont="1" applyFill="1" applyBorder="1" applyAlignment="1">
      <alignment vertical="top" wrapText="1"/>
    </xf>
    <xf numFmtId="0" fontId="10" fillId="0" borderId="1" xfId="0" applyFont="1" applyBorder="1" applyAlignment="1">
      <alignment horizontal="left" vertical="top"/>
    </xf>
    <xf numFmtId="0" fontId="8" fillId="0" borderId="1" xfId="0" applyFont="1" applyBorder="1" applyAlignment="1">
      <alignment horizontal="center" vertical="top" wrapText="1"/>
    </xf>
    <xf numFmtId="1" fontId="8" fillId="5"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10" fillId="4" borderId="1" xfId="0" applyFont="1" applyFill="1" applyBorder="1" applyAlignment="1">
      <alignment horizontal="center" vertical="top" wrapText="1"/>
    </xf>
    <xf numFmtId="0" fontId="10" fillId="0" borderId="5" xfId="0" applyFont="1" applyBorder="1" applyAlignment="1">
      <alignment horizontal="left" vertical="top" wrapText="1"/>
    </xf>
    <xf numFmtId="14" fontId="13" fillId="5" borderId="2" xfId="0" applyNumberFormat="1" applyFont="1" applyFill="1" applyBorder="1" applyAlignment="1">
      <alignment horizontal="left" vertical="center" wrapText="1"/>
    </xf>
    <xf numFmtId="14" fontId="13" fillId="5" borderId="3" xfId="0" applyNumberFormat="1" applyFont="1" applyFill="1" applyBorder="1" applyAlignment="1">
      <alignment horizontal="left" vertical="center" wrapText="1"/>
    </xf>
    <xf numFmtId="14" fontId="13" fillId="5" borderId="4" xfId="0" applyNumberFormat="1" applyFont="1" applyFill="1" applyBorder="1" applyAlignment="1">
      <alignment horizontal="left" vertical="center" wrapText="1"/>
    </xf>
    <xf numFmtId="0" fontId="10" fillId="4" borderId="6" xfId="0" applyFont="1" applyFill="1" applyBorder="1" applyAlignment="1">
      <alignment horizontal="center" vertical="top" wrapText="1"/>
    </xf>
    <xf numFmtId="0" fontId="10" fillId="4" borderId="18"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0" xfId="0" applyFont="1" applyFill="1" applyBorder="1" applyAlignment="1">
      <alignment horizontal="center" vertical="top"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4" borderId="16" xfId="0" applyFont="1" applyFill="1" applyBorder="1" applyAlignment="1">
      <alignment horizontal="center" vertical="top" wrapText="1"/>
    </xf>
    <xf numFmtId="0" fontId="10" fillId="4" borderId="11" xfId="0" applyFont="1" applyFill="1" applyBorder="1" applyAlignment="1">
      <alignment horizontal="center" vertical="top" wrapText="1"/>
    </xf>
    <xf numFmtId="1" fontId="13" fillId="5" borderId="2" xfId="0" applyNumberFormat="1" applyFont="1" applyFill="1" applyBorder="1" applyAlignment="1">
      <alignment horizontal="left" vertical="center" wrapText="1"/>
    </xf>
    <xf numFmtId="1" fontId="13" fillId="5" borderId="3" xfId="0" applyNumberFormat="1" applyFont="1" applyFill="1" applyBorder="1" applyAlignment="1">
      <alignment horizontal="left" vertical="center" wrapText="1"/>
    </xf>
    <xf numFmtId="1" fontId="13" fillId="5" borderId="4" xfId="0" applyNumberFormat="1" applyFont="1" applyFill="1" applyBorder="1" applyAlignment="1">
      <alignment horizontal="left" vertical="center" wrapText="1"/>
    </xf>
    <xf numFmtId="0" fontId="10" fillId="0" borderId="19" xfId="0" applyFont="1" applyBorder="1" applyAlignment="1">
      <alignment horizontal="left" vertical="top" wrapText="1"/>
    </xf>
    <xf numFmtId="0" fontId="10" fillId="0" borderId="17" xfId="0" applyFont="1" applyBorder="1" applyAlignment="1">
      <alignment horizontal="left" vertical="top"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9" fontId="8" fillId="5" borderId="10" xfId="2" applyNumberFormat="1" applyFont="1" applyFill="1" applyBorder="1" applyAlignment="1" applyProtection="1">
      <alignment horizontal="center" vertical="center" wrapText="1"/>
      <protection hidden="1"/>
    </xf>
    <xf numFmtId="9" fontId="8" fillId="5" borderId="11" xfId="2" applyNumberFormat="1" applyFont="1" applyFill="1" applyBorder="1" applyAlignment="1" applyProtection="1">
      <alignment horizontal="center" vertical="center" wrapText="1"/>
      <protection hidden="1"/>
    </xf>
    <xf numFmtId="0" fontId="8" fillId="5" borderId="1" xfId="2" applyNumberFormat="1" applyFont="1" applyFill="1" applyBorder="1" applyAlignment="1" applyProtection="1">
      <alignment horizontal="left" vertical="top" wrapText="1"/>
      <protection hidden="1"/>
    </xf>
    <xf numFmtId="9" fontId="8" fillId="5" borderId="1" xfId="2" applyNumberFormat="1" applyFont="1" applyFill="1" applyBorder="1" applyAlignment="1" applyProtection="1">
      <alignment horizontal="center" vertical="center" wrapText="1"/>
      <protection hidden="1"/>
    </xf>
    <xf numFmtId="0" fontId="10" fillId="5" borderId="1" xfId="2" applyFont="1" applyFill="1" applyBorder="1" applyAlignment="1" applyProtection="1">
      <alignment horizontal="center" vertical="center" wrapText="1"/>
      <protection hidden="1"/>
    </xf>
    <xf numFmtId="0" fontId="10" fillId="3" borderId="1" xfId="0" applyFont="1" applyFill="1" applyBorder="1" applyAlignment="1">
      <alignment horizontal="center" vertical="top"/>
    </xf>
    <xf numFmtId="9" fontId="10" fillId="5" borderId="1" xfId="2" applyNumberFormat="1" applyFont="1" applyFill="1" applyBorder="1" applyAlignment="1" applyProtection="1">
      <alignment horizontal="center" vertical="center" wrapText="1"/>
      <protection hidden="1"/>
    </xf>
    <xf numFmtId="1" fontId="10" fillId="5" borderId="1" xfId="2" applyNumberFormat="1" applyFont="1" applyFill="1" applyBorder="1" applyAlignment="1" applyProtection="1">
      <alignment horizontal="center" vertical="center" wrapText="1"/>
      <protection hidden="1"/>
    </xf>
    <xf numFmtId="9" fontId="10" fillId="5" borderId="2" xfId="2" applyNumberFormat="1" applyFont="1" applyFill="1" applyBorder="1" applyAlignment="1" applyProtection="1">
      <alignment horizontal="center" vertical="center" wrapText="1"/>
      <protection hidden="1"/>
    </xf>
    <xf numFmtId="9" fontId="10" fillId="5" borderId="4" xfId="2" applyNumberFormat="1" applyFont="1" applyFill="1" applyBorder="1" applyAlignment="1" applyProtection="1">
      <alignment horizontal="center" vertical="center" wrapText="1"/>
      <protection hidden="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5" fillId="0" borderId="1" xfId="2" applyNumberFormat="1" applyFont="1" applyBorder="1" applyAlignment="1">
      <alignment horizontal="center" vertical="top" wrapText="1"/>
    </xf>
    <xf numFmtId="1" fontId="5" fillId="0" borderId="2" xfId="2" applyNumberFormat="1" applyFont="1" applyBorder="1" applyAlignment="1">
      <alignment horizontal="center" vertical="top" wrapText="1"/>
    </xf>
    <xf numFmtId="1" fontId="5" fillId="0" borderId="4" xfId="2" applyNumberFormat="1" applyFont="1" applyBorder="1" applyAlignment="1">
      <alignment horizontal="center" vertical="top" wrapText="1"/>
    </xf>
    <xf numFmtId="0" fontId="10" fillId="0" borderId="5" xfId="0" applyFont="1" applyBorder="1" applyAlignment="1">
      <alignment horizontal="center" vertical="top" wrapText="1"/>
    </xf>
    <xf numFmtId="0" fontId="10" fillId="0" borderId="17" xfId="0" applyFont="1" applyBorder="1" applyAlignment="1">
      <alignment horizontal="center" vertical="top" wrapText="1"/>
    </xf>
    <xf numFmtId="0" fontId="10" fillId="5" borderId="8"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0" borderId="19" xfId="0" applyFont="1" applyBorder="1" applyAlignment="1">
      <alignment horizontal="center" vertical="top" wrapText="1"/>
    </xf>
    <xf numFmtId="0" fontId="10" fillId="5" borderId="2"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cellXfs>
  <cellStyles count="3">
    <cellStyle name="Normal" xfId="0" builtinId="0"/>
    <cellStyle name="Normal 3" xfId="2"/>
    <cellStyle name="Percent" xfId="1" builtinId="5"/>
  </cellStyles>
  <dxfs count="0"/>
  <tableStyles count="0" defaultTableStyle="TableStyleMedium9" defaultPivotStyle="PivotStyleLight16"/>
  <colors>
    <mruColors>
      <color rgb="FFFEF2E8"/>
      <color rgb="FFCC0066"/>
      <color rgb="FFFF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259970</xdr:colOff>
      <xdr:row>290</xdr:row>
      <xdr:rowOff>155866</xdr:rowOff>
    </xdr:from>
    <xdr:to>
      <xdr:col>7</xdr:col>
      <xdr:colOff>373925</xdr:colOff>
      <xdr:row>297</xdr:row>
      <xdr:rowOff>361502</xdr:rowOff>
    </xdr:to>
    <xdr:pic>
      <xdr:nvPicPr>
        <xdr:cNvPr id="6" name="Picture 5">
          <a:extLst>
            <a:ext uri="{FF2B5EF4-FFF2-40B4-BE49-F238E27FC236}">
              <a16:creationId xmlns=""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251561" y="56820957"/>
          <a:ext cx="5898228" cy="3600000"/>
        </a:xfrm>
        <a:prstGeom prst="rect">
          <a:avLst/>
        </a:prstGeom>
        <a:ln>
          <a:solidFill>
            <a:schemeClr val="tx1"/>
          </a:solidFill>
        </a:ln>
      </xdr:spPr>
    </xdr:pic>
    <xdr:clientData/>
  </xdr:twoCellAnchor>
  <xdr:twoCellAnchor editAs="oneCell">
    <xdr:from>
      <xdr:col>2</xdr:col>
      <xdr:colOff>259772</xdr:colOff>
      <xdr:row>298</xdr:row>
      <xdr:rowOff>50424</xdr:rowOff>
    </xdr:from>
    <xdr:to>
      <xdr:col>7</xdr:col>
      <xdr:colOff>373924</xdr:colOff>
      <xdr:row>305</xdr:row>
      <xdr:rowOff>256061</xdr:rowOff>
    </xdr:to>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251363" y="60594788"/>
          <a:ext cx="5898425" cy="3600000"/>
        </a:xfrm>
        <a:prstGeom prst="rect">
          <a:avLst/>
        </a:prstGeom>
        <a:ln>
          <a:solidFill>
            <a:schemeClr val="tx1"/>
          </a:solidFill>
        </a:ln>
      </xdr:spPr>
    </xdr:pic>
    <xdr:clientData/>
  </xdr:twoCellAnchor>
  <xdr:twoCellAnchor>
    <xdr:from>
      <xdr:col>11</xdr:col>
      <xdr:colOff>304626</xdr:colOff>
      <xdr:row>263</xdr:row>
      <xdr:rowOff>13748</xdr:rowOff>
    </xdr:from>
    <xdr:to>
      <xdr:col>13</xdr:col>
      <xdr:colOff>8442</xdr:colOff>
      <xdr:row>263</xdr:row>
      <xdr:rowOff>383081</xdr:rowOff>
    </xdr:to>
    <xdr:sp macro="" textlink="">
      <xdr:nvSpPr>
        <xdr:cNvPr id="31" name="Rectangle 30">
          <a:extLst>
            <a:ext uri="{FF2B5EF4-FFF2-40B4-BE49-F238E27FC236}">
              <a16:creationId xmlns="" xmlns:a16="http://schemas.microsoft.com/office/drawing/2014/main" id="{00000000-0008-0000-0000-00001F000000}"/>
            </a:ext>
          </a:extLst>
        </xdr:cNvPr>
        <xdr:cNvSpPr/>
      </xdr:nvSpPr>
      <xdr:spPr>
        <a:xfrm>
          <a:off x="13081733" y="91889177"/>
          <a:ext cx="928459" cy="36933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11</xdr:col>
      <xdr:colOff>304625</xdr:colOff>
      <xdr:row>272</xdr:row>
      <xdr:rowOff>73883</xdr:rowOff>
    </xdr:from>
    <xdr:to>
      <xdr:col>13</xdr:col>
      <xdr:colOff>8441</xdr:colOff>
      <xdr:row>272</xdr:row>
      <xdr:rowOff>443215</xdr:rowOff>
    </xdr:to>
    <xdr:sp macro="" textlink="">
      <xdr:nvSpPr>
        <xdr:cNvPr id="32" name="Rectangle 31">
          <a:extLst>
            <a:ext uri="{FF2B5EF4-FFF2-40B4-BE49-F238E27FC236}">
              <a16:creationId xmlns="" xmlns:a16="http://schemas.microsoft.com/office/drawing/2014/main" id="{00000000-0008-0000-0000-000020000000}"/>
            </a:ext>
          </a:extLst>
        </xdr:cNvPr>
        <xdr:cNvSpPr/>
      </xdr:nvSpPr>
      <xdr:spPr>
        <a:xfrm>
          <a:off x="13081732" y="96358026"/>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11</xdr:col>
      <xdr:colOff>307213</xdr:colOff>
      <xdr:row>263</xdr:row>
      <xdr:rowOff>471991</xdr:rowOff>
    </xdr:from>
    <xdr:to>
      <xdr:col>13</xdr:col>
      <xdr:colOff>11029</xdr:colOff>
      <xdr:row>264</xdr:row>
      <xdr:rowOff>351465</xdr:rowOff>
    </xdr:to>
    <xdr:sp macro="" textlink="">
      <xdr:nvSpPr>
        <xdr:cNvPr id="33" name="Rectangle 32">
          <a:extLst>
            <a:ext uri="{FF2B5EF4-FFF2-40B4-BE49-F238E27FC236}">
              <a16:creationId xmlns="" xmlns:a16="http://schemas.microsoft.com/office/drawing/2014/main" id="{00000000-0008-0000-0000-000021000000}"/>
            </a:ext>
          </a:extLst>
        </xdr:cNvPr>
        <xdr:cNvSpPr/>
      </xdr:nvSpPr>
      <xdr:spPr>
        <a:xfrm>
          <a:off x="13084320" y="102144562"/>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D Wing </a:t>
          </a:r>
        </a:p>
      </xdr:txBody>
    </xdr:sp>
    <xdr:clientData/>
  </xdr:twoCellAnchor>
  <xdr:twoCellAnchor>
    <xdr:from>
      <xdr:col>0</xdr:col>
      <xdr:colOff>67555</xdr:colOff>
      <xdr:row>262</xdr:row>
      <xdr:rowOff>156880</xdr:rowOff>
    </xdr:from>
    <xdr:to>
      <xdr:col>8</xdr:col>
      <xdr:colOff>1280681</xdr:colOff>
      <xdr:row>282</xdr:row>
      <xdr:rowOff>365851</xdr:rowOff>
    </xdr:to>
    <xdr:grpSp>
      <xdr:nvGrpSpPr>
        <xdr:cNvPr id="98" name="Group 97"/>
        <xdr:cNvGrpSpPr/>
      </xdr:nvGrpSpPr>
      <xdr:grpSpPr>
        <a:xfrm>
          <a:off x="67555" y="101312380"/>
          <a:ext cx="9897685" cy="9745177"/>
          <a:chOff x="67555" y="101897487"/>
          <a:chExt cx="9880876" cy="9897257"/>
        </a:xfrm>
      </xdr:grpSpPr>
      <xdr:pic>
        <xdr:nvPicPr>
          <xdr:cNvPr id="52" name="Picture 51" descr="https://vsjcllp.vsjadon.com/upload/insp-23924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370294" y="109668566"/>
            <a:ext cx="3087221" cy="21215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39248-847.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476021" y="106552919"/>
            <a:ext cx="1772610" cy="30069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39248-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10561" y="106553238"/>
            <a:ext cx="1771999" cy="30069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39248-85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663802" y="109673147"/>
            <a:ext cx="1586216" cy="21215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39248-1046.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346603" y="106547930"/>
            <a:ext cx="5042325" cy="30069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97" name="Group 96"/>
          <xdr:cNvGrpSpPr/>
        </xdr:nvGrpSpPr>
        <xdr:grpSpPr>
          <a:xfrm>
            <a:off x="67555" y="101897487"/>
            <a:ext cx="9880876" cy="4537584"/>
            <a:chOff x="67555" y="101897487"/>
            <a:chExt cx="9880876" cy="4537584"/>
          </a:xfrm>
        </xdr:grpSpPr>
        <xdr:pic>
          <xdr:nvPicPr>
            <xdr:cNvPr id="74" name="Picture 73" descr="https://vsjcllp.vsjadon.com/upload/insp-239248-85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67555" y="101900207"/>
              <a:ext cx="3279129" cy="45348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5" name="TextBox 55">
              <a:extLst>
                <a:ext uri="{FF2B5EF4-FFF2-40B4-BE49-F238E27FC236}">
                  <a16:creationId xmlns="" xmlns:a16="http://schemas.microsoft.com/office/drawing/2014/main" id="{C5859F01-E8CD-472B-A66B-A963F446C151}"/>
                </a:ext>
              </a:extLst>
            </xdr:cNvPr>
            <xdr:cNvSpPr txBox="1"/>
          </xdr:nvSpPr>
          <xdr:spPr>
            <a:xfrm>
              <a:off x="734305" y="102471706"/>
              <a:ext cx="844123" cy="3302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86" name="TextBox 55">
              <a:extLst>
                <a:ext uri="{FF2B5EF4-FFF2-40B4-BE49-F238E27FC236}">
                  <a16:creationId xmlns="" xmlns:a16="http://schemas.microsoft.com/office/drawing/2014/main" id="{C5859F01-E8CD-472B-A66B-A963F446C151}"/>
                </a:ext>
              </a:extLst>
            </xdr:cNvPr>
            <xdr:cNvSpPr txBox="1"/>
          </xdr:nvSpPr>
          <xdr:spPr>
            <a:xfrm>
              <a:off x="967226" y="103091232"/>
              <a:ext cx="844123" cy="3302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B</a:t>
              </a:r>
              <a:endParaRPr lang="en-IN" sz="1400" b="1">
                <a:solidFill>
                  <a:srgbClr val="FF0000"/>
                </a:solidFill>
              </a:endParaRPr>
            </a:p>
          </xdr:txBody>
        </xdr:sp>
        <xdr:sp macro="" textlink="">
          <xdr:nvSpPr>
            <xdr:cNvPr id="87" name="TextBox 55">
              <a:extLst>
                <a:ext uri="{FF2B5EF4-FFF2-40B4-BE49-F238E27FC236}">
                  <a16:creationId xmlns="" xmlns:a16="http://schemas.microsoft.com/office/drawing/2014/main" id="{C5859F01-E8CD-472B-A66B-A963F446C151}"/>
                </a:ext>
              </a:extLst>
            </xdr:cNvPr>
            <xdr:cNvSpPr txBox="1"/>
          </xdr:nvSpPr>
          <xdr:spPr>
            <a:xfrm>
              <a:off x="1771169" y="101984571"/>
              <a:ext cx="844123" cy="3302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D</a:t>
              </a:r>
              <a:endParaRPr lang="en-IN" sz="1400" b="1">
                <a:solidFill>
                  <a:srgbClr val="FF0000"/>
                </a:solidFill>
              </a:endParaRPr>
            </a:p>
          </xdr:txBody>
        </xdr:sp>
        <xdr:sp macro="" textlink="">
          <xdr:nvSpPr>
            <xdr:cNvPr id="88" name="TextBox 55">
              <a:extLst>
                <a:ext uri="{FF2B5EF4-FFF2-40B4-BE49-F238E27FC236}">
                  <a16:creationId xmlns="" xmlns:a16="http://schemas.microsoft.com/office/drawing/2014/main" id="{C5859F01-E8CD-472B-A66B-A963F446C151}"/>
                </a:ext>
              </a:extLst>
            </xdr:cNvPr>
            <xdr:cNvSpPr txBox="1"/>
          </xdr:nvSpPr>
          <xdr:spPr>
            <a:xfrm>
              <a:off x="230839" y="102811885"/>
              <a:ext cx="789695" cy="3302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Wing E</a:t>
              </a:r>
              <a:endParaRPr lang="en-IN" sz="1600" b="1">
                <a:solidFill>
                  <a:srgbClr val="FF0000"/>
                </a:solidFill>
              </a:endParaRPr>
            </a:p>
          </xdr:txBody>
        </xdr:sp>
        <xdr:cxnSp macro="">
          <xdr:nvCxnSpPr>
            <xdr:cNvPr id="12" name="Straight Arrow Connector 11"/>
            <xdr:cNvCxnSpPr>
              <a:stCxn id="88" idx="2"/>
            </xdr:cNvCxnSpPr>
          </xdr:nvCxnSpPr>
          <xdr:spPr>
            <a:xfrm>
              <a:off x="625687" y="103142142"/>
              <a:ext cx="125107" cy="5578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xdr:cNvCxnSpPr/>
          </xdr:nvCxnSpPr>
          <xdr:spPr>
            <a:xfrm>
              <a:off x="1378324" y="103434296"/>
              <a:ext cx="89647" cy="7139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xdr:cNvCxnSpPr/>
          </xdr:nvCxnSpPr>
          <xdr:spPr>
            <a:xfrm flipH="1">
              <a:off x="941294" y="102809968"/>
              <a:ext cx="156882" cy="53468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0" name="Straight Arrow Connector 89"/>
            <xdr:cNvCxnSpPr/>
          </xdr:nvCxnSpPr>
          <xdr:spPr>
            <a:xfrm flipH="1">
              <a:off x="1905000" y="102240385"/>
              <a:ext cx="190019" cy="38468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96" name="Group 95"/>
            <xdr:cNvGrpSpPr/>
          </xdr:nvGrpSpPr>
          <xdr:grpSpPr>
            <a:xfrm>
              <a:off x="3438604" y="101897487"/>
              <a:ext cx="6509827" cy="4534865"/>
              <a:chOff x="3438604" y="101897487"/>
              <a:chExt cx="6509827" cy="4534865"/>
            </a:xfrm>
          </xdr:grpSpPr>
          <xdr:pic>
            <xdr:nvPicPr>
              <xdr:cNvPr id="54" name="Picture 53" descr="https://vsjcllp.vsjadon.com/upload/insp-239248-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438604" y="101897488"/>
                <a:ext cx="3278707" cy="45348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3" name="TextBox 55">
                <a:extLst>
                  <a:ext uri="{FF2B5EF4-FFF2-40B4-BE49-F238E27FC236}">
                    <a16:creationId xmlns="" xmlns:a16="http://schemas.microsoft.com/office/drawing/2014/main" id="{C5859F01-E8CD-472B-A66B-A963F446C151}"/>
                  </a:ext>
                </a:extLst>
              </xdr:cNvPr>
              <xdr:cNvSpPr txBox="1"/>
            </xdr:nvSpPr>
            <xdr:spPr>
              <a:xfrm>
                <a:off x="3506639" y="101924702"/>
                <a:ext cx="983717" cy="360191"/>
              </a:xfrm>
              <a:prstGeom prst="rect">
                <a:avLst/>
              </a:prstGeom>
              <a:solidFill>
                <a:srgbClr val="FEF2E8"/>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rgbClr val="FF0000"/>
                    </a:solidFill>
                  </a:rPr>
                  <a:t>Wing B</a:t>
                </a:r>
                <a:endParaRPr lang="en-IN" sz="1800" b="1">
                  <a:solidFill>
                    <a:srgbClr val="FF0000"/>
                  </a:solidFill>
                </a:endParaRPr>
              </a:p>
            </xdr:txBody>
          </xdr:sp>
          <xdr:grpSp>
            <xdr:nvGrpSpPr>
              <xdr:cNvPr id="95" name="Group 94"/>
              <xdr:cNvGrpSpPr/>
            </xdr:nvGrpSpPr>
            <xdr:grpSpPr>
              <a:xfrm>
                <a:off x="6823579" y="101897487"/>
                <a:ext cx="3124852" cy="4534863"/>
                <a:chOff x="6823579" y="101897487"/>
                <a:chExt cx="3124852" cy="4534863"/>
              </a:xfrm>
            </xdr:grpSpPr>
            <xdr:pic>
              <xdr:nvPicPr>
                <xdr:cNvPr id="53" name="Picture 52" descr="https://vsjcllp.vsjadon.com/upload/insp-239248-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6823579" y="101897487"/>
                  <a:ext cx="3124852" cy="45348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4" name="TextBox 55">
                  <a:extLst>
                    <a:ext uri="{FF2B5EF4-FFF2-40B4-BE49-F238E27FC236}">
                      <a16:creationId xmlns="" xmlns:a16="http://schemas.microsoft.com/office/drawing/2014/main" id="{C5859F01-E8CD-472B-A66B-A963F446C151}"/>
                    </a:ext>
                  </a:extLst>
                </xdr:cNvPr>
                <xdr:cNvSpPr txBox="1"/>
              </xdr:nvSpPr>
              <xdr:spPr>
                <a:xfrm>
                  <a:off x="6850793" y="101924702"/>
                  <a:ext cx="983717" cy="360191"/>
                </a:xfrm>
                <a:prstGeom prst="rect">
                  <a:avLst/>
                </a:prstGeom>
                <a:solidFill>
                  <a:srgbClr val="FEF2E8"/>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rgbClr val="FF0000"/>
                      </a:solidFill>
                    </a:rPr>
                    <a:t>Wing D</a:t>
                  </a:r>
                  <a:endParaRPr lang="en-IN" sz="1800" b="1">
                    <a:solidFill>
                      <a:srgbClr val="FF0000"/>
                    </a:solidFill>
                  </a:endParaRPr>
                </a:p>
              </xdr:txBody>
            </xdr:sp>
          </xdr:grp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8</xdr:col>
      <xdr:colOff>401381</xdr:colOff>
      <xdr:row>33</xdr:row>
      <xdr:rowOff>64500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9050" y="4572000"/>
          <a:ext cx="1620581" cy="2160000"/>
        </a:xfrm>
        <a:prstGeom prst="rect">
          <a:avLst/>
        </a:prstGeom>
        <a:ln>
          <a:solidFill>
            <a:schemeClr val="tx1"/>
          </a:solidFill>
        </a:ln>
      </xdr:spPr>
    </xdr:pic>
    <xdr:clientData/>
  </xdr:twoCellAnchor>
  <xdr:twoCellAnchor editAs="oneCell">
    <xdr:from>
      <xdr:col>8</xdr:col>
      <xdr:colOff>537202</xdr:colOff>
      <xdr:row>22</xdr:row>
      <xdr:rowOff>0</xdr:rowOff>
    </xdr:from>
    <xdr:to>
      <xdr:col>11</xdr:col>
      <xdr:colOff>328983</xdr:colOff>
      <xdr:row>33</xdr:row>
      <xdr:rowOff>64500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5452" y="4572000"/>
          <a:ext cx="1620581"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8</xdr:col>
      <xdr:colOff>401381</xdr:colOff>
      <xdr:row>33</xdr:row>
      <xdr:rowOff>64500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9050" y="4572000"/>
          <a:ext cx="1620581" cy="2160000"/>
        </a:xfrm>
        <a:prstGeom prst="rect">
          <a:avLst/>
        </a:prstGeom>
        <a:ln>
          <a:solidFill>
            <a:schemeClr val="tx1"/>
          </a:solidFill>
        </a:ln>
      </xdr:spPr>
    </xdr:pic>
    <xdr:clientData/>
  </xdr:twoCellAnchor>
  <xdr:twoCellAnchor editAs="oneCell">
    <xdr:from>
      <xdr:col>8</xdr:col>
      <xdr:colOff>537202</xdr:colOff>
      <xdr:row>22</xdr:row>
      <xdr:rowOff>0</xdr:rowOff>
    </xdr:from>
    <xdr:to>
      <xdr:col>11</xdr:col>
      <xdr:colOff>328983</xdr:colOff>
      <xdr:row>33</xdr:row>
      <xdr:rowOff>64500</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5452" y="4572000"/>
          <a:ext cx="1620581"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7"/>
  <sheetViews>
    <sheetView tabSelected="1" view="pageBreakPreview" zoomScale="85" zoomScaleNormal="85" zoomScaleSheetLayoutView="85" zoomScalePageLayoutView="55" workbookViewId="0">
      <selection activeCell="J257" sqref="J257"/>
    </sheetView>
  </sheetViews>
  <sheetFormatPr defaultColWidth="9.140625" defaultRowHeight="17.100000000000001" customHeight="1" x14ac:dyDescent="0.25"/>
  <cols>
    <col min="1" max="1" width="30.140625" style="12" customWidth="1"/>
    <col min="2" max="2" width="1.28515625" style="12" customWidth="1"/>
    <col min="3" max="3" width="18.42578125" style="12" customWidth="1"/>
    <col min="4" max="4" width="1.42578125" style="17" customWidth="1"/>
    <col min="5" max="5" width="25.42578125" style="12" customWidth="1"/>
    <col min="6" max="6" width="34.28515625" style="12" customWidth="1"/>
    <col min="7" max="7" width="1.42578125" style="12" customWidth="1"/>
    <col min="8" max="8" width="17.5703125" style="12" customWidth="1"/>
    <col min="9" max="9" width="19.7109375" style="12" customWidth="1"/>
    <col min="10" max="10" width="32.5703125" style="12" customWidth="1"/>
    <col min="11" max="16384" width="9.140625" style="12"/>
  </cols>
  <sheetData>
    <row r="1" spans="1:11" ht="20.25" x14ac:dyDescent="0.25">
      <c r="A1" s="63" t="s">
        <v>43</v>
      </c>
      <c r="B1" s="63"/>
      <c r="C1" s="63"/>
      <c r="D1" s="63"/>
      <c r="E1" s="63"/>
      <c r="F1" s="63"/>
      <c r="G1" s="63"/>
      <c r="H1" s="63"/>
      <c r="I1" s="63"/>
    </row>
    <row r="2" spans="1:11" ht="63.75" customHeight="1" x14ac:dyDescent="0.25">
      <c r="A2" s="76" t="s">
        <v>11</v>
      </c>
      <c r="B2" s="76"/>
      <c r="C2" s="76"/>
      <c r="D2" s="26" t="s">
        <v>4</v>
      </c>
      <c r="E2" s="61" t="s">
        <v>92</v>
      </c>
      <c r="F2" s="61"/>
      <c r="G2" s="60" t="s">
        <v>15</v>
      </c>
      <c r="H2" s="60"/>
      <c r="I2" s="32">
        <v>45840</v>
      </c>
    </row>
    <row r="3" spans="1:11" ht="40.5" customHeight="1" x14ac:dyDescent="0.25">
      <c r="A3" s="60" t="s">
        <v>44</v>
      </c>
      <c r="B3" s="60"/>
      <c r="C3" s="60"/>
      <c r="D3" s="26" t="s">
        <v>4</v>
      </c>
      <c r="E3" s="77" t="s">
        <v>172</v>
      </c>
      <c r="F3" s="77"/>
      <c r="G3" s="60" t="s">
        <v>296</v>
      </c>
      <c r="H3" s="60"/>
      <c r="I3" s="32" t="s">
        <v>328</v>
      </c>
    </row>
    <row r="4" spans="1:11" ht="43.5" customHeight="1" x14ac:dyDescent="0.25">
      <c r="A4" s="60" t="s">
        <v>40</v>
      </c>
      <c r="B4" s="60"/>
      <c r="C4" s="60"/>
      <c r="D4" s="26" t="s">
        <v>4</v>
      </c>
      <c r="E4" s="61" t="s">
        <v>322</v>
      </c>
      <c r="F4" s="61"/>
      <c r="G4" s="60" t="s">
        <v>37</v>
      </c>
      <c r="H4" s="60"/>
      <c r="I4" s="32" t="str">
        <f ca="1">TEXT(TODAY(),"DD/MM/YYYY")</f>
        <v>05/07/2025</v>
      </c>
      <c r="J4" s="61" t="s">
        <v>308</v>
      </c>
      <c r="K4" s="61"/>
    </row>
    <row r="5" spans="1:11" ht="20.25" x14ac:dyDescent="0.25">
      <c r="A5" s="63" t="s">
        <v>46</v>
      </c>
      <c r="B5" s="63"/>
      <c r="C5" s="63"/>
      <c r="D5" s="63"/>
      <c r="E5" s="63"/>
      <c r="F5" s="63"/>
      <c r="G5" s="63"/>
      <c r="H5" s="63"/>
      <c r="I5" s="63"/>
    </row>
    <row r="6" spans="1:11" ht="63.75" customHeight="1" x14ac:dyDescent="0.25">
      <c r="A6" s="76" t="s">
        <v>33</v>
      </c>
      <c r="B6" s="76"/>
      <c r="C6" s="76"/>
      <c r="D6" s="11" t="s">
        <v>4</v>
      </c>
      <c r="E6" s="27" t="s">
        <v>135</v>
      </c>
      <c r="F6" s="26" t="s">
        <v>39</v>
      </c>
      <c r="G6" s="50" t="s">
        <v>4</v>
      </c>
      <c r="H6" s="61" t="s">
        <v>323</v>
      </c>
      <c r="I6" s="61"/>
    </row>
    <row r="7" spans="1:11" ht="48.75" customHeight="1" x14ac:dyDescent="0.25">
      <c r="A7" s="76" t="s">
        <v>48</v>
      </c>
      <c r="B7" s="76"/>
      <c r="C7" s="76"/>
      <c r="D7" s="11" t="s">
        <v>4</v>
      </c>
      <c r="E7" s="27" t="s">
        <v>324</v>
      </c>
      <c r="F7" s="26" t="s">
        <v>49</v>
      </c>
      <c r="G7" s="50" t="s">
        <v>4</v>
      </c>
      <c r="H7" s="61" t="s">
        <v>324</v>
      </c>
      <c r="I7" s="61"/>
    </row>
    <row r="8" spans="1:11" ht="45.75" customHeight="1" x14ac:dyDescent="0.25">
      <c r="A8" s="76" t="s">
        <v>50</v>
      </c>
      <c r="B8" s="76"/>
      <c r="C8" s="76"/>
      <c r="D8" s="11" t="s">
        <v>4</v>
      </c>
      <c r="E8" s="78" t="s">
        <v>173</v>
      </c>
      <c r="F8" s="78"/>
      <c r="G8" s="78"/>
      <c r="H8" s="78"/>
      <c r="I8" s="78"/>
    </row>
    <row r="9" spans="1:11" ht="42.75" customHeight="1" x14ac:dyDescent="0.25">
      <c r="A9" s="60" t="s">
        <v>45</v>
      </c>
      <c r="B9" s="26" t="s">
        <v>4</v>
      </c>
      <c r="C9" s="26" t="s">
        <v>47</v>
      </c>
      <c r="D9" s="11" t="s">
        <v>4</v>
      </c>
      <c r="E9" s="61" t="s">
        <v>174</v>
      </c>
      <c r="F9" s="61"/>
      <c r="G9" s="61"/>
      <c r="H9" s="61"/>
      <c r="I9" s="61"/>
    </row>
    <row r="10" spans="1:11" ht="45.75" customHeight="1" x14ac:dyDescent="0.25">
      <c r="A10" s="60"/>
      <c r="B10" s="26" t="s">
        <v>4</v>
      </c>
      <c r="C10" s="26" t="s">
        <v>14</v>
      </c>
      <c r="D10" s="11" t="s">
        <v>4</v>
      </c>
      <c r="E10" s="61" t="s">
        <v>174</v>
      </c>
      <c r="F10" s="61"/>
      <c r="G10" s="61"/>
      <c r="H10" s="61"/>
      <c r="I10" s="61"/>
    </row>
    <row r="11" spans="1:11" ht="42" customHeight="1" x14ac:dyDescent="0.25">
      <c r="A11" s="60"/>
      <c r="B11" s="26" t="s">
        <v>4</v>
      </c>
      <c r="C11" s="26" t="s">
        <v>5</v>
      </c>
      <c r="D11" s="11" t="s">
        <v>4</v>
      </c>
      <c r="E11" s="61" t="s">
        <v>175</v>
      </c>
      <c r="F11" s="61"/>
      <c r="G11" s="61"/>
      <c r="H11" s="61"/>
      <c r="I11" s="61"/>
    </row>
    <row r="12" spans="1:11" ht="20.25" x14ac:dyDescent="0.25">
      <c r="A12" s="60" t="s">
        <v>38</v>
      </c>
      <c r="B12" s="60"/>
      <c r="C12" s="60"/>
      <c r="D12" s="11" t="s">
        <v>4</v>
      </c>
      <c r="E12" s="61" t="s">
        <v>248</v>
      </c>
      <c r="F12" s="61"/>
      <c r="G12" s="61"/>
      <c r="H12" s="61"/>
      <c r="I12" s="61"/>
    </row>
    <row r="13" spans="1:11" ht="20.25" x14ac:dyDescent="0.25">
      <c r="A13" s="63" t="s">
        <v>51</v>
      </c>
      <c r="B13" s="63"/>
      <c r="C13" s="63"/>
      <c r="D13" s="63"/>
      <c r="E13" s="63"/>
      <c r="F13" s="63"/>
      <c r="G13" s="63"/>
      <c r="H13" s="63"/>
      <c r="I13" s="63"/>
    </row>
    <row r="14" spans="1:11" ht="40.5" x14ac:dyDescent="0.25">
      <c r="A14" s="60" t="s">
        <v>31</v>
      </c>
      <c r="B14" s="60"/>
      <c r="C14" s="60"/>
      <c r="D14" s="11" t="s">
        <v>4</v>
      </c>
      <c r="E14" s="27" t="s">
        <v>93</v>
      </c>
      <c r="F14" s="21" t="s">
        <v>52</v>
      </c>
      <c r="G14" s="11" t="s">
        <v>4</v>
      </c>
      <c r="H14" s="61" t="s">
        <v>176</v>
      </c>
      <c r="I14" s="61"/>
    </row>
    <row r="15" spans="1:11" ht="205.5" customHeight="1" x14ac:dyDescent="0.25">
      <c r="A15" s="60" t="s">
        <v>53</v>
      </c>
      <c r="B15" s="60"/>
      <c r="C15" s="60"/>
      <c r="D15" s="11" t="s">
        <v>4</v>
      </c>
      <c r="E15" s="27" t="s">
        <v>250</v>
      </c>
      <c r="F15" s="26" t="s">
        <v>54</v>
      </c>
      <c r="G15" s="11" t="s">
        <v>4</v>
      </c>
      <c r="H15" s="61" t="s">
        <v>325</v>
      </c>
      <c r="I15" s="61"/>
    </row>
    <row r="16" spans="1:11" ht="20.25" x14ac:dyDescent="0.25">
      <c r="A16" s="60" t="s">
        <v>55</v>
      </c>
      <c r="B16" s="60"/>
      <c r="C16" s="60"/>
      <c r="D16" s="11" t="s">
        <v>4</v>
      </c>
      <c r="E16" s="32">
        <v>44257</v>
      </c>
      <c r="F16" s="26" t="s">
        <v>56</v>
      </c>
      <c r="G16" s="11" t="s">
        <v>4</v>
      </c>
      <c r="H16" s="61" t="s">
        <v>177</v>
      </c>
      <c r="I16" s="61"/>
    </row>
    <row r="17" spans="1:9" ht="40.5" x14ac:dyDescent="0.25">
      <c r="A17" s="60" t="s">
        <v>57</v>
      </c>
      <c r="B17" s="60"/>
      <c r="C17" s="60"/>
      <c r="D17" s="11" t="s">
        <v>4</v>
      </c>
      <c r="E17" s="32">
        <v>46387</v>
      </c>
      <c r="F17" s="26" t="s">
        <v>58</v>
      </c>
      <c r="G17" s="11" t="s">
        <v>4</v>
      </c>
      <c r="H17" s="61" t="s">
        <v>178</v>
      </c>
      <c r="I17" s="61"/>
    </row>
    <row r="18" spans="1:9" ht="105.75" customHeight="1" x14ac:dyDescent="0.25">
      <c r="A18" s="60" t="s">
        <v>59</v>
      </c>
      <c r="B18" s="60"/>
      <c r="C18" s="60"/>
      <c r="D18" s="11" t="s">
        <v>4</v>
      </c>
      <c r="E18" s="27" t="s">
        <v>254</v>
      </c>
      <c r="F18" s="26" t="s">
        <v>94</v>
      </c>
      <c r="G18" s="11" t="s">
        <v>4</v>
      </c>
      <c r="H18" s="61">
        <v>7544.54</v>
      </c>
      <c r="I18" s="61"/>
    </row>
    <row r="19" spans="1:9" ht="40.5" x14ac:dyDescent="0.25">
      <c r="A19" s="60" t="s">
        <v>96</v>
      </c>
      <c r="B19" s="60"/>
      <c r="C19" s="60"/>
      <c r="D19" s="11" t="s">
        <v>4</v>
      </c>
      <c r="E19" s="20">
        <v>111316.81</v>
      </c>
      <c r="F19" s="26" t="s">
        <v>95</v>
      </c>
      <c r="G19" s="11" t="s">
        <v>4</v>
      </c>
      <c r="H19" s="61">
        <v>9326.73</v>
      </c>
      <c r="I19" s="61"/>
    </row>
    <row r="20" spans="1:9" ht="40.5" x14ac:dyDescent="0.25">
      <c r="A20" s="60" t="s">
        <v>60</v>
      </c>
      <c r="B20" s="60"/>
      <c r="C20" s="60"/>
      <c r="D20" s="11" t="s">
        <v>4</v>
      </c>
      <c r="E20" s="20">
        <v>1</v>
      </c>
      <c r="F20" s="26" t="s">
        <v>61</v>
      </c>
      <c r="G20" s="11" t="s">
        <v>4</v>
      </c>
      <c r="H20" s="61">
        <v>230</v>
      </c>
      <c r="I20" s="61"/>
    </row>
    <row r="21" spans="1:9" ht="40.5" x14ac:dyDescent="0.25">
      <c r="A21" s="60" t="s">
        <v>62</v>
      </c>
      <c r="B21" s="60"/>
      <c r="C21" s="60"/>
      <c r="D21" s="11" t="s">
        <v>4</v>
      </c>
      <c r="E21" s="20" t="s">
        <v>259</v>
      </c>
      <c r="F21" s="26" t="s">
        <v>63</v>
      </c>
      <c r="G21" s="11" t="s">
        <v>4</v>
      </c>
      <c r="H21" s="61" t="s">
        <v>97</v>
      </c>
      <c r="I21" s="61"/>
    </row>
    <row r="22" spans="1:9" ht="20.25" x14ac:dyDescent="0.25">
      <c r="A22" s="60" t="s">
        <v>26</v>
      </c>
      <c r="B22" s="60"/>
      <c r="C22" s="60"/>
      <c r="D22" s="11" t="s">
        <v>4</v>
      </c>
      <c r="E22" s="20">
        <v>19.0469331</v>
      </c>
      <c r="F22" s="21" t="s">
        <v>27</v>
      </c>
      <c r="G22" s="21" t="s">
        <v>4</v>
      </c>
      <c r="H22" s="61">
        <v>72.913381799999996</v>
      </c>
      <c r="I22" s="61"/>
    </row>
    <row r="23" spans="1:9" ht="144" customHeight="1" x14ac:dyDescent="0.25">
      <c r="A23" s="60" t="s">
        <v>29</v>
      </c>
      <c r="B23" s="60"/>
      <c r="C23" s="60"/>
      <c r="D23" s="11" t="s">
        <v>4</v>
      </c>
      <c r="E23" s="61" t="s">
        <v>98</v>
      </c>
      <c r="F23" s="61"/>
      <c r="G23" s="61"/>
      <c r="H23" s="61"/>
      <c r="I23" s="61"/>
    </row>
    <row r="24" spans="1:9" ht="18.95" customHeight="1" x14ac:dyDescent="0.25">
      <c r="A24" s="63" t="s">
        <v>22</v>
      </c>
      <c r="B24" s="63"/>
      <c r="C24" s="63"/>
      <c r="D24" s="63"/>
      <c r="E24" s="63"/>
      <c r="F24" s="63"/>
      <c r="G24" s="63"/>
      <c r="H24" s="63"/>
      <c r="I24" s="63"/>
    </row>
    <row r="25" spans="1:9" ht="20.25" x14ac:dyDescent="0.25">
      <c r="A25" s="60" t="s">
        <v>30</v>
      </c>
      <c r="B25" s="60"/>
      <c r="C25" s="60"/>
      <c r="D25" s="11" t="s">
        <v>4</v>
      </c>
      <c r="E25" s="20" t="s">
        <v>179</v>
      </c>
      <c r="F25" s="26" t="s">
        <v>16</v>
      </c>
      <c r="G25" s="11" t="s">
        <v>4</v>
      </c>
      <c r="H25" s="61" t="s">
        <v>180</v>
      </c>
      <c r="I25" s="61"/>
    </row>
    <row r="26" spans="1:9" ht="21.75" customHeight="1" x14ac:dyDescent="0.25">
      <c r="A26" s="60" t="s">
        <v>17</v>
      </c>
      <c r="B26" s="60"/>
      <c r="C26" s="60"/>
      <c r="D26" s="11" t="s">
        <v>4</v>
      </c>
      <c r="E26" s="20" t="s">
        <v>99</v>
      </c>
      <c r="F26" s="26" t="s">
        <v>41</v>
      </c>
      <c r="G26" s="11" t="s">
        <v>4</v>
      </c>
      <c r="H26" s="61" t="s">
        <v>97</v>
      </c>
      <c r="I26" s="61"/>
    </row>
    <row r="27" spans="1:9" ht="40.5" x14ac:dyDescent="0.25">
      <c r="A27" s="79" t="s">
        <v>25</v>
      </c>
      <c r="B27" s="79"/>
      <c r="C27" s="79"/>
      <c r="D27" s="11" t="s">
        <v>4</v>
      </c>
      <c r="E27" s="27" t="s">
        <v>181</v>
      </c>
      <c r="F27" s="26" t="s">
        <v>18</v>
      </c>
      <c r="G27" s="11" t="s">
        <v>4</v>
      </c>
      <c r="H27" s="61" t="s">
        <v>225</v>
      </c>
      <c r="I27" s="61"/>
    </row>
    <row r="28" spans="1:9" ht="63.75" customHeight="1" x14ac:dyDescent="0.25">
      <c r="A28" s="60" t="s">
        <v>164</v>
      </c>
      <c r="B28" s="60"/>
      <c r="C28" s="60"/>
      <c r="D28" s="11" t="s">
        <v>4</v>
      </c>
      <c r="E28" s="27" t="s">
        <v>226</v>
      </c>
      <c r="F28" s="26" t="s">
        <v>165</v>
      </c>
      <c r="G28" s="11" t="s">
        <v>4</v>
      </c>
      <c r="H28" s="61" t="s">
        <v>227</v>
      </c>
      <c r="I28" s="61"/>
    </row>
    <row r="29" spans="1:9" ht="66" customHeight="1" x14ac:dyDescent="0.25">
      <c r="A29" s="60" t="s">
        <v>19</v>
      </c>
      <c r="B29" s="60"/>
      <c r="C29" s="60"/>
      <c r="D29" s="11" t="s">
        <v>4</v>
      </c>
      <c r="E29" s="27" t="s">
        <v>228</v>
      </c>
      <c r="F29" s="26" t="s">
        <v>163</v>
      </c>
      <c r="G29" s="11" t="s">
        <v>4</v>
      </c>
      <c r="H29" s="61" t="s">
        <v>229</v>
      </c>
      <c r="I29" s="61"/>
    </row>
    <row r="30" spans="1:9" ht="20.25" x14ac:dyDescent="0.25">
      <c r="A30" s="72" t="s">
        <v>42</v>
      </c>
      <c r="B30" s="72"/>
      <c r="C30" s="72"/>
      <c r="D30" s="72"/>
      <c r="E30" s="72"/>
      <c r="F30" s="72"/>
      <c r="G30" s="72"/>
      <c r="H30" s="72"/>
      <c r="I30" s="72"/>
    </row>
    <row r="31" spans="1:9" ht="40.5" x14ac:dyDescent="0.25">
      <c r="A31" s="60" t="s">
        <v>20</v>
      </c>
      <c r="B31" s="60"/>
      <c r="C31" s="60"/>
      <c r="D31" s="11" t="s">
        <v>4</v>
      </c>
      <c r="E31" s="27" t="s">
        <v>101</v>
      </c>
      <c r="F31" s="26" t="s">
        <v>21</v>
      </c>
      <c r="G31" s="11" t="s">
        <v>4</v>
      </c>
      <c r="H31" s="61" t="s">
        <v>102</v>
      </c>
      <c r="I31" s="61"/>
    </row>
    <row r="32" spans="1:9" ht="20.25" x14ac:dyDescent="0.25">
      <c r="A32" s="60" t="s">
        <v>24</v>
      </c>
      <c r="B32" s="60"/>
      <c r="C32" s="60"/>
      <c r="D32" s="11" t="s">
        <v>4</v>
      </c>
      <c r="E32" s="27" t="s">
        <v>102</v>
      </c>
      <c r="F32" s="26" t="s">
        <v>36</v>
      </c>
      <c r="G32" s="11" t="s">
        <v>4</v>
      </c>
      <c r="H32" s="61" t="s">
        <v>102</v>
      </c>
      <c r="I32" s="61"/>
    </row>
    <row r="33" spans="1:9" ht="20.25" x14ac:dyDescent="0.25">
      <c r="A33" s="60" t="s">
        <v>35</v>
      </c>
      <c r="B33" s="60"/>
      <c r="C33" s="60"/>
      <c r="D33" s="11" t="s">
        <v>4</v>
      </c>
      <c r="E33" s="27" t="s">
        <v>104</v>
      </c>
      <c r="F33" s="26" t="s">
        <v>23</v>
      </c>
      <c r="G33" s="11" t="s">
        <v>4</v>
      </c>
      <c r="H33" s="61" t="s">
        <v>103</v>
      </c>
      <c r="I33" s="61"/>
    </row>
    <row r="34" spans="1:9" ht="20.25" x14ac:dyDescent="0.25">
      <c r="A34" s="63" t="s">
        <v>0</v>
      </c>
      <c r="B34" s="63"/>
      <c r="C34" s="63"/>
      <c r="D34" s="63"/>
      <c r="E34" s="63"/>
      <c r="F34" s="63"/>
      <c r="G34" s="63"/>
      <c r="H34" s="63"/>
      <c r="I34" s="63"/>
    </row>
    <row r="35" spans="1:9" ht="20.25" x14ac:dyDescent="0.25">
      <c r="A35" s="80" t="s">
        <v>0</v>
      </c>
      <c r="B35" s="80"/>
      <c r="C35" s="80"/>
      <c r="D35" s="11" t="s">
        <v>4</v>
      </c>
      <c r="E35" s="24" t="s">
        <v>1</v>
      </c>
      <c r="F35" s="24" t="s">
        <v>6</v>
      </c>
      <c r="G35" s="80" t="s">
        <v>2</v>
      </c>
      <c r="H35" s="80"/>
      <c r="I35" s="24" t="s">
        <v>3</v>
      </c>
    </row>
    <row r="36" spans="1:9" ht="40.5" x14ac:dyDescent="0.25">
      <c r="A36" s="60" t="s">
        <v>7</v>
      </c>
      <c r="B36" s="60"/>
      <c r="C36" s="60"/>
      <c r="D36" s="11" t="s">
        <v>4</v>
      </c>
      <c r="E36" s="25" t="s">
        <v>221</v>
      </c>
      <c r="F36" s="25" t="s">
        <v>220</v>
      </c>
      <c r="G36" s="62" t="s">
        <v>106</v>
      </c>
      <c r="H36" s="62"/>
      <c r="I36" s="25" t="s">
        <v>219</v>
      </c>
    </row>
    <row r="37" spans="1:9" ht="20.25" x14ac:dyDescent="0.25">
      <c r="A37" s="60" t="s">
        <v>8</v>
      </c>
      <c r="B37" s="60"/>
      <c r="C37" s="60"/>
      <c r="D37" s="11" t="s">
        <v>4</v>
      </c>
      <c r="E37" s="25" t="s">
        <v>106</v>
      </c>
      <c r="F37" s="25" t="s">
        <v>210</v>
      </c>
      <c r="G37" s="62" t="s">
        <v>106</v>
      </c>
      <c r="H37" s="62"/>
      <c r="I37" s="25" t="s">
        <v>105</v>
      </c>
    </row>
    <row r="38" spans="1:9" ht="20.25" x14ac:dyDescent="0.25">
      <c r="A38" s="60" t="s">
        <v>12</v>
      </c>
      <c r="B38" s="60"/>
      <c r="C38" s="60"/>
      <c r="D38" s="11" t="s">
        <v>4</v>
      </c>
      <c r="E38" s="25" t="s">
        <v>100</v>
      </c>
      <c r="F38" s="26" t="s">
        <v>13</v>
      </c>
      <c r="G38" s="11" t="s">
        <v>4</v>
      </c>
      <c r="H38" s="61" t="s">
        <v>97</v>
      </c>
      <c r="I38" s="61"/>
    </row>
    <row r="39" spans="1:9" ht="20.25" x14ac:dyDescent="0.25">
      <c r="A39" s="63" t="s">
        <v>213</v>
      </c>
      <c r="B39" s="63"/>
      <c r="C39" s="63"/>
      <c r="D39" s="63"/>
      <c r="E39" s="63"/>
      <c r="F39" s="63"/>
      <c r="G39" s="63"/>
      <c r="H39" s="63"/>
      <c r="I39" s="63"/>
    </row>
    <row r="40" spans="1:9" ht="20.25" x14ac:dyDescent="0.25">
      <c r="A40" s="80" t="s">
        <v>64</v>
      </c>
      <c r="B40" s="80"/>
      <c r="C40" s="80"/>
      <c r="D40" s="80" t="s">
        <v>65</v>
      </c>
      <c r="E40" s="80"/>
      <c r="F40" s="80" t="s">
        <v>66</v>
      </c>
      <c r="G40" s="80"/>
      <c r="H40" s="80" t="s">
        <v>67</v>
      </c>
      <c r="I40" s="80"/>
    </row>
    <row r="41" spans="1:9" ht="46.5" customHeight="1" x14ac:dyDescent="0.25">
      <c r="A41" s="62" t="s">
        <v>251</v>
      </c>
      <c r="B41" s="62"/>
      <c r="C41" s="62"/>
      <c r="D41" s="62" t="s">
        <v>107</v>
      </c>
      <c r="E41" s="62"/>
      <c r="F41" s="62" t="s">
        <v>230</v>
      </c>
      <c r="G41" s="62"/>
      <c r="H41" s="62" t="s">
        <v>217</v>
      </c>
      <c r="I41" s="62"/>
    </row>
    <row r="42" spans="1:9" ht="46.5" customHeight="1" x14ac:dyDescent="0.25">
      <c r="A42" s="62" t="s">
        <v>182</v>
      </c>
      <c r="B42" s="62"/>
      <c r="C42" s="62"/>
      <c r="D42" s="62" t="s">
        <v>107</v>
      </c>
      <c r="E42" s="62"/>
      <c r="F42" s="62" t="s">
        <v>214</v>
      </c>
      <c r="G42" s="62"/>
      <c r="H42" s="62" t="s">
        <v>215</v>
      </c>
      <c r="I42" s="62"/>
    </row>
    <row r="43" spans="1:9" ht="46.5" customHeight="1" x14ac:dyDescent="0.25">
      <c r="A43" s="62" t="s">
        <v>188</v>
      </c>
      <c r="B43" s="62"/>
      <c r="C43" s="62"/>
      <c r="D43" s="62" t="s">
        <v>107</v>
      </c>
      <c r="E43" s="62"/>
      <c r="F43" s="62" t="s">
        <v>230</v>
      </c>
      <c r="G43" s="62"/>
      <c r="H43" s="62" t="s">
        <v>216</v>
      </c>
      <c r="I43" s="62"/>
    </row>
    <row r="44" spans="1:9" ht="46.5" customHeight="1" x14ac:dyDescent="0.25">
      <c r="A44" s="62" t="s">
        <v>189</v>
      </c>
      <c r="B44" s="62"/>
      <c r="C44" s="62"/>
      <c r="D44" s="62" t="s">
        <v>107</v>
      </c>
      <c r="E44" s="62"/>
      <c r="F44" s="62" t="s">
        <v>217</v>
      </c>
      <c r="G44" s="62"/>
      <c r="H44" s="62" t="s">
        <v>217</v>
      </c>
      <c r="I44" s="62"/>
    </row>
    <row r="45" spans="1:9" ht="46.5" customHeight="1" x14ac:dyDescent="0.25">
      <c r="A45" s="62" t="s">
        <v>212</v>
      </c>
      <c r="B45" s="62"/>
      <c r="C45" s="62"/>
      <c r="D45" s="62" t="s">
        <v>107</v>
      </c>
      <c r="E45" s="62"/>
      <c r="F45" s="62" t="s">
        <v>218</v>
      </c>
      <c r="G45" s="62"/>
      <c r="H45" s="62" t="s">
        <v>218</v>
      </c>
      <c r="I45" s="62"/>
    </row>
    <row r="46" spans="1:9" ht="20.25" x14ac:dyDescent="0.25">
      <c r="A46" s="63" t="s">
        <v>68</v>
      </c>
      <c r="B46" s="63"/>
      <c r="C46" s="63"/>
      <c r="D46" s="63"/>
      <c r="E46" s="63"/>
      <c r="F46" s="63"/>
      <c r="G46" s="63"/>
      <c r="H46" s="63"/>
      <c r="I46" s="63"/>
    </row>
    <row r="47" spans="1:9" ht="63" customHeight="1" x14ac:dyDescent="0.25">
      <c r="A47" s="26" t="s">
        <v>69</v>
      </c>
      <c r="B47" s="11" t="s">
        <v>4</v>
      </c>
      <c r="C47" s="61" t="s">
        <v>318</v>
      </c>
      <c r="D47" s="61"/>
      <c r="E47" s="61"/>
      <c r="F47" s="26" t="s">
        <v>70</v>
      </c>
      <c r="G47" s="11" t="s">
        <v>4</v>
      </c>
      <c r="H47" s="61" t="s">
        <v>211</v>
      </c>
      <c r="I47" s="61"/>
    </row>
    <row r="48" spans="1:9" ht="408.75" customHeight="1" x14ac:dyDescent="0.25">
      <c r="A48" s="84" t="s">
        <v>108</v>
      </c>
      <c r="B48" s="11" t="s">
        <v>4</v>
      </c>
      <c r="C48" s="51" t="s">
        <v>319</v>
      </c>
      <c r="D48" s="52"/>
      <c r="E48" s="53"/>
      <c r="F48" s="84" t="s">
        <v>314</v>
      </c>
      <c r="G48" s="127" t="s">
        <v>4</v>
      </c>
      <c r="H48" s="51" t="s">
        <v>313</v>
      </c>
      <c r="I48" s="53"/>
    </row>
    <row r="49" spans="1:11" ht="20.25" x14ac:dyDescent="0.25">
      <c r="A49" s="100"/>
      <c r="B49" s="11"/>
      <c r="C49" s="54"/>
      <c r="D49" s="55"/>
      <c r="E49" s="56"/>
      <c r="F49" s="100"/>
      <c r="G49" s="131"/>
      <c r="H49" s="129"/>
      <c r="I49" s="130"/>
    </row>
    <row r="50" spans="1:11" ht="155.25" hidden="1" customHeight="1" x14ac:dyDescent="0.25">
      <c r="A50" s="100"/>
      <c r="B50" s="11" t="s">
        <v>4</v>
      </c>
      <c r="C50" s="61" t="s">
        <v>320</v>
      </c>
      <c r="D50" s="61"/>
      <c r="E50" s="61"/>
      <c r="F50" s="100"/>
      <c r="G50" s="131"/>
      <c r="H50" s="129"/>
      <c r="I50" s="130"/>
    </row>
    <row r="51" spans="1:11" ht="170.25" customHeight="1" x14ac:dyDescent="0.25">
      <c r="A51" s="101"/>
      <c r="B51" s="11" t="s">
        <v>4</v>
      </c>
      <c r="C51" s="132" t="s">
        <v>326</v>
      </c>
      <c r="D51" s="133"/>
      <c r="E51" s="134"/>
      <c r="F51" s="101"/>
      <c r="G51" s="128"/>
      <c r="H51" s="54"/>
      <c r="I51" s="56"/>
    </row>
    <row r="52" spans="1:11" ht="84" customHeight="1" x14ac:dyDescent="0.25">
      <c r="A52" s="26" t="s">
        <v>71</v>
      </c>
      <c r="B52" s="11" t="s">
        <v>4</v>
      </c>
      <c r="C52" s="61" t="s">
        <v>233</v>
      </c>
      <c r="D52" s="61"/>
      <c r="E52" s="61"/>
      <c r="F52" s="26" t="s">
        <v>236</v>
      </c>
      <c r="G52" s="11" t="s">
        <v>4</v>
      </c>
      <c r="H52" s="61" t="s">
        <v>237</v>
      </c>
      <c r="I52" s="61"/>
    </row>
    <row r="53" spans="1:11" ht="85.5" customHeight="1" x14ac:dyDescent="0.25">
      <c r="A53" s="26" t="s">
        <v>234</v>
      </c>
      <c r="B53" s="11" t="s">
        <v>4</v>
      </c>
      <c r="C53" s="61" t="s">
        <v>235</v>
      </c>
      <c r="D53" s="61"/>
      <c r="E53" s="61"/>
      <c r="F53" s="26" t="s">
        <v>231</v>
      </c>
      <c r="G53" s="11" t="s">
        <v>4</v>
      </c>
      <c r="H53" s="61" t="s">
        <v>232</v>
      </c>
      <c r="I53" s="61"/>
    </row>
    <row r="54" spans="1:11" ht="45" customHeight="1" x14ac:dyDescent="0.25">
      <c r="A54" s="26" t="s">
        <v>255</v>
      </c>
      <c r="B54" s="11" t="s">
        <v>4</v>
      </c>
      <c r="C54" s="61" t="s">
        <v>256</v>
      </c>
      <c r="D54" s="61"/>
      <c r="E54" s="61"/>
      <c r="F54" s="26" t="s">
        <v>257</v>
      </c>
      <c r="G54" s="11" t="s">
        <v>4</v>
      </c>
      <c r="H54" s="61" t="s">
        <v>97</v>
      </c>
      <c r="I54" s="61"/>
    </row>
    <row r="55" spans="1:11" ht="21" thickBot="1" x14ac:dyDescent="0.3">
      <c r="A55" s="63" t="s">
        <v>72</v>
      </c>
      <c r="B55" s="63"/>
      <c r="C55" s="63"/>
      <c r="D55" s="63"/>
      <c r="E55" s="63"/>
      <c r="F55" s="63"/>
      <c r="G55" s="63"/>
      <c r="H55" s="63"/>
      <c r="I55" s="63"/>
    </row>
    <row r="56" spans="1:11" ht="20.25" customHeight="1" x14ac:dyDescent="0.3">
      <c r="A56" s="106" t="s">
        <v>295</v>
      </c>
      <c r="B56" s="106"/>
      <c r="C56" s="106"/>
      <c r="D56" s="107" t="s">
        <v>4</v>
      </c>
      <c r="E56" s="47" t="s">
        <v>268</v>
      </c>
      <c r="F56" s="108" t="s">
        <v>269</v>
      </c>
      <c r="G56" s="108"/>
      <c r="H56" s="47" t="s">
        <v>270</v>
      </c>
      <c r="I56" s="47" t="s">
        <v>271</v>
      </c>
      <c r="J56" s="33" t="str">
        <f ca="1">(IF(F59&gt;99%,"All work completed. Please provide OC.",IF(F59&gt;89.8%,"Plinth, RCC, Brick, Plaster, Flooring, Wooden, Plumbing, Electrification, etc., work Completed. Finishing work is in process.",IF(F59&lt;94%,(IF(C59=0,"Work not yet Started.",IF(E59=25%,"Piling work in process",IF(E59=50%,"Excavation work in process",IF(E59=100%,"Excavation work Completed. ","0")))&amp;(IF(C60=0%,"",IF(C60=K61,"Footing work is process",IF(C60=K62,"Footing work Completed",IF(C60=K63,"1st Basement Completed",IF(C60=K64,"1st &amp; 2nd Basement Completed",IF(C60=K65,"1st to 3rd Basement Completed",IF(C60=K66,"1st to 4th Basement Completed",IF(C60=K67,"Plinth work is process",IF(C60=K68,"Plinth work completed","0")))))))))))&amp;(IF(C61=(F57+H57+I57),", RCC Slab",IF(C61&gt;0,", RCC upto "&amp;C61&amp;" Slab",""))&amp;(IF(C62=I57,", Brickwork",IF(C62&gt;0,", Brickwork upto "&amp;C62&amp;" Floor",""))&amp;(IF(C63=I57,", Internal Plaster",IF(C63&gt;0,", Internal Plaster upto "&amp;C63&amp;" Floor",""))&amp;(IF(C64=I57,", External Plaster",IF(C64&gt;0,", External Plaster upto "&amp;C64&amp;" Floor",""))&amp;(IF(C65=I57,", External Plumbing, Elevation and Waterproofing",IF(C65&gt;0,", External Plumbing, Elevation and Waterproofing upto "&amp;C65&amp;" Floor",""))&amp;(IF(C66=I57,", Flooring &amp; Fitting",IF(C66&gt;0,", Flooring &amp; Fitting upto "&amp;C66&amp;" Floor",""))&amp;(IF(C67=I57,", Wooden Work",IF(C67&gt;0,", Wooden Work upto "&amp;C67&amp;" Floor",""))&amp;(IF(C68=I57,", Electrical &amp; Sanitary fittings",IF(C68&gt;0,", Electrical &amp; Sanitary fittings upto "&amp;C68&amp;" Floor",""))&amp;(IF(C69&gt;0,", Finishing upto "&amp;C69&amp;" Floor","")&amp;(IF(C61&gt;0.5," Completed",""))))))))))))))))</f>
        <v>Excavation work Completed. Plinth work completed, RCC Slab, Brickwork, Internal Plaster, External Plaster, External Plumbing, Elevation and Waterproofing upto 14 Floor, Flooring &amp; Fitting upto 12 Floor, Wooden Work upto 10 Floor, Electrical &amp; Sanitary fittings upto 4 Floor Completed</v>
      </c>
      <c r="K56" s="34"/>
    </row>
    <row r="57" spans="1:11" ht="20.25" x14ac:dyDescent="0.3">
      <c r="A57" s="106"/>
      <c r="B57" s="106"/>
      <c r="C57" s="106"/>
      <c r="D57" s="107"/>
      <c r="E57" s="47">
        <v>2</v>
      </c>
      <c r="F57" s="108">
        <v>1</v>
      </c>
      <c r="G57" s="108"/>
      <c r="H57" s="47">
        <v>1</v>
      </c>
      <c r="I57" s="47">
        <f ca="1">--TRIM(RIGHT(SUBSTITUTE(LEFT(A56,_xlfn.AGGREGATE(16,6,FIND({0,1,2,3,4,5,6,7,8,9},A56,ROW(INDIRECT("1:"&amp;LEN(A56)))),1))," ",REPT(" ",LEN(A56))),LEN(A56)))</f>
        <v>18</v>
      </c>
      <c r="J57" s="35" t="s">
        <v>272</v>
      </c>
      <c r="K57" s="34"/>
    </row>
    <row r="58" spans="1:11" ht="20.25" customHeight="1" x14ac:dyDescent="0.3">
      <c r="A58" s="109" t="s">
        <v>273</v>
      </c>
      <c r="B58" s="109"/>
      <c r="C58" s="109" t="s">
        <v>274</v>
      </c>
      <c r="D58" s="109"/>
      <c r="E58" s="49" t="s">
        <v>275</v>
      </c>
      <c r="F58" s="109" t="s">
        <v>276</v>
      </c>
      <c r="G58" s="109"/>
      <c r="H58" s="36" t="s">
        <v>277</v>
      </c>
      <c r="I58" s="36"/>
      <c r="J58" s="37" t="s">
        <v>278</v>
      </c>
      <c r="K58" s="38">
        <f ca="1">I57*25%</f>
        <v>4.5</v>
      </c>
    </row>
    <row r="59" spans="1:11" ht="20.25" customHeight="1" x14ac:dyDescent="0.3">
      <c r="A59" s="110" t="s">
        <v>279</v>
      </c>
      <c r="B59" s="110"/>
      <c r="C59" s="108">
        <f ca="1">K60</f>
        <v>18</v>
      </c>
      <c r="D59" s="108"/>
      <c r="E59" s="48">
        <f ca="1">((100/I57)*C59)/100</f>
        <v>1</v>
      </c>
      <c r="F59" s="110">
        <f ca="1">(((C59/I57*5)+(C60/I57*20)+(25/(F57+H57+I57)*C61)+(5/(I57)*C62)+(2.5/(I57)*C63)+(2.5/(I57)*C64)+(5/I57*C65)+(10/I57*C66)+(2.5/I57*C67)+(2.5/I57*C68)+(10/I57*C69)+(10/I57*C70))/100)</f>
        <v>0.72499999999999998</v>
      </c>
      <c r="G59" s="110"/>
      <c r="H59" s="110" t="str">
        <f ca="1">J56</f>
        <v>Excavation work Completed. Plinth work completed, RCC Slab, Brickwork, Internal Plaster, External Plaster, External Plumbing, Elevation and Waterproofing upto 14 Floor, Flooring &amp; Fitting upto 12 Floor, Wooden Work upto 10 Floor, Electrical &amp; Sanitary fittings upto 4 Floor Completed</v>
      </c>
      <c r="I59" s="110"/>
      <c r="J59" s="37" t="s">
        <v>280</v>
      </c>
      <c r="K59" s="39">
        <f ca="1">I57*50%</f>
        <v>9</v>
      </c>
    </row>
    <row r="60" spans="1:11" ht="20.25" x14ac:dyDescent="0.3">
      <c r="A60" s="110" t="s">
        <v>132</v>
      </c>
      <c r="B60" s="110"/>
      <c r="C60" s="111">
        <f ca="1">K68</f>
        <v>18</v>
      </c>
      <c r="D60" s="108"/>
      <c r="E60" s="48">
        <f ca="1">((100/I57)*C60)/100</f>
        <v>1</v>
      </c>
      <c r="F60" s="110"/>
      <c r="G60" s="110"/>
      <c r="H60" s="110"/>
      <c r="I60" s="110"/>
      <c r="J60" s="37" t="s">
        <v>281</v>
      </c>
      <c r="K60" s="39">
        <f ca="1">I57</f>
        <v>18</v>
      </c>
    </row>
    <row r="61" spans="1:11" ht="21" customHeight="1" x14ac:dyDescent="0.35">
      <c r="A61" s="110" t="s">
        <v>297</v>
      </c>
      <c r="B61" s="110"/>
      <c r="C61" s="108">
        <v>20</v>
      </c>
      <c r="D61" s="108"/>
      <c r="E61" s="48">
        <f ca="1">((100/(F57+H57+I57))*C61)/100</f>
        <v>1</v>
      </c>
      <c r="F61" s="110"/>
      <c r="G61" s="110"/>
      <c r="H61" s="110"/>
      <c r="I61" s="110"/>
      <c r="J61" s="37" t="s">
        <v>282</v>
      </c>
      <c r="K61" s="40">
        <f ca="1">(IF(E57&gt;1,(I57/(E57+2)),I57/4))</f>
        <v>4.5</v>
      </c>
    </row>
    <row r="62" spans="1:11" ht="21" customHeight="1" x14ac:dyDescent="0.35">
      <c r="A62" s="110" t="s">
        <v>283</v>
      </c>
      <c r="B62" s="110"/>
      <c r="C62" s="108">
        <v>18</v>
      </c>
      <c r="D62" s="108"/>
      <c r="E62" s="48">
        <f ca="1">((100/I57)*C62)/100</f>
        <v>1</v>
      </c>
      <c r="F62" s="110"/>
      <c r="G62" s="110"/>
      <c r="H62" s="110"/>
      <c r="I62" s="110"/>
      <c r="J62" s="37" t="s">
        <v>284</v>
      </c>
      <c r="K62" s="40">
        <f ca="1">(IF(E57&gt;1,(I57/(E57+2)+K61),I57/4+K61))</f>
        <v>9</v>
      </c>
    </row>
    <row r="63" spans="1:11" ht="21" customHeight="1" x14ac:dyDescent="0.35">
      <c r="A63" s="112" t="s">
        <v>285</v>
      </c>
      <c r="B63" s="113"/>
      <c r="C63" s="111">
        <v>18</v>
      </c>
      <c r="D63" s="111"/>
      <c r="E63" s="48">
        <f ca="1">((100/I57)*C63)/100</f>
        <v>1</v>
      </c>
      <c r="F63" s="110"/>
      <c r="G63" s="110"/>
      <c r="H63" s="110"/>
      <c r="I63" s="110"/>
      <c r="J63" s="37" t="s">
        <v>286</v>
      </c>
      <c r="K63" s="40">
        <f ca="1">(IF(E57&gt;1,(I57/(E57+2)+K62),0))</f>
        <v>13.5</v>
      </c>
    </row>
    <row r="64" spans="1:11" ht="21" customHeight="1" x14ac:dyDescent="0.35">
      <c r="A64" s="112" t="s">
        <v>304</v>
      </c>
      <c r="B64" s="113"/>
      <c r="C64" s="111">
        <v>18</v>
      </c>
      <c r="D64" s="111"/>
      <c r="E64" s="48">
        <f ca="1">((100/I57)*C64)/100</f>
        <v>1</v>
      </c>
      <c r="F64" s="110"/>
      <c r="G64" s="110"/>
      <c r="H64" s="110"/>
      <c r="I64" s="110"/>
      <c r="J64" s="37" t="s">
        <v>287</v>
      </c>
      <c r="K64" s="40">
        <f>(IF(E57&gt;2,(I57/(E57+2)+K63),0))</f>
        <v>0</v>
      </c>
    </row>
    <row r="65" spans="1:13" ht="57.75" customHeight="1" x14ac:dyDescent="0.35">
      <c r="A65" s="112" t="s">
        <v>305</v>
      </c>
      <c r="B65" s="113"/>
      <c r="C65" s="108">
        <v>14</v>
      </c>
      <c r="D65" s="108"/>
      <c r="E65" s="48">
        <f ca="1">((100/(I57))*C65)/100</f>
        <v>0.77777777777777768</v>
      </c>
      <c r="F65" s="110"/>
      <c r="G65" s="110"/>
      <c r="H65" s="110"/>
      <c r="I65" s="110"/>
      <c r="J65" s="37" t="s">
        <v>289</v>
      </c>
      <c r="K65" s="41">
        <f>(IF(E57&gt;3,(I57/(E57+2)+K64),0))</f>
        <v>0</v>
      </c>
    </row>
    <row r="66" spans="1:13" ht="21" x14ac:dyDescent="0.35">
      <c r="A66" s="110" t="s">
        <v>288</v>
      </c>
      <c r="B66" s="110"/>
      <c r="C66" s="108">
        <v>12</v>
      </c>
      <c r="D66" s="108"/>
      <c r="E66" s="48">
        <f ca="1">((100/(I57))*C66)/100</f>
        <v>0.66666666666666652</v>
      </c>
      <c r="F66" s="110"/>
      <c r="G66" s="110"/>
      <c r="H66" s="110"/>
      <c r="I66" s="110"/>
      <c r="J66" s="37" t="s">
        <v>290</v>
      </c>
      <c r="K66" s="40">
        <f>(IF(E57&gt;4,(I57/(E57+2)+K65),0))</f>
        <v>0</v>
      </c>
    </row>
    <row r="67" spans="1:13" ht="21" customHeight="1" x14ac:dyDescent="0.35">
      <c r="A67" s="110" t="s">
        <v>306</v>
      </c>
      <c r="B67" s="110"/>
      <c r="C67" s="108">
        <v>10</v>
      </c>
      <c r="D67" s="108"/>
      <c r="E67" s="48">
        <f ca="1">((100/I57)*C67)/100</f>
        <v>0.55555555555555558</v>
      </c>
      <c r="F67" s="110"/>
      <c r="G67" s="110"/>
      <c r="H67" s="110"/>
      <c r="I67" s="110"/>
      <c r="J67" s="37" t="s">
        <v>292</v>
      </c>
      <c r="K67" s="40">
        <f>(IF(E57=1,(I57/(E57+3)+K62),IF(E57=0,(I57/4+K62),IF(E57&gt;1,0))))</f>
        <v>0</v>
      </c>
    </row>
    <row r="68" spans="1:13" ht="41.25" customHeight="1" thickBot="1" x14ac:dyDescent="0.4">
      <c r="A68" s="110" t="s">
        <v>307</v>
      </c>
      <c r="B68" s="110"/>
      <c r="C68" s="108">
        <v>4</v>
      </c>
      <c r="D68" s="108"/>
      <c r="E68" s="48">
        <f ca="1">((100/I57)*C68)/100</f>
        <v>0.22222222222222221</v>
      </c>
      <c r="F68" s="110"/>
      <c r="G68" s="110"/>
      <c r="H68" s="110"/>
      <c r="I68" s="110"/>
      <c r="J68" s="42" t="s">
        <v>294</v>
      </c>
      <c r="K68" s="43">
        <f ca="1">(IF(E57&gt;1.5,(I57/(E57+2)+K61+MAX(0,K62-K61)+MAX(0,K63-K62)+MAX(0,K64-K63)+MAX(0,K65-K64)+MAX(0,K66-K65)),IF(E57=1,(I57/(E57+3)+K67),IF(E57=0,I57/4+K67))))</f>
        <v>18</v>
      </c>
      <c r="M68" s="12" t="e">
        <f>(IF(D56&gt;1.5,(H56/(D56+2)+J61+MAX(0,J62-J61)+MAX(0,J63-J62)+MAX(0,J64-J63)+MAX(0,J65-J64)+MAX(0,J66-J65)),IF(D56=1,(H56/(D56+3)+J66),IF(D56=0,H56*0.3+J66))))</f>
        <v>#VALUE!</v>
      </c>
    </row>
    <row r="69" spans="1:13" ht="20.25" x14ac:dyDescent="0.25">
      <c r="A69" s="110" t="s">
        <v>291</v>
      </c>
      <c r="B69" s="110"/>
      <c r="C69" s="108">
        <v>0</v>
      </c>
      <c r="D69" s="108"/>
      <c r="E69" s="48">
        <f ca="1">((100/(I57))*C69)/100</f>
        <v>0</v>
      </c>
      <c r="F69" s="110"/>
      <c r="G69" s="110"/>
      <c r="H69" s="110"/>
      <c r="I69" s="110"/>
    </row>
    <row r="70" spans="1:13" ht="20.25" x14ac:dyDescent="0.25">
      <c r="A70" s="110" t="s">
        <v>293</v>
      </c>
      <c r="B70" s="110"/>
      <c r="C70" s="108">
        <v>0</v>
      </c>
      <c r="D70" s="108"/>
      <c r="E70" s="48">
        <f ca="1">((100/(I57))*C70)/100</f>
        <v>0</v>
      </c>
      <c r="F70" s="110"/>
      <c r="G70" s="110"/>
      <c r="H70" s="110"/>
      <c r="I70" s="110"/>
    </row>
    <row r="71" spans="1:13" ht="21" thickBot="1" x14ac:dyDescent="0.3">
      <c r="A71" s="63" t="s">
        <v>72</v>
      </c>
      <c r="B71" s="63"/>
      <c r="C71" s="63"/>
      <c r="D71" s="63"/>
      <c r="E71" s="63"/>
      <c r="F71" s="63"/>
      <c r="G71" s="63"/>
      <c r="H71" s="63"/>
      <c r="I71" s="63"/>
    </row>
    <row r="72" spans="1:13" ht="20.25" customHeight="1" x14ac:dyDescent="0.3">
      <c r="A72" s="106" t="s">
        <v>299</v>
      </c>
      <c r="B72" s="106"/>
      <c r="C72" s="106"/>
      <c r="D72" s="107" t="s">
        <v>4</v>
      </c>
      <c r="E72" s="47" t="s">
        <v>268</v>
      </c>
      <c r="F72" s="108" t="s">
        <v>269</v>
      </c>
      <c r="G72" s="108"/>
      <c r="H72" s="47" t="s">
        <v>270</v>
      </c>
      <c r="I72" s="47" t="s">
        <v>271</v>
      </c>
      <c r="J72" s="33" t="str">
        <f ca="1">(IF(F75&gt;99%,"All work completed. Please provide OC.",IF(F75&gt;89.8%,"Plinth, RCC, Brick, Plaster, Flooring, Wooden, Plumbing, Electrification, etc., work Completed. Finishing work is in process.",IF(F75&lt;94%,(IF(C75=0,"Work not yet Started.",IF(E75=25%,"Piling work in process",IF(E75=50%,"Excavation work in process",IF(E75=100%,"Excavation work Completed. ","0")))&amp;(IF(C76=0%,"",IF(C76=K77,"Footing work is process",IF(C76=K78,"Footing work Completed",IF(C76=K79,"1st Basement Completed",IF(C76=K80,"1st &amp; 2nd Basement Completed",IF(C76=K81,"1st to 3rd Basement Completed",IF(C76=K82,"1st to 4th Basement Completed",IF(C76=K83,"Plinth work is process",IF(C76=K84,"Plinth work completed","0")))))))))))&amp;(IF(C77=(F73+H73+I73),", RCC Slab",IF(C77&gt;0,", RCC upto "&amp;C77&amp;" Slab",""))&amp;(IF(C78=I73,", Brickwork",IF(C78&gt;0,", Brickwork upto "&amp;C78&amp;" Floor",""))&amp;(IF(C79=I73,", Internal Plaster",IF(C79&gt;0,", Internal Plaster upto "&amp;C79&amp;" Floor",""))&amp;(IF(C80=I73,", External Plaster",IF(C80&gt;0,", External Plaster upto "&amp;C80&amp;" Floor",""))&amp;(IF(C81=I73,", External Plumbing, Elevation and Waterproofing",IF(C81&gt;0,", External Plumbing, Elevation and Waterproofing upto "&amp;C81&amp;" Floor",""))&amp;(IF(C82=I73,", Flooring &amp; Fitting",IF(C82&gt;0,", Flooring &amp; Fitting upto "&amp;C82&amp;" Floor",""))&amp;(IF(C83=I73,", Wooden Work",IF(C83&gt;0,", Wooden Work upto "&amp;C83&amp;" Floor",""))&amp;(IF(C84=I73,", Electrical &amp; Sanitary fittings",IF(C84&gt;0,", Electrical &amp; Sanitary fittings upto "&amp;C84&amp;" Floor",""))&amp;(IF(C85&gt;0,", Finishing upto "&amp;C85&amp;" Floor","")&amp;(IF(C77&gt;0.5," Completed",""))))))))))))))))</f>
        <v>Excavation work Completed. Plinth work completed, RCC upto 9 Slab, Brickwork upto 8 Floor, Internal Plaster upto 6.4 Floor, External Plaster upto 6.4 Floor Completed</v>
      </c>
      <c r="K72" s="34"/>
    </row>
    <row r="73" spans="1:13" ht="20.25" x14ac:dyDescent="0.3">
      <c r="A73" s="106"/>
      <c r="B73" s="106"/>
      <c r="C73" s="106"/>
      <c r="D73" s="107"/>
      <c r="E73" s="47">
        <v>2</v>
      </c>
      <c r="F73" s="108">
        <v>1</v>
      </c>
      <c r="G73" s="108"/>
      <c r="H73" s="47">
        <v>1</v>
      </c>
      <c r="I73" s="47">
        <f ca="1">--TRIM(RIGHT(SUBSTITUTE(LEFT(A72,_xlfn.AGGREGATE(16,6,FIND({0,1,2,3,4,5,6,7,8,9},A72,ROW(INDIRECT("1:"&amp;LEN(A72)))),1))," ",REPT(" ",LEN(A72))),LEN(A72)))</f>
        <v>17</v>
      </c>
      <c r="J73" s="35" t="s">
        <v>272</v>
      </c>
      <c r="K73" s="34"/>
    </row>
    <row r="74" spans="1:13" ht="20.25" customHeight="1" x14ac:dyDescent="0.3">
      <c r="A74" s="109" t="s">
        <v>273</v>
      </c>
      <c r="B74" s="109"/>
      <c r="C74" s="109" t="s">
        <v>274</v>
      </c>
      <c r="D74" s="109"/>
      <c r="E74" s="49" t="s">
        <v>275</v>
      </c>
      <c r="F74" s="109" t="s">
        <v>276</v>
      </c>
      <c r="G74" s="109"/>
      <c r="H74" s="36" t="s">
        <v>277</v>
      </c>
      <c r="I74" s="36"/>
      <c r="J74" s="37" t="s">
        <v>278</v>
      </c>
      <c r="K74" s="38">
        <f ca="1">I73*25%</f>
        <v>4.25</v>
      </c>
    </row>
    <row r="75" spans="1:13" ht="20.25" customHeight="1" x14ac:dyDescent="0.3">
      <c r="A75" s="110" t="s">
        <v>279</v>
      </c>
      <c r="B75" s="110"/>
      <c r="C75" s="108">
        <f ca="1">K76</f>
        <v>17</v>
      </c>
      <c r="D75" s="108"/>
      <c r="E75" s="48">
        <f ca="1">((100/I73)*C75)/100</f>
        <v>1</v>
      </c>
      <c r="F75" s="110">
        <f ca="1">(((C75/I73*5)+(C76/I73*20)+(25/(F73+H73+I73)*C77)+(5/(I73)*C78)+(2.5/(I73)*C79)+(2.5/(I73)*C80)+(5/I73*C81)+(10/I73*C82)+(2.5/I73*C83)+(2.5/I73*C84)+(10/I73*C85)+(10/I73*C86))/100)</f>
        <v>0.41077399380804946</v>
      </c>
      <c r="G75" s="110"/>
      <c r="H75" s="110" t="str">
        <f ca="1">J72</f>
        <v>Excavation work Completed. Plinth work completed, RCC upto 9 Slab, Brickwork upto 8 Floor, Internal Plaster upto 6.4 Floor, External Plaster upto 6.4 Floor Completed</v>
      </c>
      <c r="I75" s="110"/>
      <c r="J75" s="37" t="s">
        <v>280</v>
      </c>
      <c r="K75" s="39">
        <f ca="1">I73*50%</f>
        <v>8.5</v>
      </c>
    </row>
    <row r="76" spans="1:13" ht="20.25" x14ac:dyDescent="0.3">
      <c r="A76" s="110" t="s">
        <v>132</v>
      </c>
      <c r="B76" s="110"/>
      <c r="C76" s="111">
        <v>17</v>
      </c>
      <c r="D76" s="108"/>
      <c r="E76" s="48">
        <f ca="1">((100/I73)*C76)/100</f>
        <v>1</v>
      </c>
      <c r="F76" s="110"/>
      <c r="G76" s="110"/>
      <c r="H76" s="110"/>
      <c r="I76" s="110"/>
      <c r="J76" s="37" t="s">
        <v>281</v>
      </c>
      <c r="K76" s="39">
        <f ca="1">I73</f>
        <v>17</v>
      </c>
    </row>
    <row r="77" spans="1:13" ht="21" customHeight="1" x14ac:dyDescent="0.35">
      <c r="A77" s="110" t="s">
        <v>297</v>
      </c>
      <c r="B77" s="110"/>
      <c r="C77" s="108">
        <v>9</v>
      </c>
      <c r="D77" s="108"/>
      <c r="E77" s="48">
        <f ca="1">((100/(F73+H73+I73))*C77)/100</f>
        <v>0.47368421052631582</v>
      </c>
      <c r="F77" s="110"/>
      <c r="G77" s="110"/>
      <c r="H77" s="110"/>
      <c r="I77" s="110"/>
      <c r="J77" s="37" t="s">
        <v>282</v>
      </c>
      <c r="K77" s="40">
        <f ca="1">(IF(E73&gt;1,(I73/(E73+2)),I73/4))</f>
        <v>4.25</v>
      </c>
    </row>
    <row r="78" spans="1:13" ht="21" customHeight="1" x14ac:dyDescent="0.35">
      <c r="A78" s="110" t="s">
        <v>283</v>
      </c>
      <c r="B78" s="110"/>
      <c r="C78" s="108">
        <f>C77-1</f>
        <v>8</v>
      </c>
      <c r="D78" s="108"/>
      <c r="E78" s="48">
        <f ca="1">((100/I73)*C78)/100</f>
        <v>0.4705882352941177</v>
      </c>
      <c r="F78" s="110"/>
      <c r="G78" s="110"/>
      <c r="H78" s="110"/>
      <c r="I78" s="110"/>
      <c r="J78" s="37" t="s">
        <v>284</v>
      </c>
      <c r="K78" s="40">
        <f ca="1">(IF(E73&gt;1,(I73/(E73+2)+K77),I73/4+K77))</f>
        <v>8.5</v>
      </c>
    </row>
    <row r="79" spans="1:13" ht="21" customHeight="1" x14ac:dyDescent="0.35">
      <c r="A79" s="112" t="s">
        <v>285</v>
      </c>
      <c r="B79" s="113"/>
      <c r="C79" s="111">
        <f>C78*0.8</f>
        <v>6.4</v>
      </c>
      <c r="D79" s="111"/>
      <c r="E79" s="48">
        <f ca="1">((100/I73)*C79)/100</f>
        <v>0.37647058823529411</v>
      </c>
      <c r="F79" s="110"/>
      <c r="G79" s="110"/>
      <c r="H79" s="110"/>
      <c r="I79" s="110"/>
      <c r="J79" s="37" t="s">
        <v>286</v>
      </c>
      <c r="K79" s="40">
        <f ca="1">(IF(E73&gt;1,(I73/(E73+2)+K78),0))</f>
        <v>12.75</v>
      </c>
    </row>
    <row r="80" spans="1:13" ht="21" customHeight="1" x14ac:dyDescent="0.35">
      <c r="A80" s="112" t="s">
        <v>304</v>
      </c>
      <c r="B80" s="113"/>
      <c r="C80" s="111">
        <f>C79</f>
        <v>6.4</v>
      </c>
      <c r="D80" s="111"/>
      <c r="E80" s="48">
        <f ca="1">((100/I73)*C80)/100</f>
        <v>0.37647058823529411</v>
      </c>
      <c r="F80" s="110"/>
      <c r="G80" s="110"/>
      <c r="H80" s="110"/>
      <c r="I80" s="110"/>
      <c r="J80" s="37" t="s">
        <v>287</v>
      </c>
      <c r="K80" s="40">
        <f>(IF(E73&gt;2,(I73/(E73+2)+K79),0))</f>
        <v>0</v>
      </c>
    </row>
    <row r="81" spans="1:13" ht="57.75" customHeight="1" x14ac:dyDescent="0.35">
      <c r="A81" s="112" t="s">
        <v>305</v>
      </c>
      <c r="B81" s="113"/>
      <c r="C81" s="108">
        <v>0</v>
      </c>
      <c r="D81" s="108"/>
      <c r="E81" s="48">
        <f ca="1">((100/(I73))*C81)/100</f>
        <v>0</v>
      </c>
      <c r="F81" s="110"/>
      <c r="G81" s="110"/>
      <c r="H81" s="110"/>
      <c r="I81" s="110"/>
      <c r="J81" s="37" t="s">
        <v>289</v>
      </c>
      <c r="K81" s="41">
        <f>(IF(E73&gt;3,(I73/(E73+2)+K80),0))</f>
        <v>0</v>
      </c>
    </row>
    <row r="82" spans="1:13" ht="21" x14ac:dyDescent="0.35">
      <c r="A82" s="110" t="s">
        <v>288</v>
      </c>
      <c r="B82" s="110"/>
      <c r="C82" s="108">
        <v>0</v>
      </c>
      <c r="D82" s="108"/>
      <c r="E82" s="48">
        <f ca="1">((100/(I73))*C82)/100</f>
        <v>0</v>
      </c>
      <c r="F82" s="110"/>
      <c r="G82" s="110"/>
      <c r="H82" s="110"/>
      <c r="I82" s="110"/>
      <c r="J82" s="37" t="s">
        <v>290</v>
      </c>
      <c r="K82" s="40">
        <f>(IF(E73&gt;4,(I73/(E73+2)+K81),0))</f>
        <v>0</v>
      </c>
    </row>
    <row r="83" spans="1:13" ht="21" customHeight="1" x14ac:dyDescent="0.35">
      <c r="A83" s="110" t="s">
        <v>306</v>
      </c>
      <c r="B83" s="110"/>
      <c r="C83" s="108">
        <v>0</v>
      </c>
      <c r="D83" s="108"/>
      <c r="E83" s="48">
        <f ca="1">((100/I73)*C83)/100</f>
        <v>0</v>
      </c>
      <c r="F83" s="110"/>
      <c r="G83" s="110"/>
      <c r="H83" s="110"/>
      <c r="I83" s="110"/>
      <c r="J83" s="37" t="s">
        <v>292</v>
      </c>
      <c r="K83" s="40">
        <f>(IF(E73=1,(I73/(E73+3)+K78),IF(E73=0,(I73/4+K78),IF(E73&gt;1,0))))</f>
        <v>0</v>
      </c>
    </row>
    <row r="84" spans="1:13" ht="41.25" customHeight="1" thickBot="1" x14ac:dyDescent="0.4">
      <c r="A84" s="110" t="s">
        <v>307</v>
      </c>
      <c r="B84" s="110"/>
      <c r="C84" s="108">
        <v>0</v>
      </c>
      <c r="D84" s="108"/>
      <c r="E84" s="48">
        <f ca="1">((100/I73)*C84)/100</f>
        <v>0</v>
      </c>
      <c r="F84" s="110"/>
      <c r="G84" s="110"/>
      <c r="H84" s="110"/>
      <c r="I84" s="110"/>
      <c r="J84" s="42" t="s">
        <v>294</v>
      </c>
      <c r="K84" s="43">
        <f ca="1">(IF(E73&gt;1.5,(I73/(E73+2)+K77+MAX(0,K78-K77)+MAX(0,K79-K78)+MAX(0,K80-K79)+MAX(0,K81-K80)+MAX(0,K82-K81)),IF(E73=1,(I73/(E73+3)+K83),IF(E73=0,I73/4+K83))))</f>
        <v>17</v>
      </c>
      <c r="M84" s="12" t="e">
        <f>(IF(D72&gt;1.5,(H72/(D72+2)+J77+MAX(0,J78-J77)+MAX(0,J79-J78)+MAX(0,J80-J79)+MAX(0,J81-J80)+MAX(0,J82-J81)),IF(D72=1,(H72/(D72+3)+J82),IF(D72=0,H72*0.3+J82))))</f>
        <v>#VALUE!</v>
      </c>
    </row>
    <row r="85" spans="1:13" ht="20.25" x14ac:dyDescent="0.25">
      <c r="A85" s="110" t="s">
        <v>291</v>
      </c>
      <c r="B85" s="110"/>
      <c r="C85" s="108">
        <v>0</v>
      </c>
      <c r="D85" s="108"/>
      <c r="E85" s="48">
        <f ca="1">((100/(I73))*C85)/100</f>
        <v>0</v>
      </c>
      <c r="F85" s="110"/>
      <c r="G85" s="110"/>
      <c r="H85" s="110"/>
      <c r="I85" s="110"/>
    </row>
    <row r="86" spans="1:13" ht="20.25" x14ac:dyDescent="0.25">
      <c r="A86" s="110" t="s">
        <v>293</v>
      </c>
      <c r="B86" s="110"/>
      <c r="C86" s="108">
        <v>0</v>
      </c>
      <c r="D86" s="108"/>
      <c r="E86" s="48">
        <f ca="1">((100/(I73))*C86)/100</f>
        <v>0</v>
      </c>
      <c r="F86" s="110"/>
      <c r="G86" s="110"/>
      <c r="H86" s="110"/>
      <c r="I86" s="110"/>
    </row>
    <row r="87" spans="1:13" ht="21" thickBot="1" x14ac:dyDescent="0.3">
      <c r="A87" s="63" t="s">
        <v>72</v>
      </c>
      <c r="B87" s="63"/>
      <c r="C87" s="63"/>
      <c r="D87" s="63"/>
      <c r="E87" s="63"/>
      <c r="F87" s="63"/>
      <c r="G87" s="63"/>
      <c r="H87" s="63"/>
      <c r="I87" s="63"/>
    </row>
    <row r="88" spans="1:13" ht="20.25" customHeight="1" x14ac:dyDescent="0.3">
      <c r="A88" s="106" t="s">
        <v>300</v>
      </c>
      <c r="B88" s="106"/>
      <c r="C88" s="106"/>
      <c r="D88" s="107" t="s">
        <v>4</v>
      </c>
      <c r="E88" s="47" t="s">
        <v>268</v>
      </c>
      <c r="F88" s="108" t="s">
        <v>269</v>
      </c>
      <c r="G88" s="108"/>
      <c r="H88" s="47" t="s">
        <v>270</v>
      </c>
      <c r="I88" s="47" t="s">
        <v>271</v>
      </c>
      <c r="J88" s="33" t="str">
        <f ca="1">(IF(F91&gt;99%,"All work completed. Please provide OC.",IF(F91&gt;89.8%,"Plinth, RCC, Brick, Plaster, Flooring, Wooden, Plumbing, Electrification, etc., work Completed. Finishing work is in process.",IF(F91&lt;94%,(IF(C91=0,"Work not yet Started.",IF(E91=25%,"Piling work in process",IF(E91=50%,"Excavation work in process",IF(E91=100%,"Excavation work Completed. ","0")))&amp;(IF(C92=0%,"",IF(C92=K93,"Footing work is process",IF(C92=K94,"Footing work Completed",IF(C92=K95,"1st Basement Completed",IF(C92=K96,"1st &amp; 2nd Basement Completed",IF(C92=K97,"1st to 3rd Basement Completed",IF(C92=K98,"1st to 4th Basement Completed",IF(C92=K99,"Plinth work is process",IF(C92=K100,"Plinth work completed","0")))))))))))&amp;(IF(C93=(F89+H89+I89),", RCC Slab",IF(C93&gt;0,", RCC upto "&amp;C93&amp;" Slab",""))&amp;(IF(C94=I89,", Brickwork",IF(C94&gt;0,", Brickwork upto "&amp;C94&amp;" Floor",""))&amp;(IF(C95=I89,", Internal Plaster",IF(C95&gt;0,", Internal Plaster upto "&amp;C95&amp;" Floor",""))&amp;(IF(C96=I89,", External Plaster",IF(C96&gt;0,", External Plaster upto "&amp;C96&amp;" Floor",""))&amp;(IF(C97=I89,", External Plumbing, Elevation and Waterproofing",IF(C97&gt;0,", External Plumbing, Elevation and Waterproofing upto "&amp;C97&amp;" Floor",""))&amp;(IF(C98=I89,", Flooring &amp; Fitting",IF(C98&gt;0,", Flooring &amp; Fitting upto "&amp;C98&amp;" Floor",""))&amp;(IF(C99=I89,", Wooden Work",IF(C99&gt;0,", Wooden Work upto "&amp;C99&amp;" Floor",""))&amp;(IF(C100=I89,", Electrical &amp; Sanitary fittings",IF(C100&gt;0,", Electrical &amp; Sanitary fittings upto "&amp;C100&amp;" Floor",""))&amp;(IF(C101&gt;0,", Finishing upto "&amp;C101&amp;" Floor","")&amp;(IF(C93&gt;0.5," Completed",""))))))))))))))))</f>
        <v>Excavation work Completed. Plinth work completed</v>
      </c>
      <c r="K88" s="34"/>
    </row>
    <row r="89" spans="1:13" ht="20.25" x14ac:dyDescent="0.3">
      <c r="A89" s="106"/>
      <c r="B89" s="106"/>
      <c r="C89" s="106"/>
      <c r="D89" s="107"/>
      <c r="E89" s="47">
        <v>2</v>
      </c>
      <c r="F89" s="108">
        <v>1</v>
      </c>
      <c r="G89" s="108"/>
      <c r="H89" s="47">
        <v>1</v>
      </c>
      <c r="I89" s="47">
        <f ca="1">--TRIM(RIGHT(SUBSTITUTE(LEFT(A88,_xlfn.AGGREGATE(16,6,FIND({0,1,2,3,4,5,6,7,8,9},A88,ROW(INDIRECT("1:"&amp;LEN(A88)))),1))," ",REPT(" ",LEN(A88))),LEN(A88)))</f>
        <v>18</v>
      </c>
      <c r="J89" s="35" t="s">
        <v>272</v>
      </c>
      <c r="K89" s="34"/>
    </row>
    <row r="90" spans="1:13" ht="20.25" customHeight="1" x14ac:dyDescent="0.3">
      <c r="A90" s="109" t="s">
        <v>273</v>
      </c>
      <c r="B90" s="109"/>
      <c r="C90" s="109" t="s">
        <v>274</v>
      </c>
      <c r="D90" s="109"/>
      <c r="E90" s="49" t="s">
        <v>275</v>
      </c>
      <c r="F90" s="109" t="s">
        <v>276</v>
      </c>
      <c r="G90" s="109"/>
      <c r="H90" s="36" t="s">
        <v>277</v>
      </c>
      <c r="I90" s="36"/>
      <c r="J90" s="37" t="s">
        <v>278</v>
      </c>
      <c r="K90" s="38">
        <f ca="1">I89*25%</f>
        <v>4.5</v>
      </c>
    </row>
    <row r="91" spans="1:13" ht="20.25" customHeight="1" x14ac:dyDescent="0.3">
      <c r="A91" s="110" t="s">
        <v>279</v>
      </c>
      <c r="B91" s="110"/>
      <c r="C91" s="108">
        <f ca="1">K92</f>
        <v>18</v>
      </c>
      <c r="D91" s="108"/>
      <c r="E91" s="48">
        <f ca="1">((100/I89)*C91)/100</f>
        <v>1</v>
      </c>
      <c r="F91" s="110">
        <f ca="1">(((C91/I89*5)+(C92/I89*20)+(25/(F89+H89+I89)*C93)+(5/(I89)*C94)+(2.5/(I89)*C95)+(2.5/(I89)*C96)+(5/I89*C97)+(10/I89*C98)+(2.5/I89*C99)+(2.5/I89*C100)+(10/I89*C101)+(10/I89*C102))/100)</f>
        <v>0.25</v>
      </c>
      <c r="G91" s="110"/>
      <c r="H91" s="110" t="str">
        <f ca="1">J88</f>
        <v>Excavation work Completed. Plinth work completed</v>
      </c>
      <c r="I91" s="110"/>
      <c r="J91" s="37" t="s">
        <v>280</v>
      </c>
      <c r="K91" s="39">
        <f ca="1">I89*50%</f>
        <v>9</v>
      </c>
    </row>
    <row r="92" spans="1:13" ht="20.25" x14ac:dyDescent="0.3">
      <c r="A92" s="110" t="s">
        <v>132</v>
      </c>
      <c r="B92" s="110"/>
      <c r="C92" s="111">
        <v>18</v>
      </c>
      <c r="D92" s="108"/>
      <c r="E92" s="48">
        <f ca="1">((100/I89)*C92)/100</f>
        <v>1</v>
      </c>
      <c r="F92" s="110"/>
      <c r="G92" s="110"/>
      <c r="H92" s="110"/>
      <c r="I92" s="110"/>
      <c r="J92" s="37" t="s">
        <v>281</v>
      </c>
      <c r="K92" s="39">
        <f ca="1">I89</f>
        <v>18</v>
      </c>
    </row>
    <row r="93" spans="1:13" ht="21" customHeight="1" x14ac:dyDescent="0.35">
      <c r="A93" s="110" t="s">
        <v>297</v>
      </c>
      <c r="B93" s="110"/>
      <c r="C93" s="108">
        <v>0</v>
      </c>
      <c r="D93" s="108"/>
      <c r="E93" s="48">
        <f ca="1">((100/(F89+H89+I89))*C93)/100</f>
        <v>0</v>
      </c>
      <c r="F93" s="110"/>
      <c r="G93" s="110"/>
      <c r="H93" s="110"/>
      <c r="I93" s="110"/>
      <c r="J93" s="37" t="s">
        <v>282</v>
      </c>
      <c r="K93" s="40">
        <f ca="1">(IF(E89&gt;1,(I89/(E89+2)),I89/4))</f>
        <v>4.5</v>
      </c>
    </row>
    <row r="94" spans="1:13" ht="21" customHeight="1" x14ac:dyDescent="0.35">
      <c r="A94" s="110" t="s">
        <v>283</v>
      </c>
      <c r="B94" s="110"/>
      <c r="C94" s="108">
        <v>0</v>
      </c>
      <c r="D94" s="108"/>
      <c r="E94" s="48">
        <f ca="1">((100/I89)*C94)/100</f>
        <v>0</v>
      </c>
      <c r="F94" s="110"/>
      <c r="G94" s="110"/>
      <c r="H94" s="110"/>
      <c r="I94" s="110"/>
      <c r="J94" s="37" t="s">
        <v>284</v>
      </c>
      <c r="K94" s="40">
        <f ca="1">(IF(E89&gt;1,(I89/(E89+2)+K93),I89/4+K93))</f>
        <v>9</v>
      </c>
    </row>
    <row r="95" spans="1:13" ht="21" customHeight="1" x14ac:dyDescent="0.35">
      <c r="A95" s="112" t="s">
        <v>285</v>
      </c>
      <c r="B95" s="113"/>
      <c r="C95" s="108">
        <v>0</v>
      </c>
      <c r="D95" s="108"/>
      <c r="E95" s="48">
        <f ca="1">((100/I89)*C95)/100</f>
        <v>0</v>
      </c>
      <c r="F95" s="110"/>
      <c r="G95" s="110"/>
      <c r="H95" s="110"/>
      <c r="I95" s="110"/>
      <c r="J95" s="37" t="s">
        <v>286</v>
      </c>
      <c r="K95" s="40">
        <f ca="1">(IF(E89&gt;1,(I89/(E89+2)+K94),0))</f>
        <v>13.5</v>
      </c>
    </row>
    <row r="96" spans="1:13" ht="21" customHeight="1" x14ac:dyDescent="0.35">
      <c r="A96" s="112" t="s">
        <v>304</v>
      </c>
      <c r="B96" s="113"/>
      <c r="C96" s="108">
        <v>0</v>
      </c>
      <c r="D96" s="108"/>
      <c r="E96" s="48">
        <f ca="1">((100/I89)*C96)/100</f>
        <v>0</v>
      </c>
      <c r="F96" s="110"/>
      <c r="G96" s="110"/>
      <c r="H96" s="110"/>
      <c r="I96" s="110"/>
      <c r="J96" s="37" t="s">
        <v>287</v>
      </c>
      <c r="K96" s="40">
        <f>(IF(E89&gt;2,(I89/(E89+2)+K95),0))</f>
        <v>0</v>
      </c>
    </row>
    <row r="97" spans="1:13" ht="57.75" customHeight="1" x14ac:dyDescent="0.35">
      <c r="A97" s="112" t="s">
        <v>305</v>
      </c>
      <c r="B97" s="113"/>
      <c r="C97" s="108">
        <v>0</v>
      </c>
      <c r="D97" s="108"/>
      <c r="E97" s="48">
        <f ca="1">((100/(I89))*C97)/100</f>
        <v>0</v>
      </c>
      <c r="F97" s="110"/>
      <c r="G97" s="110"/>
      <c r="H97" s="110"/>
      <c r="I97" s="110"/>
      <c r="J97" s="37" t="s">
        <v>289</v>
      </c>
      <c r="K97" s="41">
        <f>(IF(E89&gt;3,(I89/(E89+2)+K96),0))</f>
        <v>0</v>
      </c>
    </row>
    <row r="98" spans="1:13" ht="21" x14ac:dyDescent="0.35">
      <c r="A98" s="110" t="s">
        <v>288</v>
      </c>
      <c r="B98" s="110"/>
      <c r="C98" s="108">
        <v>0</v>
      </c>
      <c r="D98" s="108"/>
      <c r="E98" s="48">
        <f ca="1">((100/(I89))*C98)/100</f>
        <v>0</v>
      </c>
      <c r="F98" s="110"/>
      <c r="G98" s="110"/>
      <c r="H98" s="110"/>
      <c r="I98" s="110"/>
      <c r="J98" s="37" t="s">
        <v>290</v>
      </c>
      <c r="K98" s="40">
        <f>(IF(E89&gt;4,(I89/(E89+2)+K97),0))</f>
        <v>0</v>
      </c>
    </row>
    <row r="99" spans="1:13" ht="21" customHeight="1" x14ac:dyDescent="0.35">
      <c r="A99" s="110" t="s">
        <v>306</v>
      </c>
      <c r="B99" s="110"/>
      <c r="C99" s="108">
        <v>0</v>
      </c>
      <c r="D99" s="108"/>
      <c r="E99" s="48">
        <f ca="1">((100/I89)*C99)/100</f>
        <v>0</v>
      </c>
      <c r="F99" s="110"/>
      <c r="G99" s="110"/>
      <c r="H99" s="110"/>
      <c r="I99" s="110"/>
      <c r="J99" s="37" t="s">
        <v>292</v>
      </c>
      <c r="K99" s="40">
        <f>(IF(E89=1,(I89/(E89+3)+K94),IF(E89=0,(I89/4+K94),IF(E89&gt;1,0))))</f>
        <v>0</v>
      </c>
    </row>
    <row r="100" spans="1:13" ht="41.25" customHeight="1" thickBot="1" x14ac:dyDescent="0.4">
      <c r="A100" s="110" t="s">
        <v>307</v>
      </c>
      <c r="B100" s="110"/>
      <c r="C100" s="108">
        <v>0</v>
      </c>
      <c r="D100" s="108"/>
      <c r="E100" s="48">
        <f ca="1">((100/I89)*C100)/100</f>
        <v>0</v>
      </c>
      <c r="F100" s="110"/>
      <c r="G100" s="110"/>
      <c r="H100" s="110"/>
      <c r="I100" s="110"/>
      <c r="J100" s="42" t="s">
        <v>294</v>
      </c>
      <c r="K100" s="43">
        <f ca="1">(IF(E89&gt;1.5,(I89/(E89+2)+K93+MAX(0,K94-K93)+MAX(0,K95-K94)+MAX(0,K96-K95)+MAX(0,K97-K96)+MAX(0,K98-K97)),IF(E89=1,(I89/(E89+3)+K99),IF(E89=0,I89/4+K99))))</f>
        <v>18</v>
      </c>
      <c r="M100" s="12" t="e">
        <f>(IF(D88&gt;1.5,(H88/(D88+2)+J93+MAX(0,J94-J93)+MAX(0,J95-J94)+MAX(0,J96-J95)+MAX(0,J97-J96)+MAX(0,J98-J97)),IF(D88=1,(H88/(D88+3)+J98),IF(D88=0,H88*0.3+J98))))</f>
        <v>#VALUE!</v>
      </c>
    </row>
    <row r="101" spans="1:13" ht="20.25" x14ac:dyDescent="0.25">
      <c r="A101" s="110" t="s">
        <v>291</v>
      </c>
      <c r="B101" s="110"/>
      <c r="C101" s="108">
        <v>0</v>
      </c>
      <c r="D101" s="108"/>
      <c r="E101" s="48">
        <f ca="1">((100/(I89))*C101)/100</f>
        <v>0</v>
      </c>
      <c r="F101" s="110"/>
      <c r="G101" s="110"/>
      <c r="H101" s="110"/>
      <c r="I101" s="110"/>
    </row>
    <row r="102" spans="1:13" ht="20.25" x14ac:dyDescent="0.25">
      <c r="A102" s="110" t="s">
        <v>293</v>
      </c>
      <c r="B102" s="110"/>
      <c r="C102" s="108">
        <v>0</v>
      </c>
      <c r="D102" s="108"/>
      <c r="E102" s="48">
        <f ca="1">((100/(I89))*C102)/100</f>
        <v>0</v>
      </c>
      <c r="F102" s="110"/>
      <c r="G102" s="110"/>
      <c r="H102" s="110"/>
      <c r="I102" s="110"/>
    </row>
    <row r="103" spans="1:13" ht="21" thickBot="1" x14ac:dyDescent="0.3">
      <c r="A103" s="63" t="s">
        <v>72</v>
      </c>
      <c r="B103" s="63"/>
      <c r="C103" s="63"/>
      <c r="D103" s="63"/>
      <c r="E103" s="63"/>
      <c r="F103" s="63"/>
      <c r="G103" s="63"/>
      <c r="H103" s="63"/>
      <c r="I103" s="63"/>
    </row>
    <row r="104" spans="1:13" ht="20.25" customHeight="1" x14ac:dyDescent="0.3">
      <c r="A104" s="106" t="s">
        <v>301</v>
      </c>
      <c r="B104" s="106"/>
      <c r="C104" s="106"/>
      <c r="D104" s="107" t="s">
        <v>4</v>
      </c>
      <c r="E104" s="47" t="s">
        <v>268</v>
      </c>
      <c r="F104" s="108" t="s">
        <v>269</v>
      </c>
      <c r="G104" s="108"/>
      <c r="H104" s="47" t="s">
        <v>270</v>
      </c>
      <c r="I104" s="47" t="s">
        <v>271</v>
      </c>
      <c r="J104" s="33" t="str">
        <f ca="1">(IF(F107&gt;99%,"All work completed. Please provide OC.",IF(F107&gt;89.8%,"Plinth, RCC, Brick, Plaster, Flooring, Wooden, Plumbing, Electrification, etc., work Completed. Finishing work is in process.",IF(F107&lt;94%,(IF(C107=0,"Work not yet Started.",IF(E107=25%,"Piling work in process",IF(E107=50%,"Excavation work in process",IF(E107=100%,"Excavation work Completed. ","0")))&amp;(IF(C108=0%,"",IF(C108=K109,"Footing work is process",IF(C108=K110,"Footing work Completed",IF(C108=K111,"1st Basement Completed",IF(C108=K112,"1st &amp; 2nd Basement Completed",IF(C108=K113,"1st to 3rd Basement Completed",IF(C108=K114,"1st to 4th Basement Completed",IF(C108=K115,"Plinth work is process",IF(C108=K116,"Plinth work completed","0")))))))))))&amp;(IF(C109=(F105+H105+I105),", RCC Slab",IF(C109&gt;0,", RCC upto "&amp;C109&amp;" Slab",""))&amp;(IF(C110=I105,", Brickwork",IF(C110&gt;0,", Brickwork upto "&amp;C110&amp;" Floor",""))&amp;(IF(C111=I105,", Internal Plaster",IF(C111&gt;0,", Internal Plaster upto "&amp;C111&amp;" Floor",""))&amp;(IF(C112=I105,", External Plaster",IF(C112&gt;0,", External Plaster upto "&amp;C112&amp;" Floor",""))&amp;(IF(C113=I105,", External Plumbing, Elevation and Waterproofing",IF(C113&gt;0,", External Plumbing, Elevation and Waterproofing upto "&amp;C113&amp;" Floor",""))&amp;(IF(C114=I105,", Flooring &amp; Fitting",IF(C114&gt;0,", Flooring &amp; Fitting upto "&amp;C114&amp;" Floor",""))&amp;(IF(C115=I105,", Wooden Work",IF(C115&gt;0,", Wooden Work upto "&amp;C115&amp;" Floor",""))&amp;(IF(C116=I105,", Electrical &amp; Sanitary fittings",IF(C116&gt;0,", Electrical &amp; Sanitary fittings upto "&amp;C116&amp;" Floor",""))&amp;(IF(C117&gt;0,", Finishing upto "&amp;C117&amp;" Floor","")&amp;(IF(C109&gt;0.5," Completed",""))))))))))))))))</f>
        <v>Excavation work Completed. Plinth work completed, RCC Slab, Brickwork, Internal Plaster, External Plaster, External Plumbing, Elevation and Waterproofing, Flooring &amp; Fitting upto 14 Floor, Wooden Work upto 13 Floor, Electrical &amp; Sanitary fittings upto 10 Floor Completed</v>
      </c>
      <c r="K104" s="34"/>
    </row>
    <row r="105" spans="1:13" ht="20.25" x14ac:dyDescent="0.3">
      <c r="A105" s="106"/>
      <c r="B105" s="106"/>
      <c r="C105" s="106"/>
      <c r="D105" s="107"/>
      <c r="E105" s="47">
        <v>2</v>
      </c>
      <c r="F105" s="108">
        <v>1</v>
      </c>
      <c r="G105" s="108"/>
      <c r="H105" s="47">
        <v>1</v>
      </c>
      <c r="I105" s="47">
        <f ca="1">--TRIM(RIGHT(SUBSTITUTE(LEFT(A104,_xlfn.AGGREGATE(16,6,FIND({0,1,2,3,4,5,6,7,8,9},A104,ROW(INDIRECT("1:"&amp;LEN(A104)))),1))," ",REPT(" ",LEN(A104))),LEN(A104)))</f>
        <v>16</v>
      </c>
      <c r="J105" s="35" t="s">
        <v>272</v>
      </c>
      <c r="K105" s="34"/>
    </row>
    <row r="106" spans="1:13" ht="20.25" customHeight="1" x14ac:dyDescent="0.3">
      <c r="A106" s="109" t="s">
        <v>273</v>
      </c>
      <c r="B106" s="109"/>
      <c r="C106" s="109" t="s">
        <v>274</v>
      </c>
      <c r="D106" s="109"/>
      <c r="E106" s="49" t="s">
        <v>275</v>
      </c>
      <c r="F106" s="109" t="s">
        <v>276</v>
      </c>
      <c r="G106" s="109"/>
      <c r="H106" s="36" t="s">
        <v>277</v>
      </c>
      <c r="I106" s="36"/>
      <c r="J106" s="37" t="s">
        <v>278</v>
      </c>
      <c r="K106" s="38">
        <f ca="1">I105*25%</f>
        <v>4</v>
      </c>
    </row>
    <row r="107" spans="1:13" ht="20.25" customHeight="1" x14ac:dyDescent="0.3">
      <c r="A107" s="110" t="s">
        <v>279</v>
      </c>
      <c r="B107" s="110"/>
      <c r="C107" s="108">
        <f ca="1">K108</f>
        <v>16</v>
      </c>
      <c r="D107" s="108"/>
      <c r="E107" s="48">
        <f ca="1">((100/I105)*C107)/100</f>
        <v>1</v>
      </c>
      <c r="F107" s="110">
        <f ca="1">(((C107/I105*5)+(C108/I105*20)+(25/(F105+H105+I105)*C109)+(5/(I105)*C110)+(2.5/(I105)*C111)+(2.5/(I105)*C112)+(5/I105*C113)+(10/I105*C114)+(2.5/I105*C115)+(2.5/I105*C116)+(10/I105*C117)+(10/I105*C118))/100)</f>
        <v>0.7734375</v>
      </c>
      <c r="G107" s="110"/>
      <c r="H107" s="110" t="str">
        <f ca="1">J104</f>
        <v>Excavation work Completed. Plinth work completed, RCC Slab, Brickwork, Internal Plaster, External Plaster, External Plumbing, Elevation and Waterproofing, Flooring &amp; Fitting upto 14 Floor, Wooden Work upto 13 Floor, Electrical &amp; Sanitary fittings upto 10 Floor Completed</v>
      </c>
      <c r="I107" s="110"/>
      <c r="J107" s="37" t="s">
        <v>280</v>
      </c>
      <c r="K107" s="39">
        <f ca="1">I105*50%</f>
        <v>8</v>
      </c>
    </row>
    <row r="108" spans="1:13" ht="20.25" x14ac:dyDescent="0.3">
      <c r="A108" s="110" t="s">
        <v>132</v>
      </c>
      <c r="B108" s="110"/>
      <c r="C108" s="111">
        <f ca="1">K116</f>
        <v>16</v>
      </c>
      <c r="D108" s="108"/>
      <c r="E108" s="48">
        <f ca="1">((100/I105)*C108)/100</f>
        <v>1</v>
      </c>
      <c r="F108" s="110"/>
      <c r="G108" s="110"/>
      <c r="H108" s="110"/>
      <c r="I108" s="110"/>
      <c r="J108" s="37" t="s">
        <v>281</v>
      </c>
      <c r="K108" s="39">
        <f ca="1">I105</f>
        <v>16</v>
      </c>
    </row>
    <row r="109" spans="1:13" ht="21" customHeight="1" x14ac:dyDescent="0.35">
      <c r="A109" s="110" t="s">
        <v>297</v>
      </c>
      <c r="B109" s="110"/>
      <c r="C109" s="108">
        <v>18</v>
      </c>
      <c r="D109" s="108"/>
      <c r="E109" s="48">
        <f ca="1">((100/(F105+H105+I105))*C109)/100</f>
        <v>1</v>
      </c>
      <c r="F109" s="110"/>
      <c r="G109" s="110"/>
      <c r="H109" s="110"/>
      <c r="I109" s="110"/>
      <c r="J109" s="37" t="s">
        <v>282</v>
      </c>
      <c r="K109" s="40">
        <f ca="1">(IF(E105&gt;1,(I105/(E105+2)),I105/4))</f>
        <v>4</v>
      </c>
    </row>
    <row r="110" spans="1:13" ht="21" customHeight="1" x14ac:dyDescent="0.35">
      <c r="A110" s="110" t="s">
        <v>283</v>
      </c>
      <c r="B110" s="110"/>
      <c r="C110" s="108">
        <v>16</v>
      </c>
      <c r="D110" s="108"/>
      <c r="E110" s="48">
        <f ca="1">((100/I105)*C110)/100</f>
        <v>1</v>
      </c>
      <c r="F110" s="110"/>
      <c r="G110" s="110"/>
      <c r="H110" s="110"/>
      <c r="I110" s="110"/>
      <c r="J110" s="37" t="s">
        <v>284</v>
      </c>
      <c r="K110" s="40">
        <f ca="1">(IF(E105&gt;1,(I105/(E105+2)+K109),I105/4+K109))</f>
        <v>8</v>
      </c>
    </row>
    <row r="111" spans="1:13" ht="21" customHeight="1" x14ac:dyDescent="0.35">
      <c r="A111" s="112" t="s">
        <v>285</v>
      </c>
      <c r="B111" s="113"/>
      <c r="C111" s="111">
        <v>16</v>
      </c>
      <c r="D111" s="111"/>
      <c r="E111" s="48">
        <f ca="1">((100/I105)*C111)/100</f>
        <v>1</v>
      </c>
      <c r="F111" s="110"/>
      <c r="G111" s="110"/>
      <c r="H111" s="110"/>
      <c r="I111" s="110"/>
      <c r="J111" s="37" t="s">
        <v>286</v>
      </c>
      <c r="K111" s="40">
        <f ca="1">(IF(E105&gt;1,(I105/(E105+2)+K110),0))</f>
        <v>12</v>
      </c>
    </row>
    <row r="112" spans="1:13" ht="21" customHeight="1" x14ac:dyDescent="0.35">
      <c r="A112" s="112" t="s">
        <v>304</v>
      </c>
      <c r="B112" s="113"/>
      <c r="C112" s="111">
        <v>16</v>
      </c>
      <c r="D112" s="111"/>
      <c r="E112" s="48">
        <f ca="1">((100/I105)*C112)/100</f>
        <v>1</v>
      </c>
      <c r="F112" s="110"/>
      <c r="G112" s="110"/>
      <c r="H112" s="110"/>
      <c r="I112" s="110"/>
      <c r="J112" s="37" t="s">
        <v>287</v>
      </c>
      <c r="K112" s="40">
        <f>(IF(E105&gt;2,(I105/(E105+2)+K111),0))</f>
        <v>0</v>
      </c>
    </row>
    <row r="113" spans="1:13" ht="57.75" customHeight="1" x14ac:dyDescent="0.35">
      <c r="A113" s="112" t="s">
        <v>305</v>
      </c>
      <c r="B113" s="113"/>
      <c r="C113" s="108">
        <v>16</v>
      </c>
      <c r="D113" s="108"/>
      <c r="E113" s="48">
        <f ca="1">((100/(I105))*C113)/100</f>
        <v>1</v>
      </c>
      <c r="F113" s="110"/>
      <c r="G113" s="110"/>
      <c r="H113" s="110"/>
      <c r="I113" s="110"/>
      <c r="J113" s="37" t="s">
        <v>289</v>
      </c>
      <c r="K113" s="41">
        <f>(IF(E105&gt;3,(I105/(E105+2)+K112),0))</f>
        <v>0</v>
      </c>
    </row>
    <row r="114" spans="1:13" ht="21" x14ac:dyDescent="0.35">
      <c r="A114" s="110" t="s">
        <v>288</v>
      </c>
      <c r="B114" s="110"/>
      <c r="C114" s="108">
        <v>14</v>
      </c>
      <c r="D114" s="108"/>
      <c r="E114" s="48">
        <f ca="1">((100/(I105))*C114)/100</f>
        <v>0.875</v>
      </c>
      <c r="F114" s="110"/>
      <c r="G114" s="110"/>
      <c r="H114" s="110"/>
      <c r="I114" s="110"/>
      <c r="J114" s="37" t="s">
        <v>290</v>
      </c>
      <c r="K114" s="40">
        <f>(IF(E105&gt;4,(I105/(E105+2)+K113),0))</f>
        <v>0</v>
      </c>
    </row>
    <row r="115" spans="1:13" ht="21" customHeight="1" x14ac:dyDescent="0.35">
      <c r="A115" s="110" t="s">
        <v>306</v>
      </c>
      <c r="B115" s="110"/>
      <c r="C115" s="108">
        <v>13</v>
      </c>
      <c r="D115" s="108"/>
      <c r="E115" s="48">
        <f ca="1">((100/I105)*C115)/100</f>
        <v>0.8125</v>
      </c>
      <c r="F115" s="110"/>
      <c r="G115" s="110"/>
      <c r="H115" s="110"/>
      <c r="I115" s="110"/>
      <c r="J115" s="37" t="s">
        <v>292</v>
      </c>
      <c r="K115" s="40">
        <f>(IF(E105=1,(I105/(E105+3)+K110),IF(E105=0,(I105/4+K110),IF(E105&gt;1,0))))</f>
        <v>0</v>
      </c>
    </row>
    <row r="116" spans="1:13" ht="41.25" customHeight="1" thickBot="1" x14ac:dyDescent="0.4">
      <c r="A116" s="110" t="s">
        <v>307</v>
      </c>
      <c r="B116" s="110"/>
      <c r="C116" s="108">
        <v>10</v>
      </c>
      <c r="D116" s="108"/>
      <c r="E116" s="48">
        <f ca="1">((100/I105)*C116)/100</f>
        <v>0.625</v>
      </c>
      <c r="F116" s="110"/>
      <c r="G116" s="110"/>
      <c r="H116" s="110"/>
      <c r="I116" s="110"/>
      <c r="J116" s="42" t="s">
        <v>294</v>
      </c>
      <c r="K116" s="43">
        <f ca="1">(IF(E105&gt;1.5,(I105/(E105+2)+K109+MAX(0,K110-K109)+MAX(0,K111-K110)+MAX(0,K112-K111)+MAX(0,K113-K112)+MAX(0,K114-K113)),IF(E105=1,(I105/(E105+3)+K115),IF(E105=0,I105/4+K115))))</f>
        <v>16</v>
      </c>
      <c r="M116" s="12" t="e">
        <f>(IF(D104&gt;1.5,(H104/(D104+2)+J109+MAX(0,J110-J109)+MAX(0,J111-J110)+MAX(0,J112-J111)+MAX(0,J113-J112)+MAX(0,J114-J113)),IF(D104=1,(H104/(D104+3)+J114),IF(D104=0,H104*0.3+J114))))</f>
        <v>#VALUE!</v>
      </c>
    </row>
    <row r="117" spans="1:13" ht="20.25" x14ac:dyDescent="0.25">
      <c r="A117" s="110" t="s">
        <v>291</v>
      </c>
      <c r="B117" s="110"/>
      <c r="C117" s="108">
        <v>0</v>
      </c>
      <c r="D117" s="108"/>
      <c r="E117" s="48">
        <f ca="1">((100/(I105))*C117)/100</f>
        <v>0</v>
      </c>
      <c r="F117" s="110"/>
      <c r="G117" s="110"/>
      <c r="H117" s="110"/>
      <c r="I117" s="110"/>
    </row>
    <row r="118" spans="1:13" ht="20.25" x14ac:dyDescent="0.25">
      <c r="A118" s="110" t="s">
        <v>293</v>
      </c>
      <c r="B118" s="110"/>
      <c r="C118" s="108">
        <v>0</v>
      </c>
      <c r="D118" s="108"/>
      <c r="E118" s="48">
        <f ca="1">((100/(I105))*C118)/100</f>
        <v>0</v>
      </c>
      <c r="F118" s="110"/>
      <c r="G118" s="110"/>
      <c r="H118" s="110"/>
      <c r="I118" s="110"/>
    </row>
    <row r="119" spans="1:13" ht="21" thickBot="1" x14ac:dyDescent="0.3">
      <c r="A119" s="63" t="s">
        <v>72</v>
      </c>
      <c r="B119" s="63"/>
      <c r="C119" s="63"/>
      <c r="D119" s="63"/>
      <c r="E119" s="63"/>
      <c r="F119" s="63"/>
      <c r="G119" s="63"/>
      <c r="H119" s="63"/>
      <c r="I119" s="63"/>
    </row>
    <row r="120" spans="1:13" ht="20.25" customHeight="1" x14ac:dyDescent="0.3">
      <c r="A120" s="106" t="s">
        <v>302</v>
      </c>
      <c r="B120" s="106"/>
      <c r="C120" s="106"/>
      <c r="D120" s="107" t="s">
        <v>4</v>
      </c>
      <c r="E120" s="47" t="s">
        <v>268</v>
      </c>
      <c r="F120" s="108" t="s">
        <v>269</v>
      </c>
      <c r="G120" s="108"/>
      <c r="H120" s="47" t="s">
        <v>270</v>
      </c>
      <c r="I120" s="47" t="s">
        <v>271</v>
      </c>
      <c r="J120" s="33" t="str">
        <f ca="1">(IF(F123&gt;99%,"All work completed. Please provide OC.",IF(F123&gt;89.8%,"Plinth, RCC, Brick, Plaster, Flooring, Wooden, Plumbing, Electrification, etc., work Completed. Finishing work is in process.",IF(F123&lt;94%,(IF(C123=0,"Work not yet Started.",IF(E123=25%,"Piling work in process",IF(E123=50%,"Excavation work in process",IF(E123=100%,"Excavation work Completed. ","0")))&amp;(IF(C124=0%,"",IF(C124=K125,"Footing work is process",IF(C124=K126,"Footing work Completed",IF(C124=K127,"1st Basement Completed",IF(C124=K128,"1st &amp; 2nd Basement Completed",IF(C124=K129,"1st to 3rd Basement Completed",IF(C124=K130,"1st to 4th Basement Completed",IF(C124=K131,"Plinth work is process",IF(C124=K132,"Plinth work completed","0")))))))))))&amp;(IF(C125=(F121+H121+I121),", RCC Slab",IF(C125&gt;0,", RCC upto "&amp;C125&amp;" Slab",""))&amp;(IF(C126=I121,", Brickwork",IF(C126&gt;0,", Brickwork upto "&amp;C126&amp;" Floor",""))&amp;(IF(C127=I121,", Internal Plaster",IF(C127&gt;0,", Internal Plaster upto "&amp;C127&amp;" Floor",""))&amp;(IF(C128=I121,", External Plaster",IF(C128&gt;0,", External Plaster upto "&amp;C128&amp;" Floor",""))&amp;(IF(C129=I121,", External Plumbing, Elevation and Waterproofing",IF(C129&gt;0,", External Plumbing, Elevation and Waterproofing upto "&amp;C129&amp;" Floor",""))&amp;(IF(C130=I121,", Flooring &amp; Fitting",IF(C130&gt;0,", Flooring &amp; Fitting upto "&amp;C130&amp;" Floor",""))&amp;(IF(C131=I121,", Wooden Work",IF(C131&gt;0,", Wooden Work upto "&amp;C131&amp;" Floor",""))&amp;(IF(C132=I121,", Electrical &amp; Sanitary fittings",IF(C132&gt;0,", Electrical &amp; Sanitary fittings upto "&amp;C132&amp;" Floor",""))&amp;(IF(C133&gt;0,", Finishing upto "&amp;C133&amp;" Floor","")&amp;(IF(C125&gt;0.5," Completed",""))))))))))))))))</f>
        <v>Excavation work Completed. Plinth work completed, RCC upto 8 Slab, Brickwork upto 6 Floor, Internal Plaster upto 4.8 Floor, External Plaster upto 4.8 Floor Completed</v>
      </c>
      <c r="K120" s="34"/>
    </row>
    <row r="121" spans="1:13" ht="20.25" x14ac:dyDescent="0.3">
      <c r="A121" s="106"/>
      <c r="B121" s="106"/>
      <c r="C121" s="106"/>
      <c r="D121" s="107"/>
      <c r="E121" s="47">
        <v>2</v>
      </c>
      <c r="F121" s="108">
        <v>1</v>
      </c>
      <c r="G121" s="108"/>
      <c r="H121" s="47">
        <v>1</v>
      </c>
      <c r="I121" s="47">
        <f ca="1">--TRIM(RIGHT(SUBSTITUTE(LEFT(A120,_xlfn.AGGREGATE(16,6,FIND({0,1,2,3,4,5,6,7,8,9},A120,ROW(INDIRECT("1:"&amp;LEN(A120)))),1))," ",REPT(" ",LEN(A120))),LEN(A120)))</f>
        <v>7</v>
      </c>
      <c r="J121" s="35" t="s">
        <v>272</v>
      </c>
      <c r="K121" s="34"/>
    </row>
    <row r="122" spans="1:13" ht="20.25" customHeight="1" x14ac:dyDescent="0.3">
      <c r="A122" s="109" t="s">
        <v>273</v>
      </c>
      <c r="B122" s="109"/>
      <c r="C122" s="109" t="s">
        <v>274</v>
      </c>
      <c r="D122" s="109"/>
      <c r="E122" s="49" t="s">
        <v>275</v>
      </c>
      <c r="F122" s="109" t="s">
        <v>276</v>
      </c>
      <c r="G122" s="109"/>
      <c r="H122" s="36" t="s">
        <v>277</v>
      </c>
      <c r="I122" s="36"/>
      <c r="J122" s="37" t="s">
        <v>278</v>
      </c>
      <c r="K122" s="38">
        <f ca="1">I121*25%</f>
        <v>1.75</v>
      </c>
    </row>
    <row r="123" spans="1:13" ht="20.25" customHeight="1" x14ac:dyDescent="0.3">
      <c r="A123" s="110" t="s">
        <v>279</v>
      </c>
      <c r="B123" s="110"/>
      <c r="C123" s="108">
        <f ca="1">K124</f>
        <v>7</v>
      </c>
      <c r="D123" s="108"/>
      <c r="E123" s="48">
        <f ca="1">((100/I121)*C123)/100</f>
        <v>1</v>
      </c>
      <c r="F123" s="110">
        <f ca="1">(((C123/I121*5)+(C124/I121*20)+(25/(F121+H121+I121)*C125)+(5/(I121)*C126)+(2.5/(I121)*C127)+(2.5/(I121)*C128)+(5/I121*C129)+(10/I121*C130)+(2.5/I121*C131)+(2.5/I121*C132)+(10/I121*C133)+(10/I121*C134))/100)</f>
        <v>0.54936507936507939</v>
      </c>
      <c r="G123" s="110"/>
      <c r="H123" s="110" t="str">
        <f ca="1">J120</f>
        <v>Excavation work Completed. Plinth work completed, RCC upto 8 Slab, Brickwork upto 6 Floor, Internal Plaster upto 4.8 Floor, External Plaster upto 4.8 Floor Completed</v>
      </c>
      <c r="I123" s="110"/>
      <c r="J123" s="37" t="s">
        <v>280</v>
      </c>
      <c r="K123" s="39">
        <f ca="1">I121*50%</f>
        <v>3.5</v>
      </c>
    </row>
    <row r="124" spans="1:13" ht="20.25" x14ac:dyDescent="0.3">
      <c r="A124" s="110" t="s">
        <v>132</v>
      </c>
      <c r="B124" s="110"/>
      <c r="C124" s="111">
        <v>7</v>
      </c>
      <c r="D124" s="108"/>
      <c r="E124" s="48">
        <f ca="1">((100/I121)*C124)/100</f>
        <v>1</v>
      </c>
      <c r="F124" s="110"/>
      <c r="G124" s="110"/>
      <c r="H124" s="110"/>
      <c r="I124" s="110"/>
      <c r="J124" s="37" t="s">
        <v>281</v>
      </c>
      <c r="K124" s="39">
        <f ca="1">I121</f>
        <v>7</v>
      </c>
    </row>
    <row r="125" spans="1:13" ht="21" customHeight="1" x14ac:dyDescent="0.35">
      <c r="A125" s="110" t="s">
        <v>297</v>
      </c>
      <c r="B125" s="110"/>
      <c r="C125" s="108">
        <f>F121+H121+6</f>
        <v>8</v>
      </c>
      <c r="D125" s="108"/>
      <c r="E125" s="48">
        <f ca="1">((100/(F121+H121+I121))*C125)/100</f>
        <v>0.88888888888888884</v>
      </c>
      <c r="F125" s="110"/>
      <c r="G125" s="110"/>
      <c r="H125" s="110"/>
      <c r="I125" s="110"/>
      <c r="J125" s="37" t="s">
        <v>282</v>
      </c>
      <c r="K125" s="40">
        <f ca="1">(IF(E121&gt;1,(I121/(E121+2)),I121/4))</f>
        <v>1.75</v>
      </c>
    </row>
    <row r="126" spans="1:13" ht="21" customHeight="1" x14ac:dyDescent="0.35">
      <c r="A126" s="110" t="s">
        <v>283</v>
      </c>
      <c r="B126" s="110"/>
      <c r="C126" s="108">
        <f>C125-F121-H121</f>
        <v>6</v>
      </c>
      <c r="D126" s="108"/>
      <c r="E126" s="48">
        <f ca="1">((100/I121)*C126)/100</f>
        <v>0.85714285714285721</v>
      </c>
      <c r="F126" s="110"/>
      <c r="G126" s="110"/>
      <c r="H126" s="110"/>
      <c r="I126" s="110"/>
      <c r="J126" s="37" t="s">
        <v>284</v>
      </c>
      <c r="K126" s="40">
        <f ca="1">(IF(E121&gt;1,(I121/(E121+2)+K125),I121/4+K125))</f>
        <v>3.5</v>
      </c>
    </row>
    <row r="127" spans="1:13" ht="21" customHeight="1" x14ac:dyDescent="0.35">
      <c r="A127" s="112" t="s">
        <v>285</v>
      </c>
      <c r="B127" s="113"/>
      <c r="C127" s="111">
        <f>C126*0.8</f>
        <v>4.8000000000000007</v>
      </c>
      <c r="D127" s="111"/>
      <c r="E127" s="48">
        <f ca="1">((100/I121)*C127)/100</f>
        <v>0.68571428571428583</v>
      </c>
      <c r="F127" s="110"/>
      <c r="G127" s="110"/>
      <c r="H127" s="110"/>
      <c r="I127" s="110"/>
      <c r="J127" s="37" t="s">
        <v>286</v>
      </c>
      <c r="K127" s="40">
        <f ca="1">(IF(E121&gt;1,(I121/(E121+2)+K126),0))</f>
        <v>5.25</v>
      </c>
    </row>
    <row r="128" spans="1:13" ht="21" customHeight="1" x14ac:dyDescent="0.35">
      <c r="A128" s="112" t="s">
        <v>304</v>
      </c>
      <c r="B128" s="113"/>
      <c r="C128" s="111">
        <f>C127</f>
        <v>4.8000000000000007</v>
      </c>
      <c r="D128" s="111"/>
      <c r="E128" s="48">
        <f ca="1">((100/I121)*C128)/100</f>
        <v>0.68571428571428583</v>
      </c>
      <c r="F128" s="110"/>
      <c r="G128" s="110"/>
      <c r="H128" s="110"/>
      <c r="I128" s="110"/>
      <c r="J128" s="37" t="s">
        <v>287</v>
      </c>
      <c r="K128" s="40">
        <f>(IF(E121&gt;2,(I121/(E121+2)+K127),0))</f>
        <v>0</v>
      </c>
    </row>
    <row r="129" spans="1:13" ht="57.75" customHeight="1" x14ac:dyDescent="0.35">
      <c r="A129" s="112" t="s">
        <v>305</v>
      </c>
      <c r="B129" s="113"/>
      <c r="C129" s="108">
        <v>0</v>
      </c>
      <c r="D129" s="108"/>
      <c r="E129" s="48">
        <f ca="1">((100/(I121))*C129)/100</f>
        <v>0</v>
      </c>
      <c r="F129" s="110"/>
      <c r="G129" s="110"/>
      <c r="H129" s="110"/>
      <c r="I129" s="110"/>
      <c r="J129" s="37" t="s">
        <v>289</v>
      </c>
      <c r="K129" s="41">
        <f>(IF(E121&gt;3,(I121/(E121+2)+K128),0))</f>
        <v>0</v>
      </c>
    </row>
    <row r="130" spans="1:13" ht="21" x14ac:dyDescent="0.35">
      <c r="A130" s="110" t="s">
        <v>288</v>
      </c>
      <c r="B130" s="110"/>
      <c r="C130" s="108">
        <v>0</v>
      </c>
      <c r="D130" s="108"/>
      <c r="E130" s="48">
        <f ca="1">((100/(I121))*C130)/100</f>
        <v>0</v>
      </c>
      <c r="F130" s="110"/>
      <c r="G130" s="110"/>
      <c r="H130" s="110"/>
      <c r="I130" s="110"/>
      <c r="J130" s="37" t="s">
        <v>290</v>
      </c>
      <c r="K130" s="40">
        <f>(IF(E121&gt;4,(I121/(E121+2)+K129),0))</f>
        <v>0</v>
      </c>
    </row>
    <row r="131" spans="1:13" ht="21" customHeight="1" x14ac:dyDescent="0.35">
      <c r="A131" s="110" t="s">
        <v>306</v>
      </c>
      <c r="B131" s="110"/>
      <c r="C131" s="108">
        <v>0</v>
      </c>
      <c r="D131" s="108"/>
      <c r="E131" s="48">
        <f ca="1">((100/I121)*C131)/100</f>
        <v>0</v>
      </c>
      <c r="F131" s="110"/>
      <c r="G131" s="110"/>
      <c r="H131" s="110"/>
      <c r="I131" s="110"/>
      <c r="J131" s="37" t="s">
        <v>292</v>
      </c>
      <c r="K131" s="40">
        <f>(IF(E121=1,(I121/(E121+3)+K126),IF(E121=0,(I121/4+K126),IF(E121&gt;1,0))))</f>
        <v>0</v>
      </c>
    </row>
    <row r="132" spans="1:13" ht="41.25" customHeight="1" thickBot="1" x14ac:dyDescent="0.4">
      <c r="A132" s="110" t="s">
        <v>307</v>
      </c>
      <c r="B132" s="110"/>
      <c r="C132" s="108">
        <v>0</v>
      </c>
      <c r="D132" s="108"/>
      <c r="E132" s="48">
        <f ca="1">((100/I121)*C132)/100</f>
        <v>0</v>
      </c>
      <c r="F132" s="110"/>
      <c r="G132" s="110"/>
      <c r="H132" s="110"/>
      <c r="I132" s="110"/>
      <c r="J132" s="42" t="s">
        <v>294</v>
      </c>
      <c r="K132" s="43">
        <f ca="1">(IF(E121&gt;1.5,(I121/(E121+2)+K125+MAX(0,K126-K125)+MAX(0,K127-K126)+MAX(0,K128-K127)+MAX(0,K129-K128)+MAX(0,K130-K129)),IF(E121=1,(I121/(E121+3)+K131),IF(E121=0,I121/4+K131))))</f>
        <v>7</v>
      </c>
      <c r="M132" s="12" t="e">
        <f>(IF(D120&gt;1.5,(H120/(D120+2)+J125+MAX(0,J126-J125)+MAX(0,J127-J126)+MAX(0,J128-J127)+MAX(0,J129-J128)+MAX(0,J130-J129)),IF(D120=1,(H120/(D120+3)+J130),IF(D120=0,H120*0.3+J130))))</f>
        <v>#VALUE!</v>
      </c>
    </row>
    <row r="133" spans="1:13" ht="20.25" x14ac:dyDescent="0.25">
      <c r="A133" s="110" t="s">
        <v>291</v>
      </c>
      <c r="B133" s="110"/>
      <c r="C133" s="108">
        <v>0</v>
      </c>
      <c r="D133" s="108"/>
      <c r="E133" s="48">
        <f ca="1">((100/(I121))*C133)/100</f>
        <v>0</v>
      </c>
      <c r="F133" s="110"/>
      <c r="G133" s="110"/>
      <c r="H133" s="110"/>
      <c r="I133" s="110"/>
    </row>
    <row r="134" spans="1:13" ht="20.25" x14ac:dyDescent="0.25">
      <c r="A134" s="110" t="s">
        <v>293</v>
      </c>
      <c r="B134" s="110"/>
      <c r="C134" s="108">
        <v>0</v>
      </c>
      <c r="D134" s="108"/>
      <c r="E134" s="48">
        <f ca="1">((100/(I121))*C134)/100</f>
        <v>0</v>
      </c>
      <c r="F134" s="110"/>
      <c r="G134" s="110"/>
      <c r="H134" s="110"/>
      <c r="I134" s="110"/>
    </row>
    <row r="135" spans="1:13" ht="36.75" customHeight="1" x14ac:dyDescent="0.3">
      <c r="A135" s="102" t="s">
        <v>298</v>
      </c>
      <c r="B135" s="103"/>
      <c r="C135" s="103"/>
      <c r="D135" s="103"/>
      <c r="E135" s="103"/>
      <c r="F135" s="103"/>
      <c r="G135" s="103"/>
      <c r="H135" s="104">
        <f ca="1">AVERAGE(F123,F59,F75,F91,F107)</f>
        <v>0.54171531463462574</v>
      </c>
      <c r="I135" s="105"/>
      <c r="J135" s="37"/>
      <c r="K135" s="44"/>
      <c r="L135" s="44"/>
    </row>
    <row r="136" spans="1:13" ht="20.25" x14ac:dyDescent="0.25">
      <c r="A136" s="63" t="s">
        <v>166</v>
      </c>
      <c r="B136" s="63"/>
      <c r="C136" s="63"/>
      <c r="D136" s="63"/>
      <c r="E136" s="63"/>
      <c r="F136" s="63"/>
      <c r="G136" s="63"/>
      <c r="H136" s="63"/>
      <c r="I136" s="63"/>
    </row>
    <row r="137" spans="1:13" ht="40.5" x14ac:dyDescent="0.25">
      <c r="A137" s="60" t="s">
        <v>75</v>
      </c>
      <c r="B137" s="60"/>
      <c r="C137" s="60"/>
      <c r="D137" s="14" t="s">
        <v>4</v>
      </c>
      <c r="E137" s="14" t="s">
        <v>222</v>
      </c>
      <c r="F137" s="26" t="s">
        <v>76</v>
      </c>
      <c r="G137" s="14" t="s">
        <v>4</v>
      </c>
      <c r="H137" s="67" t="s">
        <v>223</v>
      </c>
      <c r="I137" s="67"/>
    </row>
    <row r="138" spans="1:13" ht="40.5" x14ac:dyDescent="0.25">
      <c r="A138" s="60" t="s">
        <v>315</v>
      </c>
      <c r="B138" s="60"/>
      <c r="C138" s="60"/>
      <c r="D138" s="11" t="s">
        <v>4</v>
      </c>
      <c r="E138" s="20" t="s">
        <v>258</v>
      </c>
      <c r="F138" s="26" t="s">
        <v>249</v>
      </c>
      <c r="G138" s="11" t="s">
        <v>4</v>
      </c>
      <c r="H138" s="61" t="s">
        <v>97</v>
      </c>
      <c r="I138" s="61"/>
    </row>
    <row r="139" spans="1:13" ht="40.5" x14ac:dyDescent="0.25">
      <c r="A139" s="60" t="s">
        <v>316</v>
      </c>
      <c r="B139" s="60"/>
      <c r="C139" s="60"/>
      <c r="D139" s="11" t="s">
        <v>4</v>
      </c>
      <c r="E139" s="45" t="s">
        <v>317</v>
      </c>
      <c r="F139" s="46" t="s">
        <v>249</v>
      </c>
      <c r="G139" s="11" t="s">
        <v>4</v>
      </c>
      <c r="H139" s="61" t="s">
        <v>97</v>
      </c>
      <c r="I139" s="61"/>
    </row>
    <row r="140" spans="1:13" ht="21.75" customHeight="1" x14ac:dyDescent="0.25">
      <c r="A140" s="68" t="s">
        <v>77</v>
      </c>
      <c r="B140" s="69"/>
      <c r="C140" s="70"/>
      <c r="D140" s="14" t="s">
        <v>4</v>
      </c>
      <c r="E140" s="20" t="s">
        <v>224</v>
      </c>
      <c r="F140" s="14" t="s">
        <v>78</v>
      </c>
      <c r="G140" s="14" t="s">
        <v>4</v>
      </c>
      <c r="H140" s="61" t="s">
        <v>167</v>
      </c>
      <c r="I140" s="61"/>
    </row>
    <row r="141" spans="1:13" ht="20.25" x14ac:dyDescent="0.25">
      <c r="A141" s="63" t="s">
        <v>168</v>
      </c>
      <c r="B141" s="63"/>
      <c r="C141" s="63"/>
      <c r="D141" s="63"/>
      <c r="E141" s="63"/>
      <c r="F141" s="63"/>
      <c r="G141" s="63"/>
      <c r="H141" s="63"/>
      <c r="I141" s="63"/>
    </row>
    <row r="142" spans="1:13" ht="20.25" x14ac:dyDescent="0.25">
      <c r="A142" s="60" t="s">
        <v>9</v>
      </c>
      <c r="B142" s="60"/>
      <c r="C142" s="60"/>
      <c r="D142" s="60"/>
      <c r="E142" s="60"/>
      <c r="F142" s="60"/>
      <c r="G142" s="11" t="s">
        <v>4</v>
      </c>
      <c r="H142" s="64">
        <v>10643</v>
      </c>
      <c r="I142" s="64"/>
    </row>
    <row r="143" spans="1:13" ht="20.25" x14ac:dyDescent="0.25">
      <c r="A143" s="60" t="s">
        <v>32</v>
      </c>
      <c r="B143" s="60"/>
      <c r="C143" s="60"/>
      <c r="D143" s="60"/>
      <c r="E143" s="60"/>
      <c r="F143" s="60"/>
      <c r="G143" s="11" t="s">
        <v>4</v>
      </c>
      <c r="H143" s="64">
        <v>17946.849999999999</v>
      </c>
      <c r="I143" s="64"/>
    </row>
    <row r="144" spans="1:13" ht="20.25" x14ac:dyDescent="0.25">
      <c r="A144" s="60" t="s">
        <v>169</v>
      </c>
      <c r="B144" s="60"/>
      <c r="C144" s="60"/>
      <c r="D144" s="60"/>
      <c r="E144" s="60"/>
      <c r="F144" s="60"/>
      <c r="G144" s="11" t="s">
        <v>4</v>
      </c>
      <c r="H144" s="64">
        <f>H143*0.8</f>
        <v>14357.48</v>
      </c>
      <c r="I144" s="64"/>
    </row>
    <row r="145" spans="1:13" ht="20.25" x14ac:dyDescent="0.25">
      <c r="A145" s="72" t="s">
        <v>82</v>
      </c>
      <c r="B145" s="72"/>
      <c r="C145" s="72"/>
      <c r="D145" s="72"/>
      <c r="E145" s="72"/>
      <c r="F145" s="72"/>
      <c r="G145" s="72"/>
      <c r="H145" s="72"/>
      <c r="I145" s="72"/>
    </row>
    <row r="146" spans="1:13" ht="66.75" customHeight="1" x14ac:dyDescent="0.25">
      <c r="A146" s="73" t="s">
        <v>170</v>
      </c>
      <c r="B146" s="73"/>
      <c r="C146" s="73" t="s">
        <v>137</v>
      </c>
      <c r="D146" s="73"/>
      <c r="E146" s="22" t="s">
        <v>138</v>
      </c>
      <c r="F146" s="73" t="s">
        <v>139</v>
      </c>
      <c r="G146" s="73"/>
      <c r="H146" s="22" t="s">
        <v>140</v>
      </c>
      <c r="I146" s="22" t="s">
        <v>186</v>
      </c>
    </row>
    <row r="147" spans="1:13" s="18" customFormat="1" ht="21" x14ac:dyDescent="0.25">
      <c r="A147" s="74" t="s">
        <v>251</v>
      </c>
      <c r="B147" s="74"/>
      <c r="C147" s="74"/>
      <c r="D147" s="74"/>
      <c r="E147" s="74"/>
      <c r="F147" s="74"/>
      <c r="G147" s="74"/>
      <c r="H147" s="74"/>
      <c r="I147" s="74"/>
    </row>
    <row r="148" spans="1:13" s="18" customFormat="1" ht="21" x14ac:dyDescent="0.25">
      <c r="A148" s="74" t="s">
        <v>183</v>
      </c>
      <c r="B148" s="74"/>
      <c r="C148" s="74"/>
      <c r="D148" s="74"/>
      <c r="E148" s="74"/>
      <c r="F148" s="74"/>
      <c r="G148" s="74"/>
      <c r="H148" s="74"/>
      <c r="I148" s="74"/>
    </row>
    <row r="149" spans="1:13" s="18" customFormat="1" ht="21" x14ac:dyDescent="0.25">
      <c r="A149" s="74" t="s">
        <v>143</v>
      </c>
      <c r="B149" s="74"/>
      <c r="C149" s="74"/>
      <c r="D149" s="74"/>
      <c r="E149" s="74"/>
      <c r="F149" s="74"/>
      <c r="G149" s="74"/>
      <c r="H149" s="74"/>
      <c r="I149" s="74"/>
    </row>
    <row r="150" spans="1:13" s="18" customFormat="1" ht="21" x14ac:dyDescent="0.25">
      <c r="A150" s="74" t="s">
        <v>184</v>
      </c>
      <c r="B150" s="74"/>
      <c r="C150" s="74"/>
      <c r="D150" s="74"/>
      <c r="E150" s="74"/>
      <c r="F150" s="74"/>
      <c r="G150" s="74"/>
      <c r="H150" s="74"/>
      <c r="I150" s="74"/>
    </row>
    <row r="151" spans="1:13" s="18" customFormat="1" ht="21" customHeight="1" x14ac:dyDescent="0.25">
      <c r="A151" s="71" t="str">
        <f>A150</f>
        <v>1st Podium Floor for Residential</v>
      </c>
      <c r="B151" s="71"/>
      <c r="C151" s="66">
        <v>1</v>
      </c>
      <c r="D151" s="66"/>
      <c r="E151" s="29" t="s">
        <v>185</v>
      </c>
      <c r="F151" s="65">
        <f>92.17*10.764</f>
        <v>992.11788000000001</v>
      </c>
      <c r="G151" s="65"/>
      <c r="H151" s="29">
        <v>0</v>
      </c>
      <c r="I151" s="30">
        <f>F151*1.6+H151</f>
        <v>1587.3886080000002</v>
      </c>
      <c r="M151" s="28">
        <v>5</v>
      </c>
    </row>
    <row r="152" spans="1:13" s="18" customFormat="1" ht="21" x14ac:dyDescent="0.25">
      <c r="A152" s="71"/>
      <c r="B152" s="71"/>
      <c r="C152" s="66">
        <v>2</v>
      </c>
      <c r="D152" s="66"/>
      <c r="E152" s="29" t="s">
        <v>185</v>
      </c>
      <c r="F152" s="65">
        <f>88.43*10.764</f>
        <v>951.86052000000007</v>
      </c>
      <c r="G152" s="65"/>
      <c r="H152" s="29">
        <v>0</v>
      </c>
      <c r="I152" s="30">
        <f>F152*1.6+H152</f>
        <v>1522.9768320000003</v>
      </c>
    </row>
    <row r="153" spans="1:13" s="18" customFormat="1" ht="21" x14ac:dyDescent="0.25">
      <c r="A153" s="71"/>
      <c r="B153" s="71"/>
      <c r="C153" s="66">
        <v>3</v>
      </c>
      <c r="D153" s="66"/>
      <c r="E153" s="29" t="s">
        <v>185</v>
      </c>
      <c r="F153" s="65">
        <f>88.21*10.764</f>
        <v>949.49243999999987</v>
      </c>
      <c r="G153" s="65"/>
      <c r="H153" s="29">
        <v>0</v>
      </c>
      <c r="I153" s="30">
        <f>F153*1.6+H153</f>
        <v>1519.1879039999999</v>
      </c>
    </row>
    <row r="154" spans="1:13" s="18" customFormat="1" ht="21" x14ac:dyDescent="0.25">
      <c r="A154" s="74" t="s">
        <v>252</v>
      </c>
      <c r="B154" s="74"/>
      <c r="C154" s="74"/>
      <c r="D154" s="74"/>
      <c r="E154" s="74"/>
      <c r="F154" s="74"/>
      <c r="G154" s="74"/>
      <c r="H154" s="74"/>
      <c r="I154" s="74"/>
    </row>
    <row r="155" spans="1:13" s="18" customFormat="1" ht="21" customHeight="1" x14ac:dyDescent="0.25">
      <c r="A155" s="71" t="str">
        <f>A154</f>
        <v>1st to 5th, 7th to 11th, 14th to 16th Floor</v>
      </c>
      <c r="B155" s="71"/>
      <c r="C155" s="66" t="s">
        <v>265</v>
      </c>
      <c r="D155" s="66"/>
      <c r="E155" s="29" t="s">
        <v>185</v>
      </c>
      <c r="F155" s="65">
        <f>92.17*10.764</f>
        <v>992.11788000000001</v>
      </c>
      <c r="G155" s="65"/>
      <c r="H155" s="29">
        <v>0</v>
      </c>
      <c r="I155" s="30">
        <f>F155*1.6+H155</f>
        <v>1587.3886080000002</v>
      </c>
    </row>
    <row r="156" spans="1:13" s="18" customFormat="1" ht="21" customHeight="1" x14ac:dyDescent="0.25">
      <c r="A156" s="71"/>
      <c r="B156" s="71"/>
      <c r="C156" s="66" t="s">
        <v>266</v>
      </c>
      <c r="D156" s="66"/>
      <c r="E156" s="29" t="s">
        <v>185</v>
      </c>
      <c r="F156" s="65">
        <f>88.43*10.764</f>
        <v>951.86052000000007</v>
      </c>
      <c r="G156" s="65"/>
      <c r="H156" s="29">
        <v>0</v>
      </c>
      <c r="I156" s="30">
        <f>F156*1.6+H156</f>
        <v>1522.9768320000003</v>
      </c>
    </row>
    <row r="157" spans="1:13" s="18" customFormat="1" ht="21" customHeight="1" x14ac:dyDescent="0.25">
      <c r="A157" s="71"/>
      <c r="B157" s="71"/>
      <c r="C157" s="66" t="s">
        <v>267</v>
      </c>
      <c r="D157" s="66"/>
      <c r="E157" s="29" t="s">
        <v>185</v>
      </c>
      <c r="F157" s="65">
        <f>90.79*10.764</f>
        <v>977.26355999999998</v>
      </c>
      <c r="G157" s="65"/>
      <c r="H157" s="29">
        <v>0</v>
      </c>
      <c r="I157" s="30">
        <f>F157*1.6+H157</f>
        <v>1563.6216960000002</v>
      </c>
    </row>
    <row r="158" spans="1:13" s="18" customFormat="1" ht="21" x14ac:dyDescent="0.25">
      <c r="A158" s="74" t="s">
        <v>206</v>
      </c>
      <c r="B158" s="74"/>
      <c r="C158" s="74"/>
      <c r="D158" s="74"/>
      <c r="E158" s="74"/>
      <c r="F158" s="74"/>
      <c r="G158" s="74"/>
      <c r="H158" s="74"/>
      <c r="I158" s="74"/>
    </row>
    <row r="159" spans="1:13" s="18" customFormat="1" ht="21" customHeight="1" x14ac:dyDescent="0.25">
      <c r="A159" s="71" t="str">
        <f>A158</f>
        <v>6th Floor (Part Refuge Area)</v>
      </c>
      <c r="B159" s="71"/>
      <c r="C159" s="66">
        <v>601</v>
      </c>
      <c r="D159" s="66"/>
      <c r="E159" s="29" t="s">
        <v>185</v>
      </c>
      <c r="F159" s="65">
        <f>92.17*10.764</f>
        <v>992.11788000000001</v>
      </c>
      <c r="G159" s="65"/>
      <c r="H159" s="29">
        <v>0</v>
      </c>
      <c r="I159" s="30">
        <f>F159*1.6+H159</f>
        <v>1587.3886080000002</v>
      </c>
    </row>
    <row r="160" spans="1:13" s="18" customFormat="1" ht="21" x14ac:dyDescent="0.25">
      <c r="A160" s="71"/>
      <c r="B160" s="71"/>
      <c r="C160" s="66">
        <v>602</v>
      </c>
      <c r="D160" s="66"/>
      <c r="E160" s="29" t="s">
        <v>185</v>
      </c>
      <c r="F160" s="65">
        <f>88.43*10.764</f>
        <v>951.86052000000007</v>
      </c>
      <c r="G160" s="65"/>
      <c r="H160" s="29">
        <v>0</v>
      </c>
      <c r="I160" s="30">
        <f>F160*1.6+H160</f>
        <v>1522.9768320000003</v>
      </c>
    </row>
    <row r="161" spans="1:9" s="18" customFormat="1" ht="21" x14ac:dyDescent="0.25">
      <c r="A161" s="71"/>
      <c r="B161" s="71"/>
      <c r="C161" s="66">
        <v>603</v>
      </c>
      <c r="D161" s="66"/>
      <c r="E161" s="66" t="s">
        <v>207</v>
      </c>
      <c r="F161" s="66"/>
      <c r="G161" s="66"/>
      <c r="H161" s="66"/>
      <c r="I161" s="66"/>
    </row>
    <row r="162" spans="1:9" s="18" customFormat="1" ht="21" x14ac:dyDescent="0.25">
      <c r="A162" s="74" t="s">
        <v>253</v>
      </c>
      <c r="B162" s="74"/>
      <c r="C162" s="74"/>
      <c r="D162" s="74"/>
      <c r="E162" s="74"/>
      <c r="F162" s="74"/>
      <c r="G162" s="74"/>
      <c r="H162" s="74"/>
      <c r="I162" s="74"/>
    </row>
    <row r="163" spans="1:9" s="18" customFormat="1" ht="21" customHeight="1" x14ac:dyDescent="0.25">
      <c r="A163" s="71" t="s">
        <v>262</v>
      </c>
      <c r="B163" s="71"/>
      <c r="C163" s="66">
        <v>1201</v>
      </c>
      <c r="D163" s="66"/>
      <c r="E163" s="29" t="s">
        <v>185</v>
      </c>
      <c r="F163" s="65">
        <f>92.17*10.764</f>
        <v>992.11788000000001</v>
      </c>
      <c r="G163" s="65"/>
      <c r="H163" s="29">
        <v>0</v>
      </c>
      <c r="I163" s="30">
        <f>F163*1.6+H163</f>
        <v>1587.3886080000002</v>
      </c>
    </row>
    <row r="164" spans="1:9" s="18" customFormat="1" ht="21" x14ac:dyDescent="0.25">
      <c r="A164" s="71"/>
      <c r="B164" s="71"/>
      <c r="C164" s="66">
        <v>1202</v>
      </c>
      <c r="D164" s="66"/>
      <c r="E164" s="29" t="s">
        <v>185</v>
      </c>
      <c r="F164" s="65">
        <f>88.43*10.764</f>
        <v>951.86052000000007</v>
      </c>
      <c r="G164" s="65"/>
      <c r="H164" s="29">
        <v>0</v>
      </c>
      <c r="I164" s="30">
        <f>F164*1.6+H164</f>
        <v>1522.9768320000003</v>
      </c>
    </row>
    <row r="165" spans="1:9" s="18" customFormat="1" ht="42.75" customHeight="1" x14ac:dyDescent="0.25">
      <c r="A165" s="71" t="s">
        <v>261</v>
      </c>
      <c r="B165" s="71"/>
      <c r="C165" s="66">
        <v>1203</v>
      </c>
      <c r="D165" s="66"/>
      <c r="E165" s="31" t="s">
        <v>260</v>
      </c>
      <c r="F165" s="65">
        <f>127.03*10.764</f>
        <v>1367.3509199999999</v>
      </c>
      <c r="G165" s="65"/>
      <c r="H165" s="29">
        <v>0</v>
      </c>
      <c r="I165" s="30">
        <f>F165*1.6+H165</f>
        <v>2187.7614719999997</v>
      </c>
    </row>
    <row r="166" spans="1:9" s="18" customFormat="1" ht="21" x14ac:dyDescent="0.25">
      <c r="A166" s="74" t="s">
        <v>208</v>
      </c>
      <c r="B166" s="74"/>
      <c r="C166" s="74"/>
      <c r="D166" s="74"/>
      <c r="E166" s="74"/>
      <c r="F166" s="74"/>
      <c r="G166" s="74"/>
      <c r="H166" s="74"/>
      <c r="I166" s="74"/>
    </row>
    <row r="167" spans="1:9" s="18" customFormat="1" ht="21" customHeight="1" x14ac:dyDescent="0.25">
      <c r="A167" s="71" t="str">
        <f>A166</f>
        <v>13th Floor (Part Refuge Area)</v>
      </c>
      <c r="B167" s="71"/>
      <c r="C167" s="66">
        <v>1301</v>
      </c>
      <c r="D167" s="66"/>
      <c r="E167" s="29" t="s">
        <v>185</v>
      </c>
      <c r="F167" s="65">
        <f>92.17*10.764</f>
        <v>992.11788000000001</v>
      </c>
      <c r="G167" s="65"/>
      <c r="H167" s="29">
        <v>0</v>
      </c>
      <c r="I167" s="30">
        <f>F167*1.6+H167</f>
        <v>1587.3886080000002</v>
      </c>
    </row>
    <row r="168" spans="1:9" s="18" customFormat="1" ht="21" x14ac:dyDescent="0.25">
      <c r="A168" s="71"/>
      <c r="B168" s="71"/>
      <c r="C168" s="66">
        <v>1302</v>
      </c>
      <c r="D168" s="66"/>
      <c r="E168" s="29" t="s">
        <v>185</v>
      </c>
      <c r="F168" s="65">
        <f>88.43*10.764</f>
        <v>951.86052000000007</v>
      </c>
      <c r="G168" s="65"/>
      <c r="H168" s="29">
        <v>0</v>
      </c>
      <c r="I168" s="30">
        <f>F168*1.6+H168</f>
        <v>1522.9768320000003</v>
      </c>
    </row>
    <row r="169" spans="1:9" s="18" customFormat="1" ht="21" x14ac:dyDescent="0.25">
      <c r="A169" s="71"/>
      <c r="B169" s="71"/>
      <c r="C169" s="66">
        <v>1303</v>
      </c>
      <c r="D169" s="66"/>
      <c r="E169" s="66" t="s">
        <v>207</v>
      </c>
      <c r="F169" s="66"/>
      <c r="G169" s="66"/>
      <c r="H169" s="66"/>
      <c r="I169" s="66"/>
    </row>
    <row r="170" spans="1:9" s="18" customFormat="1" ht="21" x14ac:dyDescent="0.25">
      <c r="A170" s="74" t="s">
        <v>182</v>
      </c>
      <c r="B170" s="74"/>
      <c r="C170" s="74"/>
      <c r="D170" s="74"/>
      <c r="E170" s="74"/>
      <c r="F170" s="74"/>
      <c r="G170" s="74"/>
      <c r="H170" s="74"/>
      <c r="I170" s="74"/>
    </row>
    <row r="171" spans="1:9" s="18" customFormat="1" ht="21" x14ac:dyDescent="0.25">
      <c r="A171" s="74" t="s">
        <v>183</v>
      </c>
      <c r="B171" s="74"/>
      <c r="C171" s="74"/>
      <c r="D171" s="74"/>
      <c r="E171" s="74"/>
      <c r="F171" s="74"/>
      <c r="G171" s="74"/>
      <c r="H171" s="74"/>
      <c r="I171" s="74"/>
    </row>
    <row r="172" spans="1:9" s="18" customFormat="1" ht="21" x14ac:dyDescent="0.25">
      <c r="A172" s="74" t="s">
        <v>143</v>
      </c>
      <c r="B172" s="74"/>
      <c r="C172" s="74"/>
      <c r="D172" s="74"/>
      <c r="E172" s="74"/>
      <c r="F172" s="74"/>
      <c r="G172" s="74"/>
      <c r="H172" s="74"/>
      <c r="I172" s="74"/>
    </row>
    <row r="173" spans="1:9" s="18" customFormat="1" ht="21" x14ac:dyDescent="0.25">
      <c r="A173" s="74" t="s">
        <v>184</v>
      </c>
      <c r="B173" s="74"/>
      <c r="C173" s="74"/>
      <c r="D173" s="74"/>
      <c r="E173" s="74"/>
      <c r="F173" s="74"/>
      <c r="G173" s="74"/>
      <c r="H173" s="74"/>
      <c r="I173" s="74"/>
    </row>
    <row r="174" spans="1:9" s="18" customFormat="1" ht="21" x14ac:dyDescent="0.25">
      <c r="A174" s="75" t="str">
        <f>A173</f>
        <v>1st Podium Floor for Residential</v>
      </c>
      <c r="B174" s="75"/>
      <c r="C174" s="66">
        <v>1</v>
      </c>
      <c r="D174" s="66"/>
      <c r="E174" s="29" t="s">
        <v>185</v>
      </c>
      <c r="F174" s="65">
        <f>90.8*10.764</f>
        <v>977.37119999999993</v>
      </c>
      <c r="G174" s="65"/>
      <c r="H174" s="29">
        <v>0</v>
      </c>
      <c r="I174" s="30">
        <f>F174*1.6+H174</f>
        <v>1563.7939200000001</v>
      </c>
    </row>
    <row r="175" spans="1:9" s="18" customFormat="1" ht="21" x14ac:dyDescent="0.25">
      <c r="A175" s="75"/>
      <c r="B175" s="75"/>
      <c r="C175" s="66">
        <v>2</v>
      </c>
      <c r="D175" s="66"/>
      <c r="E175" s="29" t="s">
        <v>185</v>
      </c>
      <c r="F175" s="65">
        <f>88.12*10.764</f>
        <v>948.52368000000001</v>
      </c>
      <c r="G175" s="65"/>
      <c r="H175" s="29">
        <v>0</v>
      </c>
      <c r="I175" s="30">
        <f>F175*1.6+H175</f>
        <v>1517.6378880000002</v>
      </c>
    </row>
    <row r="176" spans="1:9" s="18" customFormat="1" ht="21" x14ac:dyDescent="0.25">
      <c r="A176" s="74" t="s">
        <v>187</v>
      </c>
      <c r="B176" s="74"/>
      <c r="C176" s="74"/>
      <c r="D176" s="74"/>
      <c r="E176" s="74"/>
      <c r="F176" s="74"/>
      <c r="G176" s="74"/>
      <c r="H176" s="74"/>
      <c r="I176" s="74"/>
    </row>
    <row r="177" spans="1:9" s="18" customFormat="1" ht="21" customHeight="1" x14ac:dyDescent="0.25">
      <c r="A177" s="75" t="str">
        <f>A176</f>
        <v>1st to 4th Floor for Residential</v>
      </c>
      <c r="B177" s="75"/>
      <c r="C177" s="66" t="s">
        <v>263</v>
      </c>
      <c r="D177" s="66"/>
      <c r="E177" s="29" t="s">
        <v>185</v>
      </c>
      <c r="F177" s="65">
        <f>90.8*10.764</f>
        <v>977.37119999999993</v>
      </c>
      <c r="G177" s="65"/>
      <c r="H177" s="29">
        <v>0</v>
      </c>
      <c r="I177" s="30">
        <f t="shared" ref="I177:I178" si="0">F177*1.6+H177</f>
        <v>1563.7939200000001</v>
      </c>
    </row>
    <row r="178" spans="1:9" s="18" customFormat="1" ht="21" customHeight="1" x14ac:dyDescent="0.25">
      <c r="A178" s="75"/>
      <c r="B178" s="75"/>
      <c r="C178" s="66" t="s">
        <v>264</v>
      </c>
      <c r="D178" s="66" t="s">
        <v>194</v>
      </c>
      <c r="E178" s="29" t="s">
        <v>185</v>
      </c>
      <c r="F178" s="65">
        <f>88.12*10.764</f>
        <v>948.52368000000001</v>
      </c>
      <c r="G178" s="65"/>
      <c r="H178" s="29">
        <v>0</v>
      </c>
      <c r="I178" s="30">
        <f t="shared" si="0"/>
        <v>1517.6378880000002</v>
      </c>
    </row>
    <row r="179" spans="1:9" s="18" customFormat="1" ht="21" x14ac:dyDescent="0.25">
      <c r="A179" s="81" t="s">
        <v>188</v>
      </c>
      <c r="B179" s="81"/>
      <c r="C179" s="81"/>
      <c r="D179" s="81"/>
      <c r="E179" s="81"/>
      <c r="F179" s="81"/>
      <c r="G179" s="81"/>
      <c r="H179" s="81"/>
      <c r="I179" s="81"/>
    </row>
    <row r="180" spans="1:9" s="18" customFormat="1" ht="21" x14ac:dyDescent="0.25">
      <c r="A180" s="81" t="s">
        <v>183</v>
      </c>
      <c r="B180" s="81"/>
      <c r="C180" s="81"/>
      <c r="D180" s="81"/>
      <c r="E180" s="81"/>
      <c r="F180" s="81"/>
      <c r="G180" s="81"/>
      <c r="H180" s="81"/>
      <c r="I180" s="81"/>
    </row>
    <row r="181" spans="1:9" s="18" customFormat="1" ht="21" x14ac:dyDescent="0.25">
      <c r="A181" s="81" t="s">
        <v>143</v>
      </c>
      <c r="B181" s="81"/>
      <c r="C181" s="81"/>
      <c r="D181" s="81"/>
      <c r="E181" s="81"/>
      <c r="F181" s="81"/>
      <c r="G181" s="81"/>
      <c r="H181" s="81"/>
      <c r="I181" s="81"/>
    </row>
    <row r="182" spans="1:9" s="18" customFormat="1" ht="21" x14ac:dyDescent="0.25">
      <c r="A182" s="81" t="s">
        <v>184</v>
      </c>
      <c r="B182" s="81"/>
      <c r="C182" s="81"/>
      <c r="D182" s="81"/>
      <c r="E182" s="81"/>
      <c r="F182" s="81"/>
      <c r="G182" s="81"/>
      <c r="H182" s="81"/>
      <c r="I182" s="81"/>
    </row>
    <row r="183" spans="1:9" s="18" customFormat="1" ht="21" x14ac:dyDescent="0.25">
      <c r="A183" s="75" t="str">
        <f>A182</f>
        <v>1st Podium Floor for Residential</v>
      </c>
      <c r="B183" s="75"/>
      <c r="C183" s="66">
        <v>1</v>
      </c>
      <c r="D183" s="66"/>
      <c r="E183" s="29" t="s">
        <v>185</v>
      </c>
      <c r="F183" s="65">
        <f>91.23*10.764</f>
        <v>981.99972000000002</v>
      </c>
      <c r="G183" s="65"/>
      <c r="H183" s="29">
        <v>0</v>
      </c>
      <c r="I183" s="30">
        <f t="shared" ref="I183:I185" si="1">F183*1.6+H183</f>
        <v>1571.199552</v>
      </c>
    </row>
    <row r="184" spans="1:9" s="18" customFormat="1" ht="21" x14ac:dyDescent="0.25">
      <c r="A184" s="75"/>
      <c r="B184" s="75"/>
      <c r="C184" s="66">
        <v>2</v>
      </c>
      <c r="D184" s="66"/>
      <c r="E184" s="29" t="s">
        <v>185</v>
      </c>
      <c r="F184" s="65">
        <f>88.28*10.764</f>
        <v>950.24591999999996</v>
      </c>
      <c r="G184" s="65"/>
      <c r="H184" s="29">
        <v>0</v>
      </c>
      <c r="I184" s="30">
        <f t="shared" si="1"/>
        <v>1520.393472</v>
      </c>
    </row>
    <row r="185" spans="1:9" s="18" customFormat="1" ht="21" x14ac:dyDescent="0.25">
      <c r="A185" s="75"/>
      <c r="B185" s="75"/>
      <c r="C185" s="66">
        <v>3</v>
      </c>
      <c r="D185" s="66"/>
      <c r="E185" s="29" t="s">
        <v>185</v>
      </c>
      <c r="F185" s="65">
        <f>90.88*10.764</f>
        <v>978.23231999999985</v>
      </c>
      <c r="G185" s="65"/>
      <c r="H185" s="29">
        <v>0</v>
      </c>
      <c r="I185" s="30">
        <f t="shared" si="1"/>
        <v>1565.1717119999998</v>
      </c>
    </row>
    <row r="186" spans="1:9" s="18" customFormat="1" ht="21" x14ac:dyDescent="0.25">
      <c r="A186" s="81" t="s">
        <v>189</v>
      </c>
      <c r="B186" s="81"/>
      <c r="C186" s="81"/>
      <c r="D186" s="81"/>
      <c r="E186" s="81"/>
      <c r="F186" s="81"/>
      <c r="G186" s="81"/>
      <c r="H186" s="81"/>
      <c r="I186" s="81"/>
    </row>
    <row r="187" spans="1:9" s="18" customFormat="1" ht="21" x14ac:dyDescent="0.25">
      <c r="A187" s="81" t="s">
        <v>183</v>
      </c>
      <c r="B187" s="81"/>
      <c r="C187" s="81"/>
      <c r="D187" s="81"/>
      <c r="E187" s="81"/>
      <c r="F187" s="81"/>
      <c r="G187" s="81"/>
      <c r="H187" s="81"/>
      <c r="I187" s="81"/>
    </row>
    <row r="188" spans="1:9" s="18" customFormat="1" ht="21" x14ac:dyDescent="0.25">
      <c r="A188" s="81" t="s">
        <v>143</v>
      </c>
      <c r="B188" s="81"/>
      <c r="C188" s="81"/>
      <c r="D188" s="81"/>
      <c r="E188" s="81"/>
      <c r="F188" s="81"/>
      <c r="G188" s="81"/>
      <c r="H188" s="81"/>
      <c r="I188" s="81"/>
    </row>
    <row r="189" spans="1:9" s="18" customFormat="1" ht="21" x14ac:dyDescent="0.25">
      <c r="A189" s="81" t="s">
        <v>184</v>
      </c>
      <c r="B189" s="81"/>
      <c r="C189" s="81"/>
      <c r="D189" s="81"/>
      <c r="E189" s="81"/>
      <c r="F189" s="81"/>
      <c r="G189" s="81"/>
      <c r="H189" s="81"/>
      <c r="I189" s="81"/>
    </row>
    <row r="190" spans="1:9" s="18" customFormat="1" ht="21" customHeight="1" x14ac:dyDescent="0.25">
      <c r="A190" s="75" t="str">
        <f>A189</f>
        <v>1st Podium Floor for Residential</v>
      </c>
      <c r="B190" s="75"/>
      <c r="C190" s="66">
        <v>1</v>
      </c>
      <c r="D190" s="66"/>
      <c r="E190" s="29" t="s">
        <v>190</v>
      </c>
      <c r="F190" s="65">
        <f>49.76*10.764</f>
        <v>535.61663999999996</v>
      </c>
      <c r="G190" s="65"/>
      <c r="H190" s="29">
        <v>0</v>
      </c>
      <c r="I190" s="30">
        <f t="shared" ref="I190:I195" si="2">F190*1.6+H190</f>
        <v>856.98662400000001</v>
      </c>
    </row>
    <row r="191" spans="1:9" s="18" customFormat="1" ht="21" x14ac:dyDescent="0.25">
      <c r="A191" s="75"/>
      <c r="B191" s="75"/>
      <c r="C191" s="66">
        <v>2</v>
      </c>
      <c r="D191" s="66"/>
      <c r="E191" s="29" t="s">
        <v>190</v>
      </c>
      <c r="F191" s="65">
        <f>49.76*10.764</f>
        <v>535.61663999999996</v>
      </c>
      <c r="G191" s="65"/>
      <c r="H191" s="29">
        <v>0</v>
      </c>
      <c r="I191" s="30">
        <f t="shared" si="2"/>
        <v>856.98662400000001</v>
      </c>
    </row>
    <row r="192" spans="1:9" s="18" customFormat="1" ht="21" x14ac:dyDescent="0.25">
      <c r="A192" s="75"/>
      <c r="B192" s="75"/>
      <c r="C192" s="66">
        <v>3</v>
      </c>
      <c r="D192" s="66"/>
      <c r="E192" s="29" t="s">
        <v>190</v>
      </c>
      <c r="F192" s="65">
        <f>50.19*10.764</f>
        <v>540.24515999999994</v>
      </c>
      <c r="G192" s="65"/>
      <c r="H192" s="29">
        <v>0</v>
      </c>
      <c r="I192" s="30">
        <f t="shared" si="2"/>
        <v>864.39225599999997</v>
      </c>
    </row>
    <row r="193" spans="1:9" s="18" customFormat="1" ht="21" x14ac:dyDescent="0.25">
      <c r="A193" s="75"/>
      <c r="B193" s="75"/>
      <c r="C193" s="66">
        <v>4</v>
      </c>
      <c r="D193" s="66"/>
      <c r="E193" s="29" t="s">
        <v>190</v>
      </c>
      <c r="F193" s="65">
        <f>49.7*10.764</f>
        <v>534.97080000000005</v>
      </c>
      <c r="G193" s="65"/>
      <c r="H193" s="29">
        <v>0</v>
      </c>
      <c r="I193" s="30">
        <f t="shared" si="2"/>
        <v>855.95328000000018</v>
      </c>
    </row>
    <row r="194" spans="1:9" s="18" customFormat="1" ht="21" x14ac:dyDescent="0.25">
      <c r="A194" s="75"/>
      <c r="B194" s="75"/>
      <c r="C194" s="66">
        <v>5</v>
      </c>
      <c r="D194" s="66"/>
      <c r="E194" s="29" t="s">
        <v>190</v>
      </c>
      <c r="F194" s="65">
        <f>49.7*10.764</f>
        <v>534.97080000000005</v>
      </c>
      <c r="G194" s="65"/>
      <c r="H194" s="29">
        <v>0</v>
      </c>
      <c r="I194" s="30">
        <f t="shared" si="2"/>
        <v>855.95328000000018</v>
      </c>
    </row>
    <row r="195" spans="1:9" s="18" customFormat="1" ht="21" x14ac:dyDescent="0.25">
      <c r="A195" s="75"/>
      <c r="B195" s="75"/>
      <c r="C195" s="66">
        <v>6</v>
      </c>
      <c r="D195" s="66"/>
      <c r="E195" s="29" t="s">
        <v>190</v>
      </c>
      <c r="F195" s="65">
        <f>49.7*10.764</f>
        <v>534.97080000000005</v>
      </c>
      <c r="G195" s="65"/>
      <c r="H195" s="29">
        <v>0</v>
      </c>
      <c r="I195" s="30">
        <f t="shared" si="2"/>
        <v>855.95328000000018</v>
      </c>
    </row>
    <row r="196" spans="1:9" s="18" customFormat="1" ht="21" x14ac:dyDescent="0.25">
      <c r="A196" s="74" t="s">
        <v>191</v>
      </c>
      <c r="B196" s="74"/>
      <c r="C196" s="74"/>
      <c r="D196" s="74"/>
      <c r="E196" s="74"/>
      <c r="F196" s="74"/>
      <c r="G196" s="74"/>
      <c r="H196" s="74"/>
      <c r="I196" s="74"/>
    </row>
    <row r="197" spans="1:9" s="18" customFormat="1" ht="21" customHeight="1" x14ac:dyDescent="0.25">
      <c r="A197" s="75" t="str">
        <f>A196</f>
        <v>1st to 3rd Floor for Residential</v>
      </c>
      <c r="B197" s="75"/>
      <c r="C197" s="66" t="s">
        <v>193</v>
      </c>
      <c r="D197" s="66"/>
      <c r="E197" s="29" t="s">
        <v>190</v>
      </c>
      <c r="F197" s="65">
        <f>49.76*10.764</f>
        <v>535.61663999999996</v>
      </c>
      <c r="G197" s="65"/>
      <c r="H197" s="29">
        <v>0</v>
      </c>
      <c r="I197" s="30">
        <f t="shared" ref="I197:I202" si="3">F197*1.6+H197</f>
        <v>856.98662400000001</v>
      </c>
    </row>
    <row r="198" spans="1:9" s="18" customFormat="1" ht="21" customHeight="1" x14ac:dyDescent="0.25">
      <c r="A198" s="75"/>
      <c r="B198" s="75"/>
      <c r="C198" s="66" t="s">
        <v>194</v>
      </c>
      <c r="D198" s="66" t="s">
        <v>194</v>
      </c>
      <c r="E198" s="29" t="s">
        <v>190</v>
      </c>
      <c r="F198" s="65">
        <f>49.76*10.764</f>
        <v>535.61663999999996</v>
      </c>
      <c r="G198" s="65"/>
      <c r="H198" s="29">
        <v>0</v>
      </c>
      <c r="I198" s="30">
        <f t="shared" si="3"/>
        <v>856.98662400000001</v>
      </c>
    </row>
    <row r="199" spans="1:9" s="18" customFormat="1" ht="21" customHeight="1" x14ac:dyDescent="0.25">
      <c r="A199" s="75"/>
      <c r="B199" s="75"/>
      <c r="C199" s="66" t="s">
        <v>195</v>
      </c>
      <c r="D199" s="66" t="s">
        <v>195</v>
      </c>
      <c r="E199" s="29" t="s">
        <v>190</v>
      </c>
      <c r="F199" s="65">
        <f>50.19*10.764</f>
        <v>540.24515999999994</v>
      </c>
      <c r="G199" s="65"/>
      <c r="H199" s="29">
        <v>0</v>
      </c>
      <c r="I199" s="30">
        <f t="shared" si="3"/>
        <v>864.39225599999997</v>
      </c>
    </row>
    <row r="200" spans="1:9" s="18" customFormat="1" ht="21" customHeight="1" x14ac:dyDescent="0.25">
      <c r="A200" s="75"/>
      <c r="B200" s="75"/>
      <c r="C200" s="66" t="s">
        <v>196</v>
      </c>
      <c r="D200" s="66" t="s">
        <v>196</v>
      </c>
      <c r="E200" s="29" t="s">
        <v>190</v>
      </c>
      <c r="F200" s="65">
        <f>49.7*10.764</f>
        <v>534.97080000000005</v>
      </c>
      <c r="G200" s="65"/>
      <c r="H200" s="29">
        <v>0</v>
      </c>
      <c r="I200" s="30">
        <f t="shared" si="3"/>
        <v>855.95328000000018</v>
      </c>
    </row>
    <row r="201" spans="1:9" s="18" customFormat="1" ht="21" customHeight="1" x14ac:dyDescent="0.25">
      <c r="A201" s="75"/>
      <c r="B201" s="75"/>
      <c r="C201" s="66" t="s">
        <v>197</v>
      </c>
      <c r="D201" s="66" t="s">
        <v>197</v>
      </c>
      <c r="E201" s="29" t="s">
        <v>190</v>
      </c>
      <c r="F201" s="65">
        <f>49.7*10.764</f>
        <v>534.97080000000005</v>
      </c>
      <c r="G201" s="65"/>
      <c r="H201" s="29">
        <v>0</v>
      </c>
      <c r="I201" s="30">
        <f t="shared" si="3"/>
        <v>855.95328000000018</v>
      </c>
    </row>
    <row r="202" spans="1:9" s="18" customFormat="1" ht="21" customHeight="1" x14ac:dyDescent="0.25">
      <c r="A202" s="75"/>
      <c r="B202" s="75"/>
      <c r="C202" s="66" t="s">
        <v>198</v>
      </c>
      <c r="D202" s="66" t="s">
        <v>198</v>
      </c>
      <c r="E202" s="29" t="s">
        <v>190</v>
      </c>
      <c r="F202" s="65">
        <f>49.7*10.764</f>
        <v>534.97080000000005</v>
      </c>
      <c r="G202" s="65"/>
      <c r="H202" s="29">
        <v>0</v>
      </c>
      <c r="I202" s="30">
        <f t="shared" si="3"/>
        <v>855.95328000000018</v>
      </c>
    </row>
    <row r="203" spans="1:9" s="18" customFormat="1" ht="21" x14ac:dyDescent="0.25">
      <c r="A203" s="74" t="s">
        <v>192</v>
      </c>
      <c r="B203" s="74"/>
      <c r="C203" s="74"/>
      <c r="D203" s="74"/>
      <c r="E203" s="74"/>
      <c r="F203" s="74"/>
      <c r="G203" s="74"/>
      <c r="H203" s="74"/>
      <c r="I203" s="74"/>
    </row>
    <row r="204" spans="1:9" s="18" customFormat="1" ht="21" x14ac:dyDescent="0.25">
      <c r="A204" s="75" t="str">
        <f>A203</f>
        <v>4th Floor</v>
      </c>
      <c r="B204" s="75"/>
      <c r="C204" s="66">
        <v>401</v>
      </c>
      <c r="D204" s="66"/>
      <c r="E204" s="29" t="s">
        <v>190</v>
      </c>
      <c r="F204" s="65">
        <f>49.76*10.764</f>
        <v>535.61663999999996</v>
      </c>
      <c r="G204" s="65"/>
      <c r="H204" s="29">
        <v>0</v>
      </c>
      <c r="I204" s="30">
        <f t="shared" ref="I204:I209" si="4">F204*1.6+H204</f>
        <v>856.98662400000001</v>
      </c>
    </row>
    <row r="205" spans="1:9" s="18" customFormat="1" ht="21" x14ac:dyDescent="0.25">
      <c r="A205" s="75"/>
      <c r="B205" s="75"/>
      <c r="C205" s="66">
        <v>402</v>
      </c>
      <c r="D205" s="66"/>
      <c r="E205" s="29" t="s">
        <v>190</v>
      </c>
      <c r="F205" s="65">
        <f>49.76*10.764</f>
        <v>535.61663999999996</v>
      </c>
      <c r="G205" s="65"/>
      <c r="H205" s="29">
        <v>0</v>
      </c>
      <c r="I205" s="30">
        <f t="shared" si="4"/>
        <v>856.98662400000001</v>
      </c>
    </row>
    <row r="206" spans="1:9" s="18" customFormat="1" ht="21" x14ac:dyDescent="0.25">
      <c r="A206" s="75"/>
      <c r="B206" s="75"/>
      <c r="C206" s="66">
        <v>403</v>
      </c>
      <c r="D206" s="66"/>
      <c r="E206" s="29" t="s">
        <v>190</v>
      </c>
      <c r="F206" s="65">
        <f>52.86*10.764</f>
        <v>568.98503999999991</v>
      </c>
      <c r="G206" s="65"/>
      <c r="H206" s="29">
        <v>0</v>
      </c>
      <c r="I206" s="30">
        <f t="shared" si="4"/>
        <v>910.37606399999993</v>
      </c>
    </row>
    <row r="207" spans="1:9" s="18" customFormat="1" ht="21" x14ac:dyDescent="0.25">
      <c r="A207" s="75"/>
      <c r="B207" s="75"/>
      <c r="C207" s="66">
        <v>404</v>
      </c>
      <c r="D207" s="66"/>
      <c r="E207" s="29" t="s">
        <v>190</v>
      </c>
      <c r="F207" s="65">
        <f>52.86*10.764</f>
        <v>568.98503999999991</v>
      </c>
      <c r="G207" s="65"/>
      <c r="H207" s="29">
        <v>0</v>
      </c>
      <c r="I207" s="30">
        <f t="shared" si="4"/>
        <v>910.37606399999993</v>
      </c>
    </row>
    <row r="208" spans="1:9" s="18" customFormat="1" ht="21" x14ac:dyDescent="0.25">
      <c r="A208" s="75"/>
      <c r="B208" s="75"/>
      <c r="C208" s="66">
        <v>405</v>
      </c>
      <c r="D208" s="66"/>
      <c r="E208" s="29" t="s">
        <v>190</v>
      </c>
      <c r="F208" s="65">
        <f>49.7*10.764</f>
        <v>534.97080000000005</v>
      </c>
      <c r="G208" s="65"/>
      <c r="H208" s="29">
        <v>0</v>
      </c>
      <c r="I208" s="30">
        <f t="shared" si="4"/>
        <v>855.95328000000018</v>
      </c>
    </row>
    <row r="209" spans="1:9" s="18" customFormat="1" ht="21" customHeight="1" x14ac:dyDescent="0.25">
      <c r="A209" s="75"/>
      <c r="B209" s="75"/>
      <c r="C209" s="66">
        <v>406</v>
      </c>
      <c r="D209" s="66"/>
      <c r="E209" s="29" t="s">
        <v>190</v>
      </c>
      <c r="F209" s="65">
        <f>49.7*10.764</f>
        <v>534.97080000000005</v>
      </c>
      <c r="G209" s="65"/>
      <c r="H209" s="29">
        <v>0</v>
      </c>
      <c r="I209" s="30">
        <f t="shared" si="4"/>
        <v>855.95328000000018</v>
      </c>
    </row>
    <row r="210" spans="1:9" s="18" customFormat="1" ht="21" x14ac:dyDescent="0.25">
      <c r="A210" s="74" t="s">
        <v>199</v>
      </c>
      <c r="B210" s="74"/>
      <c r="C210" s="74"/>
      <c r="D210" s="74"/>
      <c r="E210" s="74"/>
      <c r="F210" s="74"/>
      <c r="G210" s="74"/>
      <c r="H210" s="74"/>
      <c r="I210" s="74"/>
    </row>
    <row r="211" spans="1:9" s="18" customFormat="1" ht="21" customHeight="1" x14ac:dyDescent="0.25">
      <c r="A211" s="75" t="str">
        <f>A210</f>
        <v>5th, 7th to 12th, 14th to 16th Floor</v>
      </c>
      <c r="B211" s="75"/>
      <c r="C211" s="66" t="s">
        <v>200</v>
      </c>
      <c r="D211" s="66"/>
      <c r="E211" s="29" t="s">
        <v>190</v>
      </c>
      <c r="F211" s="65">
        <f>51.64*10.764</f>
        <v>555.85295999999994</v>
      </c>
      <c r="G211" s="65"/>
      <c r="H211" s="29">
        <v>0</v>
      </c>
      <c r="I211" s="30">
        <f t="shared" ref="I211:I216" si="5">F211*1.6+H211</f>
        <v>889.36473599999999</v>
      </c>
    </row>
    <row r="212" spans="1:9" s="18" customFormat="1" ht="21" customHeight="1" x14ac:dyDescent="0.25">
      <c r="A212" s="75"/>
      <c r="B212" s="75"/>
      <c r="C212" s="66" t="s">
        <v>201</v>
      </c>
      <c r="D212" s="66"/>
      <c r="E212" s="29" t="s">
        <v>190</v>
      </c>
      <c r="F212" s="65">
        <f>51.64*10.764</f>
        <v>555.85295999999994</v>
      </c>
      <c r="G212" s="65"/>
      <c r="H212" s="29">
        <v>0</v>
      </c>
      <c r="I212" s="30">
        <f t="shared" si="5"/>
        <v>889.36473599999999</v>
      </c>
    </row>
    <row r="213" spans="1:9" s="18" customFormat="1" ht="21" customHeight="1" x14ac:dyDescent="0.25">
      <c r="A213" s="75"/>
      <c r="B213" s="75"/>
      <c r="C213" s="66" t="s">
        <v>202</v>
      </c>
      <c r="D213" s="66"/>
      <c r="E213" s="29" t="s">
        <v>190</v>
      </c>
      <c r="F213" s="65">
        <f>52.86*10.764</f>
        <v>568.98503999999991</v>
      </c>
      <c r="G213" s="65"/>
      <c r="H213" s="29">
        <v>0</v>
      </c>
      <c r="I213" s="30">
        <f t="shared" si="5"/>
        <v>910.37606399999993</v>
      </c>
    </row>
    <row r="214" spans="1:9" s="18" customFormat="1" ht="21" customHeight="1" x14ac:dyDescent="0.25">
      <c r="A214" s="75"/>
      <c r="B214" s="75"/>
      <c r="C214" s="66" t="s">
        <v>203</v>
      </c>
      <c r="D214" s="66"/>
      <c r="E214" s="29" t="s">
        <v>190</v>
      </c>
      <c r="F214" s="65">
        <f>52.86*10.764</f>
        <v>568.98503999999991</v>
      </c>
      <c r="G214" s="65"/>
      <c r="H214" s="29">
        <v>0</v>
      </c>
      <c r="I214" s="30">
        <f t="shared" si="5"/>
        <v>910.37606399999993</v>
      </c>
    </row>
    <row r="215" spans="1:9" s="18" customFormat="1" ht="21" customHeight="1" x14ac:dyDescent="0.25">
      <c r="A215" s="75"/>
      <c r="B215" s="75"/>
      <c r="C215" s="66" t="s">
        <v>204</v>
      </c>
      <c r="D215" s="66"/>
      <c r="E215" s="29" t="s">
        <v>190</v>
      </c>
      <c r="F215" s="65">
        <f>52.76*10.764</f>
        <v>567.90863999999999</v>
      </c>
      <c r="G215" s="65"/>
      <c r="H215" s="29">
        <v>0</v>
      </c>
      <c r="I215" s="30">
        <f t="shared" si="5"/>
        <v>908.65382399999999</v>
      </c>
    </row>
    <row r="216" spans="1:9" s="18" customFormat="1" ht="21" customHeight="1" x14ac:dyDescent="0.25">
      <c r="A216" s="75"/>
      <c r="B216" s="75"/>
      <c r="C216" s="66" t="s">
        <v>205</v>
      </c>
      <c r="D216" s="66"/>
      <c r="E216" s="29" t="s">
        <v>190</v>
      </c>
      <c r="F216" s="65">
        <f>52.76*10.764</f>
        <v>567.90863999999999</v>
      </c>
      <c r="G216" s="65"/>
      <c r="H216" s="29">
        <v>0</v>
      </c>
      <c r="I216" s="30">
        <f t="shared" si="5"/>
        <v>908.65382399999999</v>
      </c>
    </row>
    <row r="217" spans="1:9" s="18" customFormat="1" ht="21" x14ac:dyDescent="0.25">
      <c r="A217" s="74" t="s">
        <v>206</v>
      </c>
      <c r="B217" s="74"/>
      <c r="C217" s="74"/>
      <c r="D217" s="74"/>
      <c r="E217" s="74"/>
      <c r="F217" s="74"/>
      <c r="G217" s="74"/>
      <c r="H217" s="74"/>
      <c r="I217" s="74"/>
    </row>
    <row r="218" spans="1:9" s="18" customFormat="1" ht="21" x14ac:dyDescent="0.25">
      <c r="A218" s="75" t="str">
        <f>A217</f>
        <v>6th Floor (Part Refuge Area)</v>
      </c>
      <c r="B218" s="75"/>
      <c r="C218" s="66">
        <v>601</v>
      </c>
      <c r="D218" s="66"/>
      <c r="E218" s="29" t="s">
        <v>190</v>
      </c>
      <c r="F218" s="65">
        <f>51.64*10.764</f>
        <v>555.85295999999994</v>
      </c>
      <c r="G218" s="65"/>
      <c r="H218" s="29">
        <v>0</v>
      </c>
      <c r="I218" s="30">
        <f t="shared" ref="I218:I229" si="6">F218*1.6+H218</f>
        <v>889.36473599999999</v>
      </c>
    </row>
    <row r="219" spans="1:9" s="18" customFormat="1" ht="21" x14ac:dyDescent="0.25">
      <c r="A219" s="75"/>
      <c r="B219" s="75"/>
      <c r="C219" s="66">
        <v>602</v>
      </c>
      <c r="D219" s="66"/>
      <c r="E219" s="29" t="s">
        <v>190</v>
      </c>
      <c r="F219" s="65">
        <f>51.64*10.764</f>
        <v>555.85295999999994</v>
      </c>
      <c r="G219" s="65"/>
      <c r="H219" s="29">
        <v>0</v>
      </c>
      <c r="I219" s="30">
        <f t="shared" si="6"/>
        <v>889.36473599999999</v>
      </c>
    </row>
    <row r="220" spans="1:9" s="18" customFormat="1" ht="21" x14ac:dyDescent="0.25">
      <c r="A220" s="75"/>
      <c r="B220" s="75"/>
      <c r="C220" s="66">
        <v>603</v>
      </c>
      <c r="D220" s="66"/>
      <c r="E220" s="29" t="s">
        <v>190</v>
      </c>
      <c r="F220" s="65">
        <f>52.86*10.764</f>
        <v>568.98503999999991</v>
      </c>
      <c r="G220" s="65"/>
      <c r="H220" s="29">
        <v>0</v>
      </c>
      <c r="I220" s="30">
        <f t="shared" si="6"/>
        <v>910.37606399999993</v>
      </c>
    </row>
    <row r="221" spans="1:9" s="18" customFormat="1" ht="21" x14ac:dyDescent="0.25">
      <c r="A221" s="75"/>
      <c r="B221" s="75"/>
      <c r="C221" s="66">
        <v>604</v>
      </c>
      <c r="D221" s="66"/>
      <c r="E221" s="29" t="s">
        <v>190</v>
      </c>
      <c r="F221" s="65">
        <f>52.86*10.764</f>
        <v>568.98503999999991</v>
      </c>
      <c r="G221" s="65"/>
      <c r="H221" s="29">
        <v>0</v>
      </c>
      <c r="I221" s="30">
        <f t="shared" si="6"/>
        <v>910.37606399999993</v>
      </c>
    </row>
    <row r="222" spans="1:9" s="18" customFormat="1" ht="21" x14ac:dyDescent="0.25">
      <c r="A222" s="75"/>
      <c r="B222" s="75"/>
      <c r="C222" s="66">
        <v>605</v>
      </c>
      <c r="D222" s="66"/>
      <c r="E222" s="66" t="s">
        <v>207</v>
      </c>
      <c r="F222" s="66"/>
      <c r="G222" s="66"/>
      <c r="H222" s="66"/>
      <c r="I222" s="66"/>
    </row>
    <row r="223" spans="1:9" s="18" customFormat="1" ht="21" x14ac:dyDescent="0.25">
      <c r="A223" s="75"/>
      <c r="B223" s="75"/>
      <c r="C223" s="66">
        <v>606</v>
      </c>
      <c r="D223" s="66"/>
      <c r="E223" s="66"/>
      <c r="F223" s="66"/>
      <c r="G223" s="66"/>
      <c r="H223" s="66"/>
      <c r="I223" s="66"/>
    </row>
    <row r="224" spans="1:9" s="18" customFormat="1" ht="21" x14ac:dyDescent="0.25">
      <c r="A224" s="74" t="s">
        <v>208</v>
      </c>
      <c r="B224" s="74"/>
      <c r="C224" s="74"/>
      <c r="D224" s="74"/>
      <c r="E224" s="74"/>
      <c r="F224" s="74"/>
      <c r="G224" s="74"/>
      <c r="H224" s="74"/>
      <c r="I224" s="74"/>
    </row>
    <row r="225" spans="1:9" s="18" customFormat="1" ht="21" x14ac:dyDescent="0.25">
      <c r="A225" s="75" t="str">
        <f>A224</f>
        <v>13th Floor (Part Refuge Area)</v>
      </c>
      <c r="B225" s="75"/>
      <c r="C225" s="66">
        <v>1301</v>
      </c>
      <c r="D225" s="66"/>
      <c r="E225" s="29" t="s">
        <v>190</v>
      </c>
      <c r="F225" s="65">
        <f>51.64*10.764</f>
        <v>555.85295999999994</v>
      </c>
      <c r="G225" s="65"/>
      <c r="H225" s="29">
        <v>0</v>
      </c>
      <c r="I225" s="30">
        <f t="shared" si="6"/>
        <v>889.36473599999999</v>
      </c>
    </row>
    <row r="226" spans="1:9" s="18" customFormat="1" ht="21" x14ac:dyDescent="0.25">
      <c r="A226" s="75"/>
      <c r="B226" s="75"/>
      <c r="C226" s="66">
        <v>1302</v>
      </c>
      <c r="D226" s="66"/>
      <c r="E226" s="29" t="s">
        <v>190</v>
      </c>
      <c r="F226" s="65">
        <f>51.64*10.764</f>
        <v>555.85295999999994</v>
      </c>
      <c r="G226" s="65"/>
      <c r="H226" s="29">
        <v>0</v>
      </c>
      <c r="I226" s="30">
        <f t="shared" si="6"/>
        <v>889.36473599999999</v>
      </c>
    </row>
    <row r="227" spans="1:9" s="18" customFormat="1" ht="21" x14ac:dyDescent="0.25">
      <c r="A227" s="75"/>
      <c r="B227" s="75"/>
      <c r="C227" s="66">
        <v>1303</v>
      </c>
      <c r="D227" s="66"/>
      <c r="E227" s="29" t="s">
        <v>190</v>
      </c>
      <c r="F227" s="65">
        <f>52.86*10.764</f>
        <v>568.98503999999991</v>
      </c>
      <c r="G227" s="65"/>
      <c r="H227" s="29">
        <v>0</v>
      </c>
      <c r="I227" s="30">
        <f t="shared" si="6"/>
        <v>910.37606399999993</v>
      </c>
    </row>
    <row r="228" spans="1:9" s="18" customFormat="1" ht="21" x14ac:dyDescent="0.25">
      <c r="A228" s="75"/>
      <c r="B228" s="75"/>
      <c r="C228" s="66">
        <v>1304</v>
      </c>
      <c r="D228" s="66"/>
      <c r="E228" s="29" t="s">
        <v>190</v>
      </c>
      <c r="F228" s="65">
        <f>52.86*10.764</f>
        <v>568.98503999999991</v>
      </c>
      <c r="G228" s="65"/>
      <c r="H228" s="29">
        <v>0</v>
      </c>
      <c r="I228" s="30">
        <f t="shared" si="6"/>
        <v>910.37606399999993</v>
      </c>
    </row>
    <row r="229" spans="1:9" s="18" customFormat="1" ht="21" x14ac:dyDescent="0.25">
      <c r="A229" s="75"/>
      <c r="B229" s="75"/>
      <c r="C229" s="66">
        <v>1305</v>
      </c>
      <c r="D229" s="66"/>
      <c r="E229" s="29" t="s">
        <v>190</v>
      </c>
      <c r="F229" s="65">
        <f>52.76*10.764</f>
        <v>567.90863999999999</v>
      </c>
      <c r="G229" s="65"/>
      <c r="H229" s="29">
        <v>0</v>
      </c>
      <c r="I229" s="30">
        <f t="shared" si="6"/>
        <v>908.65382399999999</v>
      </c>
    </row>
    <row r="230" spans="1:9" s="18" customFormat="1" ht="21" x14ac:dyDescent="0.25">
      <c r="A230" s="75"/>
      <c r="B230" s="75"/>
      <c r="C230" s="66">
        <v>1306</v>
      </c>
      <c r="D230" s="66"/>
      <c r="E230" s="66" t="s">
        <v>207</v>
      </c>
      <c r="F230" s="66"/>
      <c r="G230" s="66"/>
      <c r="H230" s="66"/>
      <c r="I230" s="66"/>
    </row>
    <row r="231" spans="1:9" s="18" customFormat="1" ht="21" x14ac:dyDescent="0.25">
      <c r="A231" s="74" t="s">
        <v>309</v>
      </c>
      <c r="B231" s="74"/>
      <c r="C231" s="74"/>
      <c r="D231" s="74"/>
      <c r="E231" s="74"/>
      <c r="F231" s="74"/>
      <c r="G231" s="74"/>
      <c r="H231" s="74"/>
      <c r="I231" s="74"/>
    </row>
    <row r="232" spans="1:9" s="18" customFormat="1" ht="21" x14ac:dyDescent="0.25">
      <c r="A232" s="74" t="s">
        <v>183</v>
      </c>
      <c r="B232" s="74"/>
      <c r="C232" s="74"/>
      <c r="D232" s="74"/>
      <c r="E232" s="74"/>
      <c r="F232" s="74"/>
      <c r="G232" s="74"/>
      <c r="H232" s="74"/>
      <c r="I232" s="74"/>
    </row>
    <row r="233" spans="1:9" s="18" customFormat="1" ht="21" x14ac:dyDescent="0.25">
      <c r="A233" s="74" t="s">
        <v>143</v>
      </c>
      <c r="B233" s="74"/>
      <c r="C233" s="74"/>
      <c r="D233" s="74"/>
      <c r="E233" s="74"/>
      <c r="F233" s="74"/>
      <c r="G233" s="74"/>
      <c r="H233" s="74"/>
      <c r="I233" s="74"/>
    </row>
    <row r="234" spans="1:9" s="18" customFormat="1" ht="21" x14ac:dyDescent="0.25">
      <c r="A234" s="74" t="s">
        <v>310</v>
      </c>
      <c r="B234" s="74"/>
      <c r="C234" s="74"/>
      <c r="D234" s="74"/>
      <c r="E234" s="74"/>
      <c r="F234" s="74"/>
      <c r="G234" s="74"/>
      <c r="H234" s="74"/>
      <c r="I234" s="74"/>
    </row>
    <row r="235" spans="1:9" s="18" customFormat="1" ht="21" customHeight="1" x14ac:dyDescent="0.25">
      <c r="A235" s="75" t="str">
        <f>A234</f>
        <v>1st Podium Floor for Commercial</v>
      </c>
      <c r="B235" s="75"/>
      <c r="C235" s="66">
        <v>1</v>
      </c>
      <c r="D235" s="66"/>
      <c r="E235" s="29" t="s">
        <v>209</v>
      </c>
      <c r="F235" s="65">
        <f>20.76*10.764</f>
        <v>223.46064000000001</v>
      </c>
      <c r="G235" s="65"/>
      <c r="H235" s="29">
        <v>0</v>
      </c>
      <c r="I235" s="30">
        <f t="shared" ref="I235:I244" si="7">F235*1.6+H235</f>
        <v>357.53702400000003</v>
      </c>
    </row>
    <row r="236" spans="1:9" s="18" customFormat="1" ht="21" x14ac:dyDescent="0.25">
      <c r="A236" s="75"/>
      <c r="B236" s="75"/>
      <c r="C236" s="66">
        <v>2</v>
      </c>
      <c r="D236" s="66"/>
      <c r="E236" s="29" t="s">
        <v>209</v>
      </c>
      <c r="F236" s="65">
        <f>20.76*10.764</f>
        <v>223.46064000000001</v>
      </c>
      <c r="G236" s="65"/>
      <c r="H236" s="29">
        <v>0</v>
      </c>
      <c r="I236" s="30">
        <f t="shared" si="7"/>
        <v>357.53702400000003</v>
      </c>
    </row>
    <row r="237" spans="1:9" s="18" customFormat="1" ht="21" x14ac:dyDescent="0.25">
      <c r="A237" s="75"/>
      <c r="B237" s="75"/>
      <c r="C237" s="66">
        <v>3</v>
      </c>
      <c r="D237" s="66"/>
      <c r="E237" s="29" t="s">
        <v>209</v>
      </c>
      <c r="F237" s="65">
        <f>20.76*10.764</f>
        <v>223.46064000000001</v>
      </c>
      <c r="G237" s="65"/>
      <c r="H237" s="29">
        <v>0</v>
      </c>
      <c r="I237" s="30">
        <f t="shared" si="7"/>
        <v>357.53702400000003</v>
      </c>
    </row>
    <row r="238" spans="1:9" s="18" customFormat="1" ht="21" x14ac:dyDescent="0.25">
      <c r="A238" s="75"/>
      <c r="B238" s="75"/>
      <c r="C238" s="66">
        <v>4</v>
      </c>
      <c r="D238" s="66"/>
      <c r="E238" s="57" t="s">
        <v>312</v>
      </c>
      <c r="F238" s="58"/>
      <c r="G238" s="58"/>
      <c r="H238" s="58"/>
      <c r="I238" s="59"/>
    </row>
    <row r="239" spans="1:9" s="18" customFormat="1" ht="21" customHeight="1" x14ac:dyDescent="0.25">
      <c r="A239" s="75"/>
      <c r="B239" s="75"/>
      <c r="C239" s="66">
        <v>5</v>
      </c>
      <c r="D239" s="66"/>
      <c r="E239" s="29" t="s">
        <v>209</v>
      </c>
      <c r="F239" s="65">
        <f>20.67*10.764</f>
        <v>222.49188000000001</v>
      </c>
      <c r="G239" s="65"/>
      <c r="H239" s="29">
        <v>0</v>
      </c>
      <c r="I239" s="30">
        <f t="shared" si="7"/>
        <v>355.98700800000006</v>
      </c>
    </row>
    <row r="240" spans="1:9" s="18" customFormat="1" ht="21" x14ac:dyDescent="0.25">
      <c r="A240" s="75"/>
      <c r="B240" s="75"/>
      <c r="C240" s="66">
        <v>6</v>
      </c>
      <c r="D240" s="66"/>
      <c r="E240" s="29" t="s">
        <v>209</v>
      </c>
      <c r="F240" s="65">
        <f>20.48*10.764</f>
        <v>220.44672</v>
      </c>
      <c r="G240" s="65"/>
      <c r="H240" s="29">
        <v>0</v>
      </c>
      <c r="I240" s="30">
        <f t="shared" si="7"/>
        <v>352.71475200000003</v>
      </c>
    </row>
    <row r="241" spans="1:9" s="18" customFormat="1" ht="21" x14ac:dyDescent="0.25">
      <c r="A241" s="75"/>
      <c r="B241" s="75"/>
      <c r="C241" s="66">
        <v>7</v>
      </c>
      <c r="D241" s="66"/>
      <c r="E241" s="29" t="s">
        <v>209</v>
      </c>
      <c r="F241" s="65">
        <f>20.66*10.764</f>
        <v>222.38423999999998</v>
      </c>
      <c r="G241" s="65"/>
      <c r="H241" s="29">
        <v>0</v>
      </c>
      <c r="I241" s="30">
        <f t="shared" si="7"/>
        <v>355.81478399999997</v>
      </c>
    </row>
    <row r="242" spans="1:9" s="18" customFormat="1" ht="21" x14ac:dyDescent="0.25">
      <c r="A242" s="75"/>
      <c r="B242" s="75"/>
      <c r="C242" s="66">
        <v>8</v>
      </c>
      <c r="D242" s="66"/>
      <c r="E242" s="29" t="s">
        <v>209</v>
      </c>
      <c r="F242" s="65">
        <f>20.53*10.764</f>
        <v>220.98491999999999</v>
      </c>
      <c r="G242" s="65"/>
      <c r="H242" s="29">
        <v>0</v>
      </c>
      <c r="I242" s="30">
        <f t="shared" si="7"/>
        <v>353.575872</v>
      </c>
    </row>
    <row r="243" spans="1:9" s="18" customFormat="1" ht="21" x14ac:dyDescent="0.25">
      <c r="A243" s="75"/>
      <c r="B243" s="75"/>
      <c r="C243" s="66">
        <v>9</v>
      </c>
      <c r="D243" s="66"/>
      <c r="E243" s="29" t="s">
        <v>209</v>
      </c>
      <c r="F243" s="65">
        <f>22.71*10.764</f>
        <v>244.45043999999999</v>
      </c>
      <c r="G243" s="65"/>
      <c r="H243" s="29">
        <v>0</v>
      </c>
      <c r="I243" s="30">
        <f t="shared" si="7"/>
        <v>391.12070399999999</v>
      </c>
    </row>
    <row r="244" spans="1:9" s="18" customFormat="1" ht="21" x14ac:dyDescent="0.25">
      <c r="A244" s="75"/>
      <c r="B244" s="75"/>
      <c r="C244" s="66">
        <v>10</v>
      </c>
      <c r="D244" s="66"/>
      <c r="E244" s="29" t="s">
        <v>209</v>
      </c>
      <c r="F244" s="65">
        <f>20.89*10.764</f>
        <v>224.85996</v>
      </c>
      <c r="G244" s="65"/>
      <c r="H244" s="29">
        <v>0</v>
      </c>
      <c r="I244" s="30">
        <f t="shared" si="7"/>
        <v>359.775936</v>
      </c>
    </row>
    <row r="245" spans="1:9" s="18" customFormat="1" ht="21" x14ac:dyDescent="0.25">
      <c r="A245" s="74" t="s">
        <v>311</v>
      </c>
      <c r="B245" s="74"/>
      <c r="C245" s="74"/>
      <c r="D245" s="74"/>
      <c r="E245" s="74"/>
      <c r="F245" s="74"/>
      <c r="G245" s="74"/>
      <c r="H245" s="74"/>
      <c r="I245" s="74"/>
    </row>
    <row r="246" spans="1:9" s="18" customFormat="1" ht="21" customHeight="1" x14ac:dyDescent="0.25">
      <c r="A246" s="75" t="str">
        <f>A245</f>
        <v>1st to 7th Floor for Commercial</v>
      </c>
      <c r="B246" s="75"/>
      <c r="C246" s="66" t="s">
        <v>238</v>
      </c>
      <c r="D246" s="66" t="s">
        <v>238</v>
      </c>
      <c r="E246" s="29" t="s">
        <v>209</v>
      </c>
      <c r="F246" s="65">
        <f>20.76*10.764</f>
        <v>223.46064000000001</v>
      </c>
      <c r="G246" s="65"/>
      <c r="H246" s="29">
        <v>0</v>
      </c>
      <c r="I246" s="30">
        <f t="shared" ref="I246:I255" si="8">F246*1.6+H246</f>
        <v>357.53702400000003</v>
      </c>
    </row>
    <row r="247" spans="1:9" s="18" customFormat="1" ht="21" customHeight="1" x14ac:dyDescent="0.25">
      <c r="A247" s="75"/>
      <c r="B247" s="75"/>
      <c r="C247" s="66" t="s">
        <v>239</v>
      </c>
      <c r="D247" s="66" t="s">
        <v>239</v>
      </c>
      <c r="E247" s="29" t="s">
        <v>209</v>
      </c>
      <c r="F247" s="65">
        <f>20.76*10.764</f>
        <v>223.46064000000001</v>
      </c>
      <c r="G247" s="65"/>
      <c r="H247" s="29">
        <v>0</v>
      </c>
      <c r="I247" s="30">
        <f t="shared" si="8"/>
        <v>357.53702400000003</v>
      </c>
    </row>
    <row r="248" spans="1:9" s="18" customFormat="1" ht="21" customHeight="1" x14ac:dyDescent="0.25">
      <c r="A248" s="75"/>
      <c r="B248" s="75"/>
      <c r="C248" s="66" t="s">
        <v>240</v>
      </c>
      <c r="D248" s="66" t="s">
        <v>240</v>
      </c>
      <c r="E248" s="29" t="s">
        <v>209</v>
      </c>
      <c r="F248" s="65">
        <f>20.76*10.764</f>
        <v>223.46064000000001</v>
      </c>
      <c r="G248" s="65"/>
      <c r="H248" s="29">
        <v>0</v>
      </c>
      <c r="I248" s="30">
        <f t="shared" si="8"/>
        <v>357.53702400000003</v>
      </c>
    </row>
    <row r="249" spans="1:9" s="18" customFormat="1" ht="21" customHeight="1" x14ac:dyDescent="0.25">
      <c r="A249" s="75"/>
      <c r="B249" s="75"/>
      <c r="C249" s="66" t="s">
        <v>241</v>
      </c>
      <c r="D249" s="66" t="s">
        <v>241</v>
      </c>
      <c r="E249" s="29" t="s">
        <v>209</v>
      </c>
      <c r="F249" s="65">
        <f>20.5*10.764</f>
        <v>220.66199999999998</v>
      </c>
      <c r="G249" s="65"/>
      <c r="H249" s="29">
        <v>0</v>
      </c>
      <c r="I249" s="30">
        <f t="shared" si="8"/>
        <v>353.05919999999998</v>
      </c>
    </row>
    <row r="250" spans="1:9" s="18" customFormat="1" ht="21" customHeight="1" x14ac:dyDescent="0.25">
      <c r="A250" s="75"/>
      <c r="B250" s="75"/>
      <c r="C250" s="66" t="s">
        <v>242</v>
      </c>
      <c r="D250" s="66" t="s">
        <v>242</v>
      </c>
      <c r="E250" s="29" t="s">
        <v>209</v>
      </c>
      <c r="F250" s="65">
        <f>20.67*10.764</f>
        <v>222.49188000000001</v>
      </c>
      <c r="G250" s="65"/>
      <c r="H250" s="29">
        <v>0</v>
      </c>
      <c r="I250" s="30">
        <f t="shared" si="8"/>
        <v>355.98700800000006</v>
      </c>
    </row>
    <row r="251" spans="1:9" s="18" customFormat="1" ht="21" customHeight="1" x14ac:dyDescent="0.25">
      <c r="A251" s="75"/>
      <c r="B251" s="75"/>
      <c r="C251" s="66" t="s">
        <v>243</v>
      </c>
      <c r="D251" s="66" t="s">
        <v>243</v>
      </c>
      <c r="E251" s="29" t="s">
        <v>209</v>
      </c>
      <c r="F251" s="65">
        <f>20.48*10.764</f>
        <v>220.44672</v>
      </c>
      <c r="G251" s="65"/>
      <c r="H251" s="29">
        <v>0</v>
      </c>
      <c r="I251" s="30">
        <f t="shared" si="8"/>
        <v>352.71475200000003</v>
      </c>
    </row>
    <row r="252" spans="1:9" s="18" customFormat="1" ht="21" customHeight="1" x14ac:dyDescent="0.25">
      <c r="A252" s="75"/>
      <c r="B252" s="75"/>
      <c r="C252" s="66" t="s">
        <v>244</v>
      </c>
      <c r="D252" s="66" t="s">
        <v>244</v>
      </c>
      <c r="E252" s="29" t="s">
        <v>209</v>
      </c>
      <c r="F252" s="65">
        <f>20.66*10.764</f>
        <v>222.38423999999998</v>
      </c>
      <c r="G252" s="65"/>
      <c r="H252" s="29">
        <v>0</v>
      </c>
      <c r="I252" s="30">
        <f t="shared" si="8"/>
        <v>355.81478399999997</v>
      </c>
    </row>
    <row r="253" spans="1:9" s="18" customFormat="1" ht="21" customHeight="1" x14ac:dyDescent="0.25">
      <c r="A253" s="75"/>
      <c r="B253" s="75"/>
      <c r="C253" s="66" t="s">
        <v>245</v>
      </c>
      <c r="D253" s="66" t="s">
        <v>245</v>
      </c>
      <c r="E253" s="29" t="s">
        <v>209</v>
      </c>
      <c r="F253" s="65">
        <f>20.53*10.764</f>
        <v>220.98491999999999</v>
      </c>
      <c r="G253" s="65"/>
      <c r="H253" s="29">
        <v>0</v>
      </c>
      <c r="I253" s="30">
        <f t="shared" si="8"/>
        <v>353.575872</v>
      </c>
    </row>
    <row r="254" spans="1:9" s="18" customFormat="1" ht="21" customHeight="1" x14ac:dyDescent="0.25">
      <c r="A254" s="75"/>
      <c r="B254" s="75"/>
      <c r="C254" s="66" t="s">
        <v>246</v>
      </c>
      <c r="D254" s="66" t="s">
        <v>246</v>
      </c>
      <c r="E254" s="29" t="s">
        <v>209</v>
      </c>
      <c r="F254" s="65">
        <f>22.71*10.764</f>
        <v>244.45043999999999</v>
      </c>
      <c r="G254" s="65"/>
      <c r="H254" s="29">
        <v>0</v>
      </c>
      <c r="I254" s="30">
        <f t="shared" si="8"/>
        <v>391.12070399999999</v>
      </c>
    </row>
    <row r="255" spans="1:9" s="18" customFormat="1" ht="21" customHeight="1" x14ac:dyDescent="0.25">
      <c r="A255" s="75"/>
      <c r="B255" s="75"/>
      <c r="C255" s="66" t="s">
        <v>247</v>
      </c>
      <c r="D255" s="66" t="s">
        <v>247</v>
      </c>
      <c r="E255" s="29" t="s">
        <v>209</v>
      </c>
      <c r="F255" s="65">
        <f>20.89*10.764</f>
        <v>224.85996</v>
      </c>
      <c r="G255" s="65"/>
      <c r="H255" s="29">
        <v>0</v>
      </c>
      <c r="I255" s="30">
        <f t="shared" si="8"/>
        <v>359.775936</v>
      </c>
    </row>
    <row r="256" spans="1:9" ht="22.5" customHeight="1" x14ac:dyDescent="0.25">
      <c r="A256" s="63" t="s">
        <v>73</v>
      </c>
      <c r="B256" s="63"/>
      <c r="C256" s="63"/>
      <c r="D256" s="63"/>
      <c r="E256" s="63"/>
      <c r="F256" s="63"/>
      <c r="G256" s="63"/>
      <c r="H256" s="63"/>
      <c r="I256" s="63"/>
    </row>
    <row r="257" spans="1:10" ht="352.5" customHeight="1" x14ac:dyDescent="0.25">
      <c r="A257" s="19" t="s">
        <v>79</v>
      </c>
      <c r="B257" s="23" t="s">
        <v>4</v>
      </c>
      <c r="C257" s="61" t="s">
        <v>327</v>
      </c>
      <c r="D257" s="61"/>
      <c r="E257" s="61"/>
      <c r="F257" s="61"/>
      <c r="G257" s="61"/>
      <c r="H257" s="61"/>
      <c r="I257" s="61"/>
      <c r="J257" s="12" t="s">
        <v>131</v>
      </c>
    </row>
    <row r="258" spans="1:10" ht="23.25" customHeight="1" x14ac:dyDescent="0.25">
      <c r="A258" s="63" t="s">
        <v>80</v>
      </c>
      <c r="B258" s="63"/>
      <c r="C258" s="63"/>
      <c r="D258" s="63"/>
      <c r="E258" s="63"/>
      <c r="F258" s="63"/>
      <c r="G258" s="63"/>
      <c r="H258" s="63"/>
      <c r="I258" s="63"/>
    </row>
    <row r="259" spans="1:10" ht="20.25" x14ac:dyDescent="0.25">
      <c r="A259" s="60" t="s">
        <v>74</v>
      </c>
      <c r="B259" s="60"/>
      <c r="C259" s="60"/>
      <c r="D259" s="11" t="s">
        <v>4</v>
      </c>
      <c r="E259" s="97" t="str">
        <f>E3</f>
        <v>Purva Clermont</v>
      </c>
      <c r="F259" s="98"/>
      <c r="G259" s="98"/>
      <c r="H259" s="98"/>
      <c r="I259" s="99"/>
    </row>
    <row r="260" spans="1:10" ht="20.25" customHeight="1" x14ac:dyDescent="0.25">
      <c r="A260" s="60" t="s">
        <v>162</v>
      </c>
      <c r="B260" s="60"/>
      <c r="C260" s="60"/>
      <c r="D260" s="11" t="s">
        <v>4</v>
      </c>
      <c r="E260" s="97" t="str">
        <f>E11</f>
        <v>Purva Clermont, VN Purva Marg, Dattaguru Society, Chembur, Mumbai, Maharashtra.</v>
      </c>
      <c r="F260" s="98"/>
      <c r="G260" s="98"/>
      <c r="H260" s="98"/>
      <c r="I260" s="99"/>
    </row>
    <row r="261" spans="1:10" ht="19.5" customHeight="1" x14ac:dyDescent="0.25">
      <c r="A261" s="84" t="s">
        <v>171</v>
      </c>
      <c r="B261" s="84"/>
      <c r="C261" s="84"/>
      <c r="D261" s="13" t="s">
        <v>4</v>
      </c>
      <c r="E261" s="85" t="str">
        <f>I3</f>
        <v>05/07/2025 at 10:52 AM</v>
      </c>
      <c r="F261" s="86"/>
      <c r="G261" s="86"/>
      <c r="H261" s="86"/>
      <c r="I261" s="87"/>
    </row>
    <row r="262" spans="1:10" ht="20.25" x14ac:dyDescent="0.25">
      <c r="A262" s="63" t="s">
        <v>303</v>
      </c>
      <c r="B262" s="63"/>
      <c r="C262" s="63"/>
      <c r="D262" s="63"/>
      <c r="E262" s="63"/>
      <c r="F262" s="63"/>
      <c r="G262" s="63"/>
      <c r="H262" s="63"/>
      <c r="I262" s="63"/>
    </row>
    <row r="263" spans="1:10" ht="38.25" customHeight="1" x14ac:dyDescent="0.25">
      <c r="A263" s="88"/>
      <c r="B263" s="89"/>
      <c r="C263" s="89"/>
      <c r="D263" s="89"/>
      <c r="E263" s="89"/>
      <c r="F263" s="89"/>
      <c r="G263" s="89"/>
      <c r="H263" s="89"/>
      <c r="I263" s="90"/>
    </row>
    <row r="264" spans="1:10" ht="38.25" customHeight="1" x14ac:dyDescent="0.25">
      <c r="A264" s="91"/>
      <c r="B264" s="92"/>
      <c r="C264" s="92"/>
      <c r="D264" s="92"/>
      <c r="E264" s="92"/>
      <c r="F264" s="92"/>
      <c r="G264" s="92"/>
      <c r="H264" s="92"/>
      <c r="I264" s="93"/>
    </row>
    <row r="265" spans="1:10" ht="38.25" customHeight="1" x14ac:dyDescent="0.25">
      <c r="A265" s="91"/>
      <c r="B265" s="92"/>
      <c r="C265" s="92"/>
      <c r="D265" s="92"/>
      <c r="E265" s="92"/>
      <c r="F265" s="92"/>
      <c r="G265" s="92"/>
      <c r="H265" s="92"/>
      <c r="I265" s="93"/>
    </row>
    <row r="266" spans="1:10" ht="38.25" customHeight="1" x14ac:dyDescent="0.25">
      <c r="A266" s="91"/>
      <c r="B266" s="92"/>
      <c r="C266" s="92"/>
      <c r="D266" s="92"/>
      <c r="E266" s="92"/>
      <c r="F266" s="92"/>
      <c r="G266" s="92"/>
      <c r="H266" s="92"/>
      <c r="I266" s="93"/>
    </row>
    <row r="267" spans="1:10" ht="38.25" customHeight="1" x14ac:dyDescent="0.25">
      <c r="A267" s="91"/>
      <c r="B267" s="92"/>
      <c r="C267" s="92"/>
      <c r="D267" s="92"/>
      <c r="E267" s="92"/>
      <c r="F267" s="92"/>
      <c r="G267" s="92"/>
      <c r="H267" s="92"/>
      <c r="I267" s="93"/>
    </row>
    <row r="268" spans="1:10" ht="38.25" customHeight="1" x14ac:dyDescent="0.25">
      <c r="A268" s="91"/>
      <c r="B268" s="92"/>
      <c r="C268" s="92"/>
      <c r="D268" s="92"/>
      <c r="E268" s="92"/>
      <c r="F268" s="92"/>
      <c r="G268" s="92"/>
      <c r="H268" s="92"/>
      <c r="I268" s="93"/>
    </row>
    <row r="269" spans="1:10" ht="38.25" customHeight="1" x14ac:dyDescent="0.25">
      <c r="A269" s="91"/>
      <c r="B269" s="92"/>
      <c r="C269" s="92"/>
      <c r="D269" s="92"/>
      <c r="E269" s="92"/>
      <c r="F269" s="92"/>
      <c r="G269" s="92"/>
      <c r="H269" s="92"/>
      <c r="I269" s="93"/>
    </row>
    <row r="270" spans="1:10" ht="38.25" customHeight="1" x14ac:dyDescent="0.25">
      <c r="A270" s="91"/>
      <c r="B270" s="92"/>
      <c r="C270" s="92"/>
      <c r="D270" s="92"/>
      <c r="E270" s="92"/>
      <c r="F270" s="92"/>
      <c r="G270" s="92"/>
      <c r="H270" s="92"/>
      <c r="I270" s="93"/>
    </row>
    <row r="271" spans="1:10" ht="38.25" customHeight="1" x14ac:dyDescent="0.25">
      <c r="A271" s="91"/>
      <c r="B271" s="92"/>
      <c r="C271" s="92"/>
      <c r="D271" s="92"/>
      <c r="E271" s="92"/>
      <c r="F271" s="92"/>
      <c r="G271" s="92"/>
      <c r="H271" s="92"/>
      <c r="I271" s="93"/>
    </row>
    <row r="272" spans="1:10" ht="38.25" customHeight="1" x14ac:dyDescent="0.25">
      <c r="A272" s="91"/>
      <c r="B272" s="92"/>
      <c r="C272" s="92"/>
      <c r="D272" s="92"/>
      <c r="E272" s="92"/>
      <c r="F272" s="92"/>
      <c r="G272" s="92"/>
      <c r="H272" s="92"/>
      <c r="I272" s="93"/>
    </row>
    <row r="273" spans="1:9" ht="38.25" customHeight="1" x14ac:dyDescent="0.25">
      <c r="A273" s="91"/>
      <c r="B273" s="92"/>
      <c r="C273" s="92"/>
      <c r="D273" s="92"/>
      <c r="E273" s="92"/>
      <c r="F273" s="92"/>
      <c r="G273" s="92"/>
      <c r="H273" s="92"/>
      <c r="I273" s="93"/>
    </row>
    <row r="274" spans="1:9" ht="38.25" customHeight="1" x14ac:dyDescent="0.25">
      <c r="A274" s="91"/>
      <c r="B274" s="92"/>
      <c r="C274" s="92"/>
      <c r="D274" s="92"/>
      <c r="E274" s="92"/>
      <c r="F274" s="92"/>
      <c r="G274" s="92"/>
      <c r="H274" s="92"/>
      <c r="I274" s="93"/>
    </row>
    <row r="275" spans="1:9" ht="38.25" customHeight="1" x14ac:dyDescent="0.25">
      <c r="A275" s="91"/>
      <c r="B275" s="92"/>
      <c r="C275" s="92"/>
      <c r="D275" s="92"/>
      <c r="E275" s="92"/>
      <c r="F275" s="92"/>
      <c r="G275" s="92"/>
      <c r="H275" s="92"/>
      <c r="I275" s="93"/>
    </row>
    <row r="276" spans="1:9" ht="38.25" customHeight="1" x14ac:dyDescent="0.25">
      <c r="A276" s="91"/>
      <c r="B276" s="92"/>
      <c r="C276" s="92"/>
      <c r="D276" s="92"/>
      <c r="E276" s="92"/>
      <c r="F276" s="92"/>
      <c r="G276" s="92"/>
      <c r="H276" s="92"/>
      <c r="I276" s="93"/>
    </row>
    <row r="277" spans="1:9" ht="38.25" customHeight="1" x14ac:dyDescent="0.25">
      <c r="A277" s="91"/>
      <c r="B277" s="92"/>
      <c r="C277" s="92"/>
      <c r="D277" s="92"/>
      <c r="E277" s="92"/>
      <c r="F277" s="92"/>
      <c r="G277" s="92"/>
      <c r="H277" s="92"/>
      <c r="I277" s="93"/>
    </row>
    <row r="278" spans="1:9" ht="30" customHeight="1" x14ac:dyDescent="0.25">
      <c r="A278" s="91"/>
      <c r="B278" s="92"/>
      <c r="C278" s="92"/>
      <c r="D278" s="92"/>
      <c r="E278" s="92"/>
      <c r="F278" s="92"/>
      <c r="G278" s="92"/>
      <c r="H278" s="92"/>
      <c r="I278" s="93"/>
    </row>
    <row r="279" spans="1:9" ht="38.25" customHeight="1" x14ac:dyDescent="0.25">
      <c r="A279" s="91"/>
      <c r="B279" s="92"/>
      <c r="C279" s="92"/>
      <c r="D279" s="92"/>
      <c r="E279" s="92"/>
      <c r="F279" s="92"/>
      <c r="G279" s="92"/>
      <c r="H279" s="92"/>
      <c r="I279" s="93"/>
    </row>
    <row r="280" spans="1:9" ht="38.25" customHeight="1" x14ac:dyDescent="0.25">
      <c r="A280" s="91"/>
      <c r="B280" s="92"/>
      <c r="C280" s="92"/>
      <c r="D280" s="92"/>
      <c r="E280" s="92"/>
      <c r="F280" s="92"/>
      <c r="G280" s="92"/>
      <c r="H280" s="92"/>
      <c r="I280" s="93"/>
    </row>
    <row r="281" spans="1:9" ht="38.25" customHeight="1" x14ac:dyDescent="0.25">
      <c r="A281" s="91"/>
      <c r="B281" s="92"/>
      <c r="C281" s="92"/>
      <c r="D281" s="92"/>
      <c r="E281" s="92"/>
      <c r="F281" s="92"/>
      <c r="G281" s="92"/>
      <c r="H281" s="92"/>
      <c r="I281" s="93"/>
    </row>
    <row r="282" spans="1:9" ht="38.25" customHeight="1" x14ac:dyDescent="0.25">
      <c r="A282" s="91"/>
      <c r="B282" s="92"/>
      <c r="C282" s="92"/>
      <c r="D282" s="92"/>
      <c r="E282" s="92"/>
      <c r="F282" s="92"/>
      <c r="G282" s="92"/>
      <c r="H282" s="92"/>
      <c r="I282" s="93"/>
    </row>
    <row r="283" spans="1:9" ht="30" customHeight="1" x14ac:dyDescent="0.25">
      <c r="A283" s="91"/>
      <c r="B283" s="92"/>
      <c r="C283" s="92"/>
      <c r="D283" s="92"/>
      <c r="E283" s="92"/>
      <c r="F283" s="92"/>
      <c r="G283" s="92"/>
      <c r="H283" s="92"/>
      <c r="I283" s="93"/>
    </row>
    <row r="284" spans="1:9" ht="38.25" hidden="1" customHeight="1" x14ac:dyDescent="0.25">
      <c r="A284" s="91"/>
      <c r="B284" s="92"/>
      <c r="C284" s="92"/>
      <c r="D284" s="92"/>
      <c r="E284" s="92"/>
      <c r="F284" s="92"/>
      <c r="G284" s="92"/>
      <c r="H284" s="92"/>
      <c r="I284" s="93"/>
    </row>
    <row r="285" spans="1:9" ht="38.25" hidden="1" customHeight="1" x14ac:dyDescent="0.25">
      <c r="A285" s="91"/>
      <c r="B285" s="92"/>
      <c r="C285" s="92"/>
      <c r="D285" s="92"/>
      <c r="E285" s="92"/>
      <c r="F285" s="92"/>
      <c r="G285" s="92"/>
      <c r="H285" s="92"/>
      <c r="I285" s="93"/>
    </row>
    <row r="286" spans="1:9" ht="38.25" hidden="1" customHeight="1" x14ac:dyDescent="0.25">
      <c r="A286" s="91"/>
      <c r="B286" s="92"/>
      <c r="C286" s="92"/>
      <c r="D286" s="92"/>
      <c r="E286" s="92"/>
      <c r="F286" s="92"/>
      <c r="G286" s="92"/>
      <c r="H286" s="92"/>
      <c r="I286" s="93"/>
    </row>
    <row r="287" spans="1:9" ht="38.25" hidden="1" customHeight="1" x14ac:dyDescent="0.25">
      <c r="A287" s="91"/>
      <c r="B287" s="92"/>
      <c r="C287" s="92"/>
      <c r="D287" s="92"/>
      <c r="E287" s="92"/>
      <c r="F287" s="92"/>
      <c r="G287" s="92"/>
      <c r="H287" s="92"/>
      <c r="I287" s="93"/>
    </row>
    <row r="288" spans="1:9" ht="30" hidden="1" customHeight="1" x14ac:dyDescent="0.25">
      <c r="A288" s="91"/>
      <c r="B288" s="92"/>
      <c r="C288" s="92"/>
      <c r="D288" s="92"/>
      <c r="E288" s="92"/>
      <c r="F288" s="92"/>
      <c r="G288" s="92"/>
      <c r="H288" s="92"/>
      <c r="I288" s="93"/>
    </row>
    <row r="289" spans="1:9" ht="20.25" x14ac:dyDescent="0.25">
      <c r="A289" s="94"/>
      <c r="B289" s="95"/>
      <c r="C289" s="95"/>
      <c r="D289" s="95"/>
      <c r="E289" s="95"/>
      <c r="F289" s="95"/>
      <c r="G289" s="95"/>
      <c r="H289" s="95"/>
      <c r="I289" s="96"/>
    </row>
    <row r="290" spans="1:9" ht="20.25" x14ac:dyDescent="0.25">
      <c r="A290" s="63" t="s">
        <v>81</v>
      </c>
      <c r="B290" s="63"/>
      <c r="C290" s="63"/>
      <c r="D290" s="63"/>
      <c r="E290" s="63"/>
      <c r="F290" s="63"/>
      <c r="G290" s="63"/>
      <c r="H290" s="63"/>
      <c r="I290" s="63"/>
    </row>
    <row r="291" spans="1:9" ht="38.25" customHeight="1" x14ac:dyDescent="0.25">
      <c r="A291" s="83"/>
      <c r="B291" s="83"/>
      <c r="C291" s="83"/>
      <c r="D291" s="83"/>
      <c r="E291" s="83"/>
      <c r="F291" s="83"/>
      <c r="G291" s="83"/>
      <c r="H291" s="83"/>
      <c r="I291" s="83"/>
    </row>
    <row r="292" spans="1:9" ht="38.25" customHeight="1" x14ac:dyDescent="0.25">
      <c r="A292" s="83"/>
      <c r="B292" s="83"/>
      <c r="C292" s="83"/>
      <c r="D292" s="83"/>
      <c r="E292" s="83"/>
      <c r="F292" s="83"/>
      <c r="G292" s="83"/>
      <c r="H292" s="83"/>
      <c r="I292" s="83"/>
    </row>
    <row r="293" spans="1:9" ht="38.25" customHeight="1" x14ac:dyDescent="0.25">
      <c r="A293" s="83"/>
      <c r="B293" s="83"/>
      <c r="C293" s="83"/>
      <c r="D293" s="83"/>
      <c r="E293" s="83"/>
      <c r="F293" s="83"/>
      <c r="G293" s="83"/>
      <c r="H293" s="83"/>
      <c r="I293" s="83"/>
    </row>
    <row r="294" spans="1:9" ht="38.25" customHeight="1" x14ac:dyDescent="0.25">
      <c r="A294" s="83"/>
      <c r="B294" s="83"/>
      <c r="C294" s="83"/>
      <c r="D294" s="83"/>
      <c r="E294" s="83"/>
      <c r="F294" s="83"/>
      <c r="G294" s="83"/>
      <c r="H294" s="83"/>
      <c r="I294" s="83"/>
    </row>
    <row r="295" spans="1:9" ht="38.25" customHeight="1" x14ac:dyDescent="0.25">
      <c r="A295" s="83"/>
      <c r="B295" s="83"/>
      <c r="C295" s="83"/>
      <c r="D295" s="83"/>
      <c r="E295" s="83"/>
      <c r="F295" s="83"/>
      <c r="G295" s="83"/>
      <c r="H295" s="83"/>
      <c r="I295" s="83"/>
    </row>
    <row r="296" spans="1:9" ht="38.25" customHeight="1" x14ac:dyDescent="0.25">
      <c r="A296" s="83"/>
      <c r="B296" s="83"/>
      <c r="C296" s="83"/>
      <c r="D296" s="83"/>
      <c r="E296" s="83"/>
      <c r="F296" s="83"/>
      <c r="G296" s="83"/>
      <c r="H296" s="83"/>
      <c r="I296" s="83"/>
    </row>
    <row r="297" spans="1:9" ht="38.25" customHeight="1" x14ac:dyDescent="0.25">
      <c r="A297" s="83"/>
      <c r="B297" s="83"/>
      <c r="C297" s="83"/>
      <c r="D297" s="83"/>
      <c r="E297" s="83"/>
      <c r="F297" s="83"/>
      <c r="G297" s="83"/>
      <c r="H297" s="83"/>
      <c r="I297" s="83"/>
    </row>
    <row r="298" spans="1:9" ht="38.25" customHeight="1" x14ac:dyDescent="0.25">
      <c r="A298" s="83"/>
      <c r="B298" s="83"/>
      <c r="C298" s="83"/>
      <c r="D298" s="83"/>
      <c r="E298" s="83"/>
      <c r="F298" s="83"/>
      <c r="G298" s="83"/>
      <c r="H298" s="83"/>
      <c r="I298" s="83"/>
    </row>
    <row r="299" spans="1:9" ht="38.25" customHeight="1" x14ac:dyDescent="0.25">
      <c r="A299" s="83"/>
      <c r="B299" s="83"/>
      <c r="C299" s="83"/>
      <c r="D299" s="83"/>
      <c r="E299" s="83"/>
      <c r="F299" s="83"/>
      <c r="G299" s="83"/>
      <c r="H299" s="83"/>
      <c r="I299" s="83"/>
    </row>
    <row r="300" spans="1:9" ht="38.25" customHeight="1" x14ac:dyDescent="0.25">
      <c r="A300" s="83"/>
      <c r="B300" s="83"/>
      <c r="C300" s="83"/>
      <c r="D300" s="83"/>
      <c r="E300" s="83"/>
      <c r="F300" s="83"/>
      <c r="G300" s="83"/>
      <c r="H300" s="83"/>
      <c r="I300" s="83"/>
    </row>
    <row r="301" spans="1:9" ht="38.25" customHeight="1" x14ac:dyDescent="0.25">
      <c r="A301" s="83"/>
      <c r="B301" s="83"/>
      <c r="C301" s="83"/>
      <c r="D301" s="83"/>
      <c r="E301" s="83"/>
      <c r="F301" s="83"/>
      <c r="G301" s="83"/>
      <c r="H301" s="83"/>
      <c r="I301" s="83"/>
    </row>
    <row r="302" spans="1:9" ht="38.25" customHeight="1" x14ac:dyDescent="0.25">
      <c r="A302" s="83"/>
      <c r="B302" s="83"/>
      <c r="C302" s="83"/>
      <c r="D302" s="83"/>
      <c r="E302" s="83"/>
      <c r="F302" s="83"/>
      <c r="G302" s="83"/>
      <c r="H302" s="83"/>
      <c r="I302" s="83"/>
    </row>
    <row r="303" spans="1:9" ht="38.25" customHeight="1" x14ac:dyDescent="0.25">
      <c r="A303" s="83"/>
      <c r="B303" s="83"/>
      <c r="C303" s="83"/>
      <c r="D303" s="83"/>
      <c r="E303" s="83"/>
      <c r="F303" s="83"/>
      <c r="G303" s="83"/>
      <c r="H303" s="83"/>
      <c r="I303" s="83"/>
    </row>
    <row r="304" spans="1:9" ht="38.25" customHeight="1" x14ac:dyDescent="0.25">
      <c r="A304" s="83"/>
      <c r="B304" s="83"/>
      <c r="C304" s="83"/>
      <c r="D304" s="83"/>
      <c r="E304" s="83"/>
      <c r="F304" s="83"/>
      <c r="G304" s="83"/>
      <c r="H304" s="83"/>
      <c r="I304" s="83"/>
    </row>
    <row r="305" spans="1:9" ht="38.25" customHeight="1" x14ac:dyDescent="0.25">
      <c r="A305" s="83"/>
      <c r="B305" s="83"/>
      <c r="C305" s="83"/>
      <c r="D305" s="83"/>
      <c r="E305" s="83"/>
      <c r="F305" s="83"/>
      <c r="G305" s="83"/>
      <c r="H305" s="83"/>
      <c r="I305" s="83"/>
    </row>
    <row r="306" spans="1:9" ht="30" customHeight="1" x14ac:dyDescent="0.25">
      <c r="A306" s="83"/>
      <c r="B306" s="83"/>
      <c r="C306" s="83"/>
      <c r="D306" s="83"/>
      <c r="E306" s="83"/>
      <c r="F306" s="83"/>
      <c r="G306" s="83"/>
      <c r="H306" s="83"/>
      <c r="I306" s="83"/>
    </row>
    <row r="307" spans="1:9" ht="20.25" x14ac:dyDescent="0.25">
      <c r="A307" s="63" t="s">
        <v>28</v>
      </c>
      <c r="B307" s="63"/>
      <c r="C307" s="63"/>
      <c r="D307" s="63"/>
      <c r="E307" s="63"/>
      <c r="F307" s="63"/>
      <c r="G307" s="63"/>
      <c r="H307" s="63"/>
      <c r="I307" s="63"/>
    </row>
    <row r="308" spans="1:9" ht="20.25" x14ac:dyDescent="0.25">
      <c r="A308" s="60" t="s">
        <v>83</v>
      </c>
      <c r="B308" s="60"/>
      <c r="C308" s="60"/>
      <c r="D308" s="60"/>
      <c r="E308" s="60"/>
      <c r="F308" s="60"/>
      <c r="G308" s="60"/>
      <c r="H308" s="60"/>
      <c r="I308" s="60"/>
    </row>
    <row r="309" spans="1:9" ht="20.25" x14ac:dyDescent="0.25">
      <c r="A309" s="60" t="s">
        <v>84</v>
      </c>
      <c r="B309" s="60"/>
      <c r="C309" s="60"/>
      <c r="D309" s="60"/>
      <c r="E309" s="60"/>
      <c r="F309" s="60"/>
      <c r="G309" s="60"/>
      <c r="H309" s="60"/>
      <c r="I309" s="60"/>
    </row>
    <row r="310" spans="1:9" ht="39.75" customHeight="1" x14ac:dyDescent="0.25">
      <c r="A310" s="60" t="s">
        <v>85</v>
      </c>
      <c r="B310" s="60"/>
      <c r="C310" s="60"/>
      <c r="D310" s="60"/>
      <c r="E310" s="60"/>
      <c r="F310" s="60"/>
      <c r="G310" s="60"/>
      <c r="H310" s="60"/>
      <c r="I310" s="60"/>
    </row>
    <row r="311" spans="1:9" ht="39.75" customHeight="1" x14ac:dyDescent="0.25">
      <c r="A311" s="60" t="s">
        <v>86</v>
      </c>
      <c r="B311" s="60"/>
      <c r="C311" s="60"/>
      <c r="D311" s="60"/>
      <c r="E311" s="60"/>
      <c r="F311" s="60"/>
      <c r="G311" s="60"/>
      <c r="H311" s="60"/>
      <c r="I311" s="60"/>
    </row>
    <row r="312" spans="1:9" ht="20.25" x14ac:dyDescent="0.25">
      <c r="A312" s="60" t="s">
        <v>87</v>
      </c>
      <c r="B312" s="60"/>
      <c r="C312" s="60"/>
      <c r="D312" s="60"/>
      <c r="E312" s="60"/>
      <c r="F312" s="60"/>
      <c r="G312" s="60"/>
      <c r="H312" s="60"/>
      <c r="I312" s="60"/>
    </row>
    <row r="313" spans="1:9" ht="20.25" x14ac:dyDescent="0.25">
      <c r="A313" s="60" t="s">
        <v>88</v>
      </c>
      <c r="B313" s="60"/>
      <c r="C313" s="60"/>
      <c r="D313" s="60"/>
      <c r="E313" s="60"/>
      <c r="F313" s="60"/>
      <c r="G313" s="60"/>
      <c r="H313" s="60"/>
      <c r="I313" s="60"/>
    </row>
    <row r="314" spans="1:9" ht="60.75" customHeight="1" x14ac:dyDescent="0.25">
      <c r="A314" s="60" t="s">
        <v>89</v>
      </c>
      <c r="B314" s="60"/>
      <c r="C314" s="60"/>
      <c r="D314" s="60"/>
      <c r="E314" s="60"/>
      <c r="F314" s="60"/>
      <c r="G314" s="60"/>
      <c r="H314" s="60"/>
      <c r="I314" s="60"/>
    </row>
    <row r="315" spans="1:9" ht="42" customHeight="1" x14ac:dyDescent="0.25">
      <c r="A315" s="60" t="s">
        <v>90</v>
      </c>
      <c r="B315" s="60"/>
      <c r="C315" s="60"/>
      <c r="D315" s="60"/>
      <c r="E315" s="60"/>
      <c r="F315" s="60"/>
      <c r="G315" s="60"/>
      <c r="H315" s="60"/>
      <c r="I315" s="60"/>
    </row>
    <row r="316" spans="1:9" ht="20.25" x14ac:dyDescent="0.25">
      <c r="A316" s="60" t="s">
        <v>91</v>
      </c>
      <c r="B316" s="60"/>
      <c r="C316" s="60"/>
      <c r="D316" s="60"/>
      <c r="E316" s="60"/>
      <c r="F316" s="60"/>
      <c r="G316" s="60"/>
      <c r="H316" s="60"/>
      <c r="I316" s="60"/>
    </row>
    <row r="317" spans="1:9" ht="66.75" customHeight="1" x14ac:dyDescent="0.25">
      <c r="A317" s="82" t="s">
        <v>34</v>
      </c>
      <c r="B317" s="82"/>
      <c r="C317" s="82"/>
      <c r="D317" s="11" t="s">
        <v>4</v>
      </c>
      <c r="E317" s="15" t="s">
        <v>321</v>
      </c>
      <c r="F317" s="16" t="s">
        <v>10</v>
      </c>
      <c r="G317" s="11" t="s">
        <v>4</v>
      </c>
      <c r="H317" s="83"/>
      <c r="I317" s="83"/>
    </row>
  </sheetData>
  <mergeCells count="533">
    <mergeCell ref="C51:E51"/>
    <mergeCell ref="H48:I51"/>
    <mergeCell ref="F48:F51"/>
    <mergeCell ref="G48:G51"/>
    <mergeCell ref="A48:A51"/>
    <mergeCell ref="J4:K4"/>
    <mergeCell ref="A130:B130"/>
    <mergeCell ref="C130:D130"/>
    <mergeCell ref="A131:B131"/>
    <mergeCell ref="C131:D131"/>
    <mergeCell ref="A132:B132"/>
    <mergeCell ref="C132:D132"/>
    <mergeCell ref="A133:B133"/>
    <mergeCell ref="C133:D133"/>
    <mergeCell ref="A129:B129"/>
    <mergeCell ref="C129:D129"/>
    <mergeCell ref="A114:B114"/>
    <mergeCell ref="C114:D114"/>
    <mergeCell ref="A115:B115"/>
    <mergeCell ref="C115:D115"/>
    <mergeCell ref="A116:B116"/>
    <mergeCell ref="C116:D116"/>
    <mergeCell ref="A117:B117"/>
    <mergeCell ref="C117:D117"/>
    <mergeCell ref="A118:B118"/>
    <mergeCell ref="C118:D118"/>
    <mergeCell ref="A103:I103"/>
    <mergeCell ref="A104:C105"/>
    <mergeCell ref="D104:D105"/>
    <mergeCell ref="A134:B134"/>
    <mergeCell ref="C134:D134"/>
    <mergeCell ref="A119:I119"/>
    <mergeCell ref="A120:C121"/>
    <mergeCell ref="D120:D121"/>
    <mergeCell ref="F120:G120"/>
    <mergeCell ref="F121:G121"/>
    <mergeCell ref="A122:B122"/>
    <mergeCell ref="C122:D122"/>
    <mergeCell ref="F122:G122"/>
    <mergeCell ref="A123:B123"/>
    <mergeCell ref="C123:D123"/>
    <mergeCell ref="F123:G134"/>
    <mergeCell ref="H123:I134"/>
    <mergeCell ref="A124:B124"/>
    <mergeCell ref="C124:D124"/>
    <mergeCell ref="A125:B125"/>
    <mergeCell ref="C125:D125"/>
    <mergeCell ref="A126:B126"/>
    <mergeCell ref="C126:D126"/>
    <mergeCell ref="A127:B127"/>
    <mergeCell ref="C127:D127"/>
    <mergeCell ref="A128:B128"/>
    <mergeCell ref="C128:D128"/>
    <mergeCell ref="F104:G104"/>
    <mergeCell ref="F105:G105"/>
    <mergeCell ref="A106:B106"/>
    <mergeCell ref="C106:D106"/>
    <mergeCell ref="F106:G106"/>
    <mergeCell ref="A107:B107"/>
    <mergeCell ref="C107:D107"/>
    <mergeCell ref="F107:G118"/>
    <mergeCell ref="H107:I118"/>
    <mergeCell ref="A108:B108"/>
    <mergeCell ref="C108:D108"/>
    <mergeCell ref="A109:B109"/>
    <mergeCell ref="C109:D109"/>
    <mergeCell ref="A110:B110"/>
    <mergeCell ref="C110:D110"/>
    <mergeCell ref="A111:B111"/>
    <mergeCell ref="C111:D111"/>
    <mergeCell ref="A112:B112"/>
    <mergeCell ref="C112:D112"/>
    <mergeCell ref="A113:B113"/>
    <mergeCell ref="C113:D113"/>
    <mergeCell ref="A98:B98"/>
    <mergeCell ref="C98:D98"/>
    <mergeCell ref="A99:B99"/>
    <mergeCell ref="C99:D99"/>
    <mergeCell ref="A100:B100"/>
    <mergeCell ref="C100:D100"/>
    <mergeCell ref="A101:B101"/>
    <mergeCell ref="C101:D101"/>
    <mergeCell ref="A102:B102"/>
    <mergeCell ref="C102:D102"/>
    <mergeCell ref="A87:I87"/>
    <mergeCell ref="A88:C89"/>
    <mergeCell ref="D88:D89"/>
    <mergeCell ref="F88:G88"/>
    <mergeCell ref="F89:G89"/>
    <mergeCell ref="A90:B90"/>
    <mergeCell ref="C90:D90"/>
    <mergeCell ref="F90:G90"/>
    <mergeCell ref="A91:B91"/>
    <mergeCell ref="C91:D91"/>
    <mergeCell ref="F91:G102"/>
    <mergeCell ref="H91:I102"/>
    <mergeCell ref="A92:B92"/>
    <mergeCell ref="C92:D92"/>
    <mergeCell ref="A93:B93"/>
    <mergeCell ref="C93:D93"/>
    <mergeCell ref="A94:B94"/>
    <mergeCell ref="C94:D94"/>
    <mergeCell ref="A95:B95"/>
    <mergeCell ref="C95:D95"/>
    <mergeCell ref="A96:B96"/>
    <mergeCell ref="C96:D96"/>
    <mergeCell ref="A97:B97"/>
    <mergeCell ref="C97:D97"/>
    <mergeCell ref="A82:B82"/>
    <mergeCell ref="C82:D82"/>
    <mergeCell ref="A83:B83"/>
    <mergeCell ref="C83:D83"/>
    <mergeCell ref="A84:B84"/>
    <mergeCell ref="C84:D84"/>
    <mergeCell ref="A85:B85"/>
    <mergeCell ref="C85:D85"/>
    <mergeCell ref="A86:B86"/>
    <mergeCell ref="C86:D86"/>
    <mergeCell ref="A71:I71"/>
    <mergeCell ref="A72:C73"/>
    <mergeCell ref="D72:D73"/>
    <mergeCell ref="F72:G72"/>
    <mergeCell ref="F73:G73"/>
    <mergeCell ref="A74:B74"/>
    <mergeCell ref="C74:D74"/>
    <mergeCell ref="F74:G74"/>
    <mergeCell ref="A75:B75"/>
    <mergeCell ref="C75:D75"/>
    <mergeCell ref="F75:G86"/>
    <mergeCell ref="H75:I86"/>
    <mergeCell ref="A76:B76"/>
    <mergeCell ref="C76:D76"/>
    <mergeCell ref="A77:B77"/>
    <mergeCell ref="C77:D77"/>
    <mergeCell ref="A78:B78"/>
    <mergeCell ref="C78:D78"/>
    <mergeCell ref="A79:B79"/>
    <mergeCell ref="C79:D79"/>
    <mergeCell ref="A80:B80"/>
    <mergeCell ref="C80:D80"/>
    <mergeCell ref="A81:B81"/>
    <mergeCell ref="C81:D81"/>
    <mergeCell ref="A66:B66"/>
    <mergeCell ref="C66:D66"/>
    <mergeCell ref="A67:B67"/>
    <mergeCell ref="C67:D67"/>
    <mergeCell ref="A68:B68"/>
    <mergeCell ref="C68:D68"/>
    <mergeCell ref="A69:B69"/>
    <mergeCell ref="C69:D69"/>
    <mergeCell ref="A70:B70"/>
    <mergeCell ref="C70:D70"/>
    <mergeCell ref="A55:I55"/>
    <mergeCell ref="A56:C57"/>
    <mergeCell ref="D56:D57"/>
    <mergeCell ref="F56:G56"/>
    <mergeCell ref="F57:G57"/>
    <mergeCell ref="A58:B58"/>
    <mergeCell ref="C58:D58"/>
    <mergeCell ref="F58:G58"/>
    <mergeCell ref="A59:B59"/>
    <mergeCell ref="C59:D59"/>
    <mergeCell ref="F59:G70"/>
    <mergeCell ref="H59:I70"/>
    <mergeCell ref="A60:B60"/>
    <mergeCell ref="C60:D60"/>
    <mergeCell ref="A61:B61"/>
    <mergeCell ref="C61:D61"/>
    <mergeCell ref="A62:B62"/>
    <mergeCell ref="C62:D62"/>
    <mergeCell ref="A63:B63"/>
    <mergeCell ref="C63:D63"/>
    <mergeCell ref="A64:B64"/>
    <mergeCell ref="C64:D64"/>
    <mergeCell ref="A65:B65"/>
    <mergeCell ref="C65:D65"/>
    <mergeCell ref="C50:E50"/>
    <mergeCell ref="A135:G135"/>
    <mergeCell ref="H135:I135"/>
    <mergeCell ref="C53:E53"/>
    <mergeCell ref="A313:I313"/>
    <mergeCell ref="A314:I314"/>
    <mergeCell ref="C241:D241"/>
    <mergeCell ref="F241:G241"/>
    <mergeCell ref="C242:D242"/>
    <mergeCell ref="F242:G242"/>
    <mergeCell ref="C237:D237"/>
    <mergeCell ref="F237:G237"/>
    <mergeCell ref="C238:D238"/>
    <mergeCell ref="C152:D152"/>
    <mergeCell ref="F152:G152"/>
    <mergeCell ref="A155:B157"/>
    <mergeCell ref="C240:D240"/>
    <mergeCell ref="F240:G240"/>
    <mergeCell ref="C230:D230"/>
    <mergeCell ref="C226:D226"/>
    <mergeCell ref="A256:I256"/>
    <mergeCell ref="C257:I257"/>
    <mergeCell ref="A258:I258"/>
    <mergeCell ref="A259:C259"/>
    <mergeCell ref="E259:I259"/>
    <mergeCell ref="A260:C260"/>
    <mergeCell ref="E260:I260"/>
    <mergeCell ref="F160:G160"/>
    <mergeCell ref="C161:D161"/>
    <mergeCell ref="A162:I162"/>
    <mergeCell ref="C163:D163"/>
    <mergeCell ref="F163:G163"/>
    <mergeCell ref="C164:D164"/>
    <mergeCell ref="C239:D239"/>
    <mergeCell ref="F239:G239"/>
    <mergeCell ref="A231:I231"/>
    <mergeCell ref="C235:D235"/>
    <mergeCell ref="F235:G235"/>
    <mergeCell ref="C236:D236"/>
    <mergeCell ref="F236:G236"/>
    <mergeCell ref="A232:I232"/>
    <mergeCell ref="A233:I233"/>
    <mergeCell ref="A234:I234"/>
    <mergeCell ref="C223:D223"/>
    <mergeCell ref="C220:D220"/>
    <mergeCell ref="A317:C317"/>
    <mergeCell ref="H317:I317"/>
    <mergeCell ref="A307:I307"/>
    <mergeCell ref="A308:I308"/>
    <mergeCell ref="A309:I309"/>
    <mergeCell ref="A310:I310"/>
    <mergeCell ref="A311:I311"/>
    <mergeCell ref="A312:I312"/>
    <mergeCell ref="A261:C261"/>
    <mergeCell ref="E261:I261"/>
    <mergeCell ref="A290:I290"/>
    <mergeCell ref="A291:I306"/>
    <mergeCell ref="A262:I262"/>
    <mergeCell ref="A263:I289"/>
    <mergeCell ref="A315:I315"/>
    <mergeCell ref="A316:I316"/>
    <mergeCell ref="F220:G220"/>
    <mergeCell ref="C221:D221"/>
    <mergeCell ref="F221:G221"/>
    <mergeCell ref="C222:D222"/>
    <mergeCell ref="C228:D228"/>
    <mergeCell ref="F228:G228"/>
    <mergeCell ref="C229:D229"/>
    <mergeCell ref="F229:G229"/>
    <mergeCell ref="F226:G226"/>
    <mergeCell ref="A224:I224"/>
    <mergeCell ref="A225:B230"/>
    <mergeCell ref="C225:D225"/>
    <mergeCell ref="F225:G225"/>
    <mergeCell ref="C227:D227"/>
    <mergeCell ref="F227:G227"/>
    <mergeCell ref="C206:D206"/>
    <mergeCell ref="F206:G206"/>
    <mergeCell ref="A217:I217"/>
    <mergeCell ref="A211:B216"/>
    <mergeCell ref="C218:D218"/>
    <mergeCell ref="F218:G218"/>
    <mergeCell ref="C219:D219"/>
    <mergeCell ref="F219:G219"/>
    <mergeCell ref="C214:D214"/>
    <mergeCell ref="F214:G214"/>
    <mergeCell ref="C215:D215"/>
    <mergeCell ref="F215:G215"/>
    <mergeCell ref="C216:D216"/>
    <mergeCell ref="F216:G216"/>
    <mergeCell ref="C212:D212"/>
    <mergeCell ref="F212:G212"/>
    <mergeCell ref="C213:D213"/>
    <mergeCell ref="F213:G213"/>
    <mergeCell ref="C202:D202"/>
    <mergeCell ref="F202:G202"/>
    <mergeCell ref="C211:D211"/>
    <mergeCell ref="F211:G211"/>
    <mergeCell ref="C198:D198"/>
    <mergeCell ref="F198:G198"/>
    <mergeCell ref="C199:D199"/>
    <mergeCell ref="F199:G199"/>
    <mergeCell ref="C200:D200"/>
    <mergeCell ref="F200:G200"/>
    <mergeCell ref="A203:I203"/>
    <mergeCell ref="A197:B202"/>
    <mergeCell ref="C204:D204"/>
    <mergeCell ref="F204:G204"/>
    <mergeCell ref="A204:B209"/>
    <mergeCell ref="C207:D207"/>
    <mergeCell ref="F207:G207"/>
    <mergeCell ref="C208:D208"/>
    <mergeCell ref="F208:G208"/>
    <mergeCell ref="C209:D209"/>
    <mergeCell ref="F209:G209"/>
    <mergeCell ref="A210:I210"/>
    <mergeCell ref="C205:D205"/>
    <mergeCell ref="F205:G205"/>
    <mergeCell ref="C195:D195"/>
    <mergeCell ref="F195:G195"/>
    <mergeCell ref="C185:D185"/>
    <mergeCell ref="F185:G185"/>
    <mergeCell ref="A196:I196"/>
    <mergeCell ref="C197:D197"/>
    <mergeCell ref="F197:G197"/>
    <mergeCell ref="C201:D201"/>
    <mergeCell ref="F201:G201"/>
    <mergeCell ref="A182:I182"/>
    <mergeCell ref="A183:B185"/>
    <mergeCell ref="A177:B178"/>
    <mergeCell ref="A190:B195"/>
    <mergeCell ref="C190:D190"/>
    <mergeCell ref="F190:G190"/>
    <mergeCell ref="C191:D191"/>
    <mergeCell ref="F191:G191"/>
    <mergeCell ref="C192:D192"/>
    <mergeCell ref="F192:G192"/>
    <mergeCell ref="C193:D193"/>
    <mergeCell ref="C177:D177"/>
    <mergeCell ref="F177:G177"/>
    <mergeCell ref="C183:D183"/>
    <mergeCell ref="F183:G183"/>
    <mergeCell ref="C184:D184"/>
    <mergeCell ref="F184:G184"/>
    <mergeCell ref="A186:I186"/>
    <mergeCell ref="A187:I187"/>
    <mergeCell ref="A188:I188"/>
    <mergeCell ref="A189:I189"/>
    <mergeCell ref="F193:G193"/>
    <mergeCell ref="C194:D194"/>
    <mergeCell ref="F194:G194"/>
    <mergeCell ref="A179:I179"/>
    <mergeCell ref="A180:I180"/>
    <mergeCell ref="A181:I181"/>
    <mergeCell ref="C157:D157"/>
    <mergeCell ref="F157:G157"/>
    <mergeCell ref="A166:I166"/>
    <mergeCell ref="A167:B169"/>
    <mergeCell ref="C167:D167"/>
    <mergeCell ref="F167:G167"/>
    <mergeCell ref="C168:D168"/>
    <mergeCell ref="F168:G168"/>
    <mergeCell ref="C169:D169"/>
    <mergeCell ref="E161:I161"/>
    <mergeCell ref="A158:I158"/>
    <mergeCell ref="A159:B161"/>
    <mergeCell ref="C159:D159"/>
    <mergeCell ref="F159:G159"/>
    <mergeCell ref="C160:D160"/>
    <mergeCell ref="C178:D178"/>
    <mergeCell ref="F178:G178"/>
    <mergeCell ref="A176:I176"/>
    <mergeCell ref="A172:I172"/>
    <mergeCell ref="A174:B175"/>
    <mergeCell ref="C174:D174"/>
    <mergeCell ref="C175:D175"/>
    <mergeCell ref="F175:G175"/>
    <mergeCell ref="A173:I173"/>
    <mergeCell ref="H144:I144"/>
    <mergeCell ref="A147:I147"/>
    <mergeCell ref="A148:I148"/>
    <mergeCell ref="A149:I149"/>
    <mergeCell ref="A150:I150"/>
    <mergeCell ref="A151:B153"/>
    <mergeCell ref="C151:D151"/>
    <mergeCell ref="F151:G151"/>
    <mergeCell ref="C153:D153"/>
    <mergeCell ref="F153:G153"/>
    <mergeCell ref="C156:D156"/>
    <mergeCell ref="F156:G156"/>
    <mergeCell ref="F164:G164"/>
    <mergeCell ref="C165:D165"/>
    <mergeCell ref="F165:G165"/>
    <mergeCell ref="E169:I169"/>
    <mergeCell ref="A154:I154"/>
    <mergeCell ref="C155:D155"/>
    <mergeCell ref="F155:G155"/>
    <mergeCell ref="A42:C42"/>
    <mergeCell ref="D42:E42"/>
    <mergeCell ref="F42:G42"/>
    <mergeCell ref="H42:I42"/>
    <mergeCell ref="A43:C43"/>
    <mergeCell ref="D43:E43"/>
    <mergeCell ref="F43:G43"/>
    <mergeCell ref="H43:I43"/>
    <mergeCell ref="A37:C37"/>
    <mergeCell ref="G37:H37"/>
    <mergeCell ref="A38:C38"/>
    <mergeCell ref="H38:I38"/>
    <mergeCell ref="A39:I39"/>
    <mergeCell ref="A40:C40"/>
    <mergeCell ref="D40:E40"/>
    <mergeCell ref="F40:G40"/>
    <mergeCell ref="H40:I40"/>
    <mergeCell ref="A41:C41"/>
    <mergeCell ref="D41:E41"/>
    <mergeCell ref="F41:G41"/>
    <mergeCell ref="H41:I41"/>
    <mergeCell ref="A33:C33"/>
    <mergeCell ref="H33:I33"/>
    <mergeCell ref="A34:I34"/>
    <mergeCell ref="A35:C35"/>
    <mergeCell ref="G35:H35"/>
    <mergeCell ref="A36:C36"/>
    <mergeCell ref="G36:H36"/>
    <mergeCell ref="A29:C29"/>
    <mergeCell ref="H29:I29"/>
    <mergeCell ref="A30:I30"/>
    <mergeCell ref="A31:C31"/>
    <mergeCell ref="H31:I31"/>
    <mergeCell ref="A32:C32"/>
    <mergeCell ref="H32:I32"/>
    <mergeCell ref="A26:C26"/>
    <mergeCell ref="H26:I26"/>
    <mergeCell ref="A27:C27"/>
    <mergeCell ref="H27:I27"/>
    <mergeCell ref="A28:C28"/>
    <mergeCell ref="H28:I28"/>
    <mergeCell ref="A22:C22"/>
    <mergeCell ref="H22:I22"/>
    <mergeCell ref="A23:C23"/>
    <mergeCell ref="E23:I23"/>
    <mergeCell ref="A24:I24"/>
    <mergeCell ref="A25:C25"/>
    <mergeCell ref="H25:I25"/>
    <mergeCell ref="A19:C19"/>
    <mergeCell ref="H19:I19"/>
    <mergeCell ref="A20:C20"/>
    <mergeCell ref="H20:I20"/>
    <mergeCell ref="A21:C21"/>
    <mergeCell ref="H21:I21"/>
    <mergeCell ref="A16:C16"/>
    <mergeCell ref="H16:I16"/>
    <mergeCell ref="A17:C17"/>
    <mergeCell ref="H17:I17"/>
    <mergeCell ref="A18:C18"/>
    <mergeCell ref="H18:I18"/>
    <mergeCell ref="A12:C12"/>
    <mergeCell ref="E12:I12"/>
    <mergeCell ref="A13:I13"/>
    <mergeCell ref="A14:C14"/>
    <mergeCell ref="H14:I14"/>
    <mergeCell ref="A15:C15"/>
    <mergeCell ref="H15:I15"/>
    <mergeCell ref="A7:C7"/>
    <mergeCell ref="H7:I7"/>
    <mergeCell ref="A8:C8"/>
    <mergeCell ref="E8:I8"/>
    <mergeCell ref="A9:A11"/>
    <mergeCell ref="E9:I9"/>
    <mergeCell ref="E10:I10"/>
    <mergeCell ref="E11:I11"/>
    <mergeCell ref="A4:C4"/>
    <mergeCell ref="E4:F4"/>
    <mergeCell ref="G4:H4"/>
    <mergeCell ref="A5:I5"/>
    <mergeCell ref="A6:C6"/>
    <mergeCell ref="H6:I6"/>
    <mergeCell ref="A1:I1"/>
    <mergeCell ref="A2:C2"/>
    <mergeCell ref="E2:F2"/>
    <mergeCell ref="G2:H2"/>
    <mergeCell ref="A3:C3"/>
    <mergeCell ref="E3:F3"/>
    <mergeCell ref="G3:H3"/>
    <mergeCell ref="C254:D254"/>
    <mergeCell ref="F254:G254"/>
    <mergeCell ref="C255:D255"/>
    <mergeCell ref="F255:G255"/>
    <mergeCell ref="A246:B255"/>
    <mergeCell ref="A235:B244"/>
    <mergeCell ref="A218:B223"/>
    <mergeCell ref="E222:I223"/>
    <mergeCell ref="E230:I230"/>
    <mergeCell ref="C248:D248"/>
    <mergeCell ref="F248:G248"/>
    <mergeCell ref="C249:D249"/>
    <mergeCell ref="F249:G249"/>
    <mergeCell ref="C250:D250"/>
    <mergeCell ref="F250:G250"/>
    <mergeCell ref="C251:D251"/>
    <mergeCell ref="F251:G251"/>
    <mergeCell ref="C252:D252"/>
    <mergeCell ref="F252:G252"/>
    <mergeCell ref="C243:D243"/>
    <mergeCell ref="F243:G243"/>
    <mergeCell ref="C244:D244"/>
    <mergeCell ref="F244:G244"/>
    <mergeCell ref="A245:I245"/>
    <mergeCell ref="C253:D253"/>
    <mergeCell ref="F253:G253"/>
    <mergeCell ref="C246:D246"/>
    <mergeCell ref="F246:G246"/>
    <mergeCell ref="C247:D247"/>
    <mergeCell ref="F247:G247"/>
    <mergeCell ref="H53:I53"/>
    <mergeCell ref="A136:I136"/>
    <mergeCell ref="A137:C137"/>
    <mergeCell ref="H137:I137"/>
    <mergeCell ref="A138:C138"/>
    <mergeCell ref="H138:I138"/>
    <mergeCell ref="A140:C140"/>
    <mergeCell ref="H140:I140"/>
    <mergeCell ref="C54:E54"/>
    <mergeCell ref="H54:I54"/>
    <mergeCell ref="A163:B164"/>
    <mergeCell ref="A165:B165"/>
    <mergeCell ref="A145:I145"/>
    <mergeCell ref="A146:B146"/>
    <mergeCell ref="C146:D146"/>
    <mergeCell ref="F146:G146"/>
    <mergeCell ref="A170:I170"/>
    <mergeCell ref="A171:I171"/>
    <mergeCell ref="C48:E49"/>
    <mergeCell ref="E238:I238"/>
    <mergeCell ref="A139:C139"/>
    <mergeCell ref="H139:I139"/>
    <mergeCell ref="H47:I47"/>
    <mergeCell ref="H52:I52"/>
    <mergeCell ref="A44:C44"/>
    <mergeCell ref="D44:E44"/>
    <mergeCell ref="F44:G44"/>
    <mergeCell ref="H44:I44"/>
    <mergeCell ref="A45:C45"/>
    <mergeCell ref="D45:E45"/>
    <mergeCell ref="F45:G45"/>
    <mergeCell ref="H45:I45"/>
    <mergeCell ref="A46:I46"/>
    <mergeCell ref="C47:E47"/>
    <mergeCell ref="C52:E52"/>
    <mergeCell ref="A141:I141"/>
    <mergeCell ref="A142:F142"/>
    <mergeCell ref="H142:I142"/>
    <mergeCell ref="A143:F143"/>
    <mergeCell ref="H143:I143"/>
    <mergeCell ref="A144:F144"/>
    <mergeCell ref="F174:G174"/>
  </mergeCells>
  <pageMargins left="0.43307086614173229" right="0.43307086614173229" top="0.59055118110236227" bottom="0.59055118110236227" header="0.15748031496062992" footer="0.15748031496062992"/>
  <pageSetup paperSize="9" scale="63" fitToHeight="0" orientation="portrait" r:id="rId1"/>
  <headerFooter>
    <oddHeader>&amp;C&amp;24&amp;G</oddHeader>
    <oddFooter>&amp;L&amp;"Times New Roman,Bold"&amp;16Ref No: &amp;F&amp;R&amp;"Times New Roman,Bold"&amp;16&amp;P</oddFooter>
  </headerFooter>
  <rowBreaks count="3" manualBreakCount="3">
    <brk id="255" max="16383" man="1"/>
    <brk id="257" max="16383" man="1"/>
    <brk id="289"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opLeftCell="A55" workbookViewId="0">
      <selection activeCell="L64" sqref="L64"/>
    </sheetView>
  </sheetViews>
  <sheetFormatPr defaultRowHeight="15" x14ac:dyDescent="0.25"/>
  <cols>
    <col min="5" max="5" width="12.28515625" customWidth="1"/>
    <col min="9" max="9" width="19.7109375" customWidth="1"/>
  </cols>
  <sheetData>
    <row r="1" spans="1:9" ht="57" x14ac:dyDescent="0.25">
      <c r="A1" s="124" t="s">
        <v>136</v>
      </c>
      <c r="B1" s="124"/>
      <c r="C1" s="125" t="s">
        <v>137</v>
      </c>
      <c r="D1" s="126"/>
      <c r="E1" s="8" t="s">
        <v>138</v>
      </c>
      <c r="F1" s="125" t="s">
        <v>139</v>
      </c>
      <c r="G1" s="126"/>
      <c r="H1" s="9" t="s">
        <v>140</v>
      </c>
      <c r="I1" s="8" t="s">
        <v>141</v>
      </c>
    </row>
    <row r="2" spans="1:9" ht="15.75" x14ac:dyDescent="0.25">
      <c r="A2" s="114" t="s">
        <v>142</v>
      </c>
      <c r="B2" s="115"/>
      <c r="C2" s="115"/>
      <c r="D2" s="115"/>
      <c r="E2" s="115"/>
      <c r="F2" s="115"/>
      <c r="G2" s="115"/>
      <c r="H2" s="115"/>
      <c r="I2" s="116"/>
    </row>
    <row r="3" spans="1:9" ht="15.75" x14ac:dyDescent="0.25">
      <c r="A3" s="114" t="s">
        <v>143</v>
      </c>
      <c r="B3" s="115"/>
      <c r="C3" s="115"/>
      <c r="D3" s="115"/>
      <c r="E3" s="115"/>
      <c r="F3" s="115"/>
      <c r="G3" s="115"/>
      <c r="H3" s="115"/>
      <c r="I3" s="116"/>
    </row>
    <row r="4" spans="1:9" ht="15.75" x14ac:dyDescent="0.25">
      <c r="A4" s="114" t="s">
        <v>144</v>
      </c>
      <c r="B4" s="115"/>
      <c r="C4" s="115"/>
      <c r="D4" s="115"/>
      <c r="E4" s="115"/>
      <c r="F4" s="115"/>
      <c r="G4" s="115"/>
      <c r="H4" s="115"/>
      <c r="I4" s="116"/>
    </row>
    <row r="5" spans="1:9" ht="15.75" x14ac:dyDescent="0.25">
      <c r="A5" s="117" t="s">
        <v>155</v>
      </c>
      <c r="B5" s="118"/>
      <c r="C5" s="123">
        <v>1</v>
      </c>
      <c r="D5" s="123"/>
      <c r="E5" s="10" t="s">
        <v>145</v>
      </c>
      <c r="F5" s="123">
        <v>737.54</v>
      </c>
      <c r="G5" s="123"/>
      <c r="H5" s="10">
        <v>0</v>
      </c>
      <c r="I5" s="10">
        <f>F5*1.5+H5</f>
        <v>1106.31</v>
      </c>
    </row>
    <row r="6" spans="1:9" ht="15.75" x14ac:dyDescent="0.25">
      <c r="A6" s="119"/>
      <c r="B6" s="120"/>
      <c r="C6" s="123">
        <v>4</v>
      </c>
      <c r="D6" s="123"/>
      <c r="E6" s="10" t="s">
        <v>146</v>
      </c>
      <c r="F6" s="123">
        <v>438.85</v>
      </c>
      <c r="G6" s="123"/>
      <c r="H6" s="10">
        <v>0</v>
      </c>
      <c r="I6" s="10">
        <f t="shared" ref="I6:I69" si="0">F6*1.5+H6</f>
        <v>658.27500000000009</v>
      </c>
    </row>
    <row r="7" spans="1:9" ht="15.75" x14ac:dyDescent="0.25">
      <c r="A7" s="119"/>
      <c r="B7" s="120"/>
      <c r="C7" s="123">
        <v>5</v>
      </c>
      <c r="D7" s="123"/>
      <c r="E7" s="10" t="s">
        <v>146</v>
      </c>
      <c r="F7" s="123">
        <v>438.85</v>
      </c>
      <c r="G7" s="123"/>
      <c r="H7" s="10">
        <v>0</v>
      </c>
      <c r="I7" s="10">
        <f t="shared" si="0"/>
        <v>658.27500000000009</v>
      </c>
    </row>
    <row r="8" spans="1:9" ht="15.75" x14ac:dyDescent="0.25">
      <c r="A8" s="119"/>
      <c r="B8" s="120"/>
      <c r="C8" s="123">
        <v>6</v>
      </c>
      <c r="D8" s="123"/>
      <c r="E8" s="10" t="s">
        <v>145</v>
      </c>
      <c r="F8" s="123">
        <v>737.54</v>
      </c>
      <c r="G8" s="123"/>
      <c r="H8" s="10">
        <v>0</v>
      </c>
      <c r="I8" s="10">
        <f t="shared" si="0"/>
        <v>1106.31</v>
      </c>
    </row>
    <row r="9" spans="1:9" ht="15.75" x14ac:dyDescent="0.25">
      <c r="A9" s="119"/>
      <c r="B9" s="120"/>
      <c r="C9" s="123">
        <v>7</v>
      </c>
      <c r="D9" s="123"/>
      <c r="E9" s="10" t="s">
        <v>147</v>
      </c>
      <c r="F9" s="123">
        <v>639.64</v>
      </c>
      <c r="G9" s="123"/>
      <c r="H9" s="10">
        <v>0</v>
      </c>
      <c r="I9" s="10">
        <f t="shared" si="0"/>
        <v>959.46</v>
      </c>
    </row>
    <row r="10" spans="1:9" ht="15.75" x14ac:dyDescent="0.25">
      <c r="A10" s="119"/>
      <c r="B10" s="120"/>
      <c r="C10" s="123">
        <v>8</v>
      </c>
      <c r="D10" s="123"/>
      <c r="E10" s="10" t="s">
        <v>146</v>
      </c>
      <c r="F10" s="123">
        <v>441.58</v>
      </c>
      <c r="G10" s="123"/>
      <c r="H10" s="10">
        <v>0</v>
      </c>
      <c r="I10" s="10">
        <f t="shared" si="0"/>
        <v>662.37</v>
      </c>
    </row>
    <row r="11" spans="1:9" ht="15.75" x14ac:dyDescent="0.25">
      <c r="A11" s="119"/>
      <c r="B11" s="120"/>
      <c r="C11" s="123">
        <v>9</v>
      </c>
      <c r="D11" s="123"/>
      <c r="E11" s="10" t="s">
        <v>146</v>
      </c>
      <c r="F11" s="123">
        <v>441.58</v>
      </c>
      <c r="G11" s="123"/>
      <c r="H11" s="10">
        <v>0</v>
      </c>
      <c r="I11" s="10">
        <f t="shared" si="0"/>
        <v>662.37</v>
      </c>
    </row>
    <row r="12" spans="1:9" ht="15.75" x14ac:dyDescent="0.25">
      <c r="A12" s="119"/>
      <c r="B12" s="120"/>
      <c r="C12" s="123">
        <v>10</v>
      </c>
      <c r="D12" s="123"/>
      <c r="E12" s="10" t="s">
        <v>146</v>
      </c>
      <c r="F12" s="123">
        <v>441.58</v>
      </c>
      <c r="G12" s="123"/>
      <c r="H12" s="10">
        <v>0</v>
      </c>
      <c r="I12" s="10">
        <f t="shared" si="0"/>
        <v>662.37</v>
      </c>
    </row>
    <row r="13" spans="1:9" ht="15.75" x14ac:dyDescent="0.25">
      <c r="A13" s="119"/>
      <c r="B13" s="120"/>
      <c r="C13" s="123">
        <v>11</v>
      </c>
      <c r="D13" s="123"/>
      <c r="E13" s="10" t="s">
        <v>146</v>
      </c>
      <c r="F13" s="123">
        <v>441.58</v>
      </c>
      <c r="G13" s="123"/>
      <c r="H13" s="10">
        <v>0</v>
      </c>
      <c r="I13" s="10">
        <f t="shared" si="0"/>
        <v>662.37</v>
      </c>
    </row>
    <row r="14" spans="1:9" ht="15.75" x14ac:dyDescent="0.25">
      <c r="A14" s="121"/>
      <c r="B14" s="122"/>
      <c r="C14" s="123">
        <v>12</v>
      </c>
      <c r="D14" s="123"/>
      <c r="E14" s="10" t="s">
        <v>147</v>
      </c>
      <c r="F14" s="123">
        <v>639.64</v>
      </c>
      <c r="G14" s="123"/>
      <c r="H14" s="10">
        <v>0</v>
      </c>
      <c r="I14" s="10">
        <f t="shared" si="0"/>
        <v>959.46</v>
      </c>
    </row>
    <row r="15" spans="1:9" ht="15.75" x14ac:dyDescent="0.25">
      <c r="A15" s="114" t="s">
        <v>148</v>
      </c>
      <c r="B15" s="115"/>
      <c r="C15" s="115" t="s">
        <v>148</v>
      </c>
      <c r="D15" s="115"/>
      <c r="E15" s="115"/>
      <c r="F15" s="115"/>
      <c r="G15" s="115"/>
      <c r="H15" s="115">
        <v>0</v>
      </c>
      <c r="I15" s="116">
        <f t="shared" si="0"/>
        <v>0</v>
      </c>
    </row>
    <row r="16" spans="1:9" ht="15.75" customHeight="1" x14ac:dyDescent="0.25">
      <c r="A16" s="117" t="s">
        <v>156</v>
      </c>
      <c r="B16" s="118"/>
      <c r="C16" s="123">
        <v>1</v>
      </c>
      <c r="D16" s="123"/>
      <c r="E16" s="10" t="s">
        <v>145</v>
      </c>
      <c r="F16" s="123">
        <v>737.54</v>
      </c>
      <c r="G16" s="123"/>
      <c r="H16" s="10">
        <v>0</v>
      </c>
      <c r="I16" s="10">
        <f t="shared" si="0"/>
        <v>1106.31</v>
      </c>
    </row>
    <row r="17" spans="1:9" ht="15.75" x14ac:dyDescent="0.25">
      <c r="A17" s="119"/>
      <c r="B17" s="120"/>
      <c r="C17" s="123">
        <v>2</v>
      </c>
      <c r="D17" s="123"/>
      <c r="E17" s="10" t="s">
        <v>146</v>
      </c>
      <c r="F17" s="123">
        <v>438.85</v>
      </c>
      <c r="G17" s="123"/>
      <c r="H17" s="10">
        <v>0</v>
      </c>
      <c r="I17" s="10">
        <f t="shared" si="0"/>
        <v>658.27500000000009</v>
      </c>
    </row>
    <row r="18" spans="1:9" ht="15.75" x14ac:dyDescent="0.25">
      <c r="A18" s="119"/>
      <c r="B18" s="120"/>
      <c r="C18" s="123">
        <v>3</v>
      </c>
      <c r="D18" s="123"/>
      <c r="E18" s="10" t="s">
        <v>146</v>
      </c>
      <c r="F18" s="123">
        <v>438.19</v>
      </c>
      <c r="G18" s="123"/>
      <c r="H18" s="10">
        <v>0</v>
      </c>
      <c r="I18" s="10">
        <f t="shared" si="0"/>
        <v>657.28499999999997</v>
      </c>
    </row>
    <row r="19" spans="1:9" ht="15.75" x14ac:dyDescent="0.25">
      <c r="A19" s="119"/>
      <c r="B19" s="120"/>
      <c r="C19" s="123">
        <v>4</v>
      </c>
      <c r="D19" s="123"/>
      <c r="E19" s="10" t="s">
        <v>146</v>
      </c>
      <c r="F19" s="123">
        <v>438.19</v>
      </c>
      <c r="G19" s="123"/>
      <c r="H19" s="10">
        <v>0</v>
      </c>
      <c r="I19" s="10">
        <f t="shared" si="0"/>
        <v>657.28499999999997</v>
      </c>
    </row>
    <row r="20" spans="1:9" ht="15.75" x14ac:dyDescent="0.25">
      <c r="A20" s="119"/>
      <c r="B20" s="120"/>
      <c r="C20" s="123">
        <v>5</v>
      </c>
      <c r="D20" s="123"/>
      <c r="E20" s="10" t="s">
        <v>146</v>
      </c>
      <c r="F20" s="123">
        <v>438.85</v>
      </c>
      <c r="G20" s="123"/>
      <c r="H20" s="10">
        <v>0</v>
      </c>
      <c r="I20" s="10">
        <f t="shared" si="0"/>
        <v>658.27500000000009</v>
      </c>
    </row>
    <row r="21" spans="1:9" ht="15.75" x14ac:dyDescent="0.25">
      <c r="A21" s="119"/>
      <c r="B21" s="120"/>
      <c r="C21" s="123">
        <v>6</v>
      </c>
      <c r="D21" s="123"/>
      <c r="E21" s="10" t="s">
        <v>145</v>
      </c>
      <c r="F21" s="123">
        <v>737.54</v>
      </c>
      <c r="G21" s="123"/>
      <c r="H21" s="10">
        <v>0</v>
      </c>
      <c r="I21" s="10">
        <f t="shared" si="0"/>
        <v>1106.31</v>
      </c>
    </row>
    <row r="22" spans="1:9" ht="15.75" x14ac:dyDescent="0.25">
      <c r="A22" s="119"/>
      <c r="B22" s="120"/>
      <c r="C22" s="123">
        <v>7</v>
      </c>
      <c r="D22" s="123"/>
      <c r="E22" s="10" t="s">
        <v>147</v>
      </c>
      <c r="F22" s="123">
        <v>639.64</v>
      </c>
      <c r="G22" s="123"/>
      <c r="H22" s="10">
        <v>0</v>
      </c>
      <c r="I22" s="10">
        <f t="shared" si="0"/>
        <v>959.46</v>
      </c>
    </row>
    <row r="23" spans="1:9" ht="15.75" x14ac:dyDescent="0.25">
      <c r="A23" s="119"/>
      <c r="B23" s="120"/>
      <c r="C23" s="123">
        <v>8</v>
      </c>
      <c r="D23" s="123"/>
      <c r="E23" s="10" t="s">
        <v>146</v>
      </c>
      <c r="F23" s="123">
        <v>441.58</v>
      </c>
      <c r="G23" s="123"/>
      <c r="H23" s="10">
        <v>0</v>
      </c>
      <c r="I23" s="10">
        <f t="shared" si="0"/>
        <v>662.37</v>
      </c>
    </row>
    <row r="24" spans="1:9" ht="15.75" x14ac:dyDescent="0.25">
      <c r="A24" s="119"/>
      <c r="B24" s="120"/>
      <c r="C24" s="123">
        <v>9</v>
      </c>
      <c r="D24" s="123"/>
      <c r="E24" s="10" t="s">
        <v>146</v>
      </c>
      <c r="F24" s="123">
        <v>441.58</v>
      </c>
      <c r="G24" s="123"/>
      <c r="H24" s="10">
        <v>0</v>
      </c>
      <c r="I24" s="10">
        <f t="shared" si="0"/>
        <v>662.37</v>
      </c>
    </row>
    <row r="25" spans="1:9" ht="15.75" x14ac:dyDescent="0.25">
      <c r="A25" s="119"/>
      <c r="B25" s="120"/>
      <c r="C25" s="123">
        <v>10</v>
      </c>
      <c r="D25" s="123"/>
      <c r="E25" s="10" t="s">
        <v>146</v>
      </c>
      <c r="F25" s="123">
        <v>441.58</v>
      </c>
      <c r="G25" s="123"/>
      <c r="H25" s="10">
        <v>0</v>
      </c>
      <c r="I25" s="10">
        <f t="shared" si="0"/>
        <v>662.37</v>
      </c>
    </row>
    <row r="26" spans="1:9" ht="15.75" x14ac:dyDescent="0.25">
      <c r="A26" s="119"/>
      <c r="B26" s="120"/>
      <c r="C26" s="123">
        <v>11</v>
      </c>
      <c r="D26" s="123"/>
      <c r="E26" s="10" t="s">
        <v>146</v>
      </c>
      <c r="F26" s="123">
        <v>441.58</v>
      </c>
      <c r="G26" s="123"/>
      <c r="H26" s="10">
        <v>0</v>
      </c>
      <c r="I26" s="10">
        <f t="shared" si="0"/>
        <v>662.37</v>
      </c>
    </row>
    <row r="27" spans="1:9" ht="15.75" x14ac:dyDescent="0.25">
      <c r="A27" s="121"/>
      <c r="B27" s="122"/>
      <c r="C27" s="123">
        <v>12</v>
      </c>
      <c r="D27" s="123"/>
      <c r="E27" s="10" t="s">
        <v>147</v>
      </c>
      <c r="F27" s="123">
        <v>639.64</v>
      </c>
      <c r="G27" s="123"/>
      <c r="H27" s="10">
        <v>0</v>
      </c>
      <c r="I27" s="10">
        <f t="shared" si="0"/>
        <v>959.46</v>
      </c>
    </row>
    <row r="28" spans="1:9" ht="15.75" x14ac:dyDescent="0.25">
      <c r="A28" s="114" t="s">
        <v>149</v>
      </c>
      <c r="B28" s="115"/>
      <c r="C28" s="115" t="s">
        <v>149</v>
      </c>
      <c r="D28" s="115"/>
      <c r="E28" s="115"/>
      <c r="F28" s="115"/>
      <c r="G28" s="115"/>
      <c r="H28" s="115">
        <v>0</v>
      </c>
      <c r="I28" s="116">
        <f t="shared" si="0"/>
        <v>0</v>
      </c>
    </row>
    <row r="29" spans="1:9" ht="15.75" customHeight="1" x14ac:dyDescent="0.25">
      <c r="A29" s="117" t="s">
        <v>157</v>
      </c>
      <c r="B29" s="118"/>
      <c r="C29" s="123">
        <v>1</v>
      </c>
      <c r="D29" s="123"/>
      <c r="E29" s="10" t="s">
        <v>145</v>
      </c>
      <c r="F29" s="123">
        <v>737.54</v>
      </c>
      <c r="G29" s="123"/>
      <c r="H29" s="10">
        <v>0</v>
      </c>
      <c r="I29" s="10">
        <f t="shared" si="0"/>
        <v>1106.31</v>
      </c>
    </row>
    <row r="30" spans="1:9" ht="15.75" x14ac:dyDescent="0.25">
      <c r="A30" s="119"/>
      <c r="B30" s="120"/>
      <c r="C30" s="123">
        <v>2</v>
      </c>
      <c r="D30" s="123"/>
      <c r="E30" s="10" t="s">
        <v>146</v>
      </c>
      <c r="F30" s="123">
        <v>441.58</v>
      </c>
      <c r="G30" s="123"/>
      <c r="H30" s="10">
        <v>0</v>
      </c>
      <c r="I30" s="10">
        <f t="shared" si="0"/>
        <v>662.37</v>
      </c>
    </row>
    <row r="31" spans="1:9" ht="15.75" x14ac:dyDescent="0.25">
      <c r="A31" s="119"/>
      <c r="B31" s="120"/>
      <c r="C31" s="123">
        <v>3</v>
      </c>
      <c r="D31" s="123"/>
      <c r="E31" s="10" t="s">
        <v>146</v>
      </c>
      <c r="F31" s="123">
        <v>438.19</v>
      </c>
      <c r="G31" s="123"/>
      <c r="H31" s="10">
        <v>0</v>
      </c>
      <c r="I31" s="10">
        <f t="shared" si="0"/>
        <v>657.28499999999997</v>
      </c>
    </row>
    <row r="32" spans="1:9" ht="15.75" x14ac:dyDescent="0.25">
      <c r="A32" s="119"/>
      <c r="B32" s="120"/>
      <c r="C32" s="123">
        <v>4</v>
      </c>
      <c r="D32" s="123"/>
      <c r="E32" s="10" t="s">
        <v>146</v>
      </c>
      <c r="F32" s="123">
        <v>438.19</v>
      </c>
      <c r="G32" s="123"/>
      <c r="H32" s="10">
        <v>0</v>
      </c>
      <c r="I32" s="10">
        <f t="shared" si="0"/>
        <v>657.28499999999997</v>
      </c>
    </row>
    <row r="33" spans="1:9" ht="15.75" x14ac:dyDescent="0.25">
      <c r="A33" s="119"/>
      <c r="B33" s="120"/>
      <c r="C33" s="123">
        <v>5</v>
      </c>
      <c r="D33" s="123"/>
      <c r="E33" s="10" t="s">
        <v>146</v>
      </c>
      <c r="F33" s="123">
        <v>441.58</v>
      </c>
      <c r="G33" s="123"/>
      <c r="H33" s="10">
        <v>0</v>
      </c>
      <c r="I33" s="10">
        <f t="shared" si="0"/>
        <v>662.37</v>
      </c>
    </row>
    <row r="34" spans="1:9" ht="15.75" x14ac:dyDescent="0.25">
      <c r="A34" s="119"/>
      <c r="B34" s="120"/>
      <c r="C34" s="123">
        <v>6</v>
      </c>
      <c r="D34" s="123"/>
      <c r="E34" s="10" t="s">
        <v>145</v>
      </c>
      <c r="F34" s="123">
        <v>737.54</v>
      </c>
      <c r="G34" s="123"/>
      <c r="H34" s="10">
        <v>0</v>
      </c>
      <c r="I34" s="10">
        <f t="shared" si="0"/>
        <v>1106.31</v>
      </c>
    </row>
    <row r="35" spans="1:9" ht="15.75" x14ac:dyDescent="0.25">
      <c r="A35" s="119"/>
      <c r="B35" s="120"/>
      <c r="C35" s="123">
        <v>7</v>
      </c>
      <c r="D35" s="123"/>
      <c r="E35" s="10" t="s">
        <v>147</v>
      </c>
      <c r="F35" s="123">
        <v>639.64</v>
      </c>
      <c r="G35" s="123"/>
      <c r="H35" s="10">
        <v>0</v>
      </c>
      <c r="I35" s="10">
        <f t="shared" si="0"/>
        <v>959.46</v>
      </c>
    </row>
    <row r="36" spans="1:9" ht="15.75" x14ac:dyDescent="0.25">
      <c r="A36" s="119"/>
      <c r="B36" s="120"/>
      <c r="C36" s="123">
        <v>8</v>
      </c>
      <c r="D36" s="123"/>
      <c r="E36" s="10" t="s">
        <v>146</v>
      </c>
      <c r="F36" s="123">
        <v>441.58</v>
      </c>
      <c r="G36" s="123"/>
      <c r="H36" s="10">
        <v>0</v>
      </c>
      <c r="I36" s="10">
        <f t="shared" si="0"/>
        <v>662.37</v>
      </c>
    </row>
    <row r="37" spans="1:9" ht="15.75" x14ac:dyDescent="0.25">
      <c r="A37" s="119"/>
      <c r="B37" s="120"/>
      <c r="C37" s="123">
        <v>9</v>
      </c>
      <c r="D37" s="123"/>
      <c r="E37" s="10" t="s">
        <v>146</v>
      </c>
      <c r="F37" s="123">
        <v>441.58</v>
      </c>
      <c r="G37" s="123"/>
      <c r="H37" s="10">
        <v>0</v>
      </c>
      <c r="I37" s="10">
        <f t="shared" si="0"/>
        <v>662.37</v>
      </c>
    </row>
    <row r="38" spans="1:9" ht="15.75" x14ac:dyDescent="0.25">
      <c r="A38" s="119"/>
      <c r="B38" s="120"/>
      <c r="C38" s="123">
        <v>10</v>
      </c>
      <c r="D38" s="123"/>
      <c r="E38" s="10" t="s">
        <v>146</v>
      </c>
      <c r="F38" s="123">
        <v>441.58</v>
      </c>
      <c r="G38" s="123"/>
      <c r="H38" s="10">
        <v>0</v>
      </c>
      <c r="I38" s="10">
        <f t="shared" si="0"/>
        <v>662.37</v>
      </c>
    </row>
    <row r="39" spans="1:9" ht="15.75" x14ac:dyDescent="0.25">
      <c r="A39" s="119"/>
      <c r="B39" s="120"/>
      <c r="C39" s="123">
        <v>11</v>
      </c>
      <c r="D39" s="123"/>
      <c r="E39" s="10" t="s">
        <v>146</v>
      </c>
      <c r="F39" s="123">
        <v>441.58</v>
      </c>
      <c r="G39" s="123"/>
      <c r="H39" s="10">
        <v>0</v>
      </c>
      <c r="I39" s="10">
        <f t="shared" si="0"/>
        <v>662.37</v>
      </c>
    </row>
    <row r="40" spans="1:9" ht="15.75" x14ac:dyDescent="0.25">
      <c r="A40" s="121"/>
      <c r="B40" s="122"/>
      <c r="C40" s="123">
        <v>12</v>
      </c>
      <c r="D40" s="123"/>
      <c r="E40" s="10" t="s">
        <v>147</v>
      </c>
      <c r="F40" s="123">
        <v>639.64</v>
      </c>
      <c r="G40" s="123"/>
      <c r="H40" s="10">
        <v>0</v>
      </c>
      <c r="I40" s="10">
        <f t="shared" si="0"/>
        <v>959.46</v>
      </c>
    </row>
    <row r="41" spans="1:9" ht="15.75" x14ac:dyDescent="0.25">
      <c r="A41" s="114" t="s">
        <v>150</v>
      </c>
      <c r="B41" s="115"/>
      <c r="C41" s="115" t="s">
        <v>150</v>
      </c>
      <c r="D41" s="115"/>
      <c r="E41" s="115"/>
      <c r="F41" s="115"/>
      <c r="G41" s="115"/>
      <c r="H41" s="115">
        <v>0</v>
      </c>
      <c r="I41" s="116">
        <f t="shared" si="0"/>
        <v>0</v>
      </c>
    </row>
    <row r="42" spans="1:9" ht="15.75" x14ac:dyDescent="0.25">
      <c r="A42" s="117" t="s">
        <v>158</v>
      </c>
      <c r="B42" s="118"/>
      <c r="C42" s="123">
        <v>1</v>
      </c>
      <c r="D42" s="123"/>
      <c r="E42" s="10" t="s">
        <v>145</v>
      </c>
      <c r="F42" s="123">
        <v>737.54</v>
      </c>
      <c r="G42" s="123"/>
      <c r="H42" s="10">
        <v>0</v>
      </c>
      <c r="I42" s="10">
        <f t="shared" si="0"/>
        <v>1106.31</v>
      </c>
    </row>
    <row r="43" spans="1:9" ht="15.75" x14ac:dyDescent="0.25">
      <c r="A43" s="119"/>
      <c r="B43" s="120"/>
      <c r="C43" s="123">
        <v>2</v>
      </c>
      <c r="D43" s="123"/>
      <c r="E43" s="10" t="s">
        <v>146</v>
      </c>
      <c r="F43" s="123">
        <v>441.58</v>
      </c>
      <c r="G43" s="123"/>
      <c r="H43" s="10">
        <v>0</v>
      </c>
      <c r="I43" s="10">
        <f t="shared" si="0"/>
        <v>662.37</v>
      </c>
    </row>
    <row r="44" spans="1:9" ht="15.75" x14ac:dyDescent="0.25">
      <c r="A44" s="119"/>
      <c r="B44" s="120"/>
      <c r="C44" s="123">
        <v>3</v>
      </c>
      <c r="D44" s="123"/>
      <c r="E44" s="10" t="s">
        <v>146</v>
      </c>
      <c r="F44" s="123">
        <v>438.19</v>
      </c>
      <c r="G44" s="123"/>
      <c r="H44" s="10">
        <v>0</v>
      </c>
      <c r="I44" s="10">
        <f t="shared" si="0"/>
        <v>657.28499999999997</v>
      </c>
    </row>
    <row r="45" spans="1:9" ht="15.75" x14ac:dyDescent="0.25">
      <c r="A45" s="119"/>
      <c r="B45" s="120"/>
      <c r="C45" s="123">
        <v>4</v>
      </c>
      <c r="D45" s="123"/>
      <c r="E45" s="10" t="s">
        <v>146</v>
      </c>
      <c r="F45" s="123">
        <v>438.19</v>
      </c>
      <c r="G45" s="123"/>
      <c r="H45" s="10">
        <v>0</v>
      </c>
      <c r="I45" s="10">
        <f t="shared" si="0"/>
        <v>657.28499999999997</v>
      </c>
    </row>
    <row r="46" spans="1:9" ht="15.75" x14ac:dyDescent="0.25">
      <c r="A46" s="119"/>
      <c r="B46" s="120"/>
      <c r="C46" s="123">
        <v>5</v>
      </c>
      <c r="D46" s="123"/>
      <c r="E46" s="10" t="s">
        <v>146</v>
      </c>
      <c r="F46" s="123">
        <v>441.58</v>
      </c>
      <c r="G46" s="123"/>
      <c r="H46" s="10">
        <v>0</v>
      </c>
      <c r="I46" s="10">
        <f t="shared" si="0"/>
        <v>662.37</v>
      </c>
    </row>
    <row r="47" spans="1:9" ht="15.75" x14ac:dyDescent="0.25">
      <c r="A47" s="119"/>
      <c r="B47" s="120"/>
      <c r="C47" s="123">
        <v>6</v>
      </c>
      <c r="D47" s="123"/>
      <c r="E47" s="10" t="s">
        <v>145</v>
      </c>
      <c r="F47" s="123">
        <v>737.54</v>
      </c>
      <c r="G47" s="123"/>
      <c r="H47" s="10">
        <v>0</v>
      </c>
      <c r="I47" s="10">
        <f t="shared" si="0"/>
        <v>1106.31</v>
      </c>
    </row>
    <row r="48" spans="1:9" ht="15.75" x14ac:dyDescent="0.25">
      <c r="A48" s="119"/>
      <c r="B48" s="120"/>
      <c r="C48" s="123">
        <v>7</v>
      </c>
      <c r="D48" s="123"/>
      <c r="E48" s="10" t="s">
        <v>147</v>
      </c>
      <c r="F48" s="123">
        <v>639.64</v>
      </c>
      <c r="G48" s="123"/>
      <c r="H48" s="10">
        <v>0</v>
      </c>
      <c r="I48" s="10">
        <f t="shared" si="0"/>
        <v>959.46</v>
      </c>
    </row>
    <row r="49" spans="1:9" ht="15.75" x14ac:dyDescent="0.25">
      <c r="A49" s="119"/>
      <c r="B49" s="120"/>
      <c r="C49" s="123">
        <v>8</v>
      </c>
      <c r="D49" s="123"/>
      <c r="E49" s="10" t="s">
        <v>146</v>
      </c>
      <c r="F49" s="123">
        <v>441.58</v>
      </c>
      <c r="G49" s="123"/>
      <c r="H49" s="10">
        <v>0</v>
      </c>
      <c r="I49" s="10">
        <f t="shared" si="0"/>
        <v>662.37</v>
      </c>
    </row>
    <row r="50" spans="1:9" ht="15.75" x14ac:dyDescent="0.25">
      <c r="A50" s="119"/>
      <c r="B50" s="120"/>
      <c r="C50" s="123">
        <v>9</v>
      </c>
      <c r="D50" s="123"/>
      <c r="E50" s="10" t="s">
        <v>146</v>
      </c>
      <c r="F50" s="123">
        <v>441.58</v>
      </c>
      <c r="G50" s="123"/>
      <c r="H50" s="10">
        <v>0</v>
      </c>
      <c r="I50" s="10">
        <f t="shared" si="0"/>
        <v>662.37</v>
      </c>
    </row>
    <row r="51" spans="1:9" ht="15.75" x14ac:dyDescent="0.25">
      <c r="A51" s="119"/>
      <c r="B51" s="120"/>
      <c r="C51" s="123">
        <v>10</v>
      </c>
      <c r="D51" s="123"/>
      <c r="E51" s="10" t="s">
        <v>146</v>
      </c>
      <c r="F51" s="123">
        <v>441.58</v>
      </c>
      <c r="G51" s="123"/>
      <c r="H51" s="10">
        <v>0</v>
      </c>
      <c r="I51" s="10">
        <f t="shared" si="0"/>
        <v>662.37</v>
      </c>
    </row>
    <row r="52" spans="1:9" ht="15.75" x14ac:dyDescent="0.25">
      <c r="A52" s="119"/>
      <c r="B52" s="120"/>
      <c r="C52" s="123">
        <v>11</v>
      </c>
      <c r="D52" s="123"/>
      <c r="E52" s="10" t="s">
        <v>146</v>
      </c>
      <c r="F52" s="123">
        <v>441.58</v>
      </c>
      <c r="G52" s="123"/>
      <c r="H52" s="10">
        <v>0</v>
      </c>
      <c r="I52" s="10">
        <f t="shared" si="0"/>
        <v>662.37</v>
      </c>
    </row>
    <row r="53" spans="1:9" ht="15.75" x14ac:dyDescent="0.25">
      <c r="A53" s="121"/>
      <c r="B53" s="122"/>
      <c r="C53" s="123">
        <v>12</v>
      </c>
      <c r="D53" s="123"/>
      <c r="E53" s="10" t="s">
        <v>147</v>
      </c>
      <c r="F53" s="123">
        <v>639.64</v>
      </c>
      <c r="G53" s="123"/>
      <c r="H53" s="10">
        <v>0</v>
      </c>
      <c r="I53" s="10">
        <f t="shared" si="0"/>
        <v>959.46</v>
      </c>
    </row>
    <row r="54" spans="1:9" ht="15.75" x14ac:dyDescent="0.25">
      <c r="A54" s="114" t="s">
        <v>151</v>
      </c>
      <c r="B54" s="115"/>
      <c r="C54" s="115" t="s">
        <v>151</v>
      </c>
      <c r="D54" s="115"/>
      <c r="E54" s="115"/>
      <c r="F54" s="115"/>
      <c r="G54" s="115"/>
      <c r="H54" s="115">
        <v>0</v>
      </c>
      <c r="I54" s="116">
        <f t="shared" si="0"/>
        <v>0</v>
      </c>
    </row>
    <row r="55" spans="1:9" ht="15.75" x14ac:dyDescent="0.25">
      <c r="A55" s="114" t="s">
        <v>143</v>
      </c>
      <c r="B55" s="115"/>
      <c r="C55" s="115" t="s">
        <v>143</v>
      </c>
      <c r="D55" s="115"/>
      <c r="E55" s="115"/>
      <c r="F55" s="115"/>
      <c r="G55" s="115"/>
      <c r="H55" s="115">
        <v>0</v>
      </c>
      <c r="I55" s="116">
        <f t="shared" si="0"/>
        <v>0</v>
      </c>
    </row>
    <row r="56" spans="1:9" ht="15.75" x14ac:dyDescent="0.25">
      <c r="A56" s="114" t="s">
        <v>144</v>
      </c>
      <c r="B56" s="115"/>
      <c r="C56" s="115" t="s">
        <v>144</v>
      </c>
      <c r="D56" s="115"/>
      <c r="E56" s="115"/>
      <c r="F56" s="115"/>
      <c r="G56" s="115"/>
      <c r="H56" s="115">
        <v>0</v>
      </c>
      <c r="I56" s="116">
        <f t="shared" si="0"/>
        <v>0</v>
      </c>
    </row>
    <row r="57" spans="1:9" ht="15.75" x14ac:dyDescent="0.25">
      <c r="A57" s="117" t="s">
        <v>159</v>
      </c>
      <c r="B57" s="118"/>
      <c r="C57" s="123">
        <v>1</v>
      </c>
      <c r="D57" s="123"/>
      <c r="E57" s="10" t="s">
        <v>145</v>
      </c>
      <c r="F57" s="123">
        <v>748.02</v>
      </c>
      <c r="G57" s="123"/>
      <c r="H57" s="10">
        <v>0</v>
      </c>
      <c r="I57" s="10">
        <f t="shared" si="0"/>
        <v>1122.03</v>
      </c>
    </row>
    <row r="58" spans="1:9" ht="15.75" x14ac:dyDescent="0.25">
      <c r="A58" s="119"/>
      <c r="B58" s="120"/>
      <c r="C58" s="123">
        <v>2</v>
      </c>
      <c r="D58" s="123"/>
      <c r="E58" s="10" t="s">
        <v>147</v>
      </c>
      <c r="F58" s="123">
        <v>650.25</v>
      </c>
      <c r="G58" s="123"/>
      <c r="H58" s="10">
        <v>0</v>
      </c>
      <c r="I58" s="10">
        <f t="shared" si="0"/>
        <v>975.375</v>
      </c>
    </row>
    <row r="59" spans="1:9" ht="15.75" x14ac:dyDescent="0.25">
      <c r="A59" s="119"/>
      <c r="B59" s="120"/>
      <c r="C59" s="123">
        <v>3</v>
      </c>
      <c r="D59" s="123"/>
      <c r="E59" s="10" t="s">
        <v>146</v>
      </c>
      <c r="F59" s="123">
        <v>483.97</v>
      </c>
      <c r="G59" s="123"/>
      <c r="H59" s="10">
        <v>0</v>
      </c>
      <c r="I59" s="10">
        <f t="shared" si="0"/>
        <v>725.95500000000004</v>
      </c>
    </row>
    <row r="60" spans="1:9" ht="15.75" x14ac:dyDescent="0.25">
      <c r="A60" s="119"/>
      <c r="B60" s="120"/>
      <c r="C60" s="123">
        <v>4</v>
      </c>
      <c r="D60" s="123"/>
      <c r="E60" s="10" t="s">
        <v>152</v>
      </c>
      <c r="F60" s="123">
        <v>998.96</v>
      </c>
      <c r="G60" s="123"/>
      <c r="H60" s="10">
        <v>0</v>
      </c>
      <c r="I60" s="10">
        <f t="shared" si="0"/>
        <v>1498.44</v>
      </c>
    </row>
    <row r="61" spans="1:9" ht="15.75" x14ac:dyDescent="0.25">
      <c r="A61" s="119"/>
      <c r="B61" s="120"/>
      <c r="C61" s="123">
        <v>5</v>
      </c>
      <c r="D61" s="123"/>
      <c r="E61" s="10" t="s">
        <v>152</v>
      </c>
      <c r="F61" s="123">
        <v>996.85</v>
      </c>
      <c r="G61" s="123"/>
      <c r="H61" s="10">
        <v>0</v>
      </c>
      <c r="I61" s="10">
        <f t="shared" si="0"/>
        <v>1495.2750000000001</v>
      </c>
    </row>
    <row r="62" spans="1:9" ht="15.75" x14ac:dyDescent="0.25">
      <c r="A62" s="121"/>
      <c r="B62" s="122"/>
      <c r="C62" s="123">
        <v>8</v>
      </c>
      <c r="D62" s="123"/>
      <c r="E62" s="10" t="s">
        <v>145</v>
      </c>
      <c r="F62" s="123">
        <v>748.02</v>
      </c>
      <c r="G62" s="123"/>
      <c r="H62" s="10">
        <v>0</v>
      </c>
      <c r="I62" s="10">
        <f t="shared" si="0"/>
        <v>1122.03</v>
      </c>
    </row>
    <row r="63" spans="1:9" ht="15.75" x14ac:dyDescent="0.25">
      <c r="A63" s="114" t="s">
        <v>153</v>
      </c>
      <c r="B63" s="115"/>
      <c r="C63" s="115" t="s">
        <v>153</v>
      </c>
      <c r="D63" s="115"/>
      <c r="E63" s="115"/>
      <c r="F63" s="115"/>
      <c r="G63" s="115"/>
      <c r="H63" s="115">
        <v>0</v>
      </c>
      <c r="I63" s="116">
        <f t="shared" si="0"/>
        <v>0</v>
      </c>
    </row>
    <row r="64" spans="1:9" ht="15.75" x14ac:dyDescent="0.25">
      <c r="A64" s="117" t="s">
        <v>160</v>
      </c>
      <c r="B64" s="118"/>
      <c r="C64" s="123">
        <v>1</v>
      </c>
      <c r="D64" s="123"/>
      <c r="E64" s="10" t="s">
        <v>145</v>
      </c>
      <c r="F64" s="123">
        <v>748.02</v>
      </c>
      <c r="G64" s="123"/>
      <c r="H64" s="10">
        <v>0</v>
      </c>
      <c r="I64" s="10">
        <f t="shared" si="0"/>
        <v>1122.03</v>
      </c>
    </row>
    <row r="65" spans="1:9" ht="15.75" x14ac:dyDescent="0.25">
      <c r="A65" s="119"/>
      <c r="B65" s="120"/>
      <c r="C65" s="123">
        <v>2</v>
      </c>
      <c r="D65" s="123"/>
      <c r="E65" s="10" t="s">
        <v>147</v>
      </c>
      <c r="F65" s="123">
        <v>650.25</v>
      </c>
      <c r="G65" s="123"/>
      <c r="H65" s="10">
        <v>0</v>
      </c>
      <c r="I65" s="10">
        <f t="shared" si="0"/>
        <v>975.375</v>
      </c>
    </row>
    <row r="66" spans="1:9" ht="15.75" x14ac:dyDescent="0.25">
      <c r="A66" s="119"/>
      <c r="B66" s="120"/>
      <c r="C66" s="123">
        <v>3</v>
      </c>
      <c r="D66" s="123"/>
      <c r="E66" s="10" t="s">
        <v>147</v>
      </c>
      <c r="F66" s="123">
        <v>650.25</v>
      </c>
      <c r="G66" s="123"/>
      <c r="H66" s="10">
        <v>0</v>
      </c>
      <c r="I66" s="10">
        <f t="shared" si="0"/>
        <v>975.375</v>
      </c>
    </row>
    <row r="67" spans="1:9" ht="15.75" x14ac:dyDescent="0.25">
      <c r="A67" s="119"/>
      <c r="B67" s="120"/>
      <c r="C67" s="123">
        <v>4</v>
      </c>
      <c r="D67" s="123"/>
      <c r="E67" s="10" t="s">
        <v>152</v>
      </c>
      <c r="F67" s="123">
        <v>998.96</v>
      </c>
      <c r="G67" s="123"/>
      <c r="H67" s="10">
        <v>0</v>
      </c>
      <c r="I67" s="10">
        <f t="shared" si="0"/>
        <v>1498.44</v>
      </c>
    </row>
    <row r="68" spans="1:9" ht="15.75" x14ac:dyDescent="0.25">
      <c r="A68" s="119"/>
      <c r="B68" s="120"/>
      <c r="C68" s="123">
        <v>5</v>
      </c>
      <c r="D68" s="123"/>
      <c r="E68" s="10" t="s">
        <v>152</v>
      </c>
      <c r="F68" s="123">
        <v>996.85</v>
      </c>
      <c r="G68" s="123"/>
      <c r="H68" s="10">
        <v>0</v>
      </c>
      <c r="I68" s="10">
        <f t="shared" si="0"/>
        <v>1495.2750000000001</v>
      </c>
    </row>
    <row r="69" spans="1:9" ht="15.75" x14ac:dyDescent="0.25">
      <c r="A69" s="119"/>
      <c r="B69" s="120"/>
      <c r="C69" s="123">
        <v>6</v>
      </c>
      <c r="D69" s="123"/>
      <c r="E69" s="10" t="s">
        <v>147</v>
      </c>
      <c r="F69" s="123">
        <v>631.72</v>
      </c>
      <c r="G69" s="123"/>
      <c r="H69" s="10">
        <v>0</v>
      </c>
      <c r="I69" s="10">
        <f t="shared" si="0"/>
        <v>947.58</v>
      </c>
    </row>
    <row r="70" spans="1:9" ht="15.75" x14ac:dyDescent="0.25">
      <c r="A70" s="119"/>
      <c r="B70" s="120"/>
      <c r="C70" s="123">
        <v>7</v>
      </c>
      <c r="D70" s="123"/>
      <c r="E70" s="10" t="s">
        <v>147</v>
      </c>
      <c r="F70" s="123">
        <v>631.72</v>
      </c>
      <c r="G70" s="123"/>
      <c r="H70" s="10">
        <v>0</v>
      </c>
      <c r="I70" s="10">
        <f t="shared" ref="I70:I80" si="1">F70*1.5+H70</f>
        <v>947.58</v>
      </c>
    </row>
    <row r="71" spans="1:9" ht="15.75" x14ac:dyDescent="0.25">
      <c r="A71" s="121"/>
      <c r="B71" s="122"/>
      <c r="C71" s="123">
        <v>8</v>
      </c>
      <c r="D71" s="123"/>
      <c r="E71" s="10" t="s">
        <v>145</v>
      </c>
      <c r="F71" s="123">
        <v>748.02</v>
      </c>
      <c r="G71" s="123"/>
      <c r="H71" s="10">
        <v>0</v>
      </c>
      <c r="I71" s="10">
        <f t="shared" si="1"/>
        <v>1122.03</v>
      </c>
    </row>
    <row r="72" spans="1:9" ht="15.75" x14ac:dyDescent="0.25">
      <c r="A72" s="114" t="s">
        <v>154</v>
      </c>
      <c r="B72" s="115"/>
      <c r="C72" s="115" t="s">
        <v>154</v>
      </c>
      <c r="D72" s="115"/>
      <c r="E72" s="115"/>
      <c r="F72" s="115"/>
      <c r="G72" s="115"/>
      <c r="H72" s="115">
        <v>0</v>
      </c>
      <c r="I72" s="116">
        <f t="shared" si="1"/>
        <v>0</v>
      </c>
    </row>
    <row r="73" spans="1:9" ht="15.75" x14ac:dyDescent="0.25">
      <c r="A73" s="117" t="s">
        <v>161</v>
      </c>
      <c r="B73" s="118"/>
      <c r="C73" s="123">
        <v>1</v>
      </c>
      <c r="D73" s="123"/>
      <c r="E73" s="10" t="s">
        <v>145</v>
      </c>
      <c r="F73" s="123">
        <v>748.02</v>
      </c>
      <c r="G73" s="123"/>
      <c r="H73" s="10">
        <v>0</v>
      </c>
      <c r="I73" s="10">
        <f t="shared" si="1"/>
        <v>1122.03</v>
      </c>
    </row>
    <row r="74" spans="1:9" ht="15.75" x14ac:dyDescent="0.25">
      <c r="A74" s="119"/>
      <c r="B74" s="120"/>
      <c r="C74" s="123">
        <v>2</v>
      </c>
      <c r="D74" s="123"/>
      <c r="E74" s="10" t="s">
        <v>147</v>
      </c>
      <c r="F74" s="123">
        <v>650.25</v>
      </c>
      <c r="G74" s="123"/>
      <c r="H74" s="10">
        <v>0</v>
      </c>
      <c r="I74" s="10">
        <f t="shared" si="1"/>
        <v>975.375</v>
      </c>
    </row>
    <row r="75" spans="1:9" ht="15.75" x14ac:dyDescent="0.25">
      <c r="A75" s="119"/>
      <c r="B75" s="120"/>
      <c r="C75" s="123">
        <v>3</v>
      </c>
      <c r="D75" s="123"/>
      <c r="E75" s="10" t="s">
        <v>147</v>
      </c>
      <c r="F75" s="123">
        <v>650.25</v>
      </c>
      <c r="G75" s="123"/>
      <c r="H75" s="10">
        <v>0</v>
      </c>
      <c r="I75" s="10">
        <f t="shared" si="1"/>
        <v>975.375</v>
      </c>
    </row>
    <row r="76" spans="1:9" ht="15.75" x14ac:dyDescent="0.25">
      <c r="A76" s="119"/>
      <c r="B76" s="120"/>
      <c r="C76" s="123">
        <v>4</v>
      </c>
      <c r="D76" s="123"/>
      <c r="E76" s="10" t="s">
        <v>152</v>
      </c>
      <c r="F76" s="123">
        <v>998.96</v>
      </c>
      <c r="G76" s="123"/>
      <c r="H76" s="10">
        <v>0</v>
      </c>
      <c r="I76" s="10">
        <f t="shared" si="1"/>
        <v>1498.44</v>
      </c>
    </row>
    <row r="77" spans="1:9" ht="15.75" x14ac:dyDescent="0.25">
      <c r="A77" s="119"/>
      <c r="B77" s="120"/>
      <c r="C77" s="123">
        <v>5</v>
      </c>
      <c r="D77" s="123"/>
      <c r="E77" s="10" t="s">
        <v>152</v>
      </c>
      <c r="F77" s="123">
        <v>996.85</v>
      </c>
      <c r="G77" s="123"/>
      <c r="H77" s="10">
        <v>0</v>
      </c>
      <c r="I77" s="10">
        <f t="shared" si="1"/>
        <v>1495.2750000000001</v>
      </c>
    </row>
    <row r="78" spans="1:9" ht="15.75" x14ac:dyDescent="0.25">
      <c r="A78" s="119"/>
      <c r="B78" s="120"/>
      <c r="C78" s="123">
        <v>6</v>
      </c>
      <c r="D78" s="123"/>
      <c r="E78" s="10" t="s">
        <v>147</v>
      </c>
      <c r="F78" s="123">
        <v>631.72</v>
      </c>
      <c r="G78" s="123"/>
      <c r="H78" s="10">
        <v>0</v>
      </c>
      <c r="I78" s="10">
        <f t="shared" si="1"/>
        <v>947.58</v>
      </c>
    </row>
    <row r="79" spans="1:9" ht="15.75" x14ac:dyDescent="0.25">
      <c r="A79" s="119"/>
      <c r="B79" s="120"/>
      <c r="C79" s="123">
        <v>7</v>
      </c>
      <c r="D79" s="123"/>
      <c r="E79" s="10" t="s">
        <v>147</v>
      </c>
      <c r="F79" s="123">
        <v>631.72</v>
      </c>
      <c r="G79" s="123"/>
      <c r="H79" s="10">
        <v>0</v>
      </c>
      <c r="I79" s="10">
        <f t="shared" si="1"/>
        <v>947.58</v>
      </c>
    </row>
    <row r="80" spans="1:9" ht="15.75" x14ac:dyDescent="0.25">
      <c r="A80" s="121"/>
      <c r="B80" s="122"/>
      <c r="C80" s="123">
        <v>8</v>
      </c>
      <c r="D80" s="123"/>
      <c r="E80" s="10" t="s">
        <v>145</v>
      </c>
      <c r="F80" s="123">
        <v>748.02</v>
      </c>
      <c r="G80" s="123"/>
      <c r="H80" s="10">
        <v>0</v>
      </c>
      <c r="I80" s="10">
        <f t="shared" si="1"/>
        <v>1122.03</v>
      </c>
    </row>
  </sheetData>
  <mergeCells count="157">
    <mergeCell ref="F5:G5"/>
    <mergeCell ref="F6:G6"/>
    <mergeCell ref="F7:G7"/>
    <mergeCell ref="F8:G8"/>
    <mergeCell ref="A1:B1"/>
    <mergeCell ref="C1:D1"/>
    <mergeCell ref="F1:G1"/>
    <mergeCell ref="F13:G13"/>
    <mergeCell ref="F14:G14"/>
    <mergeCell ref="C6:D6"/>
    <mergeCell ref="C7:D7"/>
    <mergeCell ref="C8:D8"/>
    <mergeCell ref="A2:I2"/>
    <mergeCell ref="A3:I3"/>
    <mergeCell ref="A4:I4"/>
    <mergeCell ref="A15:I15"/>
    <mergeCell ref="F16:G16"/>
    <mergeCell ref="F17:G17"/>
    <mergeCell ref="F9:G9"/>
    <mergeCell ref="F10:G10"/>
    <mergeCell ref="F11:G11"/>
    <mergeCell ref="F12:G12"/>
    <mergeCell ref="F21:G21"/>
    <mergeCell ref="F22:G22"/>
    <mergeCell ref="C13:D13"/>
    <mergeCell ref="C14:D14"/>
    <mergeCell ref="C16:D16"/>
    <mergeCell ref="C17:D17"/>
    <mergeCell ref="C9:D9"/>
    <mergeCell ref="C10:D10"/>
    <mergeCell ref="C11:D11"/>
    <mergeCell ref="C12:D12"/>
    <mergeCell ref="F23:G23"/>
    <mergeCell ref="C21:D21"/>
    <mergeCell ref="C22:D22"/>
    <mergeCell ref="C23:D23"/>
    <mergeCell ref="F18:G18"/>
    <mergeCell ref="F19:G19"/>
    <mergeCell ref="F20:G20"/>
    <mergeCell ref="C20:D20"/>
    <mergeCell ref="F27:G27"/>
    <mergeCell ref="C18:D18"/>
    <mergeCell ref="C19:D19"/>
    <mergeCell ref="F24:G24"/>
    <mergeCell ref="F25:G25"/>
    <mergeCell ref="F26:G26"/>
    <mergeCell ref="C24:D24"/>
    <mergeCell ref="C25:D25"/>
    <mergeCell ref="C26:D26"/>
    <mergeCell ref="C27:D27"/>
    <mergeCell ref="C29:D29"/>
    <mergeCell ref="C30:D30"/>
    <mergeCell ref="F32:G32"/>
    <mergeCell ref="F33:G33"/>
    <mergeCell ref="F34:G34"/>
    <mergeCell ref="C34:D34"/>
    <mergeCell ref="C32:D32"/>
    <mergeCell ref="C33:D33"/>
    <mergeCell ref="A28:I28"/>
    <mergeCell ref="F29:G29"/>
    <mergeCell ref="F30:G30"/>
    <mergeCell ref="F31:G31"/>
    <mergeCell ref="C31:D31"/>
    <mergeCell ref="F38:G38"/>
    <mergeCell ref="F39:G39"/>
    <mergeCell ref="F40:G40"/>
    <mergeCell ref="C38:D38"/>
    <mergeCell ref="C39:D39"/>
    <mergeCell ref="C40:D40"/>
    <mergeCell ref="F35:G35"/>
    <mergeCell ref="F36:G36"/>
    <mergeCell ref="F37:G37"/>
    <mergeCell ref="C35:D35"/>
    <mergeCell ref="C36:D36"/>
    <mergeCell ref="C37:D37"/>
    <mergeCell ref="C43:D43"/>
    <mergeCell ref="C44:D44"/>
    <mergeCell ref="C45:D45"/>
    <mergeCell ref="C46:D46"/>
    <mergeCell ref="C47:D47"/>
    <mergeCell ref="A41:I41"/>
    <mergeCell ref="F42:G42"/>
    <mergeCell ref="F43:G43"/>
    <mergeCell ref="F44:G44"/>
    <mergeCell ref="F45:G45"/>
    <mergeCell ref="C78:D78"/>
    <mergeCell ref="F80:G80"/>
    <mergeCell ref="C59:D59"/>
    <mergeCell ref="C60:D60"/>
    <mergeCell ref="C61:D61"/>
    <mergeCell ref="C62:D62"/>
    <mergeCell ref="A57:B62"/>
    <mergeCell ref="A64:B71"/>
    <mergeCell ref="F52:G52"/>
    <mergeCell ref="F53:G53"/>
    <mergeCell ref="C52:D52"/>
    <mergeCell ref="C53:D53"/>
    <mergeCell ref="A42:B53"/>
    <mergeCell ref="F49:G49"/>
    <mergeCell ref="F50:G50"/>
    <mergeCell ref="F51:G51"/>
    <mergeCell ref="C49:D49"/>
    <mergeCell ref="C50:D50"/>
    <mergeCell ref="C51:D51"/>
    <mergeCell ref="F46:G46"/>
    <mergeCell ref="F47:G47"/>
    <mergeCell ref="F48:G48"/>
    <mergeCell ref="C48:D48"/>
    <mergeCell ref="C42:D42"/>
    <mergeCell ref="A56:I56"/>
    <mergeCell ref="F57:G57"/>
    <mergeCell ref="F58:G58"/>
    <mergeCell ref="F59:G59"/>
    <mergeCell ref="F60:G60"/>
    <mergeCell ref="C57:D57"/>
    <mergeCell ref="C58:D58"/>
    <mergeCell ref="F79:G79"/>
    <mergeCell ref="C79:D79"/>
    <mergeCell ref="A72:I72"/>
    <mergeCell ref="F73:G73"/>
    <mergeCell ref="F74:G74"/>
    <mergeCell ref="F75:G75"/>
    <mergeCell ref="F76:G76"/>
    <mergeCell ref="F69:G69"/>
    <mergeCell ref="F70:G70"/>
    <mergeCell ref="F71:G71"/>
    <mergeCell ref="C70:D70"/>
    <mergeCell ref="C71:D71"/>
    <mergeCell ref="F77:G77"/>
    <mergeCell ref="F78:G78"/>
    <mergeCell ref="A73:B80"/>
    <mergeCell ref="C80:D80"/>
    <mergeCell ref="C77:D77"/>
    <mergeCell ref="A54:I54"/>
    <mergeCell ref="A55:I55"/>
    <mergeCell ref="A5:B14"/>
    <mergeCell ref="A16:B27"/>
    <mergeCell ref="A29:B40"/>
    <mergeCell ref="C73:D73"/>
    <mergeCell ref="C74:D74"/>
    <mergeCell ref="C75:D75"/>
    <mergeCell ref="C76:D76"/>
    <mergeCell ref="C64:D64"/>
    <mergeCell ref="C65:D65"/>
    <mergeCell ref="C66:D66"/>
    <mergeCell ref="C67:D67"/>
    <mergeCell ref="C68:D68"/>
    <mergeCell ref="C69:D69"/>
    <mergeCell ref="C5:D5"/>
    <mergeCell ref="F66:G66"/>
    <mergeCell ref="F67:G67"/>
    <mergeCell ref="F68:G68"/>
    <mergeCell ref="F61:G61"/>
    <mergeCell ref="F62:G62"/>
    <mergeCell ref="A63:I63"/>
    <mergeCell ref="F64:G64"/>
    <mergeCell ref="F65:G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4" sqref="C4"/>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109</v>
      </c>
      <c r="B2" s="1" t="s">
        <v>110</v>
      </c>
      <c r="C2" s="1">
        <v>17</v>
      </c>
    </row>
    <row r="3" spans="1:15" x14ac:dyDescent="0.25">
      <c r="B3" t="s">
        <v>111</v>
      </c>
      <c r="C3" t="s">
        <v>112</v>
      </c>
    </row>
    <row r="4" spans="1:15" x14ac:dyDescent="0.25">
      <c r="A4" t="s">
        <v>113</v>
      </c>
      <c r="B4" s="2">
        <v>10</v>
      </c>
      <c r="C4" s="2">
        <v>5</v>
      </c>
      <c r="E4">
        <f>(100/B4)*C4</f>
        <v>50</v>
      </c>
    </row>
    <row r="5" spans="1:15" x14ac:dyDescent="0.25">
      <c r="A5" t="s">
        <v>114</v>
      </c>
      <c r="B5" t="s">
        <v>115</v>
      </c>
      <c r="C5" t="s">
        <v>116</v>
      </c>
      <c r="E5">
        <f>(100/B6)*C6</f>
        <v>0</v>
      </c>
      <c r="I5" s="2" t="s">
        <v>117</v>
      </c>
      <c r="J5" s="2" t="s">
        <v>118</v>
      </c>
      <c r="K5" s="2" t="s">
        <v>119</v>
      </c>
      <c r="L5" s="2" t="s">
        <v>120</v>
      </c>
      <c r="M5" s="2" t="s">
        <v>121</v>
      </c>
      <c r="N5" s="2" t="s">
        <v>122</v>
      </c>
      <c r="O5" s="2" t="s">
        <v>123</v>
      </c>
    </row>
    <row r="6" spans="1:15" x14ac:dyDescent="0.25">
      <c r="B6" s="2">
        <f>C2+1</f>
        <v>18</v>
      </c>
      <c r="C6" s="2">
        <v>0</v>
      </c>
      <c r="E6">
        <f>(100/B8)*C8</f>
        <v>0</v>
      </c>
      <c r="F6" s="3" t="s">
        <v>124</v>
      </c>
      <c r="I6" s="3">
        <f>C4</f>
        <v>5</v>
      </c>
      <c r="J6" s="3">
        <f>40/B6*C6</f>
        <v>0</v>
      </c>
      <c r="K6" s="3">
        <f>15/B8*C8</f>
        <v>0</v>
      </c>
      <c r="L6" s="3">
        <f>10/B10*C10</f>
        <v>0</v>
      </c>
      <c r="M6" s="3">
        <f>10/B12*C12</f>
        <v>0</v>
      </c>
      <c r="N6" s="3">
        <f>5/B14*C14</f>
        <v>0</v>
      </c>
      <c r="O6" s="3">
        <f>5/B16*C16</f>
        <v>0</v>
      </c>
    </row>
    <row r="7" spans="1:15" x14ac:dyDescent="0.25">
      <c r="A7" t="s">
        <v>125</v>
      </c>
      <c r="B7" t="s">
        <v>126</v>
      </c>
      <c r="C7" t="s">
        <v>127</v>
      </c>
      <c r="E7">
        <f>(100/B10)*C10</f>
        <v>0</v>
      </c>
      <c r="F7" s="2" t="s">
        <v>128</v>
      </c>
      <c r="G7" s="2"/>
      <c r="H7" s="2"/>
      <c r="I7" s="2">
        <f>I6+20</f>
        <v>25</v>
      </c>
      <c r="J7" s="2">
        <f>30/B6*C6</f>
        <v>0</v>
      </c>
      <c r="K7" s="2">
        <f>15/B8*C8</f>
        <v>0</v>
      </c>
      <c r="L7" s="2">
        <f>10/B10*C10</f>
        <v>0</v>
      </c>
      <c r="M7" s="2">
        <f>5/B12*C12</f>
        <v>0</v>
      </c>
      <c r="N7" s="2">
        <f>5/B14*C14</f>
        <v>0</v>
      </c>
      <c r="O7" s="2">
        <f>5/B16*C16</f>
        <v>0</v>
      </c>
    </row>
    <row r="8" spans="1:15" x14ac:dyDescent="0.25">
      <c r="B8" s="2">
        <f>C2</f>
        <v>17</v>
      </c>
      <c r="C8" s="2">
        <v>0</v>
      </c>
      <c r="E8">
        <f>(100/B12)*C12</f>
        <v>0</v>
      </c>
    </row>
    <row r="9" spans="1:15" x14ac:dyDescent="0.25">
      <c r="A9" t="s">
        <v>129</v>
      </c>
      <c r="B9" t="s">
        <v>126</v>
      </c>
      <c r="C9" t="s">
        <v>127</v>
      </c>
      <c r="E9">
        <f>(100/B14)*C14</f>
        <v>0</v>
      </c>
    </row>
    <row r="10" spans="1:15" x14ac:dyDescent="0.25">
      <c r="B10" s="2">
        <f>C2</f>
        <v>17</v>
      </c>
      <c r="C10" s="2">
        <v>0</v>
      </c>
      <c r="E10">
        <f>(100/B16)*C16</f>
        <v>0</v>
      </c>
    </row>
    <row r="11" spans="1:15" x14ac:dyDescent="0.25">
      <c r="A11" t="s">
        <v>121</v>
      </c>
      <c r="B11" t="s">
        <v>126</v>
      </c>
      <c r="C11" t="s">
        <v>127</v>
      </c>
    </row>
    <row r="12" spans="1:15" x14ac:dyDescent="0.25">
      <c r="B12" s="2">
        <f>C2</f>
        <v>17</v>
      </c>
      <c r="C12" s="2">
        <v>0</v>
      </c>
      <c r="F12" s="2"/>
      <c r="G12" s="2" t="s">
        <v>124</v>
      </c>
      <c r="H12" s="2" t="s">
        <v>130</v>
      </c>
      <c r="L12" t="s">
        <v>131</v>
      </c>
    </row>
    <row r="13" spans="1:15" ht="30" x14ac:dyDescent="0.25">
      <c r="A13" s="4" t="s">
        <v>122</v>
      </c>
      <c r="B13" t="s">
        <v>126</v>
      </c>
      <c r="C13" t="s">
        <v>127</v>
      </c>
      <c r="F13" s="2" t="s">
        <v>132</v>
      </c>
      <c r="G13" s="2">
        <f>I6</f>
        <v>5</v>
      </c>
      <c r="H13" s="2">
        <f>I7</f>
        <v>25</v>
      </c>
      <c r="L13" t="s">
        <v>131</v>
      </c>
    </row>
    <row r="14" spans="1:15" x14ac:dyDescent="0.25">
      <c r="B14" s="2">
        <f>C2</f>
        <v>17</v>
      </c>
      <c r="C14" s="2">
        <v>0</v>
      </c>
      <c r="F14" s="2" t="s">
        <v>133</v>
      </c>
      <c r="G14" s="2">
        <f>J6</f>
        <v>0</v>
      </c>
      <c r="H14" s="2">
        <f>J7</f>
        <v>0</v>
      </c>
    </row>
    <row r="15" spans="1:15" x14ac:dyDescent="0.25">
      <c r="A15" t="s">
        <v>123</v>
      </c>
      <c r="B15" t="s">
        <v>126</v>
      </c>
      <c r="C15" t="s">
        <v>127</v>
      </c>
      <c r="F15" s="2" t="s">
        <v>119</v>
      </c>
      <c r="G15" s="2">
        <f>K6</f>
        <v>0</v>
      </c>
      <c r="H15" s="2">
        <f>K7</f>
        <v>0</v>
      </c>
    </row>
    <row r="16" spans="1:15" x14ac:dyDescent="0.25">
      <c r="B16" s="2">
        <f>C2</f>
        <v>17</v>
      </c>
      <c r="C16" s="2">
        <v>0</v>
      </c>
      <c r="F16" s="2" t="s">
        <v>120</v>
      </c>
      <c r="G16" s="2">
        <f>L6</f>
        <v>0</v>
      </c>
      <c r="H16" s="2">
        <f>L7</f>
        <v>0</v>
      </c>
    </row>
    <row r="17" spans="5:8" x14ac:dyDescent="0.25">
      <c r="F17" s="2" t="s">
        <v>121</v>
      </c>
      <c r="G17" s="2">
        <f>M6</f>
        <v>0</v>
      </c>
      <c r="H17" s="2">
        <f>M7</f>
        <v>0</v>
      </c>
    </row>
    <row r="18" spans="5:8" ht="30" x14ac:dyDescent="0.25">
      <c r="F18" s="5" t="s">
        <v>122</v>
      </c>
      <c r="G18" s="2">
        <f>N6</f>
        <v>0</v>
      </c>
      <c r="H18" s="2">
        <f>N7</f>
        <v>0</v>
      </c>
    </row>
    <row r="19" spans="5:8" x14ac:dyDescent="0.25">
      <c r="F19" s="2" t="s">
        <v>123</v>
      </c>
      <c r="G19" s="2">
        <f>O6</f>
        <v>0</v>
      </c>
      <c r="H19" s="2">
        <f>O7</f>
        <v>0</v>
      </c>
    </row>
    <row r="20" spans="5:8" x14ac:dyDescent="0.25">
      <c r="F20" s="2" t="s">
        <v>134</v>
      </c>
      <c r="G20" s="7">
        <f>(G13+G14+G15+G16+G17+G18+G19)/100</f>
        <v>0.05</v>
      </c>
      <c r="H20" s="7">
        <f>(H13+H14+H15+H16+H17+H18+H19)/100</f>
        <v>0.25</v>
      </c>
    </row>
    <row r="21" spans="5:8" x14ac:dyDescent="0.25">
      <c r="E21" s="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5" sqref="C5"/>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109</v>
      </c>
      <c r="B2" s="1" t="s">
        <v>110</v>
      </c>
      <c r="C2" s="1">
        <v>17</v>
      </c>
    </row>
    <row r="3" spans="1:15" x14ac:dyDescent="0.25">
      <c r="B3" t="s">
        <v>111</v>
      </c>
      <c r="C3" t="s">
        <v>112</v>
      </c>
    </row>
    <row r="4" spans="1:15" x14ac:dyDescent="0.25">
      <c r="A4" t="s">
        <v>113</v>
      </c>
      <c r="B4" s="2">
        <v>10</v>
      </c>
      <c r="C4" s="2">
        <v>5</v>
      </c>
      <c r="E4">
        <f>(100/B4)*C4</f>
        <v>50</v>
      </c>
    </row>
    <row r="5" spans="1:15" x14ac:dyDescent="0.25">
      <c r="A5" t="s">
        <v>114</v>
      </c>
      <c r="B5" t="s">
        <v>115</v>
      </c>
      <c r="C5" t="s">
        <v>116</v>
      </c>
      <c r="E5">
        <f>(100/B6)*C6</f>
        <v>0</v>
      </c>
      <c r="I5" s="2" t="s">
        <v>117</v>
      </c>
      <c r="J5" s="2" t="s">
        <v>118</v>
      </c>
      <c r="K5" s="2" t="s">
        <v>119</v>
      </c>
      <c r="L5" s="2" t="s">
        <v>120</v>
      </c>
      <c r="M5" s="2" t="s">
        <v>121</v>
      </c>
      <c r="N5" s="2" t="s">
        <v>122</v>
      </c>
      <c r="O5" s="2" t="s">
        <v>123</v>
      </c>
    </row>
    <row r="6" spans="1:15" x14ac:dyDescent="0.25">
      <c r="B6" s="2">
        <f>C2+1</f>
        <v>18</v>
      </c>
      <c r="C6" s="2">
        <v>0</v>
      </c>
      <c r="E6">
        <f>(100/B8)*C8</f>
        <v>0</v>
      </c>
      <c r="F6" s="3" t="s">
        <v>124</v>
      </c>
      <c r="I6" s="3">
        <f>C4</f>
        <v>5</v>
      </c>
      <c r="J6" s="3">
        <f>40/B6*C6</f>
        <v>0</v>
      </c>
      <c r="K6" s="3">
        <f>15/B8*C8</f>
        <v>0</v>
      </c>
      <c r="L6" s="3">
        <f>10/B10*C10</f>
        <v>0</v>
      </c>
      <c r="M6" s="3">
        <f>10/B12*C12</f>
        <v>0</v>
      </c>
      <c r="N6" s="3">
        <f>5/B14*C14</f>
        <v>0</v>
      </c>
      <c r="O6" s="3">
        <f>5/B16*C16</f>
        <v>0</v>
      </c>
    </row>
    <row r="7" spans="1:15" x14ac:dyDescent="0.25">
      <c r="A7" t="s">
        <v>125</v>
      </c>
      <c r="B7" t="s">
        <v>126</v>
      </c>
      <c r="C7" t="s">
        <v>127</v>
      </c>
      <c r="E7">
        <f>(100/B10)*C10</f>
        <v>0</v>
      </c>
      <c r="F7" s="2" t="s">
        <v>128</v>
      </c>
      <c r="G7" s="2"/>
      <c r="H7" s="2"/>
      <c r="I7" s="2">
        <f>I6+20</f>
        <v>25</v>
      </c>
      <c r="J7" s="2">
        <f>30/B6*C6</f>
        <v>0</v>
      </c>
      <c r="K7" s="2">
        <f>15/B8*C8</f>
        <v>0</v>
      </c>
      <c r="L7" s="2">
        <f>10/B10*C10</f>
        <v>0</v>
      </c>
      <c r="M7" s="2">
        <f>5/B12*C12</f>
        <v>0</v>
      </c>
      <c r="N7" s="2">
        <f>5/B14*C14</f>
        <v>0</v>
      </c>
      <c r="O7" s="2">
        <f>5/B16*C16</f>
        <v>0</v>
      </c>
    </row>
    <row r="8" spans="1:15" x14ac:dyDescent="0.25">
      <c r="B8" s="2">
        <f>C2</f>
        <v>17</v>
      </c>
      <c r="C8" s="2">
        <v>0</v>
      </c>
      <c r="E8">
        <f>(100/B12)*C12</f>
        <v>0</v>
      </c>
    </row>
    <row r="9" spans="1:15" x14ac:dyDescent="0.25">
      <c r="A9" t="s">
        <v>129</v>
      </c>
      <c r="B9" t="s">
        <v>126</v>
      </c>
      <c r="C9" t="s">
        <v>127</v>
      </c>
      <c r="E9">
        <f>(100/B14)*C14</f>
        <v>0</v>
      </c>
    </row>
    <row r="10" spans="1:15" x14ac:dyDescent="0.25">
      <c r="B10" s="2">
        <f>C2</f>
        <v>17</v>
      </c>
      <c r="C10" s="2">
        <v>0</v>
      </c>
      <c r="E10">
        <f>(100/B16)*C16</f>
        <v>0</v>
      </c>
    </row>
    <row r="11" spans="1:15" x14ac:dyDescent="0.25">
      <c r="A11" t="s">
        <v>121</v>
      </c>
      <c r="B11" t="s">
        <v>126</v>
      </c>
      <c r="C11" t="s">
        <v>127</v>
      </c>
    </row>
    <row r="12" spans="1:15" x14ac:dyDescent="0.25">
      <c r="B12" s="2">
        <f>C2</f>
        <v>17</v>
      </c>
      <c r="C12" s="2">
        <v>0</v>
      </c>
      <c r="F12" s="2"/>
      <c r="G12" s="2" t="s">
        <v>124</v>
      </c>
      <c r="H12" s="2" t="s">
        <v>130</v>
      </c>
      <c r="L12" t="s">
        <v>131</v>
      </c>
    </row>
    <row r="13" spans="1:15" ht="30" x14ac:dyDescent="0.25">
      <c r="A13" s="4" t="s">
        <v>122</v>
      </c>
      <c r="B13" t="s">
        <v>126</v>
      </c>
      <c r="C13" t="s">
        <v>127</v>
      </c>
      <c r="F13" s="2" t="s">
        <v>132</v>
      </c>
      <c r="G13" s="2">
        <f>I6</f>
        <v>5</v>
      </c>
      <c r="H13" s="2">
        <f>I7</f>
        <v>25</v>
      </c>
      <c r="L13" t="s">
        <v>131</v>
      </c>
    </row>
    <row r="14" spans="1:15" x14ac:dyDescent="0.25">
      <c r="B14" s="2">
        <f>C2</f>
        <v>17</v>
      </c>
      <c r="C14" s="2">
        <v>0</v>
      </c>
      <c r="F14" s="2" t="s">
        <v>133</v>
      </c>
      <c r="G14" s="2">
        <f>J6</f>
        <v>0</v>
      </c>
      <c r="H14" s="2">
        <f>J7</f>
        <v>0</v>
      </c>
    </row>
    <row r="15" spans="1:15" x14ac:dyDescent="0.25">
      <c r="A15" t="s">
        <v>123</v>
      </c>
      <c r="B15" t="s">
        <v>126</v>
      </c>
      <c r="C15" t="s">
        <v>127</v>
      </c>
      <c r="F15" s="2" t="s">
        <v>119</v>
      </c>
      <c r="G15" s="2">
        <f>K6</f>
        <v>0</v>
      </c>
      <c r="H15" s="2">
        <f>K7</f>
        <v>0</v>
      </c>
    </row>
    <row r="16" spans="1:15" x14ac:dyDescent="0.25">
      <c r="B16" s="2">
        <f>C2</f>
        <v>17</v>
      </c>
      <c r="C16" s="2">
        <v>0</v>
      </c>
      <c r="F16" s="2" t="s">
        <v>120</v>
      </c>
      <c r="G16" s="2">
        <f>L6</f>
        <v>0</v>
      </c>
      <c r="H16" s="2">
        <f>L7</f>
        <v>0</v>
      </c>
    </row>
    <row r="17" spans="5:8" x14ac:dyDescent="0.25">
      <c r="F17" s="2" t="s">
        <v>121</v>
      </c>
      <c r="G17" s="2">
        <f>M6</f>
        <v>0</v>
      </c>
      <c r="H17" s="2">
        <f>M7</f>
        <v>0</v>
      </c>
    </row>
    <row r="18" spans="5:8" ht="30" x14ac:dyDescent="0.25">
      <c r="F18" s="5" t="s">
        <v>122</v>
      </c>
      <c r="G18" s="2">
        <f>N6</f>
        <v>0</v>
      </c>
      <c r="H18" s="2">
        <f>N7</f>
        <v>0</v>
      </c>
    </row>
    <row r="19" spans="5:8" x14ac:dyDescent="0.25">
      <c r="F19" s="2" t="s">
        <v>123</v>
      </c>
      <c r="G19" s="2">
        <f>O6</f>
        <v>0</v>
      </c>
      <c r="H19" s="2">
        <f>O7</f>
        <v>0</v>
      </c>
    </row>
    <row r="20" spans="5:8" x14ac:dyDescent="0.25">
      <c r="F20" s="2" t="s">
        <v>134</v>
      </c>
      <c r="G20" s="7">
        <f>(G13+G14+G15+G16+G17+G18+G19)/100</f>
        <v>0.05</v>
      </c>
      <c r="H20" s="7">
        <f>(H13+H14+H15+H16+H17+H18+H19)/100</f>
        <v>0.25</v>
      </c>
    </row>
    <row r="21" spans="5:8" x14ac:dyDescent="0.25">
      <c r="E21" s="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5" sqref="C5"/>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109</v>
      </c>
      <c r="B2" s="1" t="s">
        <v>110</v>
      </c>
      <c r="C2" s="1">
        <v>17</v>
      </c>
    </row>
    <row r="3" spans="1:15" x14ac:dyDescent="0.25">
      <c r="B3" t="s">
        <v>111</v>
      </c>
      <c r="C3" t="s">
        <v>112</v>
      </c>
    </row>
    <row r="4" spans="1:15" x14ac:dyDescent="0.25">
      <c r="A4" t="s">
        <v>113</v>
      </c>
      <c r="B4" s="2">
        <v>10</v>
      </c>
      <c r="C4" s="2">
        <v>0</v>
      </c>
      <c r="E4">
        <f>(100/B4)*C4</f>
        <v>0</v>
      </c>
    </row>
    <row r="5" spans="1:15" x14ac:dyDescent="0.25">
      <c r="A5" t="s">
        <v>114</v>
      </c>
      <c r="B5" t="s">
        <v>115</v>
      </c>
      <c r="C5" t="s">
        <v>116</v>
      </c>
      <c r="E5">
        <f>(100/B6)*C6</f>
        <v>0</v>
      </c>
      <c r="I5" s="2" t="s">
        <v>117</v>
      </c>
      <c r="J5" s="2" t="s">
        <v>118</v>
      </c>
      <c r="K5" s="2" t="s">
        <v>119</v>
      </c>
      <c r="L5" s="2" t="s">
        <v>120</v>
      </c>
      <c r="M5" s="2" t="s">
        <v>121</v>
      </c>
      <c r="N5" s="2" t="s">
        <v>122</v>
      </c>
      <c r="O5" s="2" t="s">
        <v>123</v>
      </c>
    </row>
    <row r="6" spans="1:15" x14ac:dyDescent="0.25">
      <c r="B6" s="2">
        <f>C2+1</f>
        <v>18</v>
      </c>
      <c r="C6" s="2">
        <v>0</v>
      </c>
      <c r="E6">
        <f>(100/B8)*C8</f>
        <v>0</v>
      </c>
      <c r="F6" s="3" t="s">
        <v>124</v>
      </c>
      <c r="I6" s="3">
        <f>C4</f>
        <v>0</v>
      </c>
      <c r="J6" s="3">
        <f>40/B6*C6</f>
        <v>0</v>
      </c>
      <c r="K6" s="3">
        <f>15/B8*C8</f>
        <v>0</v>
      </c>
      <c r="L6" s="3">
        <f>10/B10*C10</f>
        <v>0</v>
      </c>
      <c r="M6" s="3">
        <f>10/B12*C12</f>
        <v>0</v>
      </c>
      <c r="N6" s="3">
        <f>5/B14*C14</f>
        <v>0</v>
      </c>
      <c r="O6" s="3">
        <f>5/B16*C16</f>
        <v>0</v>
      </c>
    </row>
    <row r="7" spans="1:15" x14ac:dyDescent="0.25">
      <c r="A7" t="s">
        <v>125</v>
      </c>
      <c r="B7" t="s">
        <v>126</v>
      </c>
      <c r="C7" t="s">
        <v>127</v>
      </c>
      <c r="E7">
        <f>(100/B10)*C10</f>
        <v>0</v>
      </c>
      <c r="F7" s="2" t="s">
        <v>128</v>
      </c>
      <c r="G7" s="2"/>
      <c r="H7" s="2"/>
      <c r="I7" s="2">
        <f>I6+20</f>
        <v>20</v>
      </c>
      <c r="J7" s="2">
        <f>30/B6*C6</f>
        <v>0</v>
      </c>
      <c r="K7" s="2">
        <f>15/B8*C8</f>
        <v>0</v>
      </c>
      <c r="L7" s="2">
        <f>10/B10*C10</f>
        <v>0</v>
      </c>
      <c r="M7" s="2">
        <f>5/B12*C12</f>
        <v>0</v>
      </c>
      <c r="N7" s="2">
        <f>5/B14*C14</f>
        <v>0</v>
      </c>
      <c r="O7" s="2">
        <f>5/B16*C16</f>
        <v>0</v>
      </c>
    </row>
    <row r="8" spans="1:15" x14ac:dyDescent="0.25">
      <c r="B8" s="2">
        <f>C2</f>
        <v>17</v>
      </c>
      <c r="C8" s="2">
        <v>0</v>
      </c>
      <c r="E8">
        <f>(100/B12)*C12</f>
        <v>0</v>
      </c>
    </row>
    <row r="9" spans="1:15" x14ac:dyDescent="0.25">
      <c r="A9" t="s">
        <v>129</v>
      </c>
      <c r="B9" t="s">
        <v>126</v>
      </c>
      <c r="C9" t="s">
        <v>127</v>
      </c>
      <c r="E9">
        <f>(100/B14)*C14</f>
        <v>0</v>
      </c>
    </row>
    <row r="10" spans="1:15" x14ac:dyDescent="0.25">
      <c r="B10" s="2">
        <f>C2</f>
        <v>17</v>
      </c>
      <c r="C10" s="2">
        <v>0</v>
      </c>
      <c r="E10">
        <f>(100/B16)*C16</f>
        <v>0</v>
      </c>
    </row>
    <row r="11" spans="1:15" x14ac:dyDescent="0.25">
      <c r="A11" t="s">
        <v>121</v>
      </c>
      <c r="B11" t="s">
        <v>126</v>
      </c>
      <c r="C11" t="s">
        <v>127</v>
      </c>
    </row>
    <row r="12" spans="1:15" x14ac:dyDescent="0.25">
      <c r="B12" s="2">
        <f>C2</f>
        <v>17</v>
      </c>
      <c r="C12" s="2">
        <v>0</v>
      </c>
      <c r="F12" s="2"/>
      <c r="G12" s="2" t="s">
        <v>124</v>
      </c>
      <c r="H12" s="2" t="s">
        <v>130</v>
      </c>
      <c r="L12" t="s">
        <v>131</v>
      </c>
    </row>
    <row r="13" spans="1:15" ht="30" x14ac:dyDescent="0.25">
      <c r="A13" s="4" t="s">
        <v>122</v>
      </c>
      <c r="B13" t="s">
        <v>126</v>
      </c>
      <c r="C13" t="s">
        <v>127</v>
      </c>
      <c r="F13" s="2" t="s">
        <v>132</v>
      </c>
      <c r="G13" s="2">
        <f>I6</f>
        <v>0</v>
      </c>
      <c r="H13" s="2">
        <f>I7</f>
        <v>20</v>
      </c>
      <c r="L13" t="s">
        <v>131</v>
      </c>
    </row>
    <row r="14" spans="1:15" x14ac:dyDescent="0.25">
      <c r="B14" s="2">
        <f>C2</f>
        <v>17</v>
      </c>
      <c r="C14" s="2">
        <v>0</v>
      </c>
      <c r="F14" s="2" t="s">
        <v>133</v>
      </c>
      <c r="G14" s="2">
        <f>J6</f>
        <v>0</v>
      </c>
      <c r="H14" s="2">
        <f>J7</f>
        <v>0</v>
      </c>
    </row>
    <row r="15" spans="1:15" x14ac:dyDescent="0.25">
      <c r="A15" t="s">
        <v>123</v>
      </c>
      <c r="B15" t="s">
        <v>126</v>
      </c>
      <c r="C15" t="s">
        <v>127</v>
      </c>
      <c r="F15" s="2" t="s">
        <v>119</v>
      </c>
      <c r="G15" s="2">
        <f>K6</f>
        <v>0</v>
      </c>
      <c r="H15" s="2">
        <f>K7</f>
        <v>0</v>
      </c>
    </row>
    <row r="16" spans="1:15" x14ac:dyDescent="0.25">
      <c r="B16" s="2">
        <f>C2</f>
        <v>17</v>
      </c>
      <c r="C16" s="2">
        <v>0</v>
      </c>
      <c r="F16" s="2" t="s">
        <v>120</v>
      </c>
      <c r="G16" s="2">
        <f>L6</f>
        <v>0</v>
      </c>
      <c r="H16" s="2">
        <f>L7</f>
        <v>0</v>
      </c>
    </row>
    <row r="17" spans="5:8" x14ac:dyDescent="0.25">
      <c r="F17" s="2" t="s">
        <v>121</v>
      </c>
      <c r="G17" s="2">
        <f>M6</f>
        <v>0</v>
      </c>
      <c r="H17" s="2">
        <f>M7</f>
        <v>0</v>
      </c>
    </row>
    <row r="18" spans="5:8" ht="30" x14ac:dyDescent="0.25">
      <c r="F18" s="5" t="s">
        <v>122</v>
      </c>
      <c r="G18" s="2">
        <f>N6</f>
        <v>0</v>
      </c>
      <c r="H18" s="2">
        <f>N7</f>
        <v>0</v>
      </c>
    </row>
    <row r="19" spans="5:8" x14ac:dyDescent="0.25">
      <c r="F19" s="2" t="s">
        <v>123</v>
      </c>
      <c r="G19" s="2">
        <f>O6</f>
        <v>0</v>
      </c>
      <c r="H19" s="2">
        <f>O7</f>
        <v>0</v>
      </c>
    </row>
    <row r="20" spans="5:8" x14ac:dyDescent="0.25">
      <c r="F20" s="2" t="s">
        <v>134</v>
      </c>
      <c r="G20" s="7">
        <f>(G13+G14+G15+G16+G17+G18+G19)/100</f>
        <v>0</v>
      </c>
      <c r="H20" s="7">
        <f>(H13+H14+H15+H16+H17+H18+H19)/100</f>
        <v>0.2</v>
      </c>
    </row>
    <row r="21" spans="5:8" x14ac:dyDescent="0.25">
      <c r="E21"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7" sqref="C7"/>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109</v>
      </c>
      <c r="B2" s="1" t="s">
        <v>110</v>
      </c>
      <c r="C2" s="1">
        <v>16</v>
      </c>
    </row>
    <row r="3" spans="1:15" x14ac:dyDescent="0.25">
      <c r="B3" t="s">
        <v>111</v>
      </c>
      <c r="C3" t="s">
        <v>112</v>
      </c>
    </row>
    <row r="4" spans="1:15" x14ac:dyDescent="0.25">
      <c r="A4" t="s">
        <v>113</v>
      </c>
      <c r="B4" s="2">
        <v>10</v>
      </c>
      <c r="C4" s="2">
        <v>0</v>
      </c>
      <c r="E4">
        <f>(100/B4)*C4</f>
        <v>0</v>
      </c>
    </row>
    <row r="5" spans="1:15" x14ac:dyDescent="0.25">
      <c r="A5" t="s">
        <v>114</v>
      </c>
      <c r="B5" t="s">
        <v>115</v>
      </c>
      <c r="C5" t="s">
        <v>116</v>
      </c>
      <c r="E5">
        <f>(100/B6)*C6</f>
        <v>0</v>
      </c>
      <c r="I5" s="2" t="s">
        <v>117</v>
      </c>
      <c r="J5" s="2" t="s">
        <v>118</v>
      </c>
      <c r="K5" s="2" t="s">
        <v>119</v>
      </c>
      <c r="L5" s="2" t="s">
        <v>120</v>
      </c>
      <c r="M5" s="2" t="s">
        <v>121</v>
      </c>
      <c r="N5" s="2" t="s">
        <v>122</v>
      </c>
      <c r="O5" s="2" t="s">
        <v>123</v>
      </c>
    </row>
    <row r="6" spans="1:15" x14ac:dyDescent="0.25">
      <c r="B6" s="2">
        <f>C2+1</f>
        <v>17</v>
      </c>
      <c r="C6" s="2">
        <v>0</v>
      </c>
      <c r="E6">
        <f>(100/B8)*C8</f>
        <v>0</v>
      </c>
      <c r="F6" s="3" t="s">
        <v>124</v>
      </c>
      <c r="I6" s="3">
        <f>C4</f>
        <v>0</v>
      </c>
      <c r="J6" s="3">
        <f>40/B6*C6</f>
        <v>0</v>
      </c>
      <c r="K6" s="3">
        <f>15/B8*C8</f>
        <v>0</v>
      </c>
      <c r="L6" s="3">
        <f>10/B10*C10</f>
        <v>0</v>
      </c>
      <c r="M6" s="3">
        <f>10/B12*C12</f>
        <v>0</v>
      </c>
      <c r="N6" s="3">
        <f>5/B14*C14</f>
        <v>0</v>
      </c>
      <c r="O6" s="3">
        <f>5/B16*C16</f>
        <v>0</v>
      </c>
    </row>
    <row r="7" spans="1:15" x14ac:dyDescent="0.25">
      <c r="A7" t="s">
        <v>125</v>
      </c>
      <c r="B7" t="s">
        <v>126</v>
      </c>
      <c r="C7" t="s">
        <v>127</v>
      </c>
      <c r="E7">
        <f>(100/B10)*C10</f>
        <v>0</v>
      </c>
      <c r="F7" s="2" t="s">
        <v>128</v>
      </c>
      <c r="G7" s="2"/>
      <c r="H7" s="2"/>
      <c r="I7" s="2">
        <f>I6+20</f>
        <v>20</v>
      </c>
      <c r="J7" s="2">
        <f>30/B6*C6</f>
        <v>0</v>
      </c>
      <c r="K7" s="2">
        <f>15/B8*C8</f>
        <v>0</v>
      </c>
      <c r="L7" s="2">
        <f>10/B10*C10</f>
        <v>0</v>
      </c>
      <c r="M7" s="2">
        <f>5/B12*C12</f>
        <v>0</v>
      </c>
      <c r="N7" s="2">
        <f>5/B14*C14</f>
        <v>0</v>
      </c>
      <c r="O7" s="2">
        <f>5/B16*C16</f>
        <v>0</v>
      </c>
    </row>
    <row r="8" spans="1:15" x14ac:dyDescent="0.25">
      <c r="B8" s="2">
        <f>C2</f>
        <v>16</v>
      </c>
      <c r="C8" s="2">
        <v>0</v>
      </c>
      <c r="E8">
        <f>(100/B12)*C12</f>
        <v>0</v>
      </c>
    </row>
    <row r="9" spans="1:15" x14ac:dyDescent="0.25">
      <c r="A9" t="s">
        <v>129</v>
      </c>
      <c r="B9" t="s">
        <v>126</v>
      </c>
      <c r="C9" t="s">
        <v>127</v>
      </c>
      <c r="E9">
        <f>(100/B14)*C14</f>
        <v>0</v>
      </c>
    </row>
    <row r="10" spans="1:15" x14ac:dyDescent="0.25">
      <c r="B10" s="2">
        <f>C2</f>
        <v>16</v>
      </c>
      <c r="C10" s="2">
        <v>0</v>
      </c>
      <c r="E10">
        <f>(100/B16)*C16</f>
        <v>0</v>
      </c>
    </row>
    <row r="11" spans="1:15" x14ac:dyDescent="0.25">
      <c r="A11" t="s">
        <v>121</v>
      </c>
      <c r="B11" t="s">
        <v>126</v>
      </c>
      <c r="C11" t="s">
        <v>127</v>
      </c>
    </row>
    <row r="12" spans="1:15" x14ac:dyDescent="0.25">
      <c r="B12" s="2">
        <f>C2</f>
        <v>16</v>
      </c>
      <c r="C12" s="2">
        <v>0</v>
      </c>
      <c r="F12" s="2"/>
      <c r="G12" s="2" t="s">
        <v>124</v>
      </c>
      <c r="H12" s="2" t="s">
        <v>130</v>
      </c>
      <c r="L12" t="s">
        <v>131</v>
      </c>
    </row>
    <row r="13" spans="1:15" ht="30" x14ac:dyDescent="0.25">
      <c r="A13" s="4" t="s">
        <v>122</v>
      </c>
      <c r="B13" t="s">
        <v>126</v>
      </c>
      <c r="C13" t="s">
        <v>127</v>
      </c>
      <c r="F13" s="2" t="s">
        <v>132</v>
      </c>
      <c r="G13" s="2">
        <f>I6</f>
        <v>0</v>
      </c>
      <c r="H13" s="2">
        <f>I7</f>
        <v>20</v>
      </c>
      <c r="L13" t="s">
        <v>131</v>
      </c>
    </row>
    <row r="14" spans="1:15" x14ac:dyDescent="0.25">
      <c r="B14" s="2">
        <f>C2</f>
        <v>16</v>
      </c>
      <c r="C14" s="2">
        <v>0</v>
      </c>
      <c r="F14" s="2" t="s">
        <v>133</v>
      </c>
      <c r="G14" s="2">
        <f>J6</f>
        <v>0</v>
      </c>
      <c r="H14" s="2">
        <f>J7</f>
        <v>0</v>
      </c>
    </row>
    <row r="15" spans="1:15" x14ac:dyDescent="0.25">
      <c r="A15" t="s">
        <v>123</v>
      </c>
      <c r="B15" t="s">
        <v>126</v>
      </c>
      <c r="C15" t="s">
        <v>127</v>
      </c>
      <c r="F15" s="2" t="s">
        <v>119</v>
      </c>
      <c r="G15" s="2">
        <f>K6</f>
        <v>0</v>
      </c>
      <c r="H15" s="2">
        <f>K7</f>
        <v>0</v>
      </c>
    </row>
    <row r="16" spans="1:15" x14ac:dyDescent="0.25">
      <c r="B16" s="2">
        <f>C2</f>
        <v>16</v>
      </c>
      <c r="C16" s="2">
        <v>0</v>
      </c>
      <c r="F16" s="2" t="s">
        <v>120</v>
      </c>
      <c r="G16" s="2">
        <f>L6</f>
        <v>0</v>
      </c>
      <c r="H16" s="2">
        <f>L7</f>
        <v>0</v>
      </c>
    </row>
    <row r="17" spans="5:8" x14ac:dyDescent="0.25">
      <c r="F17" s="2" t="s">
        <v>121</v>
      </c>
      <c r="G17" s="2">
        <f>M6</f>
        <v>0</v>
      </c>
      <c r="H17" s="2">
        <f>M7</f>
        <v>0</v>
      </c>
    </row>
    <row r="18" spans="5:8" ht="30" x14ac:dyDescent="0.25">
      <c r="F18" s="5" t="s">
        <v>122</v>
      </c>
      <c r="G18" s="2">
        <f>N6</f>
        <v>0</v>
      </c>
      <c r="H18" s="2">
        <f>N7</f>
        <v>0</v>
      </c>
    </row>
    <row r="19" spans="5:8" x14ac:dyDescent="0.25">
      <c r="F19" s="2" t="s">
        <v>123</v>
      </c>
      <c r="G19" s="2">
        <f>O6</f>
        <v>0</v>
      </c>
      <c r="H19" s="2">
        <f>O7</f>
        <v>0</v>
      </c>
    </row>
    <row r="20" spans="5:8" x14ac:dyDescent="0.25">
      <c r="F20" s="2" t="s">
        <v>134</v>
      </c>
      <c r="G20" s="7">
        <f>(G13+G14+G15+G16+G17+G18+G19)/100</f>
        <v>0</v>
      </c>
      <c r="H20" s="7">
        <f>(H13+H14+H15+H16+H17+H18+H19)/100</f>
        <v>0.2</v>
      </c>
    </row>
    <row r="21" spans="5:8" x14ac:dyDescent="0.25">
      <c r="E21"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E20" sqref="E20"/>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109</v>
      </c>
      <c r="B2" s="1" t="s">
        <v>110</v>
      </c>
      <c r="C2" s="1">
        <v>7</v>
      </c>
    </row>
    <row r="3" spans="1:15" x14ac:dyDescent="0.25">
      <c r="B3" t="s">
        <v>111</v>
      </c>
      <c r="C3" t="s">
        <v>112</v>
      </c>
    </row>
    <row r="4" spans="1:15" x14ac:dyDescent="0.25">
      <c r="A4" t="s">
        <v>113</v>
      </c>
      <c r="B4" s="2">
        <v>10</v>
      </c>
      <c r="C4" s="2">
        <v>0</v>
      </c>
      <c r="E4">
        <f>(100/B4)*C4</f>
        <v>0</v>
      </c>
    </row>
    <row r="5" spans="1:15" x14ac:dyDescent="0.25">
      <c r="A5" t="s">
        <v>114</v>
      </c>
      <c r="B5" t="s">
        <v>115</v>
      </c>
      <c r="C5" t="s">
        <v>116</v>
      </c>
      <c r="E5">
        <f>(100/B6)*C6</f>
        <v>0</v>
      </c>
      <c r="I5" s="2" t="s">
        <v>117</v>
      </c>
      <c r="J5" s="2" t="s">
        <v>118</v>
      </c>
      <c r="K5" s="2" t="s">
        <v>119</v>
      </c>
      <c r="L5" s="2" t="s">
        <v>120</v>
      </c>
      <c r="M5" s="2" t="s">
        <v>121</v>
      </c>
      <c r="N5" s="2" t="s">
        <v>122</v>
      </c>
      <c r="O5" s="2" t="s">
        <v>123</v>
      </c>
    </row>
    <row r="6" spans="1:15" x14ac:dyDescent="0.25">
      <c r="B6" s="2">
        <f>C2+1</f>
        <v>8</v>
      </c>
      <c r="C6" s="2">
        <v>0</v>
      </c>
      <c r="E6">
        <f>(100/B8)*C8</f>
        <v>0</v>
      </c>
      <c r="F6" s="3" t="s">
        <v>124</v>
      </c>
      <c r="I6" s="3">
        <f>C4</f>
        <v>0</v>
      </c>
      <c r="J6" s="3">
        <f>40/B6*C6</f>
        <v>0</v>
      </c>
      <c r="K6" s="3">
        <f>15/B8*C8</f>
        <v>0</v>
      </c>
      <c r="L6" s="3">
        <f>10/B10*C10</f>
        <v>0</v>
      </c>
      <c r="M6" s="3">
        <f>10/B12*C12</f>
        <v>0</v>
      </c>
      <c r="N6" s="3">
        <f>5/B14*C14</f>
        <v>0</v>
      </c>
      <c r="O6" s="3">
        <f>5/B16*C16</f>
        <v>0</v>
      </c>
    </row>
    <row r="7" spans="1:15" x14ac:dyDescent="0.25">
      <c r="A7" t="s">
        <v>125</v>
      </c>
      <c r="B7" t="s">
        <v>126</v>
      </c>
      <c r="C7" t="s">
        <v>127</v>
      </c>
      <c r="E7">
        <f>(100/B10)*C10</f>
        <v>0</v>
      </c>
      <c r="F7" s="2" t="s">
        <v>128</v>
      </c>
      <c r="G7" s="2"/>
      <c r="H7" s="2"/>
      <c r="I7" s="2">
        <f>I6+20</f>
        <v>20</v>
      </c>
      <c r="J7" s="2">
        <f>30/B6*C6</f>
        <v>0</v>
      </c>
      <c r="K7" s="2">
        <f>15/B8*C8</f>
        <v>0</v>
      </c>
      <c r="L7" s="2">
        <f>10/B10*C10</f>
        <v>0</v>
      </c>
      <c r="M7" s="2">
        <f>5/B12*C12</f>
        <v>0</v>
      </c>
      <c r="N7" s="2">
        <f>5/B14*C14</f>
        <v>0</v>
      </c>
      <c r="O7" s="2">
        <f>5/B16*C16</f>
        <v>0</v>
      </c>
    </row>
    <row r="8" spans="1:15" x14ac:dyDescent="0.25">
      <c r="B8" s="2">
        <f>C2</f>
        <v>7</v>
      </c>
      <c r="C8" s="2">
        <v>0</v>
      </c>
      <c r="E8">
        <f>(100/B12)*C12</f>
        <v>0</v>
      </c>
    </row>
    <row r="9" spans="1:15" x14ac:dyDescent="0.25">
      <c r="A9" t="s">
        <v>129</v>
      </c>
      <c r="B9" t="s">
        <v>126</v>
      </c>
      <c r="C9" t="s">
        <v>127</v>
      </c>
      <c r="E9">
        <f>(100/B14)*C14</f>
        <v>0</v>
      </c>
    </row>
    <row r="10" spans="1:15" x14ac:dyDescent="0.25">
      <c r="B10" s="2">
        <f>C2</f>
        <v>7</v>
      </c>
      <c r="C10" s="2">
        <v>0</v>
      </c>
      <c r="E10">
        <f>(100/B16)*C16</f>
        <v>0</v>
      </c>
    </row>
    <row r="11" spans="1:15" x14ac:dyDescent="0.25">
      <c r="A11" t="s">
        <v>121</v>
      </c>
      <c r="B11" t="s">
        <v>126</v>
      </c>
      <c r="C11" t="s">
        <v>127</v>
      </c>
    </row>
    <row r="12" spans="1:15" x14ac:dyDescent="0.25">
      <c r="B12" s="2">
        <f>C2</f>
        <v>7</v>
      </c>
      <c r="C12" s="2">
        <v>0</v>
      </c>
      <c r="F12" s="2"/>
      <c r="G12" s="2" t="s">
        <v>124</v>
      </c>
      <c r="H12" s="2" t="s">
        <v>130</v>
      </c>
      <c r="L12" t="s">
        <v>131</v>
      </c>
    </row>
    <row r="13" spans="1:15" ht="30" x14ac:dyDescent="0.25">
      <c r="A13" s="4" t="s">
        <v>122</v>
      </c>
      <c r="B13" t="s">
        <v>126</v>
      </c>
      <c r="C13" t="s">
        <v>127</v>
      </c>
      <c r="F13" s="2" t="s">
        <v>132</v>
      </c>
      <c r="G13" s="2">
        <f>I6</f>
        <v>0</v>
      </c>
      <c r="H13" s="2">
        <f>I7</f>
        <v>20</v>
      </c>
      <c r="L13" t="s">
        <v>131</v>
      </c>
    </row>
    <row r="14" spans="1:15" x14ac:dyDescent="0.25">
      <c r="B14" s="2">
        <f>C2</f>
        <v>7</v>
      </c>
      <c r="C14" s="2">
        <v>0</v>
      </c>
      <c r="F14" s="2" t="s">
        <v>133</v>
      </c>
      <c r="G14" s="2">
        <f>J6</f>
        <v>0</v>
      </c>
      <c r="H14" s="2">
        <f>J7</f>
        <v>0</v>
      </c>
    </row>
    <row r="15" spans="1:15" x14ac:dyDescent="0.25">
      <c r="A15" t="s">
        <v>123</v>
      </c>
      <c r="B15" t="s">
        <v>126</v>
      </c>
      <c r="C15" t="s">
        <v>127</v>
      </c>
      <c r="F15" s="2" t="s">
        <v>119</v>
      </c>
      <c r="G15" s="2">
        <f>K6</f>
        <v>0</v>
      </c>
      <c r="H15" s="2">
        <f>K7</f>
        <v>0</v>
      </c>
    </row>
    <row r="16" spans="1:15" x14ac:dyDescent="0.25">
      <c r="B16" s="2">
        <f>C2</f>
        <v>7</v>
      </c>
      <c r="C16" s="2">
        <v>0</v>
      </c>
      <c r="F16" s="2" t="s">
        <v>120</v>
      </c>
      <c r="G16" s="2">
        <f>L6</f>
        <v>0</v>
      </c>
      <c r="H16" s="2">
        <f>L7</f>
        <v>0</v>
      </c>
    </row>
    <row r="17" spans="5:8" x14ac:dyDescent="0.25">
      <c r="F17" s="2" t="s">
        <v>121</v>
      </c>
      <c r="G17" s="2">
        <f>M6</f>
        <v>0</v>
      </c>
      <c r="H17" s="2">
        <f>M7</f>
        <v>0</v>
      </c>
    </row>
    <row r="18" spans="5:8" ht="30" x14ac:dyDescent="0.25">
      <c r="F18" s="5" t="s">
        <v>122</v>
      </c>
      <c r="G18" s="2">
        <f>N6</f>
        <v>0</v>
      </c>
      <c r="H18" s="2">
        <f>N7</f>
        <v>0</v>
      </c>
    </row>
    <row r="19" spans="5:8" x14ac:dyDescent="0.25">
      <c r="F19" s="2" t="s">
        <v>123</v>
      </c>
      <c r="G19" s="2">
        <f>O6</f>
        <v>0</v>
      </c>
      <c r="H19" s="2">
        <f>O7</f>
        <v>0</v>
      </c>
    </row>
    <row r="20" spans="5:8" x14ac:dyDescent="0.25">
      <c r="F20" s="2" t="s">
        <v>134</v>
      </c>
      <c r="G20" s="7">
        <f>(G13+G14+G15+G16+G17+G18+G19)/100</f>
        <v>0</v>
      </c>
      <c r="H20" s="7">
        <f>(H13+H14+H15+H16+H17+H18+H19)/100</f>
        <v>0.2</v>
      </c>
    </row>
    <row r="21" spans="5:8" x14ac:dyDescent="0.25">
      <c r="E2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vt:lpstr>
      <vt:lpstr>Sheet4</vt:lpstr>
      <vt:lpstr>A</vt:lpstr>
      <vt:lpstr>B</vt:lpstr>
      <vt:lpstr>C</vt:lpstr>
      <vt:lpstr>D</vt:lpstr>
      <vt:lpstr>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2025-07-05T12:13:21Z</cp:lastPrinted>
  <dcterms:created xsi:type="dcterms:W3CDTF">2010-11-23T11:42:48Z</dcterms:created>
  <dcterms:modified xsi:type="dcterms:W3CDTF">2025-07-05T12:17:45Z</dcterms:modified>
</cp:coreProperties>
</file>