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70E8D2EE-0FD4-41EF-BF82-E13C5151D2BE}" xr6:coauthVersionLast="47" xr6:coauthVersionMax="47" xr10:uidLastSave="{00000000-0000-0000-0000-000000000000}"/>
  <bookViews>
    <workbookView xWindow="-108" yWindow="-108" windowWidth="23256" windowHeight="12456" xr2:uid="{00000000-000D-0000-FFFF-FFFF00000000}"/>
  </bookViews>
  <sheets>
    <sheet name="Report" sheetId="3" r:id="rId1"/>
    <sheet name="Sheet1" sheetId="4" r:id="rId2"/>
  </sheets>
  <definedNames>
    <definedName name="_xlnm.Print_Area" localSheetId="0">Report!$A$1:$I$466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3" l="1"/>
  <c r="F204" i="3" l="1"/>
  <c r="F176" i="3"/>
  <c r="M124" i="3" l="1"/>
  <c r="K123" i="3"/>
  <c r="K122" i="3"/>
  <c r="K121" i="3"/>
  <c r="M108" i="3"/>
  <c r="K107" i="3"/>
  <c r="K106" i="3"/>
  <c r="K105" i="3"/>
  <c r="M92" i="3"/>
  <c r="K90" i="3"/>
  <c r="K89" i="3"/>
  <c r="I81" i="3"/>
  <c r="I113" i="3"/>
  <c r="I97" i="3"/>
  <c r="E123" i="3" l="1"/>
  <c r="E121" i="3"/>
  <c r="E119" i="3"/>
  <c r="K115" i="3"/>
  <c r="E117" i="3"/>
  <c r="K114" i="3"/>
  <c r="E126" i="3"/>
  <c r="E124" i="3"/>
  <c r="E122" i="3"/>
  <c r="E120" i="3"/>
  <c r="E118" i="3"/>
  <c r="K116" i="3"/>
  <c r="C115" i="3" s="1"/>
  <c r="E115" i="3" s="1"/>
  <c r="E125" i="3"/>
  <c r="K117" i="3"/>
  <c r="K118" i="3" s="1"/>
  <c r="K119" i="3" s="1"/>
  <c r="K120" i="3" s="1"/>
  <c r="E109" i="3"/>
  <c r="E107" i="3"/>
  <c r="E105" i="3"/>
  <c r="E103" i="3"/>
  <c r="K99" i="3"/>
  <c r="E101" i="3"/>
  <c r="K98" i="3"/>
  <c r="E110" i="3"/>
  <c r="E108" i="3"/>
  <c r="E106" i="3"/>
  <c r="E104" i="3"/>
  <c r="E102" i="3"/>
  <c r="K100" i="3"/>
  <c r="C99" i="3" s="1"/>
  <c r="K101" i="3"/>
  <c r="K102" i="3" s="1"/>
  <c r="C85" i="3"/>
  <c r="E85" i="3" s="1"/>
  <c r="E94" i="3"/>
  <c r="E92" i="3"/>
  <c r="E90" i="3"/>
  <c r="E88" i="3"/>
  <c r="E86" i="3"/>
  <c r="E84" i="3"/>
  <c r="E93" i="3"/>
  <c r="K85" i="3"/>
  <c r="K86" i="3" s="1"/>
  <c r="K91" i="3" s="1"/>
  <c r="K83" i="3"/>
  <c r="K82" i="3"/>
  <c r="K84" i="3"/>
  <c r="C83" i="3" s="1"/>
  <c r="E91" i="3"/>
  <c r="E89" i="3"/>
  <c r="E87" i="3"/>
  <c r="K124" i="3" l="1"/>
  <c r="K103" i="3"/>
  <c r="K104" i="3" s="1"/>
  <c r="K108" i="3" s="1"/>
  <c r="C100" i="3" s="1"/>
  <c r="E100" i="3" s="1"/>
  <c r="E99" i="3"/>
  <c r="F83" i="3"/>
  <c r="K87" i="3"/>
  <c r="K88" i="3" s="1"/>
  <c r="E83" i="3"/>
  <c r="F99" i="3" l="1"/>
  <c r="J96" i="3" s="1"/>
  <c r="H99" i="3" s="1"/>
  <c r="C116" i="3"/>
  <c r="E116" i="3" s="1"/>
  <c r="K92" i="3"/>
  <c r="J80" i="3" s="1"/>
  <c r="H83" i="3" s="1"/>
  <c r="F115" i="3" l="1"/>
  <c r="J112" i="3" s="1"/>
  <c r="H115" i="3" s="1"/>
  <c r="F254" i="3"/>
  <c r="I254" i="3" s="1"/>
  <c r="F262" i="3"/>
  <c r="I262" i="3" s="1"/>
  <c r="F261" i="3"/>
  <c r="I261" i="3" s="1"/>
  <c r="F253" i="3"/>
  <c r="I253" i="3" s="1"/>
  <c r="F252" i="3"/>
  <c r="I252" i="3" s="1"/>
  <c r="F260" i="3"/>
  <c r="I260" i="3" s="1"/>
  <c r="F251" i="3"/>
  <c r="I251" i="3" s="1"/>
  <c r="F259" i="3"/>
  <c r="I259" i="3" s="1"/>
  <c r="F255" i="3"/>
  <c r="I255" i="3" s="1"/>
  <c r="F250" i="3"/>
  <c r="I250" i="3" s="1"/>
  <c r="F258" i="3"/>
  <c r="I258" i="3" s="1"/>
  <c r="F257" i="3"/>
  <c r="I257" i="3" s="1"/>
  <c r="F249" i="3"/>
  <c r="I249" i="3" s="1"/>
  <c r="F248" i="3"/>
  <c r="I248" i="3" s="1"/>
  <c r="J248" i="3" s="1"/>
  <c r="W263" i="3"/>
  <c r="W264" i="3" s="1"/>
  <c r="V263" i="3"/>
  <c r="V264" i="3" s="1"/>
  <c r="U264" i="3" s="1"/>
  <c r="A257" i="3"/>
  <c r="A248" i="3"/>
  <c r="F364" i="3"/>
  <c r="I364" i="3" s="1"/>
  <c r="F363" i="3"/>
  <c r="I363" i="3" s="1"/>
  <c r="F355" i="3"/>
  <c r="I355" i="3" s="1"/>
  <c r="F354" i="3"/>
  <c r="J354" i="3" s="1"/>
  <c r="F346" i="3"/>
  <c r="I346" i="3" s="1"/>
  <c r="F345" i="3"/>
  <c r="I345" i="3" s="1"/>
  <c r="F337" i="3"/>
  <c r="I337" i="3" s="1"/>
  <c r="F336" i="3"/>
  <c r="J336" i="3" s="1"/>
  <c r="F327" i="3"/>
  <c r="I327" i="3" s="1"/>
  <c r="F328" i="3"/>
  <c r="I328" i="3" s="1"/>
  <c r="F353" i="3"/>
  <c r="I353" i="3" s="1"/>
  <c r="F352" i="3"/>
  <c r="I352" i="3" s="1"/>
  <c r="F344" i="3"/>
  <c r="I344" i="3" s="1"/>
  <c r="F343" i="3"/>
  <c r="I343" i="3" s="1"/>
  <c r="F335" i="3"/>
  <c r="I335" i="3" s="1"/>
  <c r="F334" i="3"/>
  <c r="I334" i="3" s="1"/>
  <c r="F326" i="3"/>
  <c r="I326" i="3" s="1"/>
  <c r="F325" i="3"/>
  <c r="I325" i="3" s="1"/>
  <c r="F342" i="3"/>
  <c r="I342" i="3" s="1"/>
  <c r="F360" i="3"/>
  <c r="I360" i="3" s="1"/>
  <c r="F359" i="3"/>
  <c r="I359" i="3" s="1"/>
  <c r="F341" i="3"/>
  <c r="I341" i="3" s="1"/>
  <c r="F324" i="3"/>
  <c r="I324" i="3" s="1"/>
  <c r="F323" i="3"/>
  <c r="I323" i="3" s="1"/>
  <c r="F362" i="3"/>
  <c r="I362" i="3" s="1"/>
  <c r="F361" i="3"/>
  <c r="I361" i="3" s="1"/>
  <c r="F366" i="3"/>
  <c r="I366" i="3" s="1"/>
  <c r="F365" i="3"/>
  <c r="I365" i="3" s="1"/>
  <c r="F357" i="3"/>
  <c r="F356" i="3"/>
  <c r="I356" i="3" s="1"/>
  <c r="F348" i="3"/>
  <c r="I348" i="3" s="1"/>
  <c r="F347" i="3"/>
  <c r="I347" i="3" s="1"/>
  <c r="F339" i="3"/>
  <c r="I339" i="3" s="1"/>
  <c r="F338" i="3"/>
  <c r="I338" i="3" s="1"/>
  <c r="F330" i="3"/>
  <c r="I330" i="3" s="1"/>
  <c r="F329" i="3"/>
  <c r="I329" i="3" s="1"/>
  <c r="A359" i="3"/>
  <c r="I357" i="3"/>
  <c r="F351" i="3"/>
  <c r="I351" i="3" s="1"/>
  <c r="F350" i="3"/>
  <c r="I350" i="3" s="1"/>
  <c r="A350" i="3"/>
  <c r="A341" i="3"/>
  <c r="F333" i="3"/>
  <c r="I333" i="3" s="1"/>
  <c r="F332" i="3"/>
  <c r="I332" i="3" s="1"/>
  <c r="A332" i="3"/>
  <c r="A323" i="3"/>
  <c r="K248" i="3" l="1"/>
  <c r="I354" i="3"/>
  <c r="U263" i="3"/>
  <c r="I336" i="3"/>
  <c r="F317" i="3"/>
  <c r="F316" i="3"/>
  <c r="F307" i="3"/>
  <c r="F306" i="3"/>
  <c r="F298" i="3"/>
  <c r="F297" i="3"/>
  <c r="F289" i="3"/>
  <c r="F288" i="3"/>
  <c r="F280" i="3"/>
  <c r="F279" i="3"/>
  <c r="F271" i="3"/>
  <c r="F270" i="3"/>
  <c r="F215" i="3"/>
  <c r="F216" i="3"/>
  <c r="F207" i="3" l="1"/>
  <c r="K207" i="3"/>
  <c r="K208" i="3"/>
  <c r="L19" i="3" l="1"/>
  <c r="F302" i="3"/>
  <c r="F272" i="3"/>
  <c r="L272" i="3"/>
  <c r="K272" i="3"/>
  <c r="F269" i="3"/>
  <c r="K273" i="3" l="1"/>
  <c r="I204" i="3"/>
  <c r="I207" i="3"/>
  <c r="F206" i="3"/>
  <c r="I206" i="3" s="1"/>
  <c r="A204" i="3"/>
  <c r="V204" i="3"/>
  <c r="W204" i="3"/>
  <c r="W205" i="3" l="1"/>
  <c r="W206" i="3" s="1"/>
  <c r="W207" i="3" s="1"/>
  <c r="U204" i="3"/>
  <c r="V205" i="3"/>
  <c r="F281" i="3"/>
  <c r="V206" i="3" l="1"/>
  <c r="U205" i="3"/>
  <c r="W245" i="3"/>
  <c r="W246" i="3" s="1"/>
  <c r="V245" i="3"/>
  <c r="V246" i="3" s="1"/>
  <c r="V207" i="3" l="1"/>
  <c r="U207" i="3" s="1"/>
  <c r="U206" i="3"/>
  <c r="U246" i="3"/>
  <c r="U245" i="3"/>
  <c r="F218" i="3"/>
  <c r="I218" i="3" s="1"/>
  <c r="F188" i="3"/>
  <c r="F186" i="3"/>
  <c r="H67" i="3" l="1"/>
  <c r="K75" i="3" l="1"/>
  <c r="K74" i="3"/>
  <c r="K73" i="3"/>
  <c r="I65" i="3"/>
  <c r="E78" i="3" l="1"/>
  <c r="E77" i="3"/>
  <c r="E71" i="3"/>
  <c r="K66" i="3"/>
  <c r="E69" i="3"/>
  <c r="K68" i="3"/>
  <c r="C67" i="3" s="1"/>
  <c r="E73" i="3"/>
  <c r="K67" i="3"/>
  <c r="E72" i="3"/>
  <c r="E76" i="3"/>
  <c r="E70" i="3"/>
  <c r="K69" i="3"/>
  <c r="K70" i="3" s="1"/>
  <c r="K71" i="3" s="1"/>
  <c r="K72" i="3" s="1"/>
  <c r="E75" i="3"/>
  <c r="E74" i="3"/>
  <c r="K76" i="3" l="1"/>
  <c r="C68" i="3" s="1"/>
  <c r="E68" i="3" s="1"/>
  <c r="E67" i="3"/>
  <c r="F67" i="3" l="1"/>
  <c r="H127" i="3" s="1"/>
  <c r="J64" i="3" l="1"/>
  <c r="E372" i="3" l="1"/>
  <c r="I4" i="3" l="1"/>
  <c r="F202" i="3" l="1"/>
  <c r="I202" i="3" s="1"/>
  <c r="F201" i="3"/>
  <c r="I201" i="3" s="1"/>
  <c r="J201" i="3" s="1"/>
  <c r="F199" i="3"/>
  <c r="K199" i="3" s="1"/>
  <c r="A199" i="3"/>
  <c r="F196" i="3"/>
  <c r="I196" i="3" s="1"/>
  <c r="F195" i="3"/>
  <c r="I195" i="3" s="1"/>
  <c r="F194" i="3"/>
  <c r="I194" i="3" s="1"/>
  <c r="F193" i="3"/>
  <c r="I193" i="3" s="1"/>
  <c r="A193" i="3"/>
  <c r="F191" i="3"/>
  <c r="I191" i="3" s="1"/>
  <c r="I190" i="3"/>
  <c r="F189" i="3"/>
  <c r="I189" i="3" s="1"/>
  <c r="I188" i="3"/>
  <c r="A188" i="3"/>
  <c r="I186" i="3"/>
  <c r="F183" i="3"/>
  <c r="A183" i="3"/>
  <c r="W193" i="3"/>
  <c r="V193" i="3"/>
  <c r="V199" i="3"/>
  <c r="W199" i="3"/>
  <c r="H145" i="3" l="1"/>
  <c r="F145" i="3"/>
  <c r="I183" i="3"/>
  <c r="I199" i="3"/>
  <c r="J199" i="3" s="1"/>
  <c r="K201" i="3"/>
  <c r="U193" i="3"/>
  <c r="V194" i="3"/>
  <c r="U199" i="3"/>
  <c r="V200" i="3"/>
  <c r="W194" i="3"/>
  <c r="W195" i="3" s="1"/>
  <c r="W196" i="3" s="1"/>
  <c r="W200" i="3"/>
  <c r="W201" i="3" s="1"/>
  <c r="W202" i="3" s="1"/>
  <c r="I145" i="3" l="1"/>
  <c r="U200" i="3"/>
  <c r="V201" i="3"/>
  <c r="U194" i="3"/>
  <c r="V195" i="3"/>
  <c r="F277" i="3"/>
  <c r="F282" i="3"/>
  <c r="F299" i="3"/>
  <c r="F318" i="3"/>
  <c r="J318" i="3" s="1"/>
  <c r="F290" i="3"/>
  <c r="F278" i="3"/>
  <c r="I278" i="3" s="1"/>
  <c r="I272" i="3"/>
  <c r="F321" i="3"/>
  <c r="I321" i="3" s="1"/>
  <c r="F320" i="3"/>
  <c r="I320" i="3" s="1"/>
  <c r="I302" i="3"/>
  <c r="F301" i="3"/>
  <c r="I301" i="3" s="1"/>
  <c r="F293" i="3"/>
  <c r="F292" i="3"/>
  <c r="J292" i="3" s="1"/>
  <c r="F300" i="3"/>
  <c r="F291" i="3"/>
  <c r="F286" i="3"/>
  <c r="F287" i="3"/>
  <c r="F311" i="3"/>
  <c r="I311" i="3" s="1"/>
  <c r="F310" i="3"/>
  <c r="I310" i="3" s="1"/>
  <c r="I271" i="3"/>
  <c r="I270" i="3"/>
  <c r="I317" i="3"/>
  <c r="I316" i="3"/>
  <c r="F308" i="3"/>
  <c r="I308" i="3" s="1"/>
  <c r="I307" i="3"/>
  <c r="I306" i="3"/>
  <c r="F319" i="3"/>
  <c r="I319" i="3" s="1"/>
  <c r="F304" i="3"/>
  <c r="I304" i="3" s="1"/>
  <c r="F305" i="3"/>
  <c r="I305" i="3" s="1"/>
  <c r="F309" i="3"/>
  <c r="I309" i="3" s="1"/>
  <c r="A304" i="3"/>
  <c r="F315" i="3"/>
  <c r="I315" i="3" s="1"/>
  <c r="F314" i="3"/>
  <c r="I314" i="3" s="1"/>
  <c r="A314" i="3"/>
  <c r="A268" i="3"/>
  <c r="F273" i="3"/>
  <c r="I273" i="3" s="1"/>
  <c r="H147" i="3" l="1"/>
  <c r="F147" i="3"/>
  <c r="I277" i="3"/>
  <c r="I269" i="3"/>
  <c r="I318" i="3"/>
  <c r="U195" i="3"/>
  <c r="V196" i="3"/>
  <c r="U196" i="3" s="1"/>
  <c r="U201" i="3"/>
  <c r="V202" i="3"/>
  <c r="U202" i="3" s="1"/>
  <c r="I293" i="3"/>
  <c r="I292" i="3"/>
  <c r="K292" i="3" s="1"/>
  <c r="I291" i="3"/>
  <c r="I290" i="3"/>
  <c r="I289" i="3"/>
  <c r="I288" i="3"/>
  <c r="I287" i="3"/>
  <c r="I286" i="3"/>
  <c r="A286" i="3"/>
  <c r="I300" i="3"/>
  <c r="I299" i="3"/>
  <c r="I298" i="3"/>
  <c r="I297" i="3"/>
  <c r="F296" i="3"/>
  <c r="I296" i="3" s="1"/>
  <c r="F295" i="3"/>
  <c r="I295" i="3" s="1"/>
  <c r="A295" i="3"/>
  <c r="I282" i="3"/>
  <c r="I281" i="3"/>
  <c r="I280" i="3"/>
  <c r="I279" i="3"/>
  <c r="A277" i="3"/>
  <c r="F236" i="3"/>
  <c r="I236" i="3" s="1"/>
  <c r="F235" i="3"/>
  <c r="I235" i="3" s="1"/>
  <c r="F234" i="3"/>
  <c r="I234" i="3" s="1"/>
  <c r="F233" i="3"/>
  <c r="I233" i="3" s="1"/>
  <c r="F232" i="3"/>
  <c r="I232" i="3" s="1"/>
  <c r="F231" i="3"/>
  <c r="I231" i="3" s="1"/>
  <c r="F230" i="3"/>
  <c r="I230" i="3" s="1"/>
  <c r="F229" i="3"/>
  <c r="A229" i="3"/>
  <c r="I147" i="3" l="1"/>
  <c r="I229" i="3"/>
  <c r="J229" i="3" s="1"/>
  <c r="K229" i="3"/>
  <c r="I216" i="3"/>
  <c r="I215" i="3"/>
  <c r="F217" i="3"/>
  <c r="I217" i="3" s="1"/>
  <c r="F214" i="3"/>
  <c r="F213" i="3"/>
  <c r="I213" i="3" s="1"/>
  <c r="F227" i="3"/>
  <c r="F226" i="3"/>
  <c r="F225" i="3"/>
  <c r="F224" i="3"/>
  <c r="F223" i="3"/>
  <c r="F222" i="3"/>
  <c r="A211" i="3"/>
  <c r="F242" i="3"/>
  <c r="I242" i="3" s="1"/>
  <c r="F243" i="3"/>
  <c r="I243" i="3" s="1"/>
  <c r="F244" i="3"/>
  <c r="I244" i="3" s="1"/>
  <c r="F241" i="3"/>
  <c r="I241" i="3" s="1"/>
  <c r="F240" i="3"/>
  <c r="I240" i="3" s="1"/>
  <c r="F239" i="3"/>
  <c r="I239" i="3" s="1"/>
  <c r="A239" i="3"/>
  <c r="F162" i="3"/>
  <c r="I162" i="3" s="1"/>
  <c r="F164" i="3"/>
  <c r="I164" i="3" s="1"/>
  <c r="F169" i="3"/>
  <c r="F179" i="3"/>
  <c r="I179" i="3" s="1"/>
  <c r="F174" i="3"/>
  <c r="I174" i="3" s="1"/>
  <c r="F171" i="3"/>
  <c r="K171" i="3" s="1"/>
  <c r="F166" i="3"/>
  <c r="F161" i="3"/>
  <c r="I161" i="3" s="1"/>
  <c r="I163" i="3"/>
  <c r="A161" i="3"/>
  <c r="F173" i="3"/>
  <c r="A171" i="3"/>
  <c r="F156" i="3"/>
  <c r="F178" i="3"/>
  <c r="I178" i="3" s="1"/>
  <c r="I176" i="3"/>
  <c r="A176" i="3"/>
  <c r="F168" i="3"/>
  <c r="F167" i="3"/>
  <c r="F159" i="3"/>
  <c r="I159" i="3" s="1"/>
  <c r="A166" i="3"/>
  <c r="A156" i="3"/>
  <c r="A220" i="3"/>
  <c r="V171" i="3"/>
  <c r="W176" i="3"/>
  <c r="W171" i="3"/>
  <c r="V176" i="3"/>
  <c r="H146" i="3" l="1"/>
  <c r="F146" i="3"/>
  <c r="I156" i="3"/>
  <c r="H144" i="3"/>
  <c r="I173" i="3"/>
  <c r="J173" i="3" s="1"/>
  <c r="K173" i="3"/>
  <c r="I171" i="3"/>
  <c r="J171" i="3" s="1"/>
  <c r="I214" i="3"/>
  <c r="F144" i="3"/>
  <c r="W172" i="3"/>
  <c r="W173" i="3" s="1"/>
  <c r="W174" i="3" s="1"/>
  <c r="V172" i="3"/>
  <c r="U171" i="3"/>
  <c r="W177" i="3"/>
  <c r="W178" i="3" s="1"/>
  <c r="W179" i="3" s="1"/>
  <c r="V177" i="3"/>
  <c r="U176" i="3"/>
  <c r="H140" i="3"/>
  <c r="H139" i="3"/>
  <c r="F148" i="3" l="1"/>
  <c r="H148" i="3"/>
  <c r="J215" i="3"/>
  <c r="V173" i="3"/>
  <c r="U172" i="3"/>
  <c r="V178" i="3"/>
  <c r="U177" i="3"/>
  <c r="V174" i="3" l="1"/>
  <c r="U174" i="3" s="1"/>
  <c r="U173" i="3"/>
  <c r="V179" i="3"/>
  <c r="U179" i="3" s="1"/>
  <c r="U178" i="3"/>
  <c r="E371" i="3"/>
  <c r="E370" i="3"/>
  <c r="H141" i="3"/>
  <c r="I169" i="3" l="1"/>
  <c r="I168" i="3"/>
  <c r="I167" i="3"/>
  <c r="I166" i="3"/>
  <c r="I222" i="3"/>
  <c r="I223" i="3"/>
  <c r="I224" i="3"/>
  <c r="I225" i="3"/>
  <c r="I226" i="3"/>
  <c r="I227" i="3"/>
  <c r="W166" i="3"/>
  <c r="V166" i="3"/>
  <c r="I146" i="3" l="1"/>
  <c r="I144" i="3"/>
  <c r="I148" i="3" s="1"/>
  <c r="W167" i="3"/>
  <c r="W168" i="3" s="1"/>
  <c r="W169" i="3" s="1"/>
  <c r="V167" i="3"/>
  <c r="U166" i="3"/>
  <c r="V168" i="3" l="1"/>
  <c r="U167" i="3"/>
  <c r="V169" i="3" l="1"/>
  <c r="U168" i="3"/>
  <c r="U169" i="3" l="1"/>
</calcChain>
</file>

<file path=xl/sharedStrings.xml><?xml version="1.0" encoding="utf-8"?>
<sst xmlns="http://schemas.openxmlformats.org/spreadsheetml/2006/main" count="723" uniqueCount="310">
  <si>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</si>
  <si>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</si>
  <si>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</si>
  <si>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</si>
  <si>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</si>
  <si>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</si>
  <si>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</si>
  <si>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</si>
  <si>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</si>
  <si>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</si>
  <si>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</si>
  <si>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</si>
  <si>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</si>
  <si>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</si>
  <si>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</si>
  <si>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</si>
  <si>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</si>
  <si>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</si>
  <si>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</si>
  <si>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</si>
  <si>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</si>
  <si>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</si>
  <si>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</si>
  <si>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</si>
  <si>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</si>
  <si>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</si>
  <si>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</si>
  <si>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</si>
  <si>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</si>
  <si>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</si>
  <si>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</si>
  <si>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</si>
  <si>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</si>
  <si>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</si>
  <si>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</si>
  <si>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</si>
  <si>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</si>
  <si>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</si>
  <si>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</si>
  <si>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</si>
  <si>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</si>
  <si>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</si>
  <si>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</si>
  <si>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</si>
  <si>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</si>
  <si>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</si>
  <si>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</si>
  <si>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</si>
  <si>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</si>
  <si>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</si>
  <si>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</si>
  <si>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</si>
  <si>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</si>
  <si>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</si>
  <si>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</si>
  <si>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</si>
  <si>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</si>
  <si>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</si>
  <si>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</si>
  <si>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</si>
  <si>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</si>
  <si>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</si>
  <si>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</si>
  <si>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</si>
  <si>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</si>
  <si>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</si>
  <si>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</si>
  <si>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</si>
  <si>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Airport Authority Clearance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</si>
  <si>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</si>
  <si>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</si>
  <si>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</si>
  <si>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</si>
  <si>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</si>
  <si>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</si>
  <si>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</si>
  <si>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</si>
  <si>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</si>
  <si>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</si>
  <si>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</si>
  <si>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</si>
  <si>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</si>
  <si>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</si>
  <si>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</si>
  <si>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</si>
  <si>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</si>
  <si>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</si>
  <si>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</si>
  <si>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</si>
  <si>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</si>
  <si>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</si>
  <si>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</si>
  <si>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</si>
  <si>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</si>
  <si>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</si>
  <si>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</si>
  <si>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</si>
  <si>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</si>
  <si>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</si>
  <si>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</si>
  <si>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</si>
  <si>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</si>
  <si>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</si>
  <si>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</si>
  <si>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</si>
  <si>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</si>
  <si>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</si>
  <si>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</si>
  <si>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</si>
  <si>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</si>
  <si>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</si>
  <si>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</si>
  <si>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</si>
  <si>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</si>
  <si>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</si>
  <si>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</si>
  <si>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</si>
  <si>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</si>
  <si>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</si>
  <si>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</si>
  <si>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</si>
  <si>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</si>
  <si>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</si>
  <si>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</si>
  <si>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</si>
  <si>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</si>
  <si>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</si>
  <si>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</si>
  <si>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</si>
  <si>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</si>
  <si>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</si>
  <si>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</si>
  <si>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</si>
  <si>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</si>
  <si>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</si>
  <si>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</si>
  <si>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</si>
  <si>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</si>
  <si>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</si>
  <si>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</si>
  <si>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</si>
  <si>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</si>
  <si>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</si>
  <si>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</si>
  <si>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</si>
  <si>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</si>
  <si>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</si>
  <si>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</si>
  <si>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</si>
  <si>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</si>
  <si>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</si>
  <si>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</si>
  <si>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</si>
  <si>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</si>
  <si>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</si>
  <si>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</si>
  <si>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</si>
  <si>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</si>
  <si>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</si>
  <si>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</si>
  <si>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</si>
  <si>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</si>
  <si>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</si>
  <si>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</si>
  <si>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</si>
  <si>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</si>
  <si>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</si>
  <si>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</si>
  <si>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</si>
  <si>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</si>
  <si>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</si>
  <si>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</si>
  <si>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</si>
  <si>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</si>
  <si>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</si>
  <si>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</si>
  <si>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</si>
  <si>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</si>
  <si>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</si>
  <si>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</si>
  <si>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</si>
  <si>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</si>
  <si>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</si>
  <si>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</si>
  <si>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Runwal &amp; Omkar Esquare,5th Floor, Eastern Express Highway,Sion (East),Mumbai - 400022</t>
  </si>
  <si>
    <t>Lal Bahadur Shastri Rd, near Mangatram Petrol Pump, Ambedkar Nagar, Kanjurmarg West, Bhandup West, Mumbai, Maharashtra 400078</t>
  </si>
  <si>
    <t>Wheelabrator Alloy Castings Limited</t>
  </si>
  <si>
    <t>Proposed building on plot bearing CTS No. 596, 596/1-6, 597, 597/1-7,598, 598/1-3, 599A, 599A/1-81, 601, 602, 602/1-9, 603, 604, 605, 605/1-17, 606, 606/1-83, 607/1-31, 607A, 607D of village Kanjur, At LBS Marg, Kanjur(W), Mumbai</t>
  </si>
  <si>
    <t>Runwal Forest Tower 8, 10 &amp; 11, Near. St Xavier's High School &amp; Junior College, Road. Lal Bahadur Shastri Road, Village. Kanjur West, Mumbai, 400078</t>
  </si>
  <si>
    <t xml:space="preserve">Municipal Corporation Of Greater Mumbai (MCGM)
</t>
  </si>
  <si>
    <t>HDFC Bank
IFSC Code :HDFC0000163</t>
  </si>
  <si>
    <t xml:space="preserve">Residential </t>
  </si>
  <si>
    <t>1.5 KM from Kanjur Marg Railway Station
1.4 KM from Bhandup Railway Station</t>
  </si>
  <si>
    <t xml:space="preserve">About 300 M form Central Hospital </t>
  </si>
  <si>
    <t>About 300 M from Ciba Company Bus Stop</t>
  </si>
  <si>
    <t>1. Approx. 750 M from Kanjurmarg Market.
2. Approx. 950 M from D Mart.</t>
  </si>
  <si>
    <t>Upper</t>
  </si>
  <si>
    <t>About 1KM from B.P.E.S. High School.</t>
  </si>
  <si>
    <t>Tower 8</t>
  </si>
  <si>
    <t>Tower 10</t>
  </si>
  <si>
    <t>Railway Track</t>
  </si>
  <si>
    <t>Tower 5 &amp; 6</t>
  </si>
  <si>
    <t>Jaihind Oil Mill Company</t>
  </si>
  <si>
    <t>Gundecha Altura</t>
  </si>
  <si>
    <t>Road</t>
  </si>
  <si>
    <t>Drive Way</t>
  </si>
  <si>
    <t>Tower 11</t>
  </si>
  <si>
    <t>3B + G + 1P +1st to 48th Floor</t>
  </si>
  <si>
    <t>3BHK</t>
  </si>
  <si>
    <t>Amenities</t>
  </si>
  <si>
    <t>Double Height</t>
  </si>
  <si>
    <t>1st to 5th, 7th to 12th, 14th to 19th, 20th to 26th, 28th to 33rd, 35th to 40th, 42nd to 48th Floor</t>
  </si>
  <si>
    <t xml:space="preserve">Ground Floor </t>
  </si>
  <si>
    <t>Refuge Area</t>
  </si>
  <si>
    <t>41st Floor (Part Refuge Area)</t>
  </si>
  <si>
    <t>6th, 13th, 20th, 27th &amp; 34th Floor (Part Refuge Area)</t>
  </si>
  <si>
    <t xml:space="preserve">1st  Podium Level Floor </t>
  </si>
  <si>
    <t>Flats</t>
  </si>
  <si>
    <t>1.5BHK</t>
  </si>
  <si>
    <t>2BHK</t>
  </si>
  <si>
    <t>Society Office</t>
  </si>
  <si>
    <t xml:space="preserve">3rd to 1st Basement Floor For Parking </t>
  </si>
  <si>
    <t>7th &amp; 14th Floor (Part Refuge Area)</t>
  </si>
  <si>
    <t>1BHK</t>
  </si>
  <si>
    <t xml:space="preserve">1st to 6th, 8th to 13th &amp; 15th Floor </t>
  </si>
  <si>
    <t>Tower 10 - Tulip</t>
  </si>
  <si>
    <t>Tower 11 - Orchid</t>
  </si>
  <si>
    <t>Tower 8 - Magnolia</t>
  </si>
  <si>
    <t>7,00,000/-</t>
  </si>
  <si>
    <t>Approved Layout &amp; Floor Plans, CC, RERA certificate.</t>
  </si>
  <si>
    <t>Rate of Flat Per Sq. Ft. 
(on Carpet area)</t>
  </si>
  <si>
    <t>On Carpet area</t>
  </si>
  <si>
    <t>100/- from 2nd Floor</t>
  </si>
  <si>
    <t>Railway NOC Details</t>
  </si>
  <si>
    <t>BB.W.6561.NOC.KJRD.1077.DB</t>
  </si>
  <si>
    <t>SNCR/WEST/B/070921/559456</t>
  </si>
  <si>
    <t>Forest NOC Details</t>
  </si>
  <si>
    <t>Format1.0/CAC-CELL/UAN No.0000084171/CO2003001084</t>
  </si>
  <si>
    <t xml:space="preserve">Tower 9 </t>
  </si>
  <si>
    <t>Tower 9 - Lily</t>
  </si>
  <si>
    <t xml:space="preserve">1st Podium Level Floor </t>
  </si>
  <si>
    <t>Tower 9</t>
  </si>
  <si>
    <t>Flats = 1115</t>
  </si>
  <si>
    <t>Runwal Forest Tower 8, 9, 10 &amp; 11</t>
  </si>
  <si>
    <t>Date of Site Visit</t>
  </si>
  <si>
    <t xml:space="preserve">Door &amp; Window Frames </t>
  </si>
  <si>
    <t>Ext.Plaster</t>
  </si>
  <si>
    <t>Plumb.&amp; Electri.</t>
  </si>
  <si>
    <t>Painting</t>
  </si>
  <si>
    <t>Tower 8 = 3B + G + 1P +1st to 48th Floor</t>
  </si>
  <si>
    <t>Floor Rise Per Sq. Ft.
(on Carpet area)</t>
  </si>
  <si>
    <t>Dated</t>
  </si>
  <si>
    <t xml:space="preserve">CHE/ES/1458/S/337(NEW)/OCC/4/New 
</t>
  </si>
  <si>
    <t xml:space="preserve">CHE/ES/1458/S/337(NEW)/OCC/5/New 
</t>
  </si>
  <si>
    <t>Meter Room</t>
  </si>
  <si>
    <t xml:space="preserve">Double Height Entrance </t>
  </si>
  <si>
    <t>Mr. Nainesh</t>
  </si>
  <si>
    <t>Mr.Rajeev Malhotra 9167582129</t>
  </si>
  <si>
    <t>Latitude, Longitude</t>
  </si>
  <si>
    <t>Landmark</t>
  </si>
  <si>
    <t>Location Link</t>
  </si>
  <si>
    <t>https://goo.gl/maps/Spdk4i8KNYYqhQyu5</t>
  </si>
  <si>
    <t>Ground Floor For Part Residential</t>
  </si>
  <si>
    <t>1st to 5th &amp; 7th to 12th &amp; 14th to 19th &amp; 21st to 26th, 28th to 33rd &amp; 35th to 40th, 42nd to 48th Floor</t>
  </si>
  <si>
    <t>Service Floor Inbetween 30th &amp; 31st Floor</t>
  </si>
  <si>
    <t>Fire Check Floor Inbetween 18th &amp; 19th Floor</t>
  </si>
  <si>
    <t>19.13686,72.932314</t>
  </si>
  <si>
    <t>Tower 9, 10 &amp; 11</t>
  </si>
  <si>
    <t>Jogging Track, Pet Zone, Mini theatre, Senior Citizen's Area, Kids Play Area, Clubhouse, Cafe, Open Air Gym, Basketball/ Badminton Court, Tennis Court, Baby Creche, Steam/ Massage Room, Bakery Outlet, Music &amp; Art Room, Zen Garden, Putting Green, Skating Rink, Yoga Room, Landscape Area, Convenience Room, Squash Court, Indoor games.</t>
  </si>
  <si>
    <t xml:space="preserve">Approved Floor :  Part Occupation for the proposed Residential Tower no. 8 consisting of 3 level Basement (Pt) + Ground + P1 Level + 1st to 45th floors
</t>
  </si>
  <si>
    <t xml:space="preserve">OC Details
Tower no. 8
</t>
  </si>
  <si>
    <t xml:space="preserve">Part OC Details
Tower no. 8
</t>
  </si>
  <si>
    <t xml:space="preserve">16th to 20th &amp; 22nd to 27th &amp; 29th, &amp; 30th Floor </t>
  </si>
  <si>
    <t>21st &amp; 28th Floor (Part Refuge Area)</t>
  </si>
  <si>
    <t xml:space="preserve">31st to 34th &amp; 36th to 40th Floor </t>
  </si>
  <si>
    <t>35th Floor (Part Refuge Area)</t>
  </si>
  <si>
    <t xml:space="preserve">41st &amp; 43rd Floor </t>
  </si>
  <si>
    <t>42nd Floor (Part Refuge Area)</t>
  </si>
  <si>
    <t xml:space="preserve">1st to 6th, 8th to 13th, 15th to 20th, 22nd to 27th, 29th &amp; 30th Floor </t>
  </si>
  <si>
    <t xml:space="preserve">35th, 42nd &amp; 49th Floor (Part Refuge Area) </t>
  </si>
  <si>
    <t xml:space="preserve">7th, 14th, 21st &amp; 28th Floor (Part Refuge Area) </t>
  </si>
  <si>
    <t>Flats = 1152</t>
  </si>
  <si>
    <t>External Plaster</t>
  </si>
  <si>
    <t>External Plumbing, Elevation and Waterproofing</t>
  </si>
  <si>
    <t>Wooden Work</t>
  </si>
  <si>
    <t>Electrical &amp; Sanitary fittings</t>
  </si>
  <si>
    <t>Tower 9 = 3B + G + 1P + 1st to 48th Floor</t>
  </si>
  <si>
    <t xml:space="preserve">31st to 34th &amp; 36th To 41st, 43rd to 48th &amp; 50th Floor </t>
  </si>
  <si>
    <t xml:space="preserve">44th to 47th Floor </t>
  </si>
  <si>
    <t>10. We have updated Approved Plans &amp; CC of Tower 9, 10 &amp; 11 (on 07/03/2024). 
9. We have updated Approved Plans &amp; CC of Tower 9, 10 &amp; 11 (on 02/11/2023).</t>
  </si>
  <si>
    <t>3B + G + 1P +1st to 47th Floor</t>
  </si>
  <si>
    <t>3B + G + 1P +1st to 50th Floor</t>
  </si>
  <si>
    <t>Tower 11 = 3B + G + 1P + 1st to 50th Floor</t>
  </si>
  <si>
    <t>CHE/ES/1458/S/337(NEW)/337/25/Amend
Date: 19/11/2024</t>
  </si>
  <si>
    <t>Approved Plan Details
(Tower 8 to 11)</t>
  </si>
  <si>
    <t>Tower 8 = Completed
Tower 9, 10 &amp; 11 = 30/06/2026</t>
  </si>
  <si>
    <t>Tower 8 =  P51800001838
Tower 9, 10 &amp; 11 = P51800001137</t>
  </si>
  <si>
    <t>As per letter</t>
  </si>
  <si>
    <t>CHE/ES/1458/S/337(NEW)/FCC/10/Amend
Date: 22/10/2024
Valid Upto Date: 21/10/2025
Full C.C. is granted for Tower no. 9 &amp; Tower no. 10 and further C.C. is granted for Tower no. 11 upto 40th floor and C.C. is re-endorsed for Fitness Centre as per approved amended plans dated 05.03.2024 by restricting C.C. of tower 11 fro m 41st floor to 48th floor for installment facility and temporary site office subject to timely renewal of B.G, SWM NOC, Workmen’s compensation policy and taking all sorts of precautions during construction and for air pollution.</t>
  </si>
  <si>
    <t>CHE/ES/1458/S/337(NEW)/FCC/11/Amend
Date: 26/11/2024
Valid Upto Date: 25/11/2025
Full C.C. is granted for Tower no. 10 and C.C. is re-endorsed for Tower no. 9 &amp; Tower no. 11 as per approved amended plans dated 19/11/2024 by restricting C.C. of 41st to 47th floor of Tower 11 for installment facility subject to timely renewal of B.G, SWM NOC, Workmen’s compensation policy and taking all sorts of precautions during construction and for air pollution.</t>
  </si>
  <si>
    <t>CHE/ES/1458/S/337(NEW)/FCC/12/Amend
Date: 25/03/2025
Valid Upto Date: 08/01/2026
Full C.C. of Tower no. 10 &amp; C.C. upto 48th floor of Tower no. 11 is granted as per approved amended plans dated 17/02/2025 by restricting C.C. from 49th to 54th floor of Tower no 11 for installment facility, subject to timely renewal of B.G., SWM NOC, Workmen’s compensation policy and taking all sorts of precautions during construction along with precautionary measures for air pollution.</t>
  </si>
  <si>
    <t>Approved Floor :  part Occupation i.e. Full Occupation of Tower no. 8 consisting of 46th to 48th floor including OHT &amp; Lift Machine room in continuation with earlier occupation certificate issued on 28.06.2022 for Tower no. 8 consisting of 3 level Basement (Pt) + Ground + P1 Level + 1st to 48th floors.</t>
  </si>
  <si>
    <t>CHE/ES/1458/S/337(NEW)/OCC/7/New</t>
  </si>
  <si>
    <t xml:space="preserve">Part OC Details
Tower no. 9
</t>
  </si>
  <si>
    <t>Tower No. 9 Consisting Of 3 Level Basement (Pt) + Ground + P1 Level + 1st To 45th Upper Floors (Excluding 46th To 48th Floor) Along with Built Up Amenity As Per Reg. 14(b) Of DCPR 2034.</t>
  </si>
  <si>
    <t>Mr.Suraj Khare</t>
  </si>
  <si>
    <t>3B + G + 1P +1st to 54th Floor</t>
  </si>
  <si>
    <t>Tower 10 = 3B + G + 1P + 1st to 54th Floor</t>
  </si>
  <si>
    <t xml:space="preserve">1. Tower 8 - All work Completed. OC Received.
    Tower 9 -  Finishing work is in process at the time of Visit. Part OC received.
    Tower 10 &amp; 11 - Construction work is in process at the time of Visit. Internal visit was not allowed.
2. We considered  Saleable area as per our calculation.
3. We considered Carpet area as per Approved Plan.
4. We considered Gross carpet area = Net carpet + Deck Area.
5. We have considered rate by verifying it from market inquire.
6. Car parking is subjected to authentic documentation.
7. We have updated Latest approved floor plan of Tower 8 (on 26/08/2022).
8. We have updated part OC of Tower 8 (on 26/08/2022).
9. We have updated Approved Plans &amp; CC of Tower 9, 10 &amp; 11 (on 28/11/2024). 
10. We have updated Approved CC (on 26/03/2025).
11. We have updated Part OC for Tower 9 (On 19/04/2025). 
12. Please provide revised approved plans &amp; CC.
11. Validity of CC is expired on 06/01/2024. Please provide revised CC.
</t>
  </si>
  <si>
    <t>03/07/2025 @ 12.18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</si>
</sst>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7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3" fillId="4" borderId="1" xfId="0" applyFont="1" applyFill="1" applyBorder="1" applyAlignment="1">
      <alignmen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8" fillId="0" borderId="0" xfId="0" applyFont="1" applyAlignment="1">
      <alignment vertical="top"/>
    </xf>
    <xf numFmtId="0" fontId="2" fillId="0" borderId="1" xfId="0" applyFont="1" applyBorder="1" applyAlignment="1">
      <alignment horizontal="left" vertical="top" wrapText="1"/>
    </xf>
    <xf numFmtId="1" fontId="4"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3" fillId="0" borderId="0" xfId="0" applyFont="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4" borderId="1" xfId="0" applyFont="1" applyFill="1" applyBorder="1" applyAlignment="1">
      <alignment horizontal="left" vertical="top" wrapText="1"/>
    </xf>
    <xf numFmtId="14" fontId="2" fillId="4" borderId="1"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3" fillId="4" borderId="1" xfId="0" applyFont="1" applyFill="1" applyBorder="1" applyAlignment="1">
      <alignment horizontal="left" vertical="top"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14" fontId="4" fillId="4" borderId="7"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17" fontId="4" fillId="4" borderId="2" xfId="0" applyNumberFormat="1" applyFont="1" applyFill="1" applyBorder="1" applyAlignment="1">
      <alignment horizontal="left" vertical="top" wrapText="1"/>
    </xf>
    <xf numFmtId="0" fontId="12" fillId="4" borderId="2" xfId="2" applyFont="1" applyFill="1" applyBorder="1" applyAlignment="1">
      <alignment horizontal="left" vertical="top" wrapText="1"/>
    </xf>
    <xf numFmtId="0" fontId="13" fillId="4" borderId="3" xfId="0" applyFont="1" applyFill="1" applyBorder="1" applyAlignment="1">
      <alignment horizontal="left" vertical="top" wrapText="1"/>
    </xf>
    <xf numFmtId="0" fontId="13" fillId="4"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1" xfId="1" applyNumberFormat="1" applyFont="1" applyFill="1" applyBorder="1" applyAlignment="1">
      <alignment horizontal="center" vertical="center"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xdr:col>
      <xdr:colOff>502024</xdr:colOff>
      <xdr:row>425</xdr:row>
      <xdr:rowOff>152399</xdr:rowOff>
    </xdr:from>
    <xdr:to>
      <xdr:col>7</xdr:col>
      <xdr:colOff>564777</xdr:colOff>
      <xdr:row>453</xdr:row>
      <xdr:rowOff>41255</xdr:rowOff>
    </xdr:to>
    <xdr:grpSp>
      <xdr:nvGrpSpPr>
        <xdr:cNvPr id="4" name="Group 3">
          <a:extLst>
            <a:ext uri="{FF2B5EF4-FFF2-40B4-BE49-F238E27FC236}">
              <a16:creationId xmlns:a16="http://schemas.microsoft.com/office/drawing/2014/main" id="{BDF063E1-614A-59CF-FE7C-B67C2166659D}"/>
            </a:ext>
          </a:extLst>
        </xdr:cNvPr>
        <xdr:cNvGrpSpPr/>
      </xdr:nvGrpSpPr>
      <xdr:grpSpPr>
        <a:xfrm>
          <a:off x="2725271" y="133394823"/>
          <a:ext cx="5163671" cy="7419208"/>
          <a:chOff x="2223247" y="133405048"/>
          <a:chExt cx="5661598" cy="9192960"/>
        </a:xfrm>
      </xdr:grpSpPr>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257883" y="138131315"/>
            <a:ext cx="5626962" cy="4466693"/>
          </a:xfrm>
          <a:prstGeom prst="rect">
            <a:avLst/>
          </a:prstGeom>
          <a:ln>
            <a:solidFill>
              <a:sysClr val="windowText" lastClr="000000"/>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23247" y="133405048"/>
            <a:ext cx="5631874" cy="4475864"/>
          </a:xfrm>
          <a:prstGeom prst="rect">
            <a:avLst/>
          </a:prstGeom>
          <a:ln>
            <a:solidFill>
              <a:sysClr val="windowText" lastClr="000000"/>
            </a:solidFill>
          </a:ln>
        </xdr:spPr>
      </xdr:pic>
    </xdr:grpSp>
    <xdr:clientData/>
  </xdr:twoCellAnchor>
  <xdr:twoCellAnchor editAs="oneCell">
    <xdr:from>
      <xdr:col>9</xdr:col>
      <xdr:colOff>299502</xdr:colOff>
      <xdr:row>54</xdr:row>
      <xdr:rowOff>279129</xdr:rowOff>
    </xdr:from>
    <xdr:to>
      <xdr:col>17</xdr:col>
      <xdr:colOff>542945</xdr:colOff>
      <xdr:row>61</xdr:row>
      <xdr:rowOff>75416</xdr:rowOff>
    </xdr:to>
    <xdr:pic>
      <xdr:nvPicPr>
        <xdr:cNvPr id="2" name="Picture 1">
          <a:extLst>
            <a:ext uri="{FF2B5EF4-FFF2-40B4-BE49-F238E27FC236}">
              <a16:creationId xmlns:a16="http://schemas.microsoft.com/office/drawing/2014/main" id="{F12B0DC6-9619-4344-A541-D9680C8B7ABC}"/>
            </a:ext>
          </a:extLst>
        </xdr:cNvPr>
        <xdr:cNvPicPr>
          <a:picLocks noChangeAspect="1"/>
        </xdr:cNvPicPr>
      </xdr:nvPicPr>
      <xdr:blipFill>
        <a:blip xmlns:r="http://schemas.openxmlformats.org/officeDocument/2006/relationships" r:embed="rId3"/>
        <a:stretch>
          <a:fillRect/>
        </a:stretch>
      </xdr:blipFill>
      <xdr:spPr>
        <a:xfrm>
          <a:off x="10709767" y="29291158"/>
          <a:ext cx="7077401" cy="4592406"/>
        </a:xfrm>
        <a:prstGeom prst="rect">
          <a:avLst/>
        </a:prstGeom>
        <a:ln>
          <a:solidFill>
            <a:schemeClr val="tx1"/>
          </a:solidFill>
        </a:ln>
      </xdr:spPr>
    </xdr:pic>
    <xdr:clientData/>
  </xdr:twoCellAnchor>
  <xdr:twoCellAnchor>
    <xdr:from>
      <xdr:col>0</xdr:col>
      <xdr:colOff>284019</xdr:colOff>
      <xdr:row>372</xdr:row>
      <xdr:rowOff>131623</xdr:rowOff>
    </xdr:from>
    <xdr:to>
      <xdr:col>8</xdr:col>
      <xdr:colOff>1173710</xdr:colOff>
      <xdr:row>415</xdr:row>
      <xdr:rowOff>78311</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284019" y="121271694"/>
          <a:ext cx="9890256" cy="11511158"/>
          <a:chOff x="284019" y="121220346"/>
          <a:chExt cx="9687327" cy="11116962"/>
        </a:xfrm>
      </xdr:grpSpPr>
      <xdr:pic>
        <xdr:nvPicPr>
          <xdr:cNvPr id="36" name="Picture 35" descr="https://vsjcllp.vsjadon.com/upload/insp-239258-1525.jpg">
            <a:extLst>
              <a:ext uri="{FF2B5EF4-FFF2-40B4-BE49-F238E27FC236}">
                <a16:creationId xmlns:a16="http://schemas.microsoft.com/office/drawing/2014/main" id="{00000000-0008-0000-0000-00002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b="5004"/>
          <a:stretch/>
        </xdr:blipFill>
        <xdr:spPr bwMode="auto">
          <a:xfrm>
            <a:off x="3463636" y="130180772"/>
            <a:ext cx="1624519" cy="214761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9258-843.jpg">
            <a:extLst>
              <a:ext uri="{FF2B5EF4-FFF2-40B4-BE49-F238E27FC236}">
                <a16:creationId xmlns:a16="http://schemas.microsoft.com/office/drawing/2014/main" id="{00000000-0008-0000-0000-00002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b="5033"/>
          <a:stretch/>
        </xdr:blipFill>
        <xdr:spPr bwMode="auto">
          <a:xfrm>
            <a:off x="810491" y="121223808"/>
            <a:ext cx="4225267" cy="55949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9258-849.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647708" y="126969981"/>
            <a:ext cx="2323638" cy="30895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258-851.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84019" y="126983836"/>
            <a:ext cx="2323638" cy="30895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9258-862.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5216236" y="126980373"/>
            <a:ext cx="2323638" cy="30895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258-860.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753592" y="126976908"/>
            <a:ext cx="2323638" cy="30895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258-880.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6627" y="130177308"/>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58-931.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5188526" y="121220346"/>
            <a:ext cx="4225267" cy="56180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4" name="TextBox 83">
            <a:extLst>
              <a:ext uri="{FF2B5EF4-FFF2-40B4-BE49-F238E27FC236}">
                <a16:creationId xmlns:a16="http://schemas.microsoft.com/office/drawing/2014/main" id="{35EB013C-3B1F-42D7-8653-193FBFA94BAC}"/>
              </a:ext>
            </a:extLst>
          </xdr:cNvPr>
          <xdr:cNvSpPr txBox="1"/>
        </xdr:nvSpPr>
        <xdr:spPr>
          <a:xfrm>
            <a:off x="4031673" y="121275763"/>
            <a:ext cx="1116113" cy="8321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a:t>
            </a:r>
          </a:p>
          <a:p>
            <a:r>
              <a:rPr lang="en-US" sz="2000" b="1">
                <a:solidFill>
                  <a:srgbClr val="FF0000"/>
                </a:solidFill>
              </a:rPr>
              <a:t>9</a:t>
            </a:r>
            <a:endParaRPr lang="en-IN" sz="2000" b="1">
              <a:solidFill>
                <a:srgbClr val="FF0000"/>
              </a:solidFill>
            </a:endParaRPr>
          </a:p>
        </xdr:txBody>
      </xdr:sp>
      <xdr:sp macro="" textlink="">
        <xdr:nvSpPr>
          <xdr:cNvPr id="45" name="TextBox 83">
            <a:extLst>
              <a:ext uri="{FF2B5EF4-FFF2-40B4-BE49-F238E27FC236}">
                <a16:creationId xmlns:a16="http://schemas.microsoft.com/office/drawing/2014/main" id="{35EB013C-3B1F-42D7-8653-193FBFA94BAC}"/>
              </a:ext>
            </a:extLst>
          </xdr:cNvPr>
          <xdr:cNvSpPr txBox="1"/>
        </xdr:nvSpPr>
        <xdr:spPr>
          <a:xfrm>
            <a:off x="1620982" y="121376208"/>
            <a:ext cx="1530927" cy="8321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8</a:t>
            </a:r>
            <a:endParaRPr lang="en-IN" sz="2000" b="1">
              <a:solidFill>
                <a:srgbClr val="FF0000"/>
              </a:solidFill>
            </a:endParaRPr>
          </a:p>
        </xdr:txBody>
      </xdr:sp>
      <xdr:sp macro="" textlink="">
        <xdr:nvSpPr>
          <xdr:cNvPr id="46" name="TextBox 83">
            <a:extLst>
              <a:ext uri="{FF2B5EF4-FFF2-40B4-BE49-F238E27FC236}">
                <a16:creationId xmlns:a16="http://schemas.microsoft.com/office/drawing/2014/main" id="{35EB013C-3B1F-42D7-8653-193FBFA94BAC}"/>
              </a:ext>
            </a:extLst>
          </xdr:cNvPr>
          <xdr:cNvSpPr txBox="1"/>
        </xdr:nvSpPr>
        <xdr:spPr>
          <a:xfrm>
            <a:off x="5202382" y="121580562"/>
            <a:ext cx="1430481" cy="8321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kern="1200">
                <a:solidFill>
                  <a:srgbClr val="FF0000"/>
                </a:solidFill>
                <a:effectLst/>
                <a:latin typeface="+mn-lt"/>
                <a:ea typeface="+mn-ea"/>
                <a:cs typeface="+mn-cs"/>
              </a:rPr>
              <a:t>Tower </a:t>
            </a:r>
          </a:p>
          <a:p>
            <a:r>
              <a:rPr lang="en-US" sz="2000" b="1" kern="1200">
                <a:solidFill>
                  <a:srgbClr val="FF0000"/>
                </a:solidFill>
                <a:effectLst/>
                <a:latin typeface="+mn-lt"/>
                <a:ea typeface="+mn-ea"/>
                <a:cs typeface="+mn-cs"/>
              </a:rPr>
              <a:t>10</a:t>
            </a:r>
            <a:endParaRPr lang="en-IN" sz="2000">
              <a:solidFill>
                <a:srgbClr val="FF0000"/>
              </a:solidFill>
              <a:effectLst/>
            </a:endParaRPr>
          </a:p>
        </xdr:txBody>
      </xdr:sp>
      <xdr:sp macro="" textlink="">
        <xdr:nvSpPr>
          <xdr:cNvPr id="47" name="TextBox 83">
            <a:extLst>
              <a:ext uri="{FF2B5EF4-FFF2-40B4-BE49-F238E27FC236}">
                <a16:creationId xmlns:a16="http://schemas.microsoft.com/office/drawing/2014/main" id="{35EB013C-3B1F-42D7-8653-193FBFA94BAC}"/>
              </a:ext>
            </a:extLst>
          </xdr:cNvPr>
          <xdr:cNvSpPr txBox="1"/>
        </xdr:nvSpPr>
        <xdr:spPr>
          <a:xfrm>
            <a:off x="7484918" y="121715643"/>
            <a:ext cx="1364672" cy="8321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11</a:t>
            </a:r>
            <a:endParaRPr lang="en-IN" sz="2000" b="1">
              <a:solidFill>
                <a:srgbClr val="FF0000"/>
              </a:solidFill>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Spdk4i8KNYYqhQyu5"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66"/>
  <sheetViews>
    <sheetView tabSelected="1" view="pageBreakPreview" topLeftCell="A450" zoomScale="85" zoomScaleNormal="55" zoomScaleSheetLayoutView="85" zoomScalePageLayoutView="55" workbookViewId="0">
      <selection activeCell="L459" sqref="L459"/>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26.109375" style="1" customWidth="1"/>
    <col min="11"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125" t="s">
        <v>41</v>
      </c>
      <c r="B1" s="126"/>
      <c r="C1" s="126"/>
      <c r="D1" s="126"/>
      <c r="E1" s="126"/>
      <c r="F1" s="126"/>
      <c r="G1" s="126"/>
      <c r="H1" s="126"/>
      <c r="I1" s="127"/>
    </row>
    <row r="2" spans="1:12" ht="42" customHeight="1" x14ac:dyDescent="0.3">
      <c r="A2" s="160" t="s">
        <v>11</v>
      </c>
      <c r="B2" s="160"/>
      <c r="C2" s="160"/>
      <c r="D2" s="4" t="s">
        <v>4</v>
      </c>
      <c r="E2" s="161" t="s">
        <v>92</v>
      </c>
      <c r="F2" s="161"/>
      <c r="G2" s="124" t="s">
        <v>15</v>
      </c>
      <c r="H2" s="124"/>
      <c r="I2" s="57">
        <v>45840</v>
      </c>
      <c r="J2" s="57">
        <v>45670</v>
      </c>
    </row>
    <row r="3" spans="1:12" ht="42.75" customHeight="1" x14ac:dyDescent="0.3">
      <c r="A3" s="108" t="s">
        <v>42</v>
      </c>
      <c r="B3" s="109"/>
      <c r="C3" s="110"/>
      <c r="D3" s="21" t="s">
        <v>4</v>
      </c>
      <c r="E3" s="73" t="s">
        <v>243</v>
      </c>
      <c r="F3" s="74"/>
      <c r="G3" s="124" t="s">
        <v>244</v>
      </c>
      <c r="H3" s="124"/>
      <c r="I3" s="57" t="s">
        <v>309</v>
      </c>
      <c r="K3" s="175">
        <v>45751</v>
      </c>
      <c r="L3" s="175">
        <v>45841</v>
      </c>
    </row>
    <row r="4" spans="1:12" ht="43.5" customHeight="1" x14ac:dyDescent="0.3">
      <c r="A4" s="108" t="s">
        <v>39</v>
      </c>
      <c r="B4" s="109"/>
      <c r="C4" s="110"/>
      <c r="D4" s="27" t="s">
        <v>4</v>
      </c>
      <c r="E4" s="62" t="s">
        <v>257</v>
      </c>
      <c r="F4" s="64"/>
      <c r="G4" s="124" t="s">
        <v>36</v>
      </c>
      <c r="H4" s="124"/>
      <c r="I4" s="57" t="str">
        <f ca="1">TEXT(TODAY(),"DD/MM/YYYY")</f>
        <v>10/07/2025</v>
      </c>
      <c r="L4" s="1">
        <f>L3-K3</f>
        <v>90</v>
      </c>
    </row>
    <row r="5" spans="1:12" ht="21" x14ac:dyDescent="0.3">
      <c r="A5" s="76" t="s">
        <v>43</v>
      </c>
      <c r="B5" s="76"/>
      <c r="C5" s="76"/>
      <c r="D5" s="76"/>
      <c r="E5" s="76"/>
      <c r="F5" s="76"/>
      <c r="G5" s="76"/>
      <c r="H5" s="76"/>
      <c r="I5" s="166"/>
    </row>
    <row r="6" spans="1:12" ht="47.25" customHeight="1" x14ac:dyDescent="0.3">
      <c r="A6" s="162" t="s">
        <v>32</v>
      </c>
      <c r="B6" s="162"/>
      <c r="C6" s="162"/>
      <c r="D6" s="2" t="s">
        <v>4</v>
      </c>
      <c r="E6" s="22" t="s">
        <v>105</v>
      </c>
      <c r="F6" s="21" t="s">
        <v>38</v>
      </c>
      <c r="G6" s="2" t="s">
        <v>4</v>
      </c>
      <c r="H6" s="115" t="s">
        <v>305</v>
      </c>
      <c r="I6" s="115"/>
    </row>
    <row r="7" spans="1:12" ht="42.75" customHeight="1" x14ac:dyDescent="0.3">
      <c r="A7" s="162" t="s">
        <v>45</v>
      </c>
      <c r="B7" s="162"/>
      <c r="C7" s="162"/>
      <c r="D7" s="2" t="s">
        <v>4</v>
      </c>
      <c r="E7" s="5" t="s">
        <v>186</v>
      </c>
      <c r="F7" s="21" t="s">
        <v>46</v>
      </c>
      <c r="G7" s="2" t="s">
        <v>4</v>
      </c>
      <c r="H7" s="62" t="s">
        <v>186</v>
      </c>
      <c r="I7" s="64"/>
    </row>
    <row r="8" spans="1:12" ht="45" customHeight="1" x14ac:dyDescent="0.3">
      <c r="A8" s="162" t="s">
        <v>47</v>
      </c>
      <c r="B8" s="162"/>
      <c r="C8" s="162"/>
      <c r="D8" s="2" t="s">
        <v>4</v>
      </c>
      <c r="E8" s="163" t="s">
        <v>184</v>
      </c>
      <c r="F8" s="163"/>
      <c r="G8" s="163"/>
      <c r="H8" s="163"/>
      <c r="I8" s="163"/>
    </row>
    <row r="9" spans="1:12" ht="45" customHeight="1" x14ac:dyDescent="0.3">
      <c r="A9" s="124" t="s">
        <v>174</v>
      </c>
      <c r="B9" s="21" t="s">
        <v>4</v>
      </c>
      <c r="C9" s="21" t="s">
        <v>44</v>
      </c>
      <c r="D9" s="2" t="s">
        <v>4</v>
      </c>
      <c r="E9" s="62" t="s">
        <v>185</v>
      </c>
      <c r="F9" s="63"/>
      <c r="G9" s="63"/>
      <c r="H9" s="63"/>
      <c r="I9" s="64"/>
    </row>
    <row r="10" spans="1:12" ht="66" customHeight="1" x14ac:dyDescent="0.3">
      <c r="A10" s="124"/>
      <c r="B10" s="21" t="s">
        <v>4</v>
      </c>
      <c r="C10" s="21" t="s">
        <v>14</v>
      </c>
      <c r="D10" s="2" t="s">
        <v>4</v>
      </c>
      <c r="E10" s="62" t="s">
        <v>187</v>
      </c>
      <c r="F10" s="63"/>
      <c r="G10" s="63"/>
      <c r="H10" s="63"/>
      <c r="I10" s="64"/>
    </row>
    <row r="11" spans="1:12" ht="42" customHeight="1" x14ac:dyDescent="0.3">
      <c r="A11" s="124"/>
      <c r="B11" s="21" t="s">
        <v>4</v>
      </c>
      <c r="C11" s="21" t="s">
        <v>5</v>
      </c>
      <c r="D11" s="2" t="s">
        <v>4</v>
      </c>
      <c r="E11" s="62" t="s">
        <v>188</v>
      </c>
      <c r="F11" s="63"/>
      <c r="G11" s="63"/>
      <c r="H11" s="63"/>
      <c r="I11" s="64"/>
    </row>
    <row r="12" spans="1:12" ht="21" x14ac:dyDescent="0.3">
      <c r="A12" s="124" t="s">
        <v>37</v>
      </c>
      <c r="B12" s="124"/>
      <c r="C12" s="124"/>
      <c r="D12" s="2" t="s">
        <v>4</v>
      </c>
      <c r="E12" s="103" t="s">
        <v>229</v>
      </c>
      <c r="F12" s="103"/>
      <c r="G12" s="103"/>
      <c r="H12" s="103"/>
      <c r="I12" s="103"/>
    </row>
    <row r="13" spans="1:12" ht="20.100000000000001" customHeight="1" x14ac:dyDescent="0.3">
      <c r="A13" s="76" t="s">
        <v>48</v>
      </c>
      <c r="B13" s="76"/>
      <c r="C13" s="76"/>
      <c r="D13" s="76"/>
      <c r="E13" s="76"/>
      <c r="F13" s="76"/>
      <c r="G13" s="76"/>
      <c r="H13" s="76"/>
      <c r="I13" s="76"/>
    </row>
    <row r="14" spans="1:12" ht="63" x14ac:dyDescent="0.3">
      <c r="A14" s="21" t="s">
        <v>30</v>
      </c>
      <c r="B14" s="2" t="s">
        <v>4</v>
      </c>
      <c r="C14" s="141" t="s">
        <v>93</v>
      </c>
      <c r="D14" s="139"/>
      <c r="E14" s="140"/>
      <c r="F14" s="17" t="s">
        <v>49</v>
      </c>
      <c r="G14" s="2" t="s">
        <v>4</v>
      </c>
      <c r="H14" s="115" t="s">
        <v>189</v>
      </c>
      <c r="I14" s="115"/>
    </row>
    <row r="15" spans="1:12" ht="42" x14ac:dyDescent="0.3">
      <c r="A15" s="21" t="s">
        <v>50</v>
      </c>
      <c r="B15" s="2" t="s">
        <v>4</v>
      </c>
      <c r="C15" s="141" t="s">
        <v>296</v>
      </c>
      <c r="D15" s="139"/>
      <c r="E15" s="140"/>
      <c r="F15" s="21" t="s">
        <v>51</v>
      </c>
      <c r="G15" s="2" t="s">
        <v>4</v>
      </c>
      <c r="H15" s="115" t="s">
        <v>295</v>
      </c>
      <c r="I15" s="115"/>
    </row>
    <row r="16" spans="1:12" ht="42" x14ac:dyDescent="0.3">
      <c r="A16" s="47" t="s">
        <v>52</v>
      </c>
      <c r="B16" s="2" t="s">
        <v>4</v>
      </c>
      <c r="C16" s="138">
        <v>42011</v>
      </c>
      <c r="D16" s="139"/>
      <c r="E16" s="140"/>
      <c r="F16" s="21" t="s">
        <v>53</v>
      </c>
      <c r="G16" s="2" t="s">
        <v>4</v>
      </c>
      <c r="H16" s="169">
        <v>42945</v>
      </c>
      <c r="I16" s="64"/>
    </row>
    <row r="17" spans="1:12" ht="63" x14ac:dyDescent="0.3">
      <c r="A17" s="47" t="s">
        <v>54</v>
      </c>
      <c r="B17" s="2" t="s">
        <v>4</v>
      </c>
      <c r="C17" s="141" t="s">
        <v>295</v>
      </c>
      <c r="D17" s="139"/>
      <c r="E17" s="140"/>
      <c r="F17" s="21" t="s">
        <v>55</v>
      </c>
      <c r="G17" s="2" t="s">
        <v>4</v>
      </c>
      <c r="H17" s="62" t="s">
        <v>190</v>
      </c>
      <c r="I17" s="64"/>
    </row>
    <row r="18" spans="1:12" ht="42" x14ac:dyDescent="0.3">
      <c r="A18" s="47" t="s">
        <v>56</v>
      </c>
      <c r="B18" s="2" t="s">
        <v>4</v>
      </c>
      <c r="C18" s="142" t="s">
        <v>191</v>
      </c>
      <c r="D18" s="143"/>
      <c r="E18" s="144"/>
      <c r="F18" s="21" t="s">
        <v>108</v>
      </c>
      <c r="G18" s="2" t="s">
        <v>4</v>
      </c>
      <c r="H18" s="115">
        <v>62558.2</v>
      </c>
      <c r="I18" s="115"/>
    </row>
    <row r="19" spans="1:12" ht="42" x14ac:dyDescent="0.3">
      <c r="A19" s="21" t="s">
        <v>57</v>
      </c>
      <c r="B19" s="2" t="s">
        <v>4</v>
      </c>
      <c r="C19" s="141">
        <v>1</v>
      </c>
      <c r="D19" s="139"/>
      <c r="E19" s="140"/>
      <c r="F19" s="21" t="s">
        <v>107</v>
      </c>
      <c r="G19" s="2" t="s">
        <v>4</v>
      </c>
      <c r="H19" s="115">
        <v>168129.99</v>
      </c>
      <c r="I19" s="115"/>
      <c r="K19" s="1" t="s">
        <v>267</v>
      </c>
      <c r="L19" s="1">
        <f>SUM(20800.11+18297.58+17754.59)</f>
        <v>56852.28</v>
      </c>
    </row>
    <row r="20" spans="1:12" ht="42" x14ac:dyDescent="0.3">
      <c r="A20" s="21" t="s">
        <v>106</v>
      </c>
      <c r="B20" s="2" t="s">
        <v>4</v>
      </c>
      <c r="C20" s="141">
        <v>47427.55</v>
      </c>
      <c r="D20" s="139"/>
      <c r="E20" s="140"/>
      <c r="F20" s="6" t="s">
        <v>58</v>
      </c>
      <c r="G20" s="2" t="s">
        <v>4</v>
      </c>
      <c r="H20" s="62" t="s">
        <v>242</v>
      </c>
      <c r="I20" s="64"/>
    </row>
    <row r="21" spans="1:12" ht="42" x14ac:dyDescent="0.3">
      <c r="A21" s="21" t="s">
        <v>59</v>
      </c>
      <c r="B21" s="2" t="s">
        <v>4</v>
      </c>
      <c r="C21" s="142" t="s">
        <v>281</v>
      </c>
      <c r="D21" s="143"/>
      <c r="E21" s="144"/>
      <c r="F21" s="21" t="s">
        <v>60</v>
      </c>
      <c r="G21" s="2" t="s">
        <v>4</v>
      </c>
      <c r="H21" s="115" t="s">
        <v>109</v>
      </c>
      <c r="I21" s="115"/>
    </row>
    <row r="22" spans="1:12" ht="20.25" customHeight="1" x14ac:dyDescent="0.3">
      <c r="A22" s="47" t="s">
        <v>258</v>
      </c>
      <c r="B22" s="2" t="s">
        <v>4</v>
      </c>
      <c r="C22" s="142" t="s">
        <v>266</v>
      </c>
      <c r="D22" s="143"/>
      <c r="E22" s="144"/>
      <c r="F22" s="21" t="s">
        <v>259</v>
      </c>
      <c r="G22" s="2"/>
      <c r="H22" s="115" t="s">
        <v>203</v>
      </c>
      <c r="I22" s="115"/>
    </row>
    <row r="23" spans="1:12" ht="21" x14ac:dyDescent="0.3">
      <c r="A23" s="47" t="s">
        <v>260</v>
      </c>
      <c r="B23" s="2" t="s">
        <v>4</v>
      </c>
      <c r="C23" s="170" t="s">
        <v>261</v>
      </c>
      <c r="D23" s="171"/>
      <c r="E23" s="171"/>
      <c r="F23" s="171"/>
      <c r="G23" s="171"/>
      <c r="H23" s="171"/>
      <c r="I23" s="172"/>
    </row>
    <row r="24" spans="1:12" ht="89.25" customHeight="1" x14ac:dyDescent="0.3">
      <c r="A24" s="47" t="s">
        <v>28</v>
      </c>
      <c r="B24" s="2" t="s">
        <v>4</v>
      </c>
      <c r="C24" s="115" t="s">
        <v>268</v>
      </c>
      <c r="D24" s="115"/>
      <c r="E24" s="115"/>
      <c r="F24" s="115"/>
      <c r="G24" s="115"/>
      <c r="H24" s="115"/>
      <c r="I24" s="115"/>
    </row>
    <row r="25" spans="1:12" ht="24" customHeight="1" x14ac:dyDescent="0.3">
      <c r="A25" s="125" t="s">
        <v>23</v>
      </c>
      <c r="B25" s="126"/>
      <c r="C25" s="126"/>
      <c r="D25" s="126"/>
      <c r="E25" s="126"/>
      <c r="F25" s="126"/>
      <c r="G25" s="126"/>
      <c r="H25" s="126"/>
      <c r="I25" s="127"/>
    </row>
    <row r="26" spans="1:12" ht="20.25" customHeight="1" x14ac:dyDescent="0.3">
      <c r="A26" s="21" t="s">
        <v>29</v>
      </c>
      <c r="B26" s="2" t="s">
        <v>4</v>
      </c>
      <c r="C26" s="115" t="s">
        <v>94</v>
      </c>
      <c r="D26" s="115"/>
      <c r="E26" s="115"/>
      <c r="F26" s="21" t="s">
        <v>16</v>
      </c>
      <c r="G26" s="2" t="s">
        <v>4</v>
      </c>
      <c r="H26" s="115" t="s">
        <v>196</v>
      </c>
      <c r="I26" s="115"/>
    </row>
    <row r="27" spans="1:12" ht="21" x14ac:dyDescent="0.3">
      <c r="A27" s="21" t="s">
        <v>17</v>
      </c>
      <c r="B27" s="2" t="s">
        <v>4</v>
      </c>
      <c r="C27" s="115" t="s">
        <v>111</v>
      </c>
      <c r="D27" s="115"/>
      <c r="E27" s="115"/>
      <c r="F27" s="21" t="s">
        <v>175</v>
      </c>
      <c r="G27" s="2" t="s">
        <v>4</v>
      </c>
      <c r="H27" s="115" t="s">
        <v>173</v>
      </c>
      <c r="I27" s="115"/>
    </row>
    <row r="28" spans="1:12" ht="42" x14ac:dyDescent="0.3">
      <c r="A28" s="21" t="s">
        <v>26</v>
      </c>
      <c r="B28" s="2" t="s">
        <v>4</v>
      </c>
      <c r="C28" s="115" t="s">
        <v>110</v>
      </c>
      <c r="D28" s="115"/>
      <c r="E28" s="115"/>
      <c r="F28" s="21" t="s">
        <v>19</v>
      </c>
      <c r="G28" s="2" t="s">
        <v>4</v>
      </c>
      <c r="H28" s="115" t="s">
        <v>194</v>
      </c>
      <c r="I28" s="115"/>
    </row>
    <row r="29" spans="1:12" ht="42" x14ac:dyDescent="0.3">
      <c r="A29" s="47" t="s">
        <v>132</v>
      </c>
      <c r="B29" s="2" t="s">
        <v>4</v>
      </c>
      <c r="C29" s="115" t="s">
        <v>197</v>
      </c>
      <c r="D29" s="115"/>
      <c r="E29" s="115"/>
      <c r="F29" s="21" t="s">
        <v>133</v>
      </c>
      <c r="G29" s="2" t="s">
        <v>4</v>
      </c>
      <c r="H29" s="62" t="s">
        <v>193</v>
      </c>
      <c r="I29" s="64"/>
    </row>
    <row r="30" spans="1:12" ht="72" customHeight="1" x14ac:dyDescent="0.3">
      <c r="A30" s="21" t="s">
        <v>20</v>
      </c>
      <c r="B30" s="2" t="s">
        <v>4</v>
      </c>
      <c r="C30" s="115" t="s">
        <v>195</v>
      </c>
      <c r="D30" s="115"/>
      <c r="E30" s="115"/>
      <c r="F30" s="21" t="s">
        <v>18</v>
      </c>
      <c r="G30" s="2" t="s">
        <v>4</v>
      </c>
      <c r="H30" s="115" t="s">
        <v>192</v>
      </c>
      <c r="I30" s="115"/>
    </row>
    <row r="31" spans="1:12" ht="21.75" customHeight="1" x14ac:dyDescent="0.3">
      <c r="A31" s="47" t="s">
        <v>138</v>
      </c>
      <c r="B31" s="2" t="s">
        <v>4</v>
      </c>
      <c r="C31" s="115" t="s">
        <v>139</v>
      </c>
      <c r="D31" s="115"/>
      <c r="E31" s="115"/>
      <c r="F31" s="21" t="s">
        <v>140</v>
      </c>
      <c r="G31" s="2" t="s">
        <v>4</v>
      </c>
      <c r="H31" s="62" t="s">
        <v>139</v>
      </c>
      <c r="I31" s="64"/>
    </row>
    <row r="32" spans="1:12" ht="21.75" customHeight="1" x14ac:dyDescent="0.3">
      <c r="A32" s="47" t="s">
        <v>141</v>
      </c>
      <c r="B32" s="2" t="s">
        <v>4</v>
      </c>
      <c r="C32" s="62" t="s">
        <v>139</v>
      </c>
      <c r="D32" s="63"/>
      <c r="E32" s="63"/>
      <c r="F32" s="63"/>
      <c r="G32" s="63"/>
      <c r="H32" s="63"/>
      <c r="I32" s="64"/>
    </row>
    <row r="33" spans="1:9" ht="21" x14ac:dyDescent="0.3">
      <c r="A33" s="96" t="s">
        <v>40</v>
      </c>
      <c r="B33" s="97"/>
      <c r="C33" s="97"/>
      <c r="D33" s="97"/>
      <c r="E33" s="97"/>
      <c r="F33" s="97"/>
      <c r="G33" s="97"/>
      <c r="H33" s="97"/>
      <c r="I33" s="167"/>
    </row>
    <row r="34" spans="1:9" ht="42" x14ac:dyDescent="0.3">
      <c r="A34" s="108" t="s">
        <v>21</v>
      </c>
      <c r="B34" s="109"/>
      <c r="C34" s="110"/>
      <c r="D34" s="2" t="s">
        <v>4</v>
      </c>
      <c r="E34" s="22" t="s">
        <v>112</v>
      </c>
      <c r="F34" s="21" t="s">
        <v>22</v>
      </c>
      <c r="G34" s="7" t="s">
        <v>4</v>
      </c>
      <c r="H34" s="62" t="s">
        <v>113</v>
      </c>
      <c r="I34" s="64"/>
    </row>
    <row r="35" spans="1:9" ht="42" x14ac:dyDescent="0.3">
      <c r="A35" s="108" t="s">
        <v>25</v>
      </c>
      <c r="B35" s="109"/>
      <c r="C35" s="110"/>
      <c r="D35" s="2" t="s">
        <v>4</v>
      </c>
      <c r="E35" s="22" t="s">
        <v>113</v>
      </c>
      <c r="F35" s="8" t="s">
        <v>35</v>
      </c>
      <c r="G35" s="2" t="s">
        <v>4</v>
      </c>
      <c r="H35" s="62" t="s">
        <v>113</v>
      </c>
      <c r="I35" s="64"/>
    </row>
    <row r="36" spans="1:9" ht="42" x14ac:dyDescent="0.3">
      <c r="A36" s="108" t="s">
        <v>34</v>
      </c>
      <c r="B36" s="109"/>
      <c r="C36" s="110"/>
      <c r="D36" s="2" t="s">
        <v>4</v>
      </c>
      <c r="E36" s="5" t="s">
        <v>114</v>
      </c>
      <c r="F36" s="21" t="s">
        <v>24</v>
      </c>
      <c r="G36" s="24" t="s">
        <v>4</v>
      </c>
      <c r="H36" s="62" t="s">
        <v>115</v>
      </c>
      <c r="I36" s="64"/>
    </row>
    <row r="37" spans="1:9" ht="21" x14ac:dyDescent="0.3">
      <c r="A37" s="125" t="s">
        <v>0</v>
      </c>
      <c r="B37" s="126"/>
      <c r="C37" s="126"/>
      <c r="D37" s="126"/>
      <c r="E37" s="126"/>
      <c r="F37" s="126"/>
      <c r="G37" s="126"/>
      <c r="H37" s="126"/>
      <c r="I37" s="127"/>
    </row>
    <row r="38" spans="1:9" ht="21" x14ac:dyDescent="0.3">
      <c r="A38" s="131" t="s">
        <v>0</v>
      </c>
      <c r="B38" s="132"/>
      <c r="C38" s="133"/>
      <c r="D38" s="2" t="s">
        <v>4</v>
      </c>
      <c r="E38" s="9" t="s">
        <v>1</v>
      </c>
      <c r="F38" s="9" t="s">
        <v>6</v>
      </c>
      <c r="G38" s="131" t="s">
        <v>2</v>
      </c>
      <c r="H38" s="133"/>
      <c r="I38" s="9" t="s">
        <v>3</v>
      </c>
    </row>
    <row r="39" spans="1:9" ht="21" x14ac:dyDescent="0.3">
      <c r="A39" s="108" t="s">
        <v>7</v>
      </c>
      <c r="B39" s="109"/>
      <c r="C39" s="110"/>
      <c r="D39" s="2" t="s">
        <v>4</v>
      </c>
      <c r="E39" s="23" t="s">
        <v>204</v>
      </c>
      <c r="F39" s="23" t="s">
        <v>205</v>
      </c>
      <c r="G39" s="164" t="s">
        <v>204</v>
      </c>
      <c r="H39" s="165"/>
      <c r="I39" s="23" t="s">
        <v>201</v>
      </c>
    </row>
    <row r="40" spans="1:9" ht="44.25" customHeight="1" x14ac:dyDescent="0.3">
      <c r="A40" s="108" t="s">
        <v>8</v>
      </c>
      <c r="B40" s="109"/>
      <c r="C40" s="110"/>
      <c r="D40" s="2" t="s">
        <v>4</v>
      </c>
      <c r="E40" s="23" t="s">
        <v>202</v>
      </c>
      <c r="F40" s="23" t="s">
        <v>203</v>
      </c>
      <c r="G40" s="164" t="s">
        <v>200</v>
      </c>
      <c r="H40" s="165"/>
      <c r="I40" s="23" t="s">
        <v>201</v>
      </c>
    </row>
    <row r="41" spans="1:9" ht="20.25" customHeight="1" x14ac:dyDescent="0.3">
      <c r="A41" s="108" t="s">
        <v>12</v>
      </c>
      <c r="B41" s="109"/>
      <c r="C41" s="110"/>
      <c r="D41" s="2" t="s">
        <v>4</v>
      </c>
      <c r="E41" s="18" t="s">
        <v>110</v>
      </c>
      <c r="F41" s="21" t="s">
        <v>13</v>
      </c>
      <c r="G41" s="2" t="s">
        <v>4</v>
      </c>
      <c r="H41" s="62" t="s">
        <v>109</v>
      </c>
      <c r="I41" s="64"/>
    </row>
    <row r="42" spans="1:9" ht="21" x14ac:dyDescent="0.3">
      <c r="A42" s="125" t="s">
        <v>61</v>
      </c>
      <c r="B42" s="126"/>
      <c r="C42" s="126"/>
      <c r="D42" s="126"/>
      <c r="E42" s="126"/>
      <c r="F42" s="126"/>
      <c r="G42" s="126"/>
      <c r="H42" s="126"/>
      <c r="I42" s="127"/>
    </row>
    <row r="43" spans="1:9" ht="21" customHeight="1" x14ac:dyDescent="0.3">
      <c r="A43" s="135" t="s">
        <v>62</v>
      </c>
      <c r="B43" s="135"/>
      <c r="C43" s="135" t="s">
        <v>63</v>
      </c>
      <c r="D43" s="135"/>
      <c r="E43" s="135" t="s">
        <v>172</v>
      </c>
      <c r="F43" s="135"/>
      <c r="G43" s="135"/>
      <c r="H43" s="135" t="s">
        <v>64</v>
      </c>
      <c r="I43" s="135"/>
    </row>
    <row r="44" spans="1:9" ht="21" x14ac:dyDescent="0.3">
      <c r="A44" s="134" t="s">
        <v>198</v>
      </c>
      <c r="B44" s="134"/>
      <c r="C44" s="136" t="s">
        <v>95</v>
      </c>
      <c r="D44" s="136"/>
      <c r="E44" s="115" t="s">
        <v>207</v>
      </c>
      <c r="F44" s="115"/>
      <c r="G44" s="115"/>
      <c r="H44" s="103" t="s">
        <v>207</v>
      </c>
      <c r="I44" s="103"/>
    </row>
    <row r="45" spans="1:9" ht="21" x14ac:dyDescent="0.3">
      <c r="A45" s="134" t="s">
        <v>238</v>
      </c>
      <c r="B45" s="134"/>
      <c r="C45" s="136" t="s">
        <v>95</v>
      </c>
      <c r="D45" s="136"/>
      <c r="E45" s="115" t="s">
        <v>207</v>
      </c>
      <c r="F45" s="115"/>
      <c r="G45" s="115"/>
      <c r="H45" s="103" t="s">
        <v>207</v>
      </c>
      <c r="I45" s="103"/>
    </row>
    <row r="46" spans="1:9" ht="21" x14ac:dyDescent="0.3">
      <c r="A46" s="134" t="s">
        <v>199</v>
      </c>
      <c r="B46" s="134"/>
      <c r="C46" s="136" t="s">
        <v>95</v>
      </c>
      <c r="D46" s="136"/>
      <c r="E46" s="115" t="s">
        <v>306</v>
      </c>
      <c r="F46" s="115"/>
      <c r="G46" s="115"/>
      <c r="H46" s="103" t="s">
        <v>291</v>
      </c>
      <c r="I46" s="103"/>
    </row>
    <row r="47" spans="1:9" ht="20.399999999999999" customHeight="1" x14ac:dyDescent="0.3">
      <c r="A47" s="134" t="s">
        <v>206</v>
      </c>
      <c r="B47" s="134"/>
      <c r="C47" s="136" t="s">
        <v>95</v>
      </c>
      <c r="D47" s="136"/>
      <c r="E47" s="115" t="s">
        <v>291</v>
      </c>
      <c r="F47" s="115"/>
      <c r="G47" s="115"/>
      <c r="H47" s="103" t="s">
        <v>290</v>
      </c>
      <c r="I47" s="103"/>
    </row>
    <row r="48" spans="1:9" ht="21" x14ac:dyDescent="0.3">
      <c r="A48" s="76" t="s">
        <v>65</v>
      </c>
      <c r="B48" s="76"/>
      <c r="C48" s="76"/>
      <c r="D48" s="76"/>
      <c r="E48" s="76"/>
      <c r="F48" s="76"/>
      <c r="G48" s="76"/>
      <c r="H48" s="76"/>
      <c r="I48" s="76"/>
    </row>
    <row r="49" spans="1:11" ht="42.75" customHeight="1" x14ac:dyDescent="0.3">
      <c r="A49" s="17" t="s">
        <v>66</v>
      </c>
      <c r="B49" s="17" t="s">
        <v>4</v>
      </c>
      <c r="C49" s="62" t="s">
        <v>110</v>
      </c>
      <c r="D49" s="63"/>
      <c r="E49" s="63"/>
      <c r="F49" s="63"/>
      <c r="G49" s="63"/>
      <c r="H49" s="63"/>
      <c r="I49" s="64"/>
    </row>
    <row r="50" spans="1:11" ht="42.75" customHeight="1" x14ac:dyDescent="0.3">
      <c r="A50" s="17" t="s">
        <v>67</v>
      </c>
      <c r="B50" s="17" t="s">
        <v>4</v>
      </c>
      <c r="C50" s="62" t="s">
        <v>293</v>
      </c>
      <c r="D50" s="63"/>
      <c r="E50" s="63"/>
      <c r="F50" s="63"/>
      <c r="G50" s="63"/>
      <c r="H50" s="63"/>
      <c r="I50" s="64"/>
    </row>
    <row r="51" spans="1:11" ht="42.75" customHeight="1" x14ac:dyDescent="0.3">
      <c r="A51" s="17" t="s">
        <v>294</v>
      </c>
      <c r="B51" s="17" t="s">
        <v>4</v>
      </c>
      <c r="C51" s="62" t="s">
        <v>293</v>
      </c>
      <c r="D51" s="63"/>
      <c r="E51" s="63"/>
      <c r="F51" s="63"/>
      <c r="G51" s="63"/>
      <c r="H51" s="63"/>
      <c r="I51" s="64"/>
    </row>
    <row r="52" spans="1:11" ht="171" customHeight="1" x14ac:dyDescent="0.3">
      <c r="A52" s="17" t="s">
        <v>96</v>
      </c>
      <c r="B52" s="17" t="s">
        <v>4</v>
      </c>
      <c r="C52" s="62" t="s">
        <v>298</v>
      </c>
      <c r="D52" s="63"/>
      <c r="E52" s="63"/>
      <c r="F52" s="63"/>
      <c r="G52" s="63"/>
      <c r="H52" s="63"/>
      <c r="I52" s="64"/>
    </row>
    <row r="53" spans="1:11" ht="144.75" customHeight="1" x14ac:dyDescent="0.3">
      <c r="A53" s="17" t="s">
        <v>96</v>
      </c>
      <c r="B53" s="17" t="s">
        <v>4</v>
      </c>
      <c r="C53" s="62" t="s">
        <v>299</v>
      </c>
      <c r="D53" s="63"/>
      <c r="E53" s="63"/>
      <c r="F53" s="63"/>
      <c r="G53" s="63"/>
      <c r="H53" s="63"/>
      <c r="I53" s="64"/>
    </row>
    <row r="54" spans="1:11" ht="165.75" customHeight="1" x14ac:dyDescent="0.3">
      <c r="A54" s="17" t="s">
        <v>96</v>
      </c>
      <c r="B54" s="17" t="s">
        <v>4</v>
      </c>
      <c r="C54" s="62" t="s">
        <v>300</v>
      </c>
      <c r="D54" s="63"/>
      <c r="E54" s="63"/>
      <c r="F54" s="63"/>
      <c r="G54" s="63"/>
      <c r="H54" s="63"/>
      <c r="I54" s="64"/>
    </row>
    <row r="55" spans="1:11" s="54" customFormat="1" ht="45.75" customHeight="1" x14ac:dyDescent="0.3">
      <c r="A55" s="69" t="s">
        <v>271</v>
      </c>
      <c r="B55" s="55" t="s">
        <v>4</v>
      </c>
      <c r="C55" s="71" t="s">
        <v>252</v>
      </c>
      <c r="D55" s="71"/>
      <c r="E55" s="71"/>
      <c r="F55" s="55" t="s">
        <v>251</v>
      </c>
      <c r="G55" s="55"/>
      <c r="H55" s="72">
        <v>44740</v>
      </c>
      <c r="I55" s="71"/>
    </row>
    <row r="56" spans="1:11" s="54" customFormat="1" ht="42.75" customHeight="1" x14ac:dyDescent="0.3">
      <c r="A56" s="70"/>
      <c r="B56" s="55"/>
      <c r="C56" s="73" t="s">
        <v>269</v>
      </c>
      <c r="D56" s="74"/>
      <c r="E56" s="74"/>
      <c r="F56" s="74"/>
      <c r="G56" s="74"/>
      <c r="H56" s="74"/>
      <c r="I56" s="75"/>
    </row>
    <row r="57" spans="1:11" s="54" customFormat="1" ht="45.75" customHeight="1" x14ac:dyDescent="0.3">
      <c r="A57" s="69" t="s">
        <v>270</v>
      </c>
      <c r="B57" s="55" t="s">
        <v>4</v>
      </c>
      <c r="C57" s="71" t="s">
        <v>253</v>
      </c>
      <c r="D57" s="71"/>
      <c r="E57" s="71"/>
      <c r="F57" s="55" t="s">
        <v>251</v>
      </c>
      <c r="G57" s="55"/>
      <c r="H57" s="72">
        <v>44949</v>
      </c>
      <c r="I57" s="71"/>
    </row>
    <row r="58" spans="1:11" s="54" customFormat="1" ht="85.5" customHeight="1" x14ac:dyDescent="0.3">
      <c r="A58" s="70"/>
      <c r="B58" s="55"/>
      <c r="C58" s="73" t="s">
        <v>301</v>
      </c>
      <c r="D58" s="74"/>
      <c r="E58" s="74"/>
      <c r="F58" s="74"/>
      <c r="G58" s="74"/>
      <c r="H58" s="74"/>
      <c r="I58" s="75"/>
    </row>
    <row r="59" spans="1:11" s="54" customFormat="1" ht="45.75" customHeight="1" x14ac:dyDescent="0.3">
      <c r="A59" s="69" t="s">
        <v>303</v>
      </c>
      <c r="B59" s="55" t="s">
        <v>4</v>
      </c>
      <c r="C59" s="71" t="s">
        <v>302</v>
      </c>
      <c r="D59" s="71"/>
      <c r="E59" s="71"/>
      <c r="F59" s="55" t="s">
        <v>251</v>
      </c>
      <c r="G59" s="55"/>
      <c r="H59" s="72">
        <v>45754</v>
      </c>
      <c r="I59" s="71"/>
    </row>
    <row r="60" spans="1:11" s="54" customFormat="1" ht="65.25" customHeight="1" x14ac:dyDescent="0.3">
      <c r="A60" s="70"/>
      <c r="B60" s="55"/>
      <c r="C60" s="73" t="s">
        <v>304</v>
      </c>
      <c r="D60" s="74"/>
      <c r="E60" s="74"/>
      <c r="F60" s="74"/>
      <c r="G60" s="74"/>
      <c r="H60" s="74"/>
      <c r="I60" s="75"/>
    </row>
    <row r="61" spans="1:11" ht="46.5" customHeight="1" x14ac:dyDescent="0.3">
      <c r="A61" s="17" t="s">
        <v>233</v>
      </c>
      <c r="B61" s="17" t="s">
        <v>4</v>
      </c>
      <c r="C61" s="115" t="s">
        <v>234</v>
      </c>
      <c r="D61" s="115"/>
      <c r="E61" s="115"/>
      <c r="F61" s="17" t="s">
        <v>68</v>
      </c>
      <c r="G61" s="17" t="s">
        <v>4</v>
      </c>
      <c r="H61" s="115" t="s">
        <v>235</v>
      </c>
      <c r="I61" s="115"/>
    </row>
    <row r="62" spans="1:11" ht="45" customHeight="1" x14ac:dyDescent="0.3">
      <c r="A62" s="17" t="s">
        <v>236</v>
      </c>
      <c r="B62" s="17" t="s">
        <v>4</v>
      </c>
      <c r="C62" s="115" t="s">
        <v>237</v>
      </c>
      <c r="D62" s="115"/>
      <c r="E62" s="115"/>
      <c r="F62" s="17" t="s">
        <v>69</v>
      </c>
      <c r="G62" s="17" t="s">
        <v>4</v>
      </c>
      <c r="H62" s="115" t="s">
        <v>109</v>
      </c>
      <c r="I62" s="115"/>
    </row>
    <row r="63" spans="1:11" ht="21.6" thickBot="1" x14ac:dyDescent="0.35">
      <c r="A63" s="76" t="s">
        <v>70</v>
      </c>
      <c r="B63" s="76"/>
      <c r="C63" s="76"/>
      <c r="D63" s="76"/>
      <c r="E63" s="76"/>
      <c r="F63" s="76"/>
      <c r="G63" s="76"/>
      <c r="H63" s="76"/>
      <c r="I63" s="76"/>
    </row>
    <row r="64" spans="1:11" ht="20.25" customHeight="1" x14ac:dyDescent="0.4">
      <c r="A64" s="137" t="s">
        <v>249</v>
      </c>
      <c r="B64" s="137"/>
      <c r="C64" s="137"/>
      <c r="D64" s="78" t="s">
        <v>4</v>
      </c>
      <c r="E64" s="52" t="s">
        <v>142</v>
      </c>
      <c r="F64" s="66" t="s">
        <v>128</v>
      </c>
      <c r="G64" s="66"/>
      <c r="H64" s="52" t="s">
        <v>143</v>
      </c>
      <c r="I64" s="52" t="s">
        <v>144</v>
      </c>
      <c r="J64" s="34" t="str">
        <f ca="1">(IF(F67&gt;99%,"All work completed. Please provide OC.",IF(F67&gt;89.8%,"Plinth, RCC, Brick, Plaster, Flooring, Painting work Completed. Finishing work is in process.",IF(F67&lt;94%,(IF(C67=0,"Work not yet Started.",IF(E67=25%,"Piling work in process",IF(E67=50%,"Excavation work in process",IF(E67=100%,"Excavation work Completed. ","0")))&amp;(IF(C68=0%,"",IF(C68=K69,"Footing work is process",IF(C68=K70,"Footing work Completed",IF(C68=K71,"1st Basement Completed",IF(C68=K72,"1st &amp; 2nd Basement Completed",IF(C68=K73,"1st to 3rd Basement Completed",IF(C68=K74,"1st to 4th Basement Completed",IF(C68=K75,"Plinth work is process",IF(C68=K76,"Plinth work completed","0")))))))))))&amp;(IF(C69=(F65+H65+I65),", RCC Slab",IF(C69&gt;0,", RCC upto "&amp;C69&amp;" Slab",""))&amp;(IF(C70=I65,", Brickwork",IF(C70&gt;0,", Brickwork upto "&amp;C70&amp;" Floor",""))&amp;(IF(C71=I65,", Door &amp; Window Frame",IF(C71&gt;0,", Door &amp; Window Frame work upto "&amp;C71&amp;" Floor",""))&amp;(IF(C72=I65,", Internal Plaster",IF(C72&gt;0,", Internal Plaster upto "&amp;C72&amp;" Floor",""))&amp;(IF(C73=I65,", External Plaster",IF(C73&gt;0,", External Plaster upto "&amp;C73&amp;" Floor",""))&amp;(IF(C74=I65,", Plumbing &amp; Electric work",IF(C74&gt;0,", Plumbing &amp; Electric work upto "&amp;C74&amp;" Floor",""))&amp;(IF(C75=I65,", Flooring",IF(C75&gt;0,", Flooring upto "&amp;C75&amp;" Floor",""))&amp;(IF(C76=I65,", Painting",IF(C76&gt;0,", Painting upto "&amp;C76&amp;" Floor",""))&amp;(IF(C77&gt;0,", Finishing upto "&amp;C77&amp;" Floor","")&amp;(IF(C69&gt;0.5," Completed",""))))))))))))))))</f>
        <v>All work completed. Please provide OC.</v>
      </c>
      <c r="K64" s="36"/>
    </row>
    <row r="65" spans="1:11" ht="21" x14ac:dyDescent="0.4">
      <c r="A65" s="137"/>
      <c r="B65" s="137"/>
      <c r="C65" s="137"/>
      <c r="D65" s="78"/>
      <c r="E65" s="52">
        <v>3</v>
      </c>
      <c r="F65" s="66">
        <v>1</v>
      </c>
      <c r="G65" s="66"/>
      <c r="H65" s="52">
        <v>1</v>
      </c>
      <c r="I65" s="52">
        <f ca="1">--TRIM(RIGHT(SUBSTITUTE(LEFT(A64,_xlfn.AGGREGATE(16,6,FIND({0,1,2,3,4,5,6,7,8,9},A64,ROW(INDIRECT("1:"&amp;LEN(A64)))),1))," ",REPT(" ",LEN(A64))),LEN(A64)))</f>
        <v>48</v>
      </c>
      <c r="J65" s="35" t="s">
        <v>148</v>
      </c>
      <c r="K65" s="36"/>
    </row>
    <row r="66" spans="1:11" ht="20.25" customHeight="1" x14ac:dyDescent="0.4">
      <c r="A66" s="79" t="s">
        <v>146</v>
      </c>
      <c r="B66" s="79"/>
      <c r="C66" s="79" t="s">
        <v>157</v>
      </c>
      <c r="D66" s="79"/>
      <c r="E66" s="53" t="s">
        <v>158</v>
      </c>
      <c r="F66" s="79" t="s">
        <v>147</v>
      </c>
      <c r="G66" s="79"/>
      <c r="H66" s="46" t="s">
        <v>145</v>
      </c>
      <c r="I66" s="46"/>
      <c r="J66" s="38" t="s">
        <v>159</v>
      </c>
      <c r="K66" s="37">
        <f ca="1">I65*25%</f>
        <v>12</v>
      </c>
    </row>
    <row r="67" spans="1:11" ht="20.25" customHeight="1" x14ac:dyDescent="0.4">
      <c r="A67" s="65" t="s">
        <v>160</v>
      </c>
      <c r="B67" s="65"/>
      <c r="C67" s="66">
        <f ca="1">K68</f>
        <v>48</v>
      </c>
      <c r="D67" s="66"/>
      <c r="E67" s="51">
        <f ca="1">((100/I65)*C67)/100</f>
        <v>1</v>
      </c>
      <c r="F67" s="65">
        <f ca="1">(((C67/I65*5)+(C68/I65*15)+(40/(F65+H65+I65)*C69)+(10/(I65)*C70)+(5/(I65)*C71)+(2.5/(I65)*C72)+(2.5/I65*C73)+(5/I65*C74)+(2.5/I65*C75)+(2.5/I65*C76)+(5/I65*C77)+(5/I65*C78))/100)</f>
        <v>1</v>
      </c>
      <c r="G67" s="65"/>
      <c r="H67" s="65" t="str">
        <f>J65</f>
        <v>All work Completed. OC Received.</v>
      </c>
      <c r="I67" s="65"/>
      <c r="J67" s="38" t="s">
        <v>149</v>
      </c>
      <c r="K67" s="42">
        <f ca="1">I65*50%</f>
        <v>24</v>
      </c>
    </row>
    <row r="68" spans="1:11" ht="21" x14ac:dyDescent="0.4">
      <c r="A68" s="65" t="s">
        <v>129</v>
      </c>
      <c r="B68" s="65"/>
      <c r="C68" s="80">
        <f ca="1">K76</f>
        <v>47.999999999999993</v>
      </c>
      <c r="D68" s="66"/>
      <c r="E68" s="51">
        <f ca="1">((100/I65)*C68)/100</f>
        <v>0.99999999999999989</v>
      </c>
      <c r="F68" s="65"/>
      <c r="G68" s="65"/>
      <c r="H68" s="65"/>
      <c r="I68" s="65"/>
      <c r="J68" s="38" t="s">
        <v>150</v>
      </c>
      <c r="K68" s="42">
        <f ca="1">I65</f>
        <v>48</v>
      </c>
    </row>
    <row r="69" spans="1:11" ht="21" customHeight="1" x14ac:dyDescent="0.4">
      <c r="A69" s="65" t="s">
        <v>161</v>
      </c>
      <c r="B69" s="65"/>
      <c r="C69" s="66">
        <v>50</v>
      </c>
      <c r="D69" s="66"/>
      <c r="E69" s="51">
        <f ca="1">((100/(F65+H65+I65))*C69)/100</f>
        <v>1</v>
      </c>
      <c r="F69" s="65"/>
      <c r="G69" s="65"/>
      <c r="H69" s="65"/>
      <c r="I69" s="65"/>
      <c r="J69" s="38" t="s">
        <v>151</v>
      </c>
      <c r="K69" s="43">
        <f ca="1">(IF(E65&gt;1,(I65/(E65+2)),I65/4))</f>
        <v>9.6</v>
      </c>
    </row>
    <row r="70" spans="1:11" ht="21" customHeight="1" x14ac:dyDescent="0.4">
      <c r="A70" s="65" t="s">
        <v>162</v>
      </c>
      <c r="B70" s="65"/>
      <c r="C70" s="66">
        <v>48</v>
      </c>
      <c r="D70" s="66"/>
      <c r="E70" s="51">
        <f ca="1">((100/I65)*C70)/100</f>
        <v>1</v>
      </c>
      <c r="F70" s="65"/>
      <c r="G70" s="65"/>
      <c r="H70" s="65"/>
      <c r="I70" s="65"/>
      <c r="J70" s="38" t="s">
        <v>152</v>
      </c>
      <c r="K70" s="43">
        <f ca="1">(IF(E65&gt;1,(I65/(E65+2)+K69),I65/4+K69))</f>
        <v>19.2</v>
      </c>
    </row>
    <row r="71" spans="1:11" ht="21" customHeight="1" x14ac:dyDescent="0.4">
      <c r="A71" s="65" t="s">
        <v>245</v>
      </c>
      <c r="B71" s="65"/>
      <c r="C71" s="66">
        <v>48</v>
      </c>
      <c r="D71" s="66"/>
      <c r="E71" s="51">
        <f ca="1">((100/I65)*C71)/100</f>
        <v>1</v>
      </c>
      <c r="F71" s="65"/>
      <c r="G71" s="65"/>
      <c r="H71" s="65"/>
      <c r="I71" s="65"/>
      <c r="J71" s="38" t="s">
        <v>164</v>
      </c>
      <c r="K71" s="43">
        <f ca="1">(IF(E65&gt;1,(I65/(E65+2)+K70),0))</f>
        <v>28.799999999999997</v>
      </c>
    </row>
    <row r="72" spans="1:11" ht="21" customHeight="1" x14ac:dyDescent="0.4">
      <c r="A72" s="65" t="s">
        <v>163</v>
      </c>
      <c r="B72" s="65"/>
      <c r="C72" s="66">
        <v>48</v>
      </c>
      <c r="D72" s="66"/>
      <c r="E72" s="51">
        <f ca="1">((100/I65)*C72)/100</f>
        <v>1</v>
      </c>
      <c r="F72" s="65"/>
      <c r="G72" s="65"/>
      <c r="H72" s="65"/>
      <c r="I72" s="65"/>
      <c r="J72" s="38" t="s">
        <v>165</v>
      </c>
      <c r="K72" s="43">
        <f ca="1">(IF(E65&gt;2,(I65/(E65+2)+K71),0))</f>
        <v>38.4</v>
      </c>
    </row>
    <row r="73" spans="1:11" ht="21" customHeight="1" x14ac:dyDescent="0.4">
      <c r="A73" s="65" t="s">
        <v>246</v>
      </c>
      <c r="B73" s="65"/>
      <c r="C73" s="66">
        <v>48</v>
      </c>
      <c r="D73" s="66"/>
      <c r="E73" s="51">
        <f ca="1">((100/(I65))*C73)/100</f>
        <v>1</v>
      </c>
      <c r="F73" s="65"/>
      <c r="G73" s="65"/>
      <c r="H73" s="65"/>
      <c r="I73" s="65"/>
      <c r="J73" s="38" t="s">
        <v>167</v>
      </c>
      <c r="K73" s="44">
        <f>(IF(E65&gt;3,(I65/(E65+2)+K72),0))</f>
        <v>0</v>
      </c>
    </row>
    <row r="74" spans="1:11" ht="21" customHeight="1" x14ac:dyDescent="0.4">
      <c r="A74" s="65" t="s">
        <v>247</v>
      </c>
      <c r="B74" s="65"/>
      <c r="C74" s="66">
        <v>48</v>
      </c>
      <c r="D74" s="66"/>
      <c r="E74" s="51">
        <f ca="1">((100/(I65))*C74)/100</f>
        <v>1</v>
      </c>
      <c r="F74" s="65"/>
      <c r="G74" s="65"/>
      <c r="H74" s="65"/>
      <c r="I74" s="65"/>
      <c r="J74" s="38" t="s">
        <v>168</v>
      </c>
      <c r="K74" s="43">
        <f>(IF(E65&gt;4,(I65/(E65+2)+K73),0))</f>
        <v>0</v>
      </c>
    </row>
    <row r="75" spans="1:11" ht="21" customHeight="1" x14ac:dyDescent="0.4">
      <c r="A75" s="65" t="s">
        <v>166</v>
      </c>
      <c r="B75" s="65"/>
      <c r="C75" s="66">
        <v>48</v>
      </c>
      <c r="D75" s="66"/>
      <c r="E75" s="51">
        <f ca="1">((100/I65)*C75)/100</f>
        <v>1</v>
      </c>
      <c r="F75" s="65"/>
      <c r="G75" s="65"/>
      <c r="H75" s="65"/>
      <c r="I75" s="65"/>
      <c r="J75" s="38" t="s">
        <v>153</v>
      </c>
      <c r="K75" s="43">
        <f>(IF(E65=1,(I65/(E65+3)+K70),IF(E65=0,(I65/4+K70),IF(E65&gt;1,0))))</f>
        <v>0</v>
      </c>
    </row>
    <row r="76" spans="1:11" ht="21.6" thickBot="1" x14ac:dyDescent="0.45">
      <c r="A76" s="65" t="s">
        <v>248</v>
      </c>
      <c r="B76" s="65"/>
      <c r="C76" s="66">
        <v>48</v>
      </c>
      <c r="D76" s="66"/>
      <c r="E76" s="51">
        <f ca="1">((100/I65)*C76)/100</f>
        <v>1</v>
      </c>
      <c r="F76" s="65"/>
      <c r="G76" s="65"/>
      <c r="H76" s="65"/>
      <c r="I76" s="65"/>
      <c r="J76" s="40" t="s">
        <v>154</v>
      </c>
      <c r="K76" s="45">
        <f ca="1">(IF(E65&gt;1.5,(I65/(E65+2)+K70+MAX(0,K71-K70)+MAX(0,K72-K71)+MAX(0,K73-K72)+MAX(0,K74-K73)+MAX(0,K75-K74)),IF(E65=1,(I65/(E65+3)+K75),IF(E65=0,I65/4+K75))))</f>
        <v>47.999999999999993</v>
      </c>
    </row>
    <row r="77" spans="1:11" ht="20.25" customHeight="1" x14ac:dyDescent="0.3">
      <c r="A77" s="65" t="s">
        <v>169</v>
      </c>
      <c r="B77" s="65"/>
      <c r="C77" s="66">
        <v>48</v>
      </c>
      <c r="D77" s="66"/>
      <c r="E77" s="51">
        <f ca="1">((100/(I65))*C77)/100</f>
        <v>1</v>
      </c>
      <c r="F77" s="65"/>
      <c r="G77" s="65"/>
      <c r="H77" s="65"/>
      <c r="I77" s="65"/>
    </row>
    <row r="78" spans="1:11" ht="21" x14ac:dyDescent="0.3">
      <c r="A78" s="65" t="s">
        <v>170</v>
      </c>
      <c r="B78" s="65"/>
      <c r="C78" s="66">
        <v>48</v>
      </c>
      <c r="D78" s="66"/>
      <c r="E78" s="51">
        <f ca="1">((100/(I65))*C78)/100</f>
        <v>1</v>
      </c>
      <c r="F78" s="65"/>
      <c r="G78" s="65"/>
      <c r="H78" s="65"/>
      <c r="I78" s="65"/>
    </row>
    <row r="79" spans="1:11" ht="21.6" thickBot="1" x14ac:dyDescent="0.35">
      <c r="A79" s="76" t="s">
        <v>70</v>
      </c>
      <c r="B79" s="76"/>
      <c r="C79" s="76"/>
      <c r="D79" s="76"/>
      <c r="E79" s="76"/>
      <c r="F79" s="76"/>
      <c r="G79" s="76"/>
      <c r="H79" s="76"/>
      <c r="I79" s="76"/>
    </row>
    <row r="80" spans="1:11" ht="20.25" customHeight="1" x14ac:dyDescent="0.4">
      <c r="A80" s="77" t="s">
        <v>286</v>
      </c>
      <c r="B80" s="77"/>
      <c r="C80" s="77"/>
      <c r="D80" s="78" t="s">
        <v>4</v>
      </c>
      <c r="E80" s="52" t="s">
        <v>142</v>
      </c>
      <c r="F80" s="66" t="s">
        <v>128</v>
      </c>
      <c r="G80" s="66"/>
      <c r="H80" s="52" t="s">
        <v>143</v>
      </c>
      <c r="I80" s="52" t="s">
        <v>144</v>
      </c>
      <c r="J80" s="34" t="str">
        <f ca="1">(IF(F83&gt;99%,"All work completed. Please provide OC.",IF(F83&gt;89.8%,"Plinth, RCC, Brick, Plaster, Flooring, Wooden, Plumbing, Electrification, etc., work Completed. Finishing work is in process.",IF(F83&lt;94%,(IF(C83=0,"Work not yet Started.",IF(E83=25%,"Piling work in process",IF(E83=50%,"Excavation work in process",IF(E83=100%,"Excavation work Completed. ","0")))&amp;(IF(C84=0%,"",IF(C84=K85,"Footing work is process",IF(C84=K86,"Footing work Completed",IF(C84=K87,"1st Basement Completed",IF(C84=K88,"1st &amp; 2nd Basement Completed",IF(C84=K89,"1st to 3rd Basement Completed",IF(C84=K90,"1st to 4th Basement Completed",IF(C84=K91,"Plinth work is process",IF(C84=K92,"Plinth work completed","0")))))))))))&amp;(IF(C85=(F81+H81+I81),", RCC Slab",IF(C85&gt;0,", RCC upto "&amp;C85&amp;" Slab",""))&amp;(IF(C86=I81,", Brickwork",IF(C86&gt;0,", Brickwork upto "&amp;C86&amp;" Floor",""))&amp;(IF(C87=I81,", Internal Plaster",IF(C87&gt;0,", Internal Plaster upto "&amp;C87&amp;" Floor",""))&amp;(IF(C88=I81,", External Plaster",IF(C88&gt;0,", External Plaster upto "&amp;C88&amp;" Floor",""))&amp;(IF(C89=I81,", External Plumbing, Elevation and Waterproofing",IF(C89&gt;0,", External Plumbing, Elevation and Waterproofing upto "&amp;C89&amp;" Floor",""))&amp;(IF(C90=I81,", Flooring &amp; Fitting",IF(C90&gt;0,", Flooring &amp; Fitting upto "&amp;C90&amp;" Floor",""))&amp;(IF(C91=I81,", Wooden Work",IF(C91&gt;0,", Wooden Work upto "&amp;C91&amp;" Floor",""))&amp;(IF(C92=I81,", Electrical &amp; Sanitary fittings",IF(C92&gt;0,", Electrical &amp; Sanitary fittings upto "&amp;C92&amp;" Floor",""))&amp;(IF(C93&gt;0,", Finishing upto "&amp;C93&amp;" Floor","")&amp;(IF(C85&gt;0.5," Completed",""))))))))))))))))</f>
        <v>Plinth, RCC, Brick, Plaster, Flooring, Wooden, Plumbing, Electrification, etc., work Completed. Finishing work is in process.</v>
      </c>
      <c r="K80" s="36"/>
    </row>
    <row r="81" spans="1:13" ht="21" x14ac:dyDescent="0.4">
      <c r="A81" s="77"/>
      <c r="B81" s="77"/>
      <c r="C81" s="77"/>
      <c r="D81" s="78"/>
      <c r="E81" s="52">
        <v>3</v>
      </c>
      <c r="F81" s="66">
        <v>1</v>
      </c>
      <c r="G81" s="66"/>
      <c r="H81" s="52">
        <v>1</v>
      </c>
      <c r="I81" s="52">
        <f ca="1">--TRIM(RIGHT(SUBSTITUTE(LEFT(A80,_xlfn.AGGREGATE(16,6,FIND({0,1,2,3,4,5,6,7,8,9},A80,ROW(INDIRECT("1:"&amp;LEN(A80)))),1))," ",REPT(" ",LEN(A80))),LEN(A80)))</f>
        <v>48</v>
      </c>
      <c r="J81" s="35" t="s">
        <v>148</v>
      </c>
      <c r="K81" s="36"/>
    </row>
    <row r="82" spans="1:13" ht="20.25" customHeight="1" x14ac:dyDescent="0.4">
      <c r="A82" s="79" t="s">
        <v>146</v>
      </c>
      <c r="B82" s="79"/>
      <c r="C82" s="79" t="s">
        <v>157</v>
      </c>
      <c r="D82" s="79"/>
      <c r="E82" s="53" t="s">
        <v>158</v>
      </c>
      <c r="F82" s="79" t="s">
        <v>147</v>
      </c>
      <c r="G82" s="79"/>
      <c r="H82" s="46" t="s">
        <v>145</v>
      </c>
      <c r="I82" s="46"/>
      <c r="J82" s="38" t="s">
        <v>159</v>
      </c>
      <c r="K82" s="37">
        <f ca="1">I81*25%</f>
        <v>12</v>
      </c>
    </row>
    <row r="83" spans="1:13" ht="20.25" customHeight="1" x14ac:dyDescent="0.4">
      <c r="A83" s="65" t="s">
        <v>160</v>
      </c>
      <c r="B83" s="65"/>
      <c r="C83" s="66">
        <f ca="1">K84</f>
        <v>48</v>
      </c>
      <c r="D83" s="66"/>
      <c r="E83" s="51">
        <f ca="1">((100/I81)*C83)/100</f>
        <v>1</v>
      </c>
      <c r="F83" s="65">
        <f ca="1">(((C83/I81*5)+(C84/I81*20)+(25/(F81+H81+I81)*C85)+(5/(I81)*C86)+(2.5/(I81)*C87)+(2.5/(I81)*C88)+(5/I81*C89)+(10/I81*C90)+(2.5/I81*C91)+(2.5/I81*C92)+(10/I81*C93)+(10/I81*C94))/100)</f>
        <v>0.98593750000000002</v>
      </c>
      <c r="G83" s="65"/>
      <c r="H83" s="65" t="str">
        <f ca="1">J80</f>
        <v>Plinth, RCC, Brick, Plaster, Flooring, Wooden, Plumbing, Electrification, etc., work Completed. Finishing work is in process.</v>
      </c>
      <c r="I83" s="65"/>
      <c r="J83" s="38" t="s">
        <v>149</v>
      </c>
      <c r="K83" s="42">
        <f ca="1">I81*50%</f>
        <v>24</v>
      </c>
    </row>
    <row r="84" spans="1:13" ht="21" x14ac:dyDescent="0.4">
      <c r="A84" s="65" t="s">
        <v>129</v>
      </c>
      <c r="B84" s="65"/>
      <c r="C84" s="80">
        <v>48</v>
      </c>
      <c r="D84" s="66"/>
      <c r="E84" s="51">
        <f ca="1">((100/I81)*C84)/100</f>
        <v>1</v>
      </c>
      <c r="F84" s="65"/>
      <c r="G84" s="65"/>
      <c r="H84" s="65"/>
      <c r="I84" s="65"/>
      <c r="J84" s="38" t="s">
        <v>150</v>
      </c>
      <c r="K84" s="42">
        <f ca="1">I81</f>
        <v>48</v>
      </c>
    </row>
    <row r="85" spans="1:13" ht="21" customHeight="1" x14ac:dyDescent="0.4">
      <c r="A85" s="65" t="s">
        <v>161</v>
      </c>
      <c r="B85" s="65"/>
      <c r="C85" s="66">
        <f ca="1">F81+H81+I81</f>
        <v>50</v>
      </c>
      <c r="D85" s="66"/>
      <c r="E85" s="51">
        <f ca="1">((100/(F81+H81+I81))*C85)/100</f>
        <v>1</v>
      </c>
      <c r="F85" s="65"/>
      <c r="G85" s="65"/>
      <c r="H85" s="65"/>
      <c r="I85" s="65"/>
      <c r="J85" s="38" t="s">
        <v>151</v>
      </c>
      <c r="K85" s="43">
        <f ca="1">(IF(E81&gt;1,(I81/(E81+2)),I81/4))</f>
        <v>9.6</v>
      </c>
    </row>
    <row r="86" spans="1:13" ht="21" customHeight="1" x14ac:dyDescent="0.4">
      <c r="A86" s="65" t="s">
        <v>162</v>
      </c>
      <c r="B86" s="65"/>
      <c r="C86" s="66">
        <v>48</v>
      </c>
      <c r="D86" s="66"/>
      <c r="E86" s="51">
        <f ca="1">((100/I81)*C86)/100</f>
        <v>1</v>
      </c>
      <c r="F86" s="65"/>
      <c r="G86" s="65"/>
      <c r="H86" s="65"/>
      <c r="I86" s="65"/>
      <c r="J86" s="38" t="s">
        <v>152</v>
      </c>
      <c r="K86" s="43">
        <f ca="1">(IF(E81&gt;1,(I81/(E81+2)+K85),I81/4+K85))</f>
        <v>19.2</v>
      </c>
    </row>
    <row r="87" spans="1:13" ht="21" customHeight="1" x14ac:dyDescent="0.4">
      <c r="A87" s="67" t="s">
        <v>163</v>
      </c>
      <c r="B87" s="68"/>
      <c r="C87" s="66">
        <v>48</v>
      </c>
      <c r="D87" s="66"/>
      <c r="E87" s="51">
        <f ca="1">((100/I81)*C87)/100</f>
        <v>1</v>
      </c>
      <c r="F87" s="65"/>
      <c r="G87" s="65"/>
      <c r="H87" s="65"/>
      <c r="I87" s="65"/>
      <c r="J87" s="38" t="s">
        <v>164</v>
      </c>
      <c r="K87" s="43">
        <f ca="1">(IF(E81&gt;1,(I81/(E81+2)+K86),0))</f>
        <v>28.799999999999997</v>
      </c>
    </row>
    <row r="88" spans="1:13" ht="21" customHeight="1" x14ac:dyDescent="0.4">
      <c r="A88" s="67" t="s">
        <v>282</v>
      </c>
      <c r="B88" s="68"/>
      <c r="C88" s="66">
        <v>48</v>
      </c>
      <c r="D88" s="66"/>
      <c r="E88" s="51">
        <f ca="1">((100/I81)*C88)/100</f>
        <v>1</v>
      </c>
      <c r="F88" s="65"/>
      <c r="G88" s="65"/>
      <c r="H88" s="65"/>
      <c r="I88" s="65"/>
      <c r="J88" s="38" t="s">
        <v>165</v>
      </c>
      <c r="K88" s="43">
        <f ca="1">(IF(E81&gt;2,(I81/(E81+2)+K87),0))</f>
        <v>38.4</v>
      </c>
    </row>
    <row r="89" spans="1:13" ht="57.75" customHeight="1" x14ac:dyDescent="0.4">
      <c r="A89" s="67" t="s">
        <v>283</v>
      </c>
      <c r="B89" s="68"/>
      <c r="C89" s="66">
        <v>48</v>
      </c>
      <c r="D89" s="66"/>
      <c r="E89" s="51">
        <f ca="1">((100/(I81))*C89)/100</f>
        <v>1</v>
      </c>
      <c r="F89" s="65"/>
      <c r="G89" s="65"/>
      <c r="H89" s="65"/>
      <c r="I89" s="65"/>
      <c r="J89" s="38" t="s">
        <v>167</v>
      </c>
      <c r="K89" s="44">
        <f>(IF(E81&gt;3,(I81/(E81+2)+K88),0))</f>
        <v>0</v>
      </c>
    </row>
    <row r="90" spans="1:13" ht="21" x14ac:dyDescent="0.4">
      <c r="A90" s="65" t="s">
        <v>166</v>
      </c>
      <c r="B90" s="65"/>
      <c r="C90" s="66">
        <v>48</v>
      </c>
      <c r="D90" s="66"/>
      <c r="E90" s="51">
        <f ca="1">((100/(I81))*C90)/100</f>
        <v>1</v>
      </c>
      <c r="F90" s="65"/>
      <c r="G90" s="65"/>
      <c r="H90" s="65"/>
      <c r="I90" s="65"/>
      <c r="J90" s="38" t="s">
        <v>168</v>
      </c>
      <c r="K90" s="43">
        <f>(IF(E81&gt;4,(I81/(E81+2)+K89),0))</f>
        <v>0</v>
      </c>
    </row>
    <row r="91" spans="1:13" ht="21" customHeight="1" x14ac:dyDescent="0.4">
      <c r="A91" s="65" t="s">
        <v>284</v>
      </c>
      <c r="B91" s="65"/>
      <c r="C91" s="66">
        <v>48</v>
      </c>
      <c r="D91" s="66"/>
      <c r="E91" s="51">
        <f ca="1">((100/I81)*C91)/100</f>
        <v>1</v>
      </c>
      <c r="F91" s="65"/>
      <c r="G91" s="65"/>
      <c r="H91" s="65"/>
      <c r="I91" s="65"/>
      <c r="J91" s="38" t="s">
        <v>153</v>
      </c>
      <c r="K91" s="43">
        <f>(IF(E81=1,(I81/(E81+3)+K86),IF(E81=0,(I81/4+K86),IF(E81&gt;1,0))))</f>
        <v>0</v>
      </c>
    </row>
    <row r="92" spans="1:13" ht="41.25" customHeight="1" thickBot="1" x14ac:dyDescent="0.45">
      <c r="A92" s="65" t="s">
        <v>285</v>
      </c>
      <c r="B92" s="65"/>
      <c r="C92" s="66">
        <v>45</v>
      </c>
      <c r="D92" s="66"/>
      <c r="E92" s="51">
        <f ca="1">((100/I81)*C92)/100</f>
        <v>0.9375</v>
      </c>
      <c r="F92" s="65"/>
      <c r="G92" s="65"/>
      <c r="H92" s="65"/>
      <c r="I92" s="65"/>
      <c r="J92" s="40" t="s">
        <v>154</v>
      </c>
      <c r="K92" s="45">
        <f ca="1">(IF(E81&gt;1.5,(I81/(E81+2)+K85+MAX(0,K86-K85)+MAX(0,K87-K86)+MAX(0,K88-K87)+MAX(0,K89-K88)+MAX(0,K90-K89)),IF(E81=1,(I81/(E81+3)+K91),IF(E81=0,I81/4+K91))))</f>
        <v>47.999999999999993</v>
      </c>
      <c r="M92" s="1" t="e">
        <f>(IF(D80&gt;1.5,(H80/(D80+2)+J85+MAX(0,J86-J85)+MAX(0,J87-J86)+MAX(0,J88-J87)+MAX(0,J89-J88)+MAX(0,J90-J89)),IF(D80=1,(H80/(D80+3)+J90),IF(D80=0,H80*0.3+J90))))</f>
        <v>#VALUE!</v>
      </c>
    </row>
    <row r="93" spans="1:13" ht="21" x14ac:dyDescent="0.3">
      <c r="A93" s="65" t="s">
        <v>169</v>
      </c>
      <c r="B93" s="65"/>
      <c r="C93" s="66">
        <v>45</v>
      </c>
      <c r="D93" s="66"/>
      <c r="E93" s="51">
        <f ca="1">((100/(I81))*C93)/100</f>
        <v>0.9375</v>
      </c>
      <c r="F93" s="65"/>
      <c r="G93" s="65"/>
      <c r="H93" s="65"/>
      <c r="I93" s="65"/>
    </row>
    <row r="94" spans="1:13" ht="21" x14ac:dyDescent="0.3">
      <c r="A94" s="65" t="s">
        <v>170</v>
      </c>
      <c r="B94" s="65"/>
      <c r="C94" s="66">
        <v>45</v>
      </c>
      <c r="D94" s="66"/>
      <c r="E94" s="51">
        <f ca="1">((100/(I81))*C94)/100</f>
        <v>0.9375</v>
      </c>
      <c r="F94" s="65"/>
      <c r="G94" s="65"/>
      <c r="H94" s="65"/>
      <c r="I94" s="65"/>
    </row>
    <row r="95" spans="1:13" ht="21.6" thickBot="1" x14ac:dyDescent="0.35">
      <c r="A95" s="76" t="s">
        <v>70</v>
      </c>
      <c r="B95" s="76"/>
      <c r="C95" s="76"/>
      <c r="D95" s="76"/>
      <c r="E95" s="76"/>
      <c r="F95" s="76"/>
      <c r="G95" s="76"/>
      <c r="H95" s="76"/>
      <c r="I95" s="76"/>
    </row>
    <row r="96" spans="1:13" ht="20.25" customHeight="1" x14ac:dyDescent="0.4">
      <c r="A96" s="77" t="s">
        <v>307</v>
      </c>
      <c r="B96" s="77"/>
      <c r="C96" s="77"/>
      <c r="D96" s="78" t="s">
        <v>4</v>
      </c>
      <c r="E96" s="52" t="s">
        <v>142</v>
      </c>
      <c r="F96" s="66" t="s">
        <v>128</v>
      </c>
      <c r="G96" s="66"/>
      <c r="H96" s="52" t="s">
        <v>143</v>
      </c>
      <c r="I96" s="52" t="s">
        <v>144</v>
      </c>
      <c r="J96" s="34" t="str">
        <f ca="1">(IF(F99&gt;99%,"All work completed. Please provide OC.",IF(F99&gt;89.8%,"Plinth, RCC, Brick, Plaster, Flooring, Wooden, Plumbing, Electrification, etc., work Completed. Finishing work is in process.",IF(F99&lt;94%,(IF(C99=0,"Work not yet Started.",IF(E99=25%,"Piling work in process",IF(E99=50%,"Excavation work in process",IF(E99=100%,"Excavation work Completed. ","0")))&amp;(IF(C100=0%,"",IF(C100=K101,"Footing work is process",IF(C100=K102,"Footing work Completed",IF(C100=K103,"1st Basement Completed",IF(C100=K104,"1st &amp; 2nd Basement Completed",IF(C100=K105,"1st to 3rd Basement Completed",IF(C100=K106,"1st to 4th Basement Completed",IF(C100=K107,"Plinth work is process",IF(C100=K108,"Plinth work completed","0")))))))))))&amp;(IF(C101=(F97+H97+I97),", RCC Slab",IF(C101&gt;0,", RCC upto "&amp;C101&amp;" Slab",""))&amp;(IF(C102=I97,", Brickwork",IF(C102&gt;0,", Brickwork upto "&amp;C102&amp;" Floor",""))&amp;(IF(C103=I97,", Internal Plaster",IF(C103&gt;0,", Internal Plaster upto "&amp;C103&amp;" Floor",""))&amp;(IF(C104=I97,", External Plaster",IF(C104&gt;0,", External Plaster upto "&amp;C104&amp;" Floor",""))&amp;(IF(C105=I97,", External Plumbing, Elevation and Waterproofing",IF(C105&gt;0,", External Plumbing, Elevation and Waterproofing upto "&amp;C105&amp;" Floor",""))&amp;(IF(C106=I97,", Flooring &amp; Fitting",IF(C106&gt;0,", Flooring &amp; Fitting upto "&amp;C106&amp;" Floor",""))&amp;(IF(C107=I97,", Wooden Work",IF(C107&gt;0,", Wooden Work upto "&amp;C107&amp;" Floor",""))&amp;(IF(C108=I97,", Electrical &amp; Sanitary fittings",IF(C108&gt;0,", Electrical &amp; Sanitary fittings upto "&amp;C108&amp;" Floor",""))&amp;(IF(C109&gt;0,", Finishing upto "&amp;C109&amp;" Floor","")&amp;(IF(C101&gt;0.5," Completed",""))))))))))))))))</f>
        <v>Excavation work Completed. Plinth work completed, RCC upto 52 Slab, Brickwork upto 49 Floor, Internal Plaster upto 49 Floor, External Plaster upto 47 Floor, External Plumbing, Elevation and Waterproofing upto 40 Floor, Flooring &amp; Fitting upto 29 Floor, Wooden Work upto 18 Floor, Electrical &amp; Sanitary fittings upto 15 Floor Completed</v>
      </c>
      <c r="K96" s="36"/>
    </row>
    <row r="97" spans="1:13" ht="21" x14ac:dyDescent="0.4">
      <c r="A97" s="77"/>
      <c r="B97" s="77"/>
      <c r="C97" s="77"/>
      <c r="D97" s="78"/>
      <c r="E97" s="52">
        <v>3</v>
      </c>
      <c r="F97" s="66">
        <v>1</v>
      </c>
      <c r="G97" s="66"/>
      <c r="H97" s="52">
        <v>1</v>
      </c>
      <c r="I97" s="52">
        <f ca="1">--TRIM(RIGHT(SUBSTITUTE(LEFT(A96,_xlfn.AGGREGATE(16,6,FIND({0,1,2,3,4,5,6,7,8,9},A96,ROW(INDIRECT("1:"&amp;LEN(A96)))),1))," ",REPT(" ",LEN(A96))),LEN(A96)))</f>
        <v>54</v>
      </c>
      <c r="J97" s="35" t="s">
        <v>148</v>
      </c>
      <c r="K97" s="36"/>
    </row>
    <row r="98" spans="1:13" ht="20.25" customHeight="1" x14ac:dyDescent="0.4">
      <c r="A98" s="79" t="s">
        <v>146</v>
      </c>
      <c r="B98" s="79"/>
      <c r="C98" s="79" t="s">
        <v>157</v>
      </c>
      <c r="D98" s="79"/>
      <c r="E98" s="53" t="s">
        <v>158</v>
      </c>
      <c r="F98" s="79" t="s">
        <v>147</v>
      </c>
      <c r="G98" s="79"/>
      <c r="H98" s="46" t="s">
        <v>145</v>
      </c>
      <c r="I98" s="46"/>
      <c r="J98" s="38" t="s">
        <v>159</v>
      </c>
      <c r="K98" s="37">
        <f ca="1">I97*25%</f>
        <v>13.5</v>
      </c>
    </row>
    <row r="99" spans="1:13" ht="20.25" customHeight="1" x14ac:dyDescent="0.4">
      <c r="A99" s="65" t="s">
        <v>160</v>
      </c>
      <c r="B99" s="65"/>
      <c r="C99" s="66">
        <f ca="1">K100</f>
        <v>54</v>
      </c>
      <c r="D99" s="66"/>
      <c r="E99" s="51">
        <f ca="1">((100/I97)*C99)/100</f>
        <v>1</v>
      </c>
      <c r="F99" s="65">
        <f ca="1">(((C99/I97*5)+(C100/I97*20)+(25/(F97+H97+I97)*C101)+(5/(I97)*C102)+(2.5/(I97)*C103)+(2.5/(I97)*C104)+(5/I97*C105)+(10/I97*C106)+(2.5/I97*C107)+(2.5/I97*C108)+(10/I97*C109)+(10/I97*C110))/100)</f>
        <v>0.67797619047619051</v>
      </c>
      <c r="G99" s="65"/>
      <c r="H99" s="65" t="str">
        <f ca="1">J96</f>
        <v>Excavation work Completed. Plinth work completed, RCC upto 52 Slab, Brickwork upto 49 Floor, Internal Plaster upto 49 Floor, External Plaster upto 47 Floor, External Plumbing, Elevation and Waterproofing upto 40 Floor, Flooring &amp; Fitting upto 29 Floor, Wooden Work upto 18 Floor, Electrical &amp; Sanitary fittings upto 15 Floor Completed</v>
      </c>
      <c r="I99" s="65"/>
      <c r="J99" s="38" t="s">
        <v>149</v>
      </c>
      <c r="K99" s="42">
        <f ca="1">I97*50%</f>
        <v>27</v>
      </c>
    </row>
    <row r="100" spans="1:13" ht="21" x14ac:dyDescent="0.4">
      <c r="A100" s="65" t="s">
        <v>129</v>
      </c>
      <c r="B100" s="65"/>
      <c r="C100" s="80">
        <f ca="1">K108</f>
        <v>54.000000000000007</v>
      </c>
      <c r="D100" s="66"/>
      <c r="E100" s="51">
        <f ca="1">((100/I97)*C100)/100</f>
        <v>1.0000000000000002</v>
      </c>
      <c r="F100" s="65"/>
      <c r="G100" s="65"/>
      <c r="H100" s="65"/>
      <c r="I100" s="65"/>
      <c r="J100" s="38" t="s">
        <v>150</v>
      </c>
      <c r="K100" s="42">
        <f ca="1">I97</f>
        <v>54</v>
      </c>
    </row>
    <row r="101" spans="1:13" ht="21" customHeight="1" x14ac:dyDescent="0.4">
      <c r="A101" s="65" t="s">
        <v>161</v>
      </c>
      <c r="B101" s="65"/>
      <c r="C101" s="66">
        <v>52</v>
      </c>
      <c r="D101" s="66"/>
      <c r="E101" s="51">
        <f ca="1">((100/(F97+H97+I97))*C101)/100</f>
        <v>0.9285714285714286</v>
      </c>
      <c r="F101" s="65"/>
      <c r="G101" s="65"/>
      <c r="H101" s="65"/>
      <c r="I101" s="65"/>
      <c r="J101" s="38" t="s">
        <v>151</v>
      </c>
      <c r="K101" s="43">
        <f ca="1">(IF(E97&gt;1,(I97/(E97+2)),I97/4))</f>
        <v>10.8</v>
      </c>
      <c r="L101" s="1" t="s">
        <v>297</v>
      </c>
    </row>
    <row r="102" spans="1:13" ht="21" customHeight="1" x14ac:dyDescent="0.4">
      <c r="A102" s="65" t="s">
        <v>162</v>
      </c>
      <c r="B102" s="65"/>
      <c r="C102" s="66">
        <v>49</v>
      </c>
      <c r="D102" s="66"/>
      <c r="E102" s="51">
        <f ca="1">((100/I97)*C102)/100</f>
        <v>0.90740740740740744</v>
      </c>
      <c r="F102" s="65"/>
      <c r="G102" s="65"/>
      <c r="H102" s="65"/>
      <c r="I102" s="65"/>
      <c r="J102" s="38" t="s">
        <v>152</v>
      </c>
      <c r="K102" s="43">
        <f ca="1">(IF(E97&gt;1,(I97/(E97+2)+K101),I97/4+K101))</f>
        <v>21.6</v>
      </c>
    </row>
    <row r="103" spans="1:13" ht="21" customHeight="1" x14ac:dyDescent="0.4">
      <c r="A103" s="67" t="s">
        <v>163</v>
      </c>
      <c r="B103" s="68"/>
      <c r="C103" s="66">
        <v>49</v>
      </c>
      <c r="D103" s="66"/>
      <c r="E103" s="51">
        <f ca="1">((100/I97)*C103)/100</f>
        <v>0.90740740740740744</v>
      </c>
      <c r="F103" s="65"/>
      <c r="G103" s="65"/>
      <c r="H103" s="65"/>
      <c r="I103" s="65"/>
      <c r="J103" s="38" t="s">
        <v>164</v>
      </c>
      <c r="K103" s="43">
        <f ca="1">(IF(E97&gt;1,(I97/(E97+2)+K102),0))</f>
        <v>32.400000000000006</v>
      </c>
    </row>
    <row r="104" spans="1:13" ht="21" customHeight="1" x14ac:dyDescent="0.4">
      <c r="A104" s="67" t="s">
        <v>282</v>
      </c>
      <c r="B104" s="68"/>
      <c r="C104" s="66">
        <v>47</v>
      </c>
      <c r="D104" s="66"/>
      <c r="E104" s="51">
        <f ca="1">((100/I97)*C104)/100</f>
        <v>0.87037037037037035</v>
      </c>
      <c r="F104" s="65"/>
      <c r="G104" s="65"/>
      <c r="H104" s="65"/>
      <c r="I104" s="65"/>
      <c r="J104" s="38" t="s">
        <v>165</v>
      </c>
      <c r="K104" s="43">
        <f ca="1">(IF(E97&gt;2,(I97/(E97+2)+K103),0))</f>
        <v>43.2</v>
      </c>
    </row>
    <row r="105" spans="1:13" ht="57.75" customHeight="1" x14ac:dyDescent="0.4">
      <c r="A105" s="67" t="s">
        <v>283</v>
      </c>
      <c r="B105" s="68"/>
      <c r="C105" s="66">
        <v>40</v>
      </c>
      <c r="D105" s="66"/>
      <c r="E105" s="51">
        <f ca="1">((100/(I97))*C105)/100</f>
        <v>0.74074074074074081</v>
      </c>
      <c r="F105" s="65"/>
      <c r="G105" s="65"/>
      <c r="H105" s="65"/>
      <c r="I105" s="65"/>
      <c r="J105" s="38" t="s">
        <v>167</v>
      </c>
      <c r="K105" s="44">
        <f>(IF(E97&gt;3,(I97/(E97+2)+K104),0))</f>
        <v>0</v>
      </c>
    </row>
    <row r="106" spans="1:13" ht="21" x14ac:dyDescent="0.4">
      <c r="A106" s="65" t="s">
        <v>166</v>
      </c>
      <c r="B106" s="65"/>
      <c r="C106" s="66">
        <v>29</v>
      </c>
      <c r="D106" s="66"/>
      <c r="E106" s="51">
        <f ca="1">((100/(I97))*C106)/100</f>
        <v>0.53703703703703698</v>
      </c>
      <c r="F106" s="65"/>
      <c r="G106" s="65"/>
      <c r="H106" s="65"/>
      <c r="I106" s="65"/>
      <c r="J106" s="38" t="s">
        <v>168</v>
      </c>
      <c r="K106" s="43">
        <f>(IF(E97&gt;4,(I97/(E97+2)+K105),0))</f>
        <v>0</v>
      </c>
    </row>
    <row r="107" spans="1:13" ht="21" customHeight="1" x14ac:dyDescent="0.4">
      <c r="A107" s="65" t="s">
        <v>284</v>
      </c>
      <c r="B107" s="65"/>
      <c r="C107" s="66">
        <v>18</v>
      </c>
      <c r="D107" s="66"/>
      <c r="E107" s="51">
        <f ca="1">((100/I97)*C107)/100</f>
        <v>0.33333333333333337</v>
      </c>
      <c r="F107" s="65"/>
      <c r="G107" s="65"/>
      <c r="H107" s="65"/>
      <c r="I107" s="65"/>
      <c r="J107" s="38" t="s">
        <v>153</v>
      </c>
      <c r="K107" s="43">
        <f>(IF(E97=1,(I97/(E97+3)+K102),IF(E97=0,(I97/4+K102),IF(E97&gt;1,0))))</f>
        <v>0</v>
      </c>
    </row>
    <row r="108" spans="1:13" ht="41.25" customHeight="1" thickBot="1" x14ac:dyDescent="0.45">
      <c r="A108" s="65" t="s">
        <v>285</v>
      </c>
      <c r="B108" s="65"/>
      <c r="C108" s="66">
        <v>15</v>
      </c>
      <c r="D108" s="66"/>
      <c r="E108" s="51">
        <f ca="1">((100/I97)*C108)/100</f>
        <v>0.27777777777777779</v>
      </c>
      <c r="F108" s="65"/>
      <c r="G108" s="65"/>
      <c r="H108" s="65"/>
      <c r="I108" s="65"/>
      <c r="J108" s="40" t="s">
        <v>154</v>
      </c>
      <c r="K108" s="45">
        <f ca="1">(IF(E97&gt;1.5,(I97/(E97+2)+K101+MAX(0,K102-K101)+MAX(0,K103-K102)+MAX(0,K104-K103)+MAX(0,K105-K104)+MAX(0,K106-K105)),IF(E97=1,(I97/(E97+3)+K107),IF(E97=0,I97/4+K107))))</f>
        <v>54.000000000000007</v>
      </c>
      <c r="M108" s="1" t="e">
        <f>(IF(D96&gt;1.5,(H96/(D96+2)+J101+MAX(0,J102-J101)+MAX(0,J103-J102)+MAX(0,J104-J103)+MAX(0,J105-J104)+MAX(0,J106-J105)),IF(D96=1,(H96/(D96+3)+J106),IF(D96=0,H96*0.3+J106))))</f>
        <v>#VALUE!</v>
      </c>
    </row>
    <row r="109" spans="1:13" ht="21" x14ac:dyDescent="0.3">
      <c r="A109" s="65" t="s">
        <v>169</v>
      </c>
      <c r="B109" s="65"/>
      <c r="C109" s="66">
        <v>0</v>
      </c>
      <c r="D109" s="66"/>
      <c r="E109" s="51">
        <f ca="1">((100/(I97))*C109)/100</f>
        <v>0</v>
      </c>
      <c r="F109" s="65"/>
      <c r="G109" s="65"/>
      <c r="H109" s="65"/>
      <c r="I109" s="65"/>
    </row>
    <row r="110" spans="1:13" ht="21" x14ac:dyDescent="0.3">
      <c r="A110" s="65" t="s">
        <v>170</v>
      </c>
      <c r="B110" s="65"/>
      <c r="C110" s="66">
        <v>0</v>
      </c>
      <c r="D110" s="66"/>
      <c r="E110" s="51">
        <f ca="1">((100/(I97))*C110)/100</f>
        <v>0</v>
      </c>
      <c r="F110" s="65"/>
      <c r="G110" s="65"/>
      <c r="H110" s="65"/>
      <c r="I110" s="65"/>
    </row>
    <row r="111" spans="1:13" ht="21.6" thickBot="1" x14ac:dyDescent="0.35">
      <c r="A111" s="76" t="s">
        <v>70</v>
      </c>
      <c r="B111" s="76"/>
      <c r="C111" s="76"/>
      <c r="D111" s="76"/>
      <c r="E111" s="76"/>
      <c r="F111" s="76"/>
      <c r="G111" s="76"/>
      <c r="H111" s="76"/>
      <c r="I111" s="76"/>
    </row>
    <row r="112" spans="1:13" ht="20.25" customHeight="1" x14ac:dyDescent="0.4">
      <c r="A112" s="77" t="s">
        <v>292</v>
      </c>
      <c r="B112" s="77"/>
      <c r="C112" s="77"/>
      <c r="D112" s="78" t="s">
        <v>4</v>
      </c>
      <c r="E112" s="52" t="s">
        <v>142</v>
      </c>
      <c r="F112" s="66" t="s">
        <v>128</v>
      </c>
      <c r="G112" s="66"/>
      <c r="H112" s="52" t="s">
        <v>143</v>
      </c>
      <c r="I112" s="52" t="s">
        <v>144</v>
      </c>
      <c r="J112" s="34" t="str">
        <f ca="1">(IF(F115&gt;99%,"All work completed. Please provide OC.",IF(F115&gt;89.8%,"Plinth, RCC, Brick, Plaster, Flooring, Wooden, Plumbing, Electrification, etc., work Completed. Finishing work is in process.",IF(F115&lt;94%,(IF(C115=0,"Work not yet Started.",IF(E115=25%,"Piling work in process",IF(E115=50%,"Excavation work in process",IF(E115=100%,"Excavation work Completed. ","0")))&amp;(IF(C116=0%,"",IF(C116=K117,"Footing work is process",IF(C116=K118,"Footing work Completed",IF(C116=K119,"1st Basement Completed",IF(C116=K120,"1st &amp; 2nd Basement Completed",IF(C116=K121,"1st to 3rd Basement Completed",IF(C116=K122,"1st to 4th Basement Completed",IF(C116=K123,"Plinth work is process",IF(C116=K124,"Plinth work completed","0")))))))))))&amp;(IF(C117=(F113+H113+I113),", RCC Slab",IF(C117&gt;0,", RCC upto "&amp;C117&amp;" Slab",""))&amp;(IF(C118=I113,", Brickwork",IF(C118&gt;0,", Brickwork upto "&amp;C118&amp;" Floor",""))&amp;(IF(C119=I113,", Internal Plaster",IF(C119&gt;0,", Internal Plaster upto "&amp;C119&amp;" Floor",""))&amp;(IF(C120=I113,", External Plaster",IF(C120&gt;0,", External Plaster upto "&amp;C120&amp;" Floor",""))&amp;(IF(C121=I113,", External Plumbing, Elevation and Waterproofing",IF(C121&gt;0,", External Plumbing, Elevation and Waterproofing upto "&amp;C121&amp;" Floor",""))&amp;(IF(C122=I113,", Flooring &amp; Fitting",IF(C122&gt;0,", Flooring &amp; Fitting upto "&amp;C122&amp;" Floor",""))&amp;(IF(C123=I113,", Wooden Work",IF(C123&gt;0,", Wooden Work upto "&amp;C123&amp;" Floor",""))&amp;(IF(C124=I113,", Electrical &amp; Sanitary fittings",IF(C124&gt;0,", Electrical &amp; Sanitary fittings upto "&amp;C124&amp;" Floor",""))&amp;(IF(C125&gt;0,", Finishing upto "&amp;C125&amp;" Floor","")&amp;(IF(C117&gt;0.5," Completed",""))))))))))))))))</f>
        <v>Excavation work Completed. Plinth work completed, RCC upto 49 Slab, Brickwork upto 39 Floor, Internal Plaster upto 35 Floor, External Plaster upto 35 Floor, External Plumbing, Elevation and Waterproofing upto 36 Floor, Flooring &amp; Fitting upto 17 Floor, Wooden Work upto 14 Floor, Electrical &amp; Sanitary fittings upto 4 Floor Completed</v>
      </c>
      <c r="K112" s="36"/>
    </row>
    <row r="113" spans="1:13" ht="21" x14ac:dyDescent="0.4">
      <c r="A113" s="77"/>
      <c r="B113" s="77"/>
      <c r="C113" s="77"/>
      <c r="D113" s="78"/>
      <c r="E113" s="52">
        <v>3</v>
      </c>
      <c r="F113" s="66">
        <v>1</v>
      </c>
      <c r="G113" s="66"/>
      <c r="H113" s="52">
        <v>1</v>
      </c>
      <c r="I113" s="52">
        <f ca="1">--TRIM(RIGHT(SUBSTITUTE(LEFT(A112,_xlfn.AGGREGATE(16,6,FIND({0,1,2,3,4,5,6,7,8,9},A112,ROW(INDIRECT("1:"&amp;LEN(A112)))),1))," ",REPT(" ",LEN(A112))),LEN(A112)))</f>
        <v>50</v>
      </c>
      <c r="J113" s="35" t="s">
        <v>148</v>
      </c>
      <c r="K113" s="36"/>
    </row>
    <row r="114" spans="1:13" ht="20.25" customHeight="1" x14ac:dyDescent="0.4">
      <c r="A114" s="79" t="s">
        <v>146</v>
      </c>
      <c r="B114" s="79"/>
      <c r="C114" s="79" t="s">
        <v>157</v>
      </c>
      <c r="D114" s="79"/>
      <c r="E114" s="53" t="s">
        <v>158</v>
      </c>
      <c r="F114" s="79" t="s">
        <v>147</v>
      </c>
      <c r="G114" s="79"/>
      <c r="H114" s="46" t="s">
        <v>145</v>
      </c>
      <c r="I114" s="46"/>
      <c r="J114" s="38" t="s">
        <v>159</v>
      </c>
      <c r="K114" s="37">
        <f ca="1">I113*25%</f>
        <v>12.5</v>
      </c>
    </row>
    <row r="115" spans="1:13" ht="20.25" customHeight="1" x14ac:dyDescent="0.4">
      <c r="A115" s="65" t="s">
        <v>160</v>
      </c>
      <c r="B115" s="65"/>
      <c r="C115" s="66">
        <f ca="1">K116</f>
        <v>50</v>
      </c>
      <c r="D115" s="66"/>
      <c r="E115" s="51">
        <f ca="1">((100/I113)*C115)/100</f>
        <v>1</v>
      </c>
      <c r="F115" s="65">
        <f ca="1">(((C115/I113*5)+(C116/I113*20)+(25/(F113+H113+I113)*C117)+(5/(I113)*C118)+(2.5/(I113)*C119)+(2.5/(I113)*C120)+(5/I113*C121)+(10/I113*C122)+(2.5/I113*C123)+(2.5/I113*C124)+(10/I113*C125)+(10/I113*C126))/100)</f>
        <v>0.63857692307692315</v>
      </c>
      <c r="G115" s="65"/>
      <c r="H115" s="65" t="str">
        <f ca="1">J112</f>
        <v>Excavation work Completed. Plinth work completed, RCC upto 49 Slab, Brickwork upto 39 Floor, Internal Plaster upto 35 Floor, External Plaster upto 35 Floor, External Plumbing, Elevation and Waterproofing upto 36 Floor, Flooring &amp; Fitting upto 17 Floor, Wooden Work upto 14 Floor, Electrical &amp; Sanitary fittings upto 4 Floor Completed</v>
      </c>
      <c r="I115" s="65"/>
      <c r="J115" s="38" t="s">
        <v>149</v>
      </c>
      <c r="K115" s="42">
        <f ca="1">I113*50%</f>
        <v>25</v>
      </c>
    </row>
    <row r="116" spans="1:13" ht="21" x14ac:dyDescent="0.4">
      <c r="A116" s="65" t="s">
        <v>129</v>
      </c>
      <c r="B116" s="65"/>
      <c r="C116" s="80">
        <f ca="1">K124</f>
        <v>50</v>
      </c>
      <c r="D116" s="66"/>
      <c r="E116" s="51">
        <f ca="1">((100/I113)*C116)/100</f>
        <v>1</v>
      </c>
      <c r="F116" s="65"/>
      <c r="G116" s="65"/>
      <c r="H116" s="65"/>
      <c r="I116" s="65"/>
      <c r="J116" s="38" t="s">
        <v>150</v>
      </c>
      <c r="K116" s="42">
        <f ca="1">I113</f>
        <v>50</v>
      </c>
    </row>
    <row r="117" spans="1:13" ht="21" customHeight="1" x14ac:dyDescent="0.4">
      <c r="A117" s="65" t="s">
        <v>161</v>
      </c>
      <c r="B117" s="65"/>
      <c r="C117" s="66">
        <v>49</v>
      </c>
      <c r="D117" s="66"/>
      <c r="E117" s="51">
        <f ca="1">((100/(F113+H113+I113))*C117)/100</f>
        <v>0.94230769230769229</v>
      </c>
      <c r="F117" s="65"/>
      <c r="G117" s="65"/>
      <c r="H117" s="65"/>
      <c r="I117" s="65"/>
      <c r="J117" s="38" t="s">
        <v>151</v>
      </c>
      <c r="K117" s="43">
        <f ca="1">(IF(E113&gt;1,(I113/(E113+2)),I113/4))</f>
        <v>10</v>
      </c>
    </row>
    <row r="118" spans="1:13" ht="21" customHeight="1" x14ac:dyDescent="0.4">
      <c r="A118" s="65" t="s">
        <v>162</v>
      </c>
      <c r="B118" s="65"/>
      <c r="C118" s="66">
        <v>39</v>
      </c>
      <c r="D118" s="66"/>
      <c r="E118" s="51">
        <f ca="1">((100/I113)*C118)/100</f>
        <v>0.78</v>
      </c>
      <c r="F118" s="65"/>
      <c r="G118" s="65"/>
      <c r="H118" s="65"/>
      <c r="I118" s="65"/>
      <c r="J118" s="38" t="s">
        <v>152</v>
      </c>
      <c r="K118" s="43">
        <f ca="1">(IF(E113&gt;1,(I113/(E113+2)+K117),I113/4+K117))</f>
        <v>20</v>
      </c>
    </row>
    <row r="119" spans="1:13" ht="21" customHeight="1" x14ac:dyDescent="0.4">
      <c r="A119" s="67" t="s">
        <v>163</v>
      </c>
      <c r="B119" s="68"/>
      <c r="C119" s="66">
        <v>35</v>
      </c>
      <c r="D119" s="66"/>
      <c r="E119" s="51">
        <f ca="1">((100/I113)*C119)/100</f>
        <v>0.7</v>
      </c>
      <c r="F119" s="65"/>
      <c r="G119" s="65"/>
      <c r="H119" s="65"/>
      <c r="I119" s="65"/>
      <c r="J119" s="38" t="s">
        <v>164</v>
      </c>
      <c r="K119" s="43">
        <f ca="1">(IF(E113&gt;1,(I113/(E113+2)+K118),0))</f>
        <v>30</v>
      </c>
    </row>
    <row r="120" spans="1:13" ht="21" customHeight="1" x14ac:dyDescent="0.4">
      <c r="A120" s="67" t="s">
        <v>282</v>
      </c>
      <c r="B120" s="68"/>
      <c r="C120" s="66">
        <v>35</v>
      </c>
      <c r="D120" s="66"/>
      <c r="E120" s="51">
        <f ca="1">((100/I113)*C120)/100</f>
        <v>0.7</v>
      </c>
      <c r="F120" s="65"/>
      <c r="G120" s="65"/>
      <c r="H120" s="65"/>
      <c r="I120" s="65"/>
      <c r="J120" s="38" t="s">
        <v>165</v>
      </c>
      <c r="K120" s="43">
        <f ca="1">(IF(E113&gt;2,(I113/(E113+2)+K119),0))</f>
        <v>40</v>
      </c>
    </row>
    <row r="121" spans="1:13" ht="57.75" customHeight="1" x14ac:dyDescent="0.4">
      <c r="A121" s="67" t="s">
        <v>283</v>
      </c>
      <c r="B121" s="68"/>
      <c r="C121" s="66">
        <v>36</v>
      </c>
      <c r="D121" s="66"/>
      <c r="E121" s="51">
        <f ca="1">((100/(I113))*C121)/100</f>
        <v>0.72</v>
      </c>
      <c r="F121" s="65"/>
      <c r="G121" s="65"/>
      <c r="H121" s="65"/>
      <c r="I121" s="65"/>
      <c r="J121" s="38" t="s">
        <v>167</v>
      </c>
      <c r="K121" s="44">
        <f>(IF(E113&gt;3,(I113/(E113+2)+K120),0))</f>
        <v>0</v>
      </c>
    </row>
    <row r="122" spans="1:13" ht="21" x14ac:dyDescent="0.4">
      <c r="A122" s="65" t="s">
        <v>166</v>
      </c>
      <c r="B122" s="65"/>
      <c r="C122" s="66">
        <v>17</v>
      </c>
      <c r="D122" s="66"/>
      <c r="E122" s="51">
        <f ca="1">((100/(I113))*C122)/100</f>
        <v>0.34</v>
      </c>
      <c r="F122" s="65"/>
      <c r="G122" s="65"/>
      <c r="H122" s="65"/>
      <c r="I122" s="65"/>
      <c r="J122" s="38" t="s">
        <v>168</v>
      </c>
      <c r="K122" s="43">
        <f>(IF(E113&gt;4,(I113/(E113+2)+K121),0))</f>
        <v>0</v>
      </c>
    </row>
    <row r="123" spans="1:13" ht="21" customHeight="1" x14ac:dyDescent="0.4">
      <c r="A123" s="65" t="s">
        <v>284</v>
      </c>
      <c r="B123" s="65"/>
      <c r="C123" s="66">
        <v>14</v>
      </c>
      <c r="D123" s="66"/>
      <c r="E123" s="51">
        <f ca="1">((100/I113)*C123)/100</f>
        <v>0.28000000000000003</v>
      </c>
      <c r="F123" s="65"/>
      <c r="G123" s="65"/>
      <c r="H123" s="65"/>
      <c r="I123" s="65"/>
      <c r="J123" s="38" t="s">
        <v>153</v>
      </c>
      <c r="K123" s="43">
        <f>(IF(E113=1,(I113/(E113+3)+K118),IF(E113=0,(I113/4+K118),IF(E113&gt;1,0))))</f>
        <v>0</v>
      </c>
    </row>
    <row r="124" spans="1:13" ht="41.25" customHeight="1" thickBot="1" x14ac:dyDescent="0.45">
      <c r="A124" s="65" t="s">
        <v>285</v>
      </c>
      <c r="B124" s="65"/>
      <c r="C124" s="66">
        <v>4</v>
      </c>
      <c r="D124" s="66"/>
      <c r="E124" s="51">
        <f ca="1">((100/I113)*C124)/100</f>
        <v>0.08</v>
      </c>
      <c r="F124" s="65"/>
      <c r="G124" s="65"/>
      <c r="H124" s="65"/>
      <c r="I124" s="65"/>
      <c r="J124" s="40" t="s">
        <v>154</v>
      </c>
      <c r="K124" s="45">
        <f ca="1">(IF(E113&gt;1.5,(I113/(E113+2)+K117+MAX(0,K118-K117)+MAX(0,K119-K118)+MAX(0,K120-K119)+MAX(0,K121-K120)+MAX(0,K122-K121)),IF(E113=1,(I113/(E113+3)+K123),IF(E113=0,I113/4+K123))))</f>
        <v>50</v>
      </c>
      <c r="M124" s="1" t="e">
        <f>(IF(D112&gt;1.5,(H112/(D112+2)+J117+MAX(0,J118-J117)+MAX(0,J119-J118)+MAX(0,J120-J119)+MAX(0,J121-J120)+MAX(0,J122-J121)),IF(D112=1,(H112/(D112+3)+J122),IF(D112=0,H112*0.3+J122))))</f>
        <v>#VALUE!</v>
      </c>
    </row>
    <row r="125" spans="1:13" ht="21" x14ac:dyDescent="0.3">
      <c r="A125" s="65" t="s">
        <v>169</v>
      </c>
      <c r="B125" s="65"/>
      <c r="C125" s="66">
        <v>0</v>
      </c>
      <c r="D125" s="66"/>
      <c r="E125" s="51">
        <f ca="1">((100/(I113))*C125)/100</f>
        <v>0</v>
      </c>
      <c r="F125" s="65"/>
      <c r="G125" s="65"/>
      <c r="H125" s="65"/>
      <c r="I125" s="65"/>
    </row>
    <row r="126" spans="1:13" ht="21" x14ac:dyDescent="0.3">
      <c r="A126" s="65" t="s">
        <v>170</v>
      </c>
      <c r="B126" s="65"/>
      <c r="C126" s="66">
        <v>0</v>
      </c>
      <c r="D126" s="66"/>
      <c r="E126" s="51">
        <f ca="1">((100/(I113))*C126)/100</f>
        <v>0</v>
      </c>
      <c r="F126" s="65"/>
      <c r="G126" s="65"/>
      <c r="H126" s="65"/>
      <c r="I126" s="65"/>
    </row>
    <row r="127" spans="1:13" ht="36.75" customHeight="1" x14ac:dyDescent="0.4">
      <c r="A127" s="111" t="s">
        <v>155</v>
      </c>
      <c r="B127" s="112"/>
      <c r="C127" s="112"/>
      <c r="D127" s="112"/>
      <c r="E127" s="112"/>
      <c r="F127" s="112"/>
      <c r="G127" s="112"/>
      <c r="H127" s="113">
        <f ca="1">AVERAGE(F67,F99,F83,F115)</f>
        <v>0.82562265338827845</v>
      </c>
      <c r="I127" s="114"/>
      <c r="J127" s="38"/>
      <c r="K127" s="39"/>
      <c r="L127" s="39"/>
    </row>
    <row r="128" spans="1:13" ht="21" x14ac:dyDescent="0.3">
      <c r="A128" s="125" t="s">
        <v>74</v>
      </c>
      <c r="B128" s="126"/>
      <c r="C128" s="126"/>
      <c r="D128" s="126"/>
      <c r="E128" s="126"/>
      <c r="F128" s="126"/>
      <c r="G128" s="126"/>
      <c r="H128" s="126"/>
      <c r="I128" s="127"/>
    </row>
    <row r="129" spans="1:151 16227:16384" ht="63" x14ac:dyDescent="0.3">
      <c r="A129" s="124" t="s">
        <v>75</v>
      </c>
      <c r="B129" s="124"/>
      <c r="C129" s="124"/>
      <c r="D129" s="3" t="s">
        <v>4</v>
      </c>
      <c r="E129" s="15" t="s">
        <v>134</v>
      </c>
      <c r="F129" s="21" t="s">
        <v>171</v>
      </c>
      <c r="G129" s="3" t="s">
        <v>4</v>
      </c>
      <c r="H129" s="168" t="s">
        <v>231</v>
      </c>
      <c r="I129" s="168"/>
    </row>
    <row r="130" spans="1:151 16227:16384" ht="63" x14ac:dyDescent="0.3">
      <c r="A130" s="124" t="s">
        <v>230</v>
      </c>
      <c r="B130" s="124"/>
      <c r="C130" s="124"/>
      <c r="D130" s="2" t="s">
        <v>130</v>
      </c>
      <c r="E130" s="18">
        <v>22000</v>
      </c>
      <c r="F130" s="21" t="s">
        <v>250</v>
      </c>
      <c r="G130" s="2" t="s">
        <v>4</v>
      </c>
      <c r="H130" s="115" t="s">
        <v>232</v>
      </c>
      <c r="I130" s="115"/>
    </row>
    <row r="131" spans="1:151 16227:16384" ht="26.25" customHeight="1" x14ac:dyDescent="0.3">
      <c r="A131" s="116" t="s">
        <v>78</v>
      </c>
      <c r="B131" s="116"/>
      <c r="C131" s="116"/>
      <c r="D131" s="3" t="s">
        <v>4</v>
      </c>
      <c r="E131" s="18" t="s">
        <v>228</v>
      </c>
      <c r="F131" s="3" t="s">
        <v>127</v>
      </c>
      <c r="G131" s="3" t="s">
        <v>4</v>
      </c>
      <c r="H131" s="117" t="s">
        <v>135</v>
      </c>
      <c r="I131" s="118"/>
    </row>
    <row r="132" spans="1:151 16227:16384" ht="21" hidden="1" x14ac:dyDescent="0.3">
      <c r="A132" s="124" t="s">
        <v>117</v>
      </c>
      <c r="B132" s="124"/>
      <c r="C132" s="124"/>
      <c r="D132" s="2" t="s">
        <v>4</v>
      </c>
      <c r="E132" s="18" t="s">
        <v>118</v>
      </c>
      <c r="F132" s="21" t="s">
        <v>119</v>
      </c>
      <c r="G132" s="2" t="s">
        <v>4</v>
      </c>
      <c r="H132" s="115" t="s">
        <v>97</v>
      </c>
      <c r="I132" s="115"/>
    </row>
    <row r="133" spans="1:151 16227:16384" ht="63" hidden="1" x14ac:dyDescent="0.3">
      <c r="A133" s="124" t="s">
        <v>120</v>
      </c>
      <c r="B133" s="124"/>
      <c r="C133" s="124"/>
      <c r="D133" s="2" t="s">
        <v>4</v>
      </c>
      <c r="E133" s="18" t="s">
        <v>121</v>
      </c>
      <c r="F133" s="21" t="s">
        <v>122</v>
      </c>
      <c r="G133" s="2" t="s">
        <v>4</v>
      </c>
      <c r="H133" s="115" t="s">
        <v>123</v>
      </c>
      <c r="I133" s="115"/>
    </row>
    <row r="134" spans="1:151 16227:16384" ht="21" hidden="1" x14ac:dyDescent="0.3">
      <c r="A134" s="124" t="s">
        <v>77</v>
      </c>
      <c r="B134" s="124"/>
      <c r="C134" s="124"/>
      <c r="D134" s="2" t="s">
        <v>4</v>
      </c>
      <c r="E134" s="18" t="s">
        <v>99</v>
      </c>
      <c r="F134" s="21" t="s">
        <v>76</v>
      </c>
      <c r="G134" s="2" t="s">
        <v>4</v>
      </c>
      <c r="H134" s="62" t="s">
        <v>99</v>
      </c>
      <c r="I134" s="64"/>
    </row>
    <row r="135" spans="1:151 16227:16384" ht="21" hidden="1" x14ac:dyDescent="0.3">
      <c r="A135" s="124" t="s">
        <v>124</v>
      </c>
      <c r="B135" s="124"/>
      <c r="C135" s="124"/>
      <c r="D135" s="2" t="s">
        <v>4</v>
      </c>
      <c r="E135" s="18" t="s">
        <v>98</v>
      </c>
      <c r="F135" s="21" t="s">
        <v>78</v>
      </c>
      <c r="G135" s="2" t="s">
        <v>4</v>
      </c>
      <c r="H135" s="115" t="s">
        <v>116</v>
      </c>
      <c r="I135" s="115"/>
    </row>
    <row r="136" spans="1:151 16227:16384" ht="21" hidden="1" x14ac:dyDescent="0.3">
      <c r="A136" s="124" t="s">
        <v>125</v>
      </c>
      <c r="B136" s="124"/>
      <c r="C136" s="124"/>
      <c r="D136" s="2" t="s">
        <v>4</v>
      </c>
      <c r="E136" s="19" t="s">
        <v>109</v>
      </c>
      <c r="F136" s="21" t="s">
        <v>126</v>
      </c>
      <c r="G136" s="2" t="s">
        <v>4</v>
      </c>
      <c r="H136" s="128" t="s">
        <v>109</v>
      </c>
      <c r="I136" s="128"/>
    </row>
    <row r="137" spans="1:151 16227:16384" ht="18" hidden="1" customHeight="1" x14ac:dyDescent="0.3">
      <c r="A137" s="116" t="s">
        <v>127</v>
      </c>
      <c r="B137" s="116"/>
      <c r="C137" s="116"/>
      <c r="D137" s="3" t="s">
        <v>4</v>
      </c>
      <c r="E137" s="10"/>
      <c r="F137" s="3" t="s">
        <v>127</v>
      </c>
      <c r="G137" s="3" t="s">
        <v>4</v>
      </c>
      <c r="H137" s="129" t="s">
        <v>109</v>
      </c>
      <c r="I137" s="130"/>
    </row>
    <row r="138" spans="1:151 16227:16384" ht="21" x14ac:dyDescent="0.3">
      <c r="A138" s="125" t="s">
        <v>73</v>
      </c>
      <c r="B138" s="126"/>
      <c r="C138" s="126"/>
      <c r="D138" s="126"/>
      <c r="E138" s="126"/>
      <c r="F138" s="126"/>
      <c r="G138" s="126"/>
      <c r="H138" s="126"/>
      <c r="I138" s="127"/>
    </row>
    <row r="139" spans="1:151 16227:16384" ht="21" x14ac:dyDescent="0.3">
      <c r="A139" s="108" t="s">
        <v>9</v>
      </c>
      <c r="B139" s="109"/>
      <c r="C139" s="109"/>
      <c r="D139" s="109"/>
      <c r="E139" s="109"/>
      <c r="F139" s="110"/>
      <c r="G139" s="2" t="s">
        <v>4</v>
      </c>
      <c r="H139" s="120">
        <f>64770/10.764</f>
        <v>6017.2798216276478</v>
      </c>
      <c r="I139" s="121"/>
    </row>
    <row r="140" spans="1:151 16227:16384" ht="21" x14ac:dyDescent="0.3">
      <c r="A140" s="108" t="s">
        <v>31</v>
      </c>
      <c r="B140" s="109"/>
      <c r="C140" s="109"/>
      <c r="D140" s="109"/>
      <c r="E140" s="109"/>
      <c r="F140" s="110"/>
      <c r="G140" s="2" t="s">
        <v>4</v>
      </c>
      <c r="H140" s="119">
        <f>131230/10.764</f>
        <v>12191.56447417317</v>
      </c>
      <c r="I140" s="119"/>
    </row>
    <row r="141" spans="1:151 16227:16384" ht="21" x14ac:dyDescent="0.3">
      <c r="A141" s="108" t="s">
        <v>136</v>
      </c>
      <c r="B141" s="109"/>
      <c r="C141" s="109"/>
      <c r="D141" s="109"/>
      <c r="E141" s="109"/>
      <c r="F141" s="110"/>
      <c r="G141" s="2" t="s">
        <v>4</v>
      </c>
      <c r="H141" s="119">
        <f>H139*0.8</f>
        <v>4813.8238573021181</v>
      </c>
      <c r="I141" s="119"/>
    </row>
    <row r="142" spans="1:151 16227:16384" ht="21" x14ac:dyDescent="0.3">
      <c r="A142" s="158" t="s">
        <v>82</v>
      </c>
      <c r="B142" s="159"/>
      <c r="C142" s="159"/>
      <c r="D142" s="159"/>
      <c r="E142" s="159"/>
      <c r="F142" s="159"/>
      <c r="G142" s="159"/>
      <c r="H142" s="159"/>
      <c r="I142" s="98"/>
    </row>
    <row r="143" spans="1:151 16227:16384" s="11" customFormat="1" ht="40.799999999999997" x14ac:dyDescent="0.3">
      <c r="A143" s="106" t="s">
        <v>180</v>
      </c>
      <c r="B143" s="107"/>
      <c r="C143" s="106" t="s">
        <v>181</v>
      </c>
      <c r="D143" s="107"/>
      <c r="E143" s="48" t="s">
        <v>182</v>
      </c>
      <c r="F143" s="106" t="s">
        <v>179</v>
      </c>
      <c r="G143" s="107"/>
      <c r="H143" s="48" t="s">
        <v>178</v>
      </c>
      <c r="I143" s="48" t="s">
        <v>177</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1" x14ac:dyDescent="0.3">
      <c r="A144" s="94" t="s">
        <v>198</v>
      </c>
      <c r="B144" s="95"/>
      <c r="C144" s="94" t="s">
        <v>95</v>
      </c>
      <c r="D144" s="95"/>
      <c r="E144" s="56" t="s">
        <v>217</v>
      </c>
      <c r="F144" s="94">
        <f>COUNT(F156)+COUNT(F159)+COUNT(F161:G162)+COUNT(F164)+COUNT(F166:G169)*42+COUNT(F171)*5+COUNT(F173:G174)*5+COUNT(F176)+COUNT(F178:G179)</f>
        <v>191</v>
      </c>
      <c r="G144" s="95"/>
      <c r="H144" s="56">
        <f>SUM(F156)+SUM(F159)+SUM(F161:G162)+SUM(F164)+SUM(F166:G169)*42+SUM(F171)*5+SUM(F173:G174)*5+SUM(F176)+SUM(F178:G179)</f>
        <v>203436.90899999993</v>
      </c>
      <c r="I144" s="56">
        <f>SUM(I156)+SUM(I159)+SUM(I161:I162)+SUM(I164)+SUM(I166:I169)*42+SUM(I171)*5+SUM(I173:I174)*5+SUM(I176)+SUM(I178:I179)</f>
        <v>325499.05440000002</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x14ac:dyDescent="0.3">
      <c r="A145" s="94" t="s">
        <v>241</v>
      </c>
      <c r="B145" s="95"/>
      <c r="C145" s="94" t="s">
        <v>95</v>
      </c>
      <c r="D145" s="95"/>
      <c r="E145" s="56" t="s">
        <v>217</v>
      </c>
      <c r="F145" s="94">
        <f>COUNT(F183,F186)+COUNT(F188:G189,F191)+COUNT(F193:G196)*42+COUNT(F199,F201:G202)*5+COUNT(F204,F206:G207)</f>
        <v>191</v>
      </c>
      <c r="G145" s="95"/>
      <c r="H145" s="56">
        <f>SUM(F183,F186)+SUM(F188:G189,F191)+SUM(F193:G196)*42+SUM(F199,F201:G202)*5+SUM(F204,F206:G207)</f>
        <v>203436.90899999999</v>
      </c>
      <c r="I145" s="56">
        <f>SUM(I183,I186)+SUM(I188:I189,I191)+SUM(I193:I196)*42+SUM(I199,I201:I202)*5+SUM(I204,I206:I207)</f>
        <v>325499.05440000002</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x14ac:dyDescent="0.3">
      <c r="A146" s="94" t="s">
        <v>199</v>
      </c>
      <c r="B146" s="95"/>
      <c r="C146" s="94" t="s">
        <v>95</v>
      </c>
      <c r="D146" s="95"/>
      <c r="E146" s="56" t="s">
        <v>217</v>
      </c>
      <c r="F146" s="94">
        <f>COUNT(F214:G217)+COUNT(F222:G227)+COUNT(F229:G236)*26+COUNT(F239:G244)*4+COUNT(F248:G255)*17+COUNT(F257:G262)*3</f>
        <v>396</v>
      </c>
      <c r="G146" s="95"/>
      <c r="H146" s="56">
        <f>SUM(F214:G217)+SUM(F222:G227)+SUM(F229:G236)*26+SUM(F239:G244)*4+SUM(F248:G255)*17+SUM(F257:G262)*3</f>
        <v>225759.39984</v>
      </c>
      <c r="I146" s="56">
        <f>SUM(I214:I217)+SUM(I222:I227)+SUM(I229:I236)*26+SUM(I239:I244)*4+SUM(I248:I255)*17+SUM(I257:I262)*3</f>
        <v>361215.03974400001</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1" x14ac:dyDescent="0.3">
      <c r="A147" s="94" t="s">
        <v>206</v>
      </c>
      <c r="B147" s="95"/>
      <c r="C147" s="94" t="s">
        <v>95</v>
      </c>
      <c r="D147" s="95"/>
      <c r="E147" s="56" t="s">
        <v>217</v>
      </c>
      <c r="F147" s="94">
        <f>COUNT(F269:G272)+COUNT(F277:G282)+COUNT(F286:G293)*13+COUNT(F297:G302)*2+COUNT(F304:G311)*13+COUNT(F316:G321)*2+COUNT(F323:G330)*9+COUNT(F334:G339)+COUNT(F341:G348)*2+COUNT(F352:G357)+COUNT(F359:G366)*4</f>
        <v>374</v>
      </c>
      <c r="G147" s="95"/>
      <c r="H147" s="56">
        <f>SUM(F269:G272)+SUM(F277:G282)+SUM(F286:G293)*13+SUM(F297:G302)*2+SUM(F304:G311)*13+SUM(F316:G321)*2+SUM(F323:G330)*9+SUM(F334:G339)+SUM(F341:G348)*2+SUM(F352:G357)+SUM(F359:G366)*4</f>
        <v>209032.69280400005</v>
      </c>
      <c r="I147" s="56">
        <f>SUM(G269:I272)+SUM(G277:I282)+SUM(G286:I293)*13+SUM(G297:I302)*2+SUM(G304:I311)*13+SUM(G316:I321)*2+SUM(G323:I330)*9+SUM(G334:I339)+SUM(G341:I348)*2+SUM(G352:I357)+SUM(G359:I366)*4</f>
        <v>334452.30848640006</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1" x14ac:dyDescent="0.3">
      <c r="A148" s="106" t="s">
        <v>183</v>
      </c>
      <c r="B148" s="107"/>
      <c r="C148" s="122" t="s">
        <v>109</v>
      </c>
      <c r="D148" s="123"/>
      <c r="E148" s="49" t="s">
        <v>109</v>
      </c>
      <c r="F148" s="106">
        <f>SUM(F144:G147)</f>
        <v>1152</v>
      </c>
      <c r="G148" s="107"/>
      <c r="H148" s="48">
        <f>SUM(H144:H147)</f>
        <v>841665.91064399993</v>
      </c>
      <c r="I148" s="48">
        <f>SUM(I144:I147)</f>
        <v>1346665.4570304002</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1" x14ac:dyDescent="0.3">
      <c r="A149" s="83"/>
      <c r="B149" s="84"/>
      <c r="C149" s="84"/>
      <c r="D149" s="84"/>
      <c r="E149" s="84"/>
      <c r="F149" s="84"/>
      <c r="G149" s="84"/>
      <c r="H149" s="84"/>
      <c r="I149" s="85"/>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ht="21" x14ac:dyDescent="0.3">
      <c r="A150" s="96" t="s">
        <v>176</v>
      </c>
      <c r="B150" s="97"/>
      <c r="C150" s="97"/>
      <c r="D150" s="97"/>
      <c r="E150" s="97"/>
      <c r="F150" s="97"/>
      <c r="G150" s="97"/>
      <c r="H150" s="97"/>
      <c r="I150" s="98"/>
    </row>
    <row r="151" spans="1:151 16227:16384" ht="44.25" customHeight="1" x14ac:dyDescent="0.3">
      <c r="A151" s="102" t="s">
        <v>104</v>
      </c>
      <c r="B151" s="102"/>
      <c r="C151" s="102" t="s">
        <v>100</v>
      </c>
      <c r="D151" s="102"/>
      <c r="E151" s="102" t="s">
        <v>101</v>
      </c>
      <c r="F151" s="102" t="s">
        <v>102</v>
      </c>
      <c r="G151" s="102"/>
      <c r="H151" s="102" t="s">
        <v>103</v>
      </c>
      <c r="I151" s="32" t="s">
        <v>156</v>
      </c>
    </row>
    <row r="152" spans="1:151 16227:16384" s="11" customFormat="1" ht="21" x14ac:dyDescent="0.3">
      <c r="A152" s="102"/>
      <c r="B152" s="102"/>
      <c r="C152" s="102"/>
      <c r="D152" s="102"/>
      <c r="E152" s="102"/>
      <c r="F152" s="102"/>
      <c r="G152" s="102"/>
      <c r="H152" s="102"/>
      <c r="I152" s="33">
        <v>0.6</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1" x14ac:dyDescent="0.3">
      <c r="A153" s="83" t="s">
        <v>227</v>
      </c>
      <c r="B153" s="84"/>
      <c r="C153" s="84"/>
      <c r="D153" s="84"/>
      <c r="E153" s="84"/>
      <c r="F153" s="84"/>
      <c r="G153" s="84"/>
      <c r="H153" s="84"/>
      <c r="I153" s="8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1" x14ac:dyDescent="0.3">
      <c r="A154" s="83" t="s">
        <v>221</v>
      </c>
      <c r="B154" s="84"/>
      <c r="C154" s="84"/>
      <c r="D154" s="84"/>
      <c r="E154" s="84"/>
      <c r="F154" s="84"/>
      <c r="G154" s="84"/>
      <c r="H154" s="84"/>
      <c r="I154" s="85"/>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1" x14ac:dyDescent="0.3">
      <c r="A155" s="83" t="s">
        <v>212</v>
      </c>
      <c r="B155" s="84"/>
      <c r="C155" s="84"/>
      <c r="D155" s="84"/>
      <c r="E155" s="84"/>
      <c r="F155" s="84"/>
      <c r="G155" s="84"/>
      <c r="H155" s="84"/>
      <c r="I155" s="85"/>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1" x14ac:dyDescent="0.3">
      <c r="A156" s="88" t="str">
        <f>A155</f>
        <v xml:space="preserve">Ground Floor </v>
      </c>
      <c r="B156" s="89"/>
      <c r="C156" s="81">
        <v>1</v>
      </c>
      <c r="D156" s="82"/>
      <c r="E156" s="20" t="s">
        <v>208</v>
      </c>
      <c r="F156" s="81">
        <f>99.93*10.764</f>
        <v>1075.64652</v>
      </c>
      <c r="G156" s="82"/>
      <c r="H156" s="20">
        <v>0</v>
      </c>
      <c r="I156" s="20">
        <f>F156*(($I$152)+1)+H156</f>
        <v>1721.0344320000002</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1.75" customHeight="1" x14ac:dyDescent="0.3">
      <c r="A157" s="90"/>
      <c r="B157" s="91"/>
      <c r="C157" s="81">
        <v>2</v>
      </c>
      <c r="D157" s="82"/>
      <c r="E157" s="81" t="s">
        <v>209</v>
      </c>
      <c r="F157" s="87"/>
      <c r="G157" s="87"/>
      <c r="H157" s="87"/>
      <c r="I157" s="8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1.75" customHeight="1" x14ac:dyDescent="0.3">
      <c r="A158" s="90"/>
      <c r="B158" s="91"/>
      <c r="C158" s="81">
        <v>3</v>
      </c>
      <c r="D158" s="82"/>
      <c r="E158" s="81" t="s">
        <v>210</v>
      </c>
      <c r="F158" s="87"/>
      <c r="G158" s="87"/>
      <c r="H158" s="87"/>
      <c r="I158" s="8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
      <c r="A159" s="92"/>
      <c r="B159" s="93"/>
      <c r="C159" s="81">
        <v>4</v>
      </c>
      <c r="D159" s="82"/>
      <c r="E159" s="20" t="s">
        <v>208</v>
      </c>
      <c r="F159" s="81">
        <f>102.58*10.764</f>
        <v>1104.17112</v>
      </c>
      <c r="G159" s="82"/>
      <c r="H159" s="20">
        <v>0</v>
      </c>
      <c r="I159" s="20">
        <f>F159*(($I$152)+1)+H159</f>
        <v>1766.673792</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1" x14ac:dyDescent="0.3">
      <c r="A160" s="83" t="s">
        <v>216</v>
      </c>
      <c r="B160" s="84"/>
      <c r="C160" s="84"/>
      <c r="D160" s="84"/>
      <c r="E160" s="84"/>
      <c r="F160" s="84"/>
      <c r="G160" s="84"/>
      <c r="H160" s="84"/>
      <c r="I160" s="8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
      <c r="A161" s="88" t="str">
        <f>A160</f>
        <v xml:space="preserve">1st  Podium Level Floor </v>
      </c>
      <c r="B161" s="89"/>
      <c r="C161" s="81">
        <v>1</v>
      </c>
      <c r="D161" s="82"/>
      <c r="E161" s="20" t="s">
        <v>208</v>
      </c>
      <c r="F161" s="81">
        <f>105.71*10.764</f>
        <v>1137.8624399999999</v>
      </c>
      <c r="G161" s="82"/>
      <c r="H161" s="20">
        <v>0</v>
      </c>
      <c r="I161" s="20">
        <f>F161*(($I$152)+1)+H161</f>
        <v>1820.5799039999999</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90"/>
      <c r="B162" s="91"/>
      <c r="C162" s="81">
        <v>2</v>
      </c>
      <c r="D162" s="82"/>
      <c r="E162" s="20" t="s">
        <v>208</v>
      </c>
      <c r="F162" s="81">
        <f>91.65*10.764</f>
        <v>986.52059999999994</v>
      </c>
      <c r="G162" s="82"/>
      <c r="H162" s="20">
        <v>0</v>
      </c>
      <c r="I162" s="20">
        <f>F162*(($I$152)+1)+H162</f>
        <v>1578.4329600000001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1.75" customHeight="1" x14ac:dyDescent="0.3">
      <c r="A163" s="90"/>
      <c r="B163" s="91"/>
      <c r="C163" s="81">
        <v>3</v>
      </c>
      <c r="D163" s="82"/>
      <c r="E163" s="81" t="s">
        <v>210</v>
      </c>
      <c r="F163" s="87"/>
      <c r="G163" s="87"/>
      <c r="H163" s="87"/>
      <c r="I163" s="82">
        <f>F163*(($I$152)+1)+H163</f>
        <v>0</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92"/>
      <c r="B164" s="93"/>
      <c r="C164" s="81">
        <v>4</v>
      </c>
      <c r="D164" s="82"/>
      <c r="E164" s="20" t="s">
        <v>208</v>
      </c>
      <c r="F164" s="81">
        <f>116.1*10.764</f>
        <v>1249.7003999999999</v>
      </c>
      <c r="G164" s="82"/>
      <c r="H164" s="20">
        <v>0</v>
      </c>
      <c r="I164" s="20">
        <f>F164*(($I$152)+1)+H164</f>
        <v>1999.52064</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1" x14ac:dyDescent="0.3">
      <c r="A165" s="83" t="s">
        <v>211</v>
      </c>
      <c r="B165" s="84"/>
      <c r="C165" s="84"/>
      <c r="D165" s="84"/>
      <c r="E165" s="84"/>
      <c r="F165" s="84"/>
      <c r="G165" s="84"/>
      <c r="H165" s="84"/>
      <c r="I165" s="86"/>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4" customHeight="1" x14ac:dyDescent="0.3">
      <c r="A166" s="88" t="str">
        <f>A165</f>
        <v>1st to 5th, 7th to 12th, 14th to 19th, 20th to 26th, 28th to 33rd, 35th to 40th, 42nd to 48th Floor</v>
      </c>
      <c r="B166" s="89"/>
      <c r="C166" s="81">
        <v>1</v>
      </c>
      <c r="D166" s="82"/>
      <c r="E166" s="20" t="s">
        <v>208</v>
      </c>
      <c r="F166" s="81">
        <f>105.71*10.764</f>
        <v>1137.8624399999999</v>
      </c>
      <c r="G166" s="82"/>
      <c r="H166" s="20">
        <v>0</v>
      </c>
      <c r="I166" s="20">
        <f>F166*(($I$152)+1)+H166</f>
        <v>1820.5799039999999</v>
      </c>
      <c r="J166" s="1"/>
      <c r="K166" s="1"/>
      <c r="L166" s="1"/>
      <c r="M166" s="1"/>
      <c r="N166" s="1"/>
      <c r="O166" s="1"/>
      <c r="P166" s="1"/>
      <c r="Q166" s="1"/>
      <c r="R166" s="1"/>
      <c r="S166" s="1"/>
      <c r="T166" s="1"/>
      <c r="U166" s="41" t="str">
        <f ca="1">V166&amp;""&amp;",..,"&amp;""&amp;W166</f>
        <v>15701,..,4801</v>
      </c>
      <c r="V166" s="41">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15701</v>
      </c>
      <c r="W166" s="41">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4801</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5.5" customHeight="1" x14ac:dyDescent="0.3">
      <c r="A167" s="90"/>
      <c r="B167" s="91"/>
      <c r="C167" s="81">
        <v>2</v>
      </c>
      <c r="D167" s="82"/>
      <c r="E167" s="20" t="s">
        <v>208</v>
      </c>
      <c r="F167" s="81">
        <f>91.65*10.764</f>
        <v>986.52059999999994</v>
      </c>
      <c r="G167" s="82"/>
      <c r="H167" s="20">
        <v>0</v>
      </c>
      <c r="I167" s="20">
        <f>F167*(($I$152)+1)+H167</f>
        <v>1578.4329600000001</v>
      </c>
      <c r="J167" s="1"/>
      <c r="K167" s="1"/>
      <c r="L167" s="1"/>
      <c r="M167" s="1"/>
      <c r="N167" s="1"/>
      <c r="O167" s="1"/>
      <c r="P167" s="1"/>
      <c r="Q167" s="1"/>
      <c r="R167" s="1"/>
      <c r="S167" s="1"/>
      <c r="T167" s="1"/>
      <c r="U167" s="41" t="str">
        <f ca="1">V167&amp;""&amp;",..,"&amp;""&amp;W167</f>
        <v>15702,..,4802</v>
      </c>
      <c r="V167" s="41">
        <f t="shared" ref="V167:W169" ca="1" si="0">V166+1</f>
        <v>15702</v>
      </c>
      <c r="W167" s="41">
        <f t="shared" ca="1" si="0"/>
        <v>4802</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8.5" customHeight="1" x14ac:dyDescent="0.3">
      <c r="A168" s="90"/>
      <c r="B168" s="91"/>
      <c r="C168" s="81">
        <v>3</v>
      </c>
      <c r="D168" s="82"/>
      <c r="E168" s="20" t="s">
        <v>208</v>
      </c>
      <c r="F168" s="81">
        <f>91.65*10.764</f>
        <v>986.52059999999994</v>
      </c>
      <c r="G168" s="82"/>
      <c r="H168" s="20">
        <v>0</v>
      </c>
      <c r="I168" s="20">
        <f>F168*(($I$152)+1)+H168</f>
        <v>1578.4329600000001</v>
      </c>
      <c r="J168" s="1"/>
      <c r="K168" s="1"/>
      <c r="L168" s="1"/>
      <c r="M168" s="1"/>
      <c r="N168" s="1"/>
      <c r="O168" s="1"/>
      <c r="P168" s="1"/>
      <c r="Q168" s="1"/>
      <c r="R168" s="1"/>
      <c r="S168" s="1"/>
      <c r="T168" s="1"/>
      <c r="U168" s="41" t="str">
        <f ca="1">V168&amp;""&amp;",..,"&amp;""&amp;W168</f>
        <v>15703,..,4803</v>
      </c>
      <c r="V168" s="41">
        <f t="shared" ca="1" si="0"/>
        <v>15703</v>
      </c>
      <c r="W168" s="41">
        <f t="shared" ca="1" si="0"/>
        <v>4803</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92"/>
      <c r="B169" s="93"/>
      <c r="C169" s="81">
        <v>4</v>
      </c>
      <c r="D169" s="82"/>
      <c r="E169" s="20" t="s">
        <v>208</v>
      </c>
      <c r="F169" s="81">
        <f>105.71*10.764</f>
        <v>1137.8624399999999</v>
      </c>
      <c r="G169" s="82"/>
      <c r="H169" s="20">
        <v>0</v>
      </c>
      <c r="I169" s="20">
        <f>F169*(($I$152)+1)+H169</f>
        <v>1820.5799039999999</v>
      </c>
      <c r="J169" s="1"/>
      <c r="K169" s="1"/>
      <c r="L169" s="1"/>
      <c r="M169" s="1"/>
      <c r="N169" s="1"/>
      <c r="O169" s="1"/>
      <c r="P169" s="1"/>
      <c r="Q169" s="1"/>
      <c r="R169" s="1"/>
      <c r="S169" s="1"/>
      <c r="T169" s="1"/>
      <c r="U169" s="41" t="str">
        <f ca="1">V169&amp;""&amp;",..,"&amp;""&amp;W169</f>
        <v>15704,..,4804</v>
      </c>
      <c r="V169" s="41">
        <f t="shared" ca="1" si="0"/>
        <v>15704</v>
      </c>
      <c r="W169" s="41">
        <f t="shared" ca="1" si="0"/>
        <v>4804</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1" x14ac:dyDescent="0.3">
      <c r="A170" s="83" t="s">
        <v>215</v>
      </c>
      <c r="B170" s="84"/>
      <c r="C170" s="84"/>
      <c r="D170" s="84"/>
      <c r="E170" s="84"/>
      <c r="F170" s="84"/>
      <c r="G170" s="84"/>
      <c r="H170" s="84"/>
      <c r="I170" s="86"/>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88" t="str">
        <f>A170</f>
        <v>6th, 13th, 20th, 27th &amp; 34th Floor (Part Refuge Area)</v>
      </c>
      <c r="B171" s="89"/>
      <c r="C171" s="81">
        <v>1</v>
      </c>
      <c r="D171" s="82"/>
      <c r="E171" s="20" t="s">
        <v>208</v>
      </c>
      <c r="F171" s="81">
        <f>105.71*10.764</f>
        <v>1137.8624399999999</v>
      </c>
      <c r="G171" s="82"/>
      <c r="H171" s="20">
        <v>0</v>
      </c>
      <c r="I171" s="20">
        <f>F171*(($I$152)+1)+H171</f>
        <v>1820.5799039999999</v>
      </c>
      <c r="J171" s="1">
        <f>27300000/I171</f>
        <v>14995.222093805996</v>
      </c>
      <c r="K171" s="1">
        <f>27300000/F171</f>
        <v>23992.355350089598</v>
      </c>
      <c r="L171" s="1"/>
      <c r="M171" s="1"/>
      <c r="N171" s="1"/>
      <c r="O171" s="1"/>
      <c r="P171" s="1"/>
      <c r="Q171" s="1"/>
      <c r="R171" s="1"/>
      <c r="S171" s="1"/>
      <c r="T171" s="1"/>
      <c r="U171" s="41" t="str">
        <f ca="1">V171&amp;""&amp;",..,"&amp;""&amp;W171</f>
        <v>6101,..,3401</v>
      </c>
      <c r="V171" s="41">
        <f ca="1">(SUMPRODUCT(MID(0&amp;(LEFT(A170,SUM(LEN(A170)-LEN(SUBSTITUTE(A170,{"0","1","2","3"},""))))), LARGE(INDEX(ISNUMBER(--MID((LEFT(A170,SUM(LEN(A170)-LEN(SUBSTITUTE(A170,{"0","1","2","3"},""))))), ROW(INDIRECT("1:"&amp;LEN((LEFT(A170,SUM(LEN(A170)-LEN(SUBSTITUTE(A170,{"0","1","2","3"},"")))))))), 1)) * ROW(INDIRECT("1:"&amp;LEN((LEFT(A170,SUM(LEN(A170)-LEN(SUBSTITUTE(A170,{"0","1","2","3"},"")))))))), 0), ROW(INDIRECT("1:"&amp;LEN((LEFT(A170,SUM(LEN(A170)-LEN(SUBSTITUTE(A170,{"0","1","2","3"},"")))))))))+1, 1) * 10^ROW(INDIRECT("1:"&amp;LEN((LEFT(A170,SUM(LEN(A170)-LEN(SUBSTITUTE(A170,{"0","1","2","3"},""))))))))/10))*100+1</f>
        <v>6101</v>
      </c>
      <c r="W171" s="41">
        <f ca="1">(SUMPRODUCT(MID(0&amp;(--TRIM(RIGHT(SUBSTITUTE(LEFT(A170,_xlfn.AGGREGATE(16,6,FIND({0,1,2,3,4,5,6,7,8,9},A170,ROW(INDIRECT("1:"&amp;LEN(A170)))),1)),"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3401</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90"/>
      <c r="B172" s="91"/>
      <c r="C172" s="81">
        <v>2</v>
      </c>
      <c r="D172" s="82"/>
      <c r="E172" s="81" t="s">
        <v>213</v>
      </c>
      <c r="F172" s="87"/>
      <c r="G172" s="87"/>
      <c r="H172" s="87"/>
      <c r="I172" s="82"/>
      <c r="J172" s="1"/>
      <c r="K172" s="1"/>
      <c r="L172" s="1"/>
      <c r="M172" s="1"/>
      <c r="N172" s="1"/>
      <c r="O172" s="1"/>
      <c r="P172" s="1"/>
      <c r="Q172" s="1"/>
      <c r="R172" s="1"/>
      <c r="S172" s="1"/>
      <c r="T172" s="1"/>
      <c r="U172" s="41" t="str">
        <f ca="1">V172&amp;""&amp;",..,"&amp;""&amp;W172</f>
        <v>6102,..,3402</v>
      </c>
      <c r="V172" s="41">
        <f t="shared" ref="V172:W174" ca="1" si="1">V171+1</f>
        <v>6102</v>
      </c>
      <c r="W172" s="41">
        <f t="shared" ca="1" si="1"/>
        <v>3402</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
      <c r="A173" s="90"/>
      <c r="B173" s="91"/>
      <c r="C173" s="81">
        <v>3</v>
      </c>
      <c r="D173" s="82"/>
      <c r="E173" s="20" t="s">
        <v>208</v>
      </c>
      <c r="F173" s="81">
        <f>91.65*10.764</f>
        <v>986.52059999999994</v>
      </c>
      <c r="G173" s="82"/>
      <c r="H173" s="20">
        <v>0</v>
      </c>
      <c r="I173" s="20">
        <f>F173*(($I$152)+1)+H173</f>
        <v>1578.4329600000001</v>
      </c>
      <c r="J173" s="1">
        <f>23700000/I173</f>
        <v>15014.891731607022</v>
      </c>
      <c r="K173" s="1">
        <f>23700000/F173</f>
        <v>24023.826770571239</v>
      </c>
      <c r="L173" s="1"/>
      <c r="M173" s="1"/>
      <c r="N173" s="1"/>
      <c r="O173" s="1"/>
      <c r="P173" s="1"/>
      <c r="Q173" s="1"/>
      <c r="R173" s="1"/>
      <c r="S173" s="1"/>
      <c r="T173" s="1"/>
      <c r="U173" s="41" t="str">
        <f ca="1">V173&amp;""&amp;",..,"&amp;""&amp;W173</f>
        <v>6103,..,3403</v>
      </c>
      <c r="V173" s="41">
        <f t="shared" ca="1" si="1"/>
        <v>6103</v>
      </c>
      <c r="W173" s="41">
        <f t="shared" ca="1" si="1"/>
        <v>3403</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92"/>
      <c r="B174" s="93"/>
      <c r="C174" s="81">
        <v>4</v>
      </c>
      <c r="D174" s="82"/>
      <c r="E174" s="20" t="s">
        <v>208</v>
      </c>
      <c r="F174" s="81">
        <f>105.71*10.764</f>
        <v>1137.8624399999999</v>
      </c>
      <c r="G174" s="82"/>
      <c r="H174" s="20">
        <v>0</v>
      </c>
      <c r="I174" s="20">
        <f>F174*(($I$152)+1)+H174</f>
        <v>1820.5799039999999</v>
      </c>
      <c r="J174" s="1"/>
      <c r="K174" s="1"/>
      <c r="L174" s="1"/>
      <c r="M174" s="1"/>
      <c r="N174" s="1"/>
      <c r="O174" s="1"/>
      <c r="P174" s="1"/>
      <c r="Q174" s="1"/>
      <c r="R174" s="1"/>
      <c r="S174" s="1"/>
      <c r="T174" s="1"/>
      <c r="U174" s="41" t="str">
        <f ca="1">V174&amp;""&amp;",..,"&amp;""&amp;W174</f>
        <v>6104,..,3404</v>
      </c>
      <c r="V174" s="41">
        <f t="shared" ca="1" si="1"/>
        <v>6104</v>
      </c>
      <c r="W174" s="41">
        <f t="shared" ca="1" si="1"/>
        <v>3404</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1" x14ac:dyDescent="0.3">
      <c r="A175" s="83" t="s">
        <v>214</v>
      </c>
      <c r="B175" s="84"/>
      <c r="C175" s="84"/>
      <c r="D175" s="84"/>
      <c r="E175" s="84"/>
      <c r="F175" s="84"/>
      <c r="G175" s="84"/>
      <c r="H175" s="84"/>
      <c r="I175" s="86"/>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88" t="str">
        <f>A175</f>
        <v>41st Floor (Part Refuge Area)</v>
      </c>
      <c r="B176" s="89"/>
      <c r="C176" s="81">
        <v>1</v>
      </c>
      <c r="D176" s="82"/>
      <c r="E176" s="20" t="s">
        <v>219</v>
      </c>
      <c r="F176" s="81">
        <f>(92.83)*10.764</f>
        <v>999.2221199999999</v>
      </c>
      <c r="G176" s="82"/>
      <c r="H176" s="20">
        <v>0</v>
      </c>
      <c r="I176" s="20">
        <f>F176*(($I$152)+1)+H176</f>
        <v>1598.755392</v>
      </c>
      <c r="J176" s="1"/>
      <c r="K176" s="1"/>
      <c r="L176" s="1"/>
      <c r="M176" s="1"/>
      <c r="N176" s="1"/>
      <c r="O176" s="1"/>
      <c r="P176" s="1"/>
      <c r="Q176" s="1"/>
      <c r="R176" s="1"/>
      <c r="S176" s="1"/>
      <c r="T176" s="1"/>
      <c r="U176" s="41" t="str">
        <f ca="1">V176&amp;""&amp;",..,"&amp;""&amp;W176</f>
        <v>401,..,4101</v>
      </c>
      <c r="V176" s="41">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401</v>
      </c>
      <c r="W176" s="41">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4101</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90"/>
      <c r="B177" s="91"/>
      <c r="C177" s="81">
        <v>2</v>
      </c>
      <c r="D177" s="82"/>
      <c r="E177" s="81" t="s">
        <v>213</v>
      </c>
      <c r="F177" s="87"/>
      <c r="G177" s="87"/>
      <c r="H177" s="87"/>
      <c r="I177" s="82"/>
      <c r="J177" s="1"/>
      <c r="K177" s="1"/>
      <c r="L177" s="1"/>
      <c r="M177" s="1"/>
      <c r="N177" s="1"/>
      <c r="O177" s="1"/>
      <c r="P177" s="1"/>
      <c r="Q177" s="1"/>
      <c r="R177" s="1"/>
      <c r="S177" s="1"/>
      <c r="T177" s="1"/>
      <c r="U177" s="41" t="str">
        <f ca="1">V177&amp;""&amp;",..,"&amp;""&amp;W177</f>
        <v>402,..,4102</v>
      </c>
      <c r="V177" s="41">
        <f t="shared" ref="V177:W179" ca="1" si="2">V176+1</f>
        <v>402</v>
      </c>
      <c r="W177" s="41">
        <f t="shared" ca="1" si="2"/>
        <v>4102</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90"/>
      <c r="B178" s="91"/>
      <c r="C178" s="81">
        <v>3</v>
      </c>
      <c r="D178" s="82"/>
      <c r="E178" s="20" t="s">
        <v>208</v>
      </c>
      <c r="F178" s="81">
        <f>91.65*10.764</f>
        <v>986.52059999999994</v>
      </c>
      <c r="G178" s="82"/>
      <c r="H178" s="20">
        <v>0</v>
      </c>
      <c r="I178" s="20">
        <f>F178*(($I$152)+1)+H178</f>
        <v>1578.4329600000001</v>
      </c>
      <c r="J178" s="1"/>
      <c r="K178" s="1"/>
      <c r="L178" s="1"/>
      <c r="M178" s="1"/>
      <c r="N178" s="1"/>
      <c r="O178" s="1"/>
      <c r="P178" s="1"/>
      <c r="Q178" s="1"/>
      <c r="R178" s="1"/>
      <c r="S178" s="1"/>
      <c r="T178" s="1"/>
      <c r="U178" s="41" t="str">
        <f ca="1">V178&amp;""&amp;",..,"&amp;""&amp;W178</f>
        <v>403,..,4103</v>
      </c>
      <c r="V178" s="41">
        <f t="shared" ca="1" si="2"/>
        <v>403</v>
      </c>
      <c r="W178" s="41">
        <f t="shared" ca="1" si="2"/>
        <v>4103</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92"/>
      <c r="B179" s="93"/>
      <c r="C179" s="81">
        <v>4</v>
      </c>
      <c r="D179" s="82"/>
      <c r="E179" s="20" t="s">
        <v>208</v>
      </c>
      <c r="F179" s="81">
        <f>105.71*10.764</f>
        <v>1137.8624399999999</v>
      </c>
      <c r="G179" s="82"/>
      <c r="H179" s="20">
        <v>0</v>
      </c>
      <c r="I179" s="20">
        <f>F179*(($I$152)+1)+H179</f>
        <v>1820.5799039999999</v>
      </c>
      <c r="J179" s="1"/>
      <c r="K179" s="1"/>
      <c r="L179" s="1"/>
      <c r="M179" s="1"/>
      <c r="N179" s="1"/>
      <c r="O179" s="1"/>
      <c r="P179" s="1"/>
      <c r="Q179" s="1"/>
      <c r="R179" s="1"/>
      <c r="S179" s="1"/>
      <c r="T179" s="1"/>
      <c r="U179" s="41" t="str">
        <f ca="1">V179&amp;""&amp;",..,"&amp;""&amp;W179</f>
        <v>404,..,4104</v>
      </c>
      <c r="V179" s="41">
        <f t="shared" ca="1" si="2"/>
        <v>404</v>
      </c>
      <c r="W179" s="41">
        <f t="shared" ca="1" si="2"/>
        <v>4104</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1" x14ac:dyDescent="0.3">
      <c r="A180" s="83" t="s">
        <v>239</v>
      </c>
      <c r="B180" s="84"/>
      <c r="C180" s="84"/>
      <c r="D180" s="84"/>
      <c r="E180" s="84"/>
      <c r="F180" s="84"/>
      <c r="G180" s="84"/>
      <c r="H180" s="84"/>
      <c r="I180" s="8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1" x14ac:dyDescent="0.3">
      <c r="A181" s="83" t="s">
        <v>221</v>
      </c>
      <c r="B181" s="84"/>
      <c r="C181" s="84"/>
      <c r="D181" s="84"/>
      <c r="E181" s="84"/>
      <c r="F181" s="84"/>
      <c r="G181" s="84"/>
      <c r="H181" s="84"/>
      <c r="I181" s="85"/>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1" x14ac:dyDescent="0.3">
      <c r="A182" s="83" t="s">
        <v>262</v>
      </c>
      <c r="B182" s="84"/>
      <c r="C182" s="84"/>
      <c r="D182" s="84"/>
      <c r="E182" s="84"/>
      <c r="F182" s="84"/>
      <c r="G182" s="84"/>
      <c r="H182" s="84"/>
      <c r="I182" s="8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1" x14ac:dyDescent="0.3">
      <c r="A183" s="88" t="str">
        <f>A182</f>
        <v>Ground Floor For Part Residential</v>
      </c>
      <c r="B183" s="89"/>
      <c r="C183" s="81">
        <v>1</v>
      </c>
      <c r="D183" s="82"/>
      <c r="E183" s="20" t="s">
        <v>208</v>
      </c>
      <c r="F183" s="81">
        <f>99.93*10.764</f>
        <v>1075.64652</v>
      </c>
      <c r="G183" s="82"/>
      <c r="H183" s="20">
        <v>0</v>
      </c>
      <c r="I183" s="20">
        <f>F183*(($I$152)+1)+H183</f>
        <v>1721.0344320000002</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1.75" customHeight="1" x14ac:dyDescent="0.3">
      <c r="A184" s="90"/>
      <c r="B184" s="91"/>
      <c r="C184" s="81">
        <v>2</v>
      </c>
      <c r="D184" s="82"/>
      <c r="E184" s="81" t="s">
        <v>254</v>
      </c>
      <c r="F184" s="87"/>
      <c r="G184" s="87"/>
      <c r="H184" s="87"/>
      <c r="I184" s="8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1.75" customHeight="1" x14ac:dyDescent="0.3">
      <c r="A185" s="90"/>
      <c r="B185" s="91"/>
      <c r="C185" s="81">
        <v>3</v>
      </c>
      <c r="D185" s="82"/>
      <c r="E185" s="81" t="s">
        <v>255</v>
      </c>
      <c r="F185" s="87"/>
      <c r="G185" s="87"/>
      <c r="H185" s="87"/>
      <c r="I185" s="8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92"/>
      <c r="B186" s="93"/>
      <c r="C186" s="81">
        <v>4</v>
      </c>
      <c r="D186" s="82"/>
      <c r="E186" s="20" t="s">
        <v>208</v>
      </c>
      <c r="F186" s="81">
        <f>102.58*10.764</f>
        <v>1104.17112</v>
      </c>
      <c r="G186" s="82"/>
      <c r="H186" s="20">
        <v>0</v>
      </c>
      <c r="I186" s="20">
        <f>F186*(($I$152)+1)+H186</f>
        <v>1766.673792</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1" x14ac:dyDescent="0.3">
      <c r="A187" s="83" t="s">
        <v>240</v>
      </c>
      <c r="B187" s="84"/>
      <c r="C187" s="84"/>
      <c r="D187" s="84"/>
      <c r="E187" s="84"/>
      <c r="F187" s="84"/>
      <c r="G187" s="84"/>
      <c r="H187" s="84"/>
      <c r="I187" s="8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1" x14ac:dyDescent="0.3">
      <c r="A188" s="88" t="str">
        <f>A187</f>
        <v xml:space="preserve">1st Podium Level Floor </v>
      </c>
      <c r="B188" s="89"/>
      <c r="C188" s="81">
        <v>1</v>
      </c>
      <c r="D188" s="82"/>
      <c r="E188" s="20" t="s">
        <v>208</v>
      </c>
      <c r="F188" s="81">
        <f>105.71*10.764</f>
        <v>1137.8624399999999</v>
      </c>
      <c r="G188" s="82"/>
      <c r="H188" s="20">
        <v>0</v>
      </c>
      <c r="I188" s="20">
        <f>F188*(($I$152)+1)+H188</f>
        <v>1820.5799039999999</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1" x14ac:dyDescent="0.3">
      <c r="A189" s="90"/>
      <c r="B189" s="91"/>
      <c r="C189" s="81">
        <v>2</v>
      </c>
      <c r="D189" s="82"/>
      <c r="E189" s="20" t="s">
        <v>208</v>
      </c>
      <c r="F189" s="81">
        <f>91.65*10.764</f>
        <v>986.52059999999994</v>
      </c>
      <c r="G189" s="82"/>
      <c r="H189" s="20">
        <v>0</v>
      </c>
      <c r="I189" s="20">
        <f>F189*(($I$152)+1)+H189</f>
        <v>1578.4329600000001</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1.75" customHeight="1" x14ac:dyDescent="0.3">
      <c r="A190" s="90"/>
      <c r="B190" s="91"/>
      <c r="C190" s="81">
        <v>3</v>
      </c>
      <c r="D190" s="82"/>
      <c r="E190" s="81" t="s">
        <v>210</v>
      </c>
      <c r="F190" s="87"/>
      <c r="G190" s="87"/>
      <c r="H190" s="87"/>
      <c r="I190" s="82">
        <f>F190*(($I$152)+1)+H190</f>
        <v>0</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
      <c r="A191" s="92"/>
      <c r="B191" s="93"/>
      <c r="C191" s="81">
        <v>4</v>
      </c>
      <c r="D191" s="82"/>
      <c r="E191" s="20" t="s">
        <v>208</v>
      </c>
      <c r="F191" s="81">
        <f>116.1*10.764</f>
        <v>1249.7003999999999</v>
      </c>
      <c r="G191" s="82"/>
      <c r="H191" s="20">
        <v>0</v>
      </c>
      <c r="I191" s="20">
        <f>F191*(($I$152)+1)+H191</f>
        <v>1999.52064</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1" x14ac:dyDescent="0.3">
      <c r="A192" s="83" t="s">
        <v>263</v>
      </c>
      <c r="B192" s="84"/>
      <c r="C192" s="84"/>
      <c r="D192" s="84"/>
      <c r="E192" s="84"/>
      <c r="F192" s="84"/>
      <c r="G192" s="84"/>
      <c r="H192" s="84"/>
      <c r="I192" s="86"/>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3">
      <c r="A193" s="88" t="str">
        <f>A192</f>
        <v>1st to 5th &amp; 7th to 12th &amp; 14th to 19th &amp; 21st to 26th, 28th to 33rd &amp; 35th to 40th, 42nd to 48th Floor</v>
      </c>
      <c r="B193" s="89"/>
      <c r="C193" s="81">
        <v>1</v>
      </c>
      <c r="D193" s="82"/>
      <c r="E193" s="20" t="s">
        <v>208</v>
      </c>
      <c r="F193" s="81">
        <f>105.71*10.764</f>
        <v>1137.8624399999999</v>
      </c>
      <c r="G193" s="82"/>
      <c r="H193" s="20">
        <v>0</v>
      </c>
      <c r="I193" s="20">
        <f>F193*(($I$152)+1)+H193</f>
        <v>1820.5799039999999</v>
      </c>
      <c r="J193" s="1"/>
      <c r="K193" s="1"/>
      <c r="L193" s="1"/>
      <c r="M193" s="1"/>
      <c r="N193" s="1"/>
      <c r="O193" s="1"/>
      <c r="P193" s="1"/>
      <c r="Q193" s="1"/>
      <c r="R193" s="1"/>
      <c r="S193" s="1"/>
      <c r="T193" s="1"/>
      <c r="U193" s="41" t="str">
        <f ca="1">V193&amp;""&amp;",..,"&amp;""&amp;W193</f>
        <v>15701,..,4801</v>
      </c>
      <c r="V193" s="41">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15701</v>
      </c>
      <c r="W193" s="41">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4801</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
      <c r="A194" s="90"/>
      <c r="B194" s="91"/>
      <c r="C194" s="81">
        <v>2</v>
      </c>
      <c r="D194" s="82"/>
      <c r="E194" s="20" t="s">
        <v>208</v>
      </c>
      <c r="F194" s="81">
        <f>91.65*10.764</f>
        <v>986.52059999999994</v>
      </c>
      <c r="G194" s="82"/>
      <c r="H194" s="20">
        <v>0</v>
      </c>
      <c r="I194" s="20">
        <f>F194*(($I$152)+1)+H194</f>
        <v>1578.4329600000001</v>
      </c>
      <c r="J194" s="1"/>
      <c r="K194" s="1"/>
      <c r="L194" s="1"/>
      <c r="M194" s="1"/>
      <c r="N194" s="1"/>
      <c r="O194" s="1"/>
      <c r="P194" s="1"/>
      <c r="Q194" s="1"/>
      <c r="R194" s="1"/>
      <c r="S194" s="1"/>
      <c r="T194" s="1"/>
      <c r="U194" s="41" t="str">
        <f ca="1">V194&amp;""&amp;",..,"&amp;""&amp;W194</f>
        <v>15702,..,4802</v>
      </c>
      <c r="V194" s="41">
        <f t="shared" ref="V194:W196" ca="1" si="3">V193+1</f>
        <v>15702</v>
      </c>
      <c r="W194" s="41">
        <f t="shared" ca="1" si="3"/>
        <v>4802</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3">
      <c r="A195" s="90"/>
      <c r="B195" s="91"/>
      <c r="C195" s="81">
        <v>3</v>
      </c>
      <c r="D195" s="82"/>
      <c r="E195" s="20" t="s">
        <v>208</v>
      </c>
      <c r="F195" s="81">
        <f>91.65*10.764</f>
        <v>986.52059999999994</v>
      </c>
      <c r="G195" s="82"/>
      <c r="H195" s="20">
        <v>0</v>
      </c>
      <c r="I195" s="20">
        <f>F195*(($I$152)+1)+H195</f>
        <v>1578.4329600000001</v>
      </c>
      <c r="J195" s="1"/>
      <c r="K195" s="1"/>
      <c r="L195" s="1"/>
      <c r="M195" s="1"/>
      <c r="N195" s="1"/>
      <c r="O195" s="1"/>
      <c r="P195" s="1"/>
      <c r="Q195" s="1"/>
      <c r="R195" s="1"/>
      <c r="S195" s="1"/>
      <c r="T195" s="1"/>
      <c r="U195" s="41" t="str">
        <f ca="1">V195&amp;""&amp;",..,"&amp;""&amp;W195</f>
        <v>15703,..,4803</v>
      </c>
      <c r="V195" s="41">
        <f t="shared" ca="1" si="3"/>
        <v>15703</v>
      </c>
      <c r="W195" s="41">
        <f t="shared" ca="1" si="3"/>
        <v>4803</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92"/>
      <c r="B196" s="93"/>
      <c r="C196" s="81">
        <v>4</v>
      </c>
      <c r="D196" s="82"/>
      <c r="E196" s="20" t="s">
        <v>208</v>
      </c>
      <c r="F196" s="81">
        <f>105.71*10.764</f>
        <v>1137.8624399999999</v>
      </c>
      <c r="G196" s="82"/>
      <c r="H196" s="20">
        <v>0</v>
      </c>
      <c r="I196" s="20">
        <f>F196*(($I$152)+1)+H196</f>
        <v>1820.5799039999999</v>
      </c>
      <c r="J196" s="1"/>
      <c r="K196" s="1"/>
      <c r="L196" s="1"/>
      <c r="M196" s="1"/>
      <c r="N196" s="1"/>
      <c r="O196" s="1"/>
      <c r="P196" s="1"/>
      <c r="Q196" s="1"/>
      <c r="R196" s="1"/>
      <c r="S196" s="1"/>
      <c r="T196" s="1"/>
      <c r="U196" s="41" t="str">
        <f ca="1">V196&amp;""&amp;",..,"&amp;""&amp;W196</f>
        <v>15704,..,4804</v>
      </c>
      <c r="V196" s="41">
        <f t="shared" ca="1" si="3"/>
        <v>15704</v>
      </c>
      <c r="W196" s="41">
        <f t="shared" ca="1" si="3"/>
        <v>4804</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1" x14ac:dyDescent="0.3">
      <c r="A197" s="83" t="s">
        <v>265</v>
      </c>
      <c r="B197" s="84"/>
      <c r="C197" s="84"/>
      <c r="D197" s="84"/>
      <c r="E197" s="84"/>
      <c r="F197" s="84"/>
      <c r="G197" s="84"/>
      <c r="H197" s="84"/>
      <c r="I197" s="85"/>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1" x14ac:dyDescent="0.3">
      <c r="A198" s="83" t="s">
        <v>215</v>
      </c>
      <c r="B198" s="84"/>
      <c r="C198" s="84"/>
      <c r="D198" s="84"/>
      <c r="E198" s="84"/>
      <c r="F198" s="84"/>
      <c r="G198" s="84"/>
      <c r="H198" s="84"/>
      <c r="I198" s="86"/>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88" t="str">
        <f>A198</f>
        <v>6th, 13th, 20th, 27th &amp; 34th Floor (Part Refuge Area)</v>
      </c>
      <c r="B199" s="89"/>
      <c r="C199" s="81">
        <v>1</v>
      </c>
      <c r="D199" s="82"/>
      <c r="E199" s="20" t="s">
        <v>208</v>
      </c>
      <c r="F199" s="81">
        <f>105.71*10.764</f>
        <v>1137.8624399999999</v>
      </c>
      <c r="G199" s="82"/>
      <c r="H199" s="20">
        <v>0</v>
      </c>
      <c r="I199" s="20">
        <f>F199*(($I$152)+1)+H199</f>
        <v>1820.5799039999999</v>
      </c>
      <c r="J199" s="1">
        <f>27300000/I199</f>
        <v>14995.222093805996</v>
      </c>
      <c r="K199" s="1">
        <f>27300000/F199</f>
        <v>23992.355350089598</v>
      </c>
      <c r="L199" s="1"/>
      <c r="M199" s="1"/>
      <c r="N199" s="1"/>
      <c r="O199" s="1"/>
      <c r="P199" s="1"/>
      <c r="Q199" s="1"/>
      <c r="R199" s="1"/>
      <c r="S199" s="1"/>
      <c r="T199" s="1"/>
      <c r="U199" s="41" t="str">
        <f ca="1">V199&amp;""&amp;",..,"&amp;""&amp;W199</f>
        <v>6101,..,3401</v>
      </c>
      <c r="V199" s="41">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6101</v>
      </c>
      <c r="W199" s="41">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3401</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90"/>
      <c r="B200" s="91"/>
      <c r="C200" s="81">
        <v>2</v>
      </c>
      <c r="D200" s="82"/>
      <c r="E200" s="81" t="s">
        <v>213</v>
      </c>
      <c r="F200" s="87"/>
      <c r="G200" s="87"/>
      <c r="H200" s="87"/>
      <c r="I200" s="82"/>
      <c r="J200" s="1"/>
      <c r="K200" s="1"/>
      <c r="L200" s="1"/>
      <c r="M200" s="1"/>
      <c r="N200" s="1"/>
      <c r="O200" s="1"/>
      <c r="P200" s="1"/>
      <c r="Q200" s="1"/>
      <c r="R200" s="1"/>
      <c r="S200" s="1"/>
      <c r="T200" s="1"/>
      <c r="U200" s="41" t="str">
        <f ca="1">V200&amp;""&amp;",..,"&amp;""&amp;W200</f>
        <v>6102,..,3402</v>
      </c>
      <c r="V200" s="41">
        <f t="shared" ref="V200:W202" ca="1" si="4">V199+1</f>
        <v>6102</v>
      </c>
      <c r="W200" s="41">
        <f t="shared" ca="1" si="4"/>
        <v>3402</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90"/>
      <c r="B201" s="91"/>
      <c r="C201" s="81">
        <v>3</v>
      </c>
      <c r="D201" s="82"/>
      <c r="E201" s="20" t="s">
        <v>208</v>
      </c>
      <c r="F201" s="81">
        <f>91.65*10.764</f>
        <v>986.52059999999994</v>
      </c>
      <c r="G201" s="82"/>
      <c r="H201" s="20">
        <v>0</v>
      </c>
      <c r="I201" s="20">
        <f>F201*(($I$152)+1)+H201</f>
        <v>1578.4329600000001</v>
      </c>
      <c r="J201" s="1">
        <f>23700000/I201</f>
        <v>15014.891731607022</v>
      </c>
      <c r="K201" s="1">
        <f>23700000/F201</f>
        <v>24023.826770571239</v>
      </c>
      <c r="L201" s="1"/>
      <c r="M201" s="1"/>
      <c r="N201" s="1"/>
      <c r="O201" s="1"/>
      <c r="P201" s="1"/>
      <c r="Q201" s="1"/>
      <c r="R201" s="1"/>
      <c r="S201" s="1"/>
      <c r="T201" s="1"/>
      <c r="U201" s="41" t="str">
        <f ca="1">V201&amp;""&amp;",..,"&amp;""&amp;W201</f>
        <v>6103,..,3403</v>
      </c>
      <c r="V201" s="41">
        <f t="shared" ca="1" si="4"/>
        <v>6103</v>
      </c>
      <c r="W201" s="41">
        <f t="shared" ca="1" si="4"/>
        <v>3403</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92"/>
      <c r="B202" s="93"/>
      <c r="C202" s="81">
        <v>4</v>
      </c>
      <c r="D202" s="82"/>
      <c r="E202" s="20" t="s">
        <v>208</v>
      </c>
      <c r="F202" s="81">
        <f>105.71*10.764</f>
        <v>1137.8624399999999</v>
      </c>
      <c r="G202" s="82"/>
      <c r="H202" s="20">
        <v>0</v>
      </c>
      <c r="I202" s="20">
        <f>F202*(($I$152)+1)+H202</f>
        <v>1820.5799039999999</v>
      </c>
      <c r="J202" s="1"/>
      <c r="K202" s="1"/>
      <c r="L202" s="1"/>
      <c r="M202" s="1"/>
      <c r="N202" s="1"/>
      <c r="O202" s="1"/>
      <c r="P202" s="1"/>
      <c r="Q202" s="1"/>
      <c r="R202" s="1"/>
      <c r="S202" s="1"/>
      <c r="T202" s="1"/>
      <c r="U202" s="41" t="str">
        <f ca="1">V202&amp;""&amp;",..,"&amp;""&amp;W202</f>
        <v>6104,..,3404</v>
      </c>
      <c r="V202" s="41">
        <f t="shared" ca="1" si="4"/>
        <v>6104</v>
      </c>
      <c r="W202" s="41">
        <f t="shared" ca="1" si="4"/>
        <v>3404</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1" x14ac:dyDescent="0.3">
      <c r="A203" s="99" t="s">
        <v>214</v>
      </c>
      <c r="B203" s="100"/>
      <c r="C203" s="100"/>
      <c r="D203" s="100"/>
      <c r="E203" s="100"/>
      <c r="F203" s="100"/>
      <c r="G203" s="100"/>
      <c r="H203" s="100"/>
      <c r="I203" s="10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88" t="str">
        <f>A203</f>
        <v>41st Floor (Part Refuge Area)</v>
      </c>
      <c r="B204" s="89"/>
      <c r="C204" s="81">
        <v>1</v>
      </c>
      <c r="D204" s="82"/>
      <c r="E204" s="20" t="s">
        <v>219</v>
      </c>
      <c r="F204" s="81">
        <f>(92.83)*10.764</f>
        <v>999.2221199999999</v>
      </c>
      <c r="G204" s="82"/>
      <c r="H204" s="20">
        <v>0</v>
      </c>
      <c r="I204" s="20">
        <f>F204*(($I$152)+1)+H204</f>
        <v>1598.755392</v>
      </c>
      <c r="J204" s="1"/>
      <c r="K204" s="1"/>
      <c r="L204" s="1"/>
      <c r="M204" s="1"/>
      <c r="N204" s="1"/>
      <c r="O204" s="1"/>
      <c r="P204" s="1"/>
      <c r="Q204" s="1"/>
      <c r="R204" s="1"/>
      <c r="S204" s="1"/>
      <c r="T204" s="1"/>
      <c r="U204" s="41" t="str">
        <f ca="1">V204&amp;""&amp;",..,"&amp;""&amp;W204</f>
        <v>401,..,4101</v>
      </c>
      <c r="V204" s="41">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401</v>
      </c>
      <c r="W204" s="41">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4101</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90"/>
      <c r="B205" s="91"/>
      <c r="C205" s="81">
        <v>2</v>
      </c>
      <c r="D205" s="82"/>
      <c r="E205" s="81" t="s">
        <v>213</v>
      </c>
      <c r="F205" s="87"/>
      <c r="G205" s="87"/>
      <c r="H205" s="87"/>
      <c r="I205" s="82"/>
      <c r="J205" s="1"/>
      <c r="K205" s="1"/>
      <c r="L205" s="1"/>
      <c r="M205" s="1"/>
      <c r="N205" s="1"/>
      <c r="O205" s="1"/>
      <c r="P205" s="1"/>
      <c r="Q205" s="1"/>
      <c r="R205" s="1"/>
      <c r="S205" s="1"/>
      <c r="T205" s="1"/>
      <c r="U205" s="41" t="str">
        <f ca="1">V205&amp;""&amp;",..,"&amp;""&amp;W205</f>
        <v>402,..,4102</v>
      </c>
      <c r="V205" s="41">
        <f t="shared" ref="V205:W205" ca="1" si="5">V204+1</f>
        <v>402</v>
      </c>
      <c r="W205" s="41">
        <f t="shared" ca="1" si="5"/>
        <v>4102</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90"/>
      <c r="B206" s="91"/>
      <c r="C206" s="81">
        <v>3</v>
      </c>
      <c r="D206" s="82"/>
      <c r="E206" s="20" t="s">
        <v>208</v>
      </c>
      <c r="F206" s="81">
        <f>91.65*10.764</f>
        <v>986.52059999999994</v>
      </c>
      <c r="G206" s="82"/>
      <c r="H206" s="20">
        <v>0</v>
      </c>
      <c r="I206" s="20">
        <f>F206*(($I$152)+1)+H206</f>
        <v>1578.4329600000001</v>
      </c>
      <c r="J206" s="1"/>
      <c r="K206" s="1"/>
      <c r="L206" s="1"/>
      <c r="M206" s="1"/>
      <c r="N206" s="1"/>
      <c r="O206" s="1"/>
      <c r="P206" s="1"/>
      <c r="Q206" s="1"/>
      <c r="R206" s="1"/>
      <c r="S206" s="1"/>
      <c r="T206" s="1"/>
      <c r="U206" s="41" t="str">
        <f ca="1">V206&amp;""&amp;",..,"&amp;""&amp;W206</f>
        <v>403,..,4103</v>
      </c>
      <c r="V206" s="41">
        <f t="shared" ref="V206:W206" ca="1" si="6">V205+1</f>
        <v>403</v>
      </c>
      <c r="W206" s="41">
        <f t="shared" ca="1" si="6"/>
        <v>4103</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92"/>
      <c r="B207" s="93"/>
      <c r="C207" s="81">
        <v>4</v>
      </c>
      <c r="D207" s="82"/>
      <c r="E207" s="20" t="s">
        <v>208</v>
      </c>
      <c r="F207" s="81">
        <f>105.71*10.764</f>
        <v>1137.8624399999999</v>
      </c>
      <c r="G207" s="82"/>
      <c r="H207" s="20">
        <v>0</v>
      </c>
      <c r="I207" s="20">
        <f>F207*(($I$152)+1)+H207</f>
        <v>1820.5799039999999</v>
      </c>
      <c r="J207" s="1"/>
      <c r="K207" s="1">
        <f>1.6*1.52+3.87*3.59+3.66*3.65+3.66*3.84+1.52*2.44+2.44*3+1.67*0.05+3.35*4.26+1.52*2.74+3.66*3.05+1.52*2.44+1.52*1.83+3.64*1</f>
        <v>94.580199999999991</v>
      </c>
      <c r="L207" s="1"/>
      <c r="M207" s="1"/>
      <c r="N207" s="1"/>
      <c r="O207" s="1"/>
      <c r="P207" s="1"/>
      <c r="Q207" s="1"/>
      <c r="R207" s="1"/>
      <c r="S207" s="1"/>
      <c r="T207" s="1"/>
      <c r="U207" s="41" t="str">
        <f ca="1">V207&amp;""&amp;",..,"&amp;""&amp;W207</f>
        <v>404,..,4104</v>
      </c>
      <c r="V207" s="41">
        <f t="shared" ref="V207:W207" ca="1" si="7">V206+1</f>
        <v>404</v>
      </c>
      <c r="W207" s="41">
        <f t="shared" ca="1" si="7"/>
        <v>4104</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1" x14ac:dyDescent="0.3">
      <c r="A208" s="83" t="s">
        <v>225</v>
      </c>
      <c r="B208" s="84"/>
      <c r="C208" s="84"/>
      <c r="D208" s="84"/>
      <c r="E208" s="84"/>
      <c r="F208" s="84"/>
      <c r="G208" s="84"/>
      <c r="H208" s="84"/>
      <c r="I208" s="85"/>
      <c r="J208" s="1"/>
      <c r="K208" s="1">
        <f>3.66*1.2</f>
        <v>4.3920000000000003</v>
      </c>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1" x14ac:dyDescent="0.3">
      <c r="A209" s="83" t="s">
        <v>221</v>
      </c>
      <c r="B209" s="84"/>
      <c r="C209" s="84"/>
      <c r="D209" s="84"/>
      <c r="E209" s="84"/>
      <c r="F209" s="84"/>
      <c r="G209" s="84"/>
      <c r="H209" s="84"/>
      <c r="I209" s="8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1" x14ac:dyDescent="0.3">
      <c r="A210" s="83" t="s">
        <v>262</v>
      </c>
      <c r="B210" s="84"/>
      <c r="C210" s="84"/>
      <c r="D210" s="84"/>
      <c r="E210" s="84"/>
      <c r="F210" s="84"/>
      <c r="G210" s="84"/>
      <c r="H210" s="84"/>
      <c r="I210" s="8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88" t="str">
        <f>A210</f>
        <v>Ground Floor For Part Residential</v>
      </c>
      <c r="B211" s="89"/>
      <c r="C211" s="81">
        <v>1</v>
      </c>
      <c r="D211" s="82"/>
      <c r="E211" s="88" t="s">
        <v>255</v>
      </c>
      <c r="F211" s="104"/>
      <c r="G211" s="104"/>
      <c r="H211" s="104"/>
      <c r="I211" s="89"/>
      <c r="J211" s="1"/>
      <c r="K211" s="1"/>
      <c r="L211" s="1"/>
      <c r="M211" s="1"/>
      <c r="N211" s="1"/>
      <c r="O211" s="1"/>
      <c r="P211" s="1"/>
      <c r="Q211" s="1"/>
      <c r="R211" s="1"/>
      <c r="S211" s="1"/>
      <c r="T211" s="1"/>
      <c r="U211" s="41"/>
      <c r="V211" s="41"/>
      <c r="W211" s="4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90"/>
      <c r="B212" s="91"/>
      <c r="C212" s="81">
        <v>2</v>
      </c>
      <c r="D212" s="82"/>
      <c r="E212" s="92"/>
      <c r="F212" s="105"/>
      <c r="G212" s="105"/>
      <c r="H212" s="105"/>
      <c r="I212" s="93"/>
      <c r="J212" s="1"/>
      <c r="K212" s="1"/>
      <c r="L212" s="1"/>
      <c r="M212" s="1"/>
      <c r="N212" s="1"/>
      <c r="O212" s="1"/>
      <c r="P212" s="1"/>
      <c r="Q212" s="1"/>
      <c r="R212" s="1"/>
      <c r="S212" s="1"/>
      <c r="T212" s="1"/>
      <c r="U212" s="41"/>
      <c r="V212" s="41"/>
      <c r="W212" s="4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90"/>
      <c r="B213" s="91"/>
      <c r="C213" s="81">
        <v>3</v>
      </c>
      <c r="D213" s="82"/>
      <c r="E213" s="81" t="s">
        <v>220</v>
      </c>
      <c r="F213" s="87">
        <f>49.79*10.764</f>
        <v>535.93955999999991</v>
      </c>
      <c r="G213" s="87"/>
      <c r="H213" s="87">
        <v>0</v>
      </c>
      <c r="I213" s="82">
        <f t="shared" ref="I213:I218" si="8">F213*(($I$152)+1)+H213</f>
        <v>857.50329599999986</v>
      </c>
      <c r="J213" s="1"/>
      <c r="K213" s="1"/>
      <c r="L213" s="1"/>
      <c r="M213" s="1"/>
      <c r="N213" s="1"/>
      <c r="O213" s="1"/>
      <c r="P213" s="1"/>
      <c r="Q213" s="1"/>
      <c r="R213" s="1"/>
      <c r="S213" s="1"/>
      <c r="T213" s="1"/>
      <c r="U213" s="41"/>
      <c r="V213" s="41"/>
      <c r="W213" s="4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3">
      <c r="A214" s="90"/>
      <c r="B214" s="91"/>
      <c r="C214" s="81">
        <v>4</v>
      </c>
      <c r="D214" s="82"/>
      <c r="E214" s="20" t="s">
        <v>219</v>
      </c>
      <c r="F214" s="81">
        <f>54.92*10.764</f>
        <v>591.15887999999995</v>
      </c>
      <c r="G214" s="82"/>
      <c r="H214" s="20">
        <v>0</v>
      </c>
      <c r="I214" s="20">
        <f t="shared" si="8"/>
        <v>945.85420799999997</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3">
      <c r="A215" s="90"/>
      <c r="B215" s="91"/>
      <c r="C215" s="81">
        <v>5</v>
      </c>
      <c r="D215" s="82"/>
      <c r="E215" s="20" t="s">
        <v>219</v>
      </c>
      <c r="F215" s="81">
        <f>59.92*10.764</f>
        <v>644.97888</v>
      </c>
      <c r="G215" s="82"/>
      <c r="H215" s="20">
        <v>0</v>
      </c>
      <c r="I215" s="20">
        <f t="shared" si="8"/>
        <v>1031.9662080000001</v>
      </c>
      <c r="J215" s="1">
        <f>13500000/I214</f>
        <v>14272.812750440287</v>
      </c>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3">
      <c r="A216" s="90"/>
      <c r="B216" s="91"/>
      <c r="C216" s="81">
        <v>6</v>
      </c>
      <c r="D216" s="82"/>
      <c r="E216" s="20" t="s">
        <v>219</v>
      </c>
      <c r="F216" s="81">
        <f>59.92*10.764</f>
        <v>644.97888</v>
      </c>
      <c r="G216" s="82"/>
      <c r="H216" s="20">
        <v>0</v>
      </c>
      <c r="I216" s="20">
        <f t="shared" si="8"/>
        <v>1031.9662080000001</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90"/>
      <c r="B217" s="91"/>
      <c r="C217" s="81">
        <v>7</v>
      </c>
      <c r="D217" s="82"/>
      <c r="E217" s="20" t="s">
        <v>219</v>
      </c>
      <c r="F217" s="81">
        <f>54.92*10.764</f>
        <v>591.15887999999995</v>
      </c>
      <c r="G217" s="82"/>
      <c r="H217" s="20">
        <v>0</v>
      </c>
      <c r="I217" s="20">
        <f t="shared" si="8"/>
        <v>945.85420799999997</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92"/>
      <c r="B218" s="93"/>
      <c r="C218" s="81">
        <v>8</v>
      </c>
      <c r="D218" s="82"/>
      <c r="E218" s="81" t="s">
        <v>254</v>
      </c>
      <c r="F218" s="87">
        <f>49.79*10.764</f>
        <v>535.93955999999991</v>
      </c>
      <c r="G218" s="87"/>
      <c r="H218" s="87">
        <v>0</v>
      </c>
      <c r="I218" s="82">
        <f t="shared" si="8"/>
        <v>857.50329599999986</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1" x14ac:dyDescent="0.3">
      <c r="A219" s="83" t="s">
        <v>216</v>
      </c>
      <c r="B219" s="84"/>
      <c r="C219" s="84"/>
      <c r="D219" s="84"/>
      <c r="E219" s="84"/>
      <c r="F219" s="84"/>
      <c r="G219" s="84"/>
      <c r="H219" s="84"/>
      <c r="I219" s="85"/>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88" t="str">
        <f>A219</f>
        <v xml:space="preserve">1st  Podium Level Floor </v>
      </c>
      <c r="B220" s="89"/>
      <c r="C220" s="81">
        <v>1</v>
      </c>
      <c r="D220" s="82"/>
      <c r="E220" s="88" t="s">
        <v>210</v>
      </c>
      <c r="F220" s="104"/>
      <c r="G220" s="104"/>
      <c r="H220" s="104"/>
      <c r="I220" s="89"/>
      <c r="J220" s="1"/>
      <c r="K220" s="1"/>
      <c r="L220" s="1"/>
      <c r="M220" s="1"/>
      <c r="N220" s="1"/>
      <c r="O220" s="1"/>
      <c r="P220" s="1"/>
      <c r="Q220" s="1"/>
      <c r="R220" s="1"/>
      <c r="S220" s="1"/>
      <c r="T220" s="1"/>
      <c r="U220" s="41"/>
      <c r="V220" s="41"/>
      <c r="W220" s="4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90"/>
      <c r="B221" s="91"/>
      <c r="C221" s="81">
        <v>2</v>
      </c>
      <c r="D221" s="82"/>
      <c r="E221" s="92"/>
      <c r="F221" s="105"/>
      <c r="G221" s="105"/>
      <c r="H221" s="105"/>
      <c r="I221" s="93"/>
      <c r="J221" s="1"/>
      <c r="K221" s="1"/>
      <c r="L221" s="1"/>
      <c r="M221" s="1"/>
      <c r="N221" s="1"/>
      <c r="O221" s="1"/>
      <c r="P221" s="1"/>
      <c r="Q221" s="1"/>
      <c r="R221" s="1"/>
      <c r="S221" s="1"/>
      <c r="T221" s="1"/>
      <c r="U221" s="41"/>
      <c r="V221" s="41"/>
      <c r="W221" s="4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3">
      <c r="A222" s="90"/>
      <c r="B222" s="91"/>
      <c r="C222" s="81">
        <v>3</v>
      </c>
      <c r="D222" s="82"/>
      <c r="E222" s="20" t="s">
        <v>219</v>
      </c>
      <c r="F222" s="81">
        <f>49.79*10.764</f>
        <v>535.93955999999991</v>
      </c>
      <c r="G222" s="82"/>
      <c r="H222" s="20">
        <v>0</v>
      </c>
      <c r="I222" s="20">
        <f t="shared" ref="I222:I227" si="9">F222*(($I$152)+1)+H222</f>
        <v>857.50329599999986</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90"/>
      <c r="B223" s="91"/>
      <c r="C223" s="81">
        <v>4</v>
      </c>
      <c r="D223" s="82"/>
      <c r="E223" s="20" t="s">
        <v>219</v>
      </c>
      <c r="F223" s="81">
        <f>54.92*10.764</f>
        <v>591.15887999999995</v>
      </c>
      <c r="G223" s="82"/>
      <c r="H223" s="20">
        <v>0</v>
      </c>
      <c r="I223" s="20">
        <f t="shared" si="9"/>
        <v>945.85420799999997</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90"/>
      <c r="B224" s="91"/>
      <c r="C224" s="81">
        <v>5</v>
      </c>
      <c r="D224" s="82"/>
      <c r="E224" s="20" t="s">
        <v>219</v>
      </c>
      <c r="F224" s="81">
        <f>62.39*10.764</f>
        <v>671.56596000000002</v>
      </c>
      <c r="G224" s="82"/>
      <c r="H224" s="20">
        <v>0</v>
      </c>
      <c r="I224" s="20">
        <f t="shared" si="9"/>
        <v>1074.5055360000001</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3">
      <c r="A225" s="90"/>
      <c r="B225" s="91"/>
      <c r="C225" s="81">
        <v>6</v>
      </c>
      <c r="D225" s="82"/>
      <c r="E225" s="20" t="s">
        <v>219</v>
      </c>
      <c r="F225" s="81">
        <f>62.39*10.764</f>
        <v>671.56596000000002</v>
      </c>
      <c r="G225" s="82"/>
      <c r="H225" s="20">
        <v>0</v>
      </c>
      <c r="I225" s="20">
        <f t="shared" si="9"/>
        <v>1074.5055360000001</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3">
      <c r="A226" s="90"/>
      <c r="B226" s="91"/>
      <c r="C226" s="81">
        <v>7</v>
      </c>
      <c r="D226" s="82"/>
      <c r="E226" s="20" t="s">
        <v>219</v>
      </c>
      <c r="F226" s="81">
        <f>54.92*10.764</f>
        <v>591.15887999999995</v>
      </c>
      <c r="G226" s="82"/>
      <c r="H226" s="20">
        <v>0</v>
      </c>
      <c r="I226" s="20">
        <f t="shared" si="9"/>
        <v>945.85420799999997</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92"/>
      <c r="B227" s="93"/>
      <c r="C227" s="81">
        <v>8</v>
      </c>
      <c r="D227" s="82"/>
      <c r="E227" s="20" t="s">
        <v>219</v>
      </c>
      <c r="F227" s="81">
        <f>49.79*10.764</f>
        <v>535.93955999999991</v>
      </c>
      <c r="G227" s="82"/>
      <c r="H227" s="20">
        <v>0</v>
      </c>
      <c r="I227" s="20">
        <f t="shared" si="9"/>
        <v>857.50329599999986</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1" x14ac:dyDescent="0.3">
      <c r="A228" s="83" t="s">
        <v>278</v>
      </c>
      <c r="B228" s="84"/>
      <c r="C228" s="84"/>
      <c r="D228" s="84"/>
      <c r="E228" s="84"/>
      <c r="F228" s="84"/>
      <c r="G228" s="84"/>
      <c r="H228" s="84"/>
      <c r="I228" s="8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3">
      <c r="A229" s="88" t="str">
        <f>A228</f>
        <v xml:space="preserve">1st to 6th, 8th to 13th, 15th to 20th, 22nd to 27th, 29th &amp; 30th Floor </v>
      </c>
      <c r="B229" s="89"/>
      <c r="C229" s="81">
        <v>1</v>
      </c>
      <c r="D229" s="82"/>
      <c r="E229" s="20" t="s">
        <v>218</v>
      </c>
      <c r="F229" s="81">
        <f>43.31*10.764</f>
        <v>466.18883999999997</v>
      </c>
      <c r="G229" s="82"/>
      <c r="H229" s="20">
        <v>0</v>
      </c>
      <c r="I229" s="20">
        <f t="shared" ref="I229:I236" si="10">F229*(($I$152)+1)+H229</f>
        <v>745.90214400000002</v>
      </c>
      <c r="J229" s="1">
        <f>12800000/I229</f>
        <v>17160.427950184308</v>
      </c>
      <c r="K229" s="1">
        <f>12800000/F229</f>
        <v>27456.684720294892</v>
      </c>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90"/>
      <c r="B230" s="91"/>
      <c r="C230" s="81">
        <v>2</v>
      </c>
      <c r="D230" s="82"/>
      <c r="E230" s="20" t="s">
        <v>218</v>
      </c>
      <c r="F230" s="81">
        <f>43.31*10.764</f>
        <v>466.18883999999997</v>
      </c>
      <c r="G230" s="82"/>
      <c r="H230" s="20">
        <v>0</v>
      </c>
      <c r="I230" s="20">
        <f t="shared" si="10"/>
        <v>745.90214400000002</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90"/>
      <c r="B231" s="91"/>
      <c r="C231" s="81">
        <v>3</v>
      </c>
      <c r="D231" s="82"/>
      <c r="E231" s="20" t="s">
        <v>219</v>
      </c>
      <c r="F231" s="81">
        <f>49.79*10.764</f>
        <v>535.93955999999991</v>
      </c>
      <c r="G231" s="82"/>
      <c r="H231" s="20">
        <v>0</v>
      </c>
      <c r="I231" s="20">
        <f t="shared" si="10"/>
        <v>857.50329599999986</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90"/>
      <c r="B232" s="91"/>
      <c r="C232" s="81">
        <v>4</v>
      </c>
      <c r="D232" s="82"/>
      <c r="E232" s="20" t="s">
        <v>219</v>
      </c>
      <c r="F232" s="81">
        <f>54.92*10.764</f>
        <v>591.15887999999995</v>
      </c>
      <c r="G232" s="82"/>
      <c r="H232" s="20">
        <v>0</v>
      </c>
      <c r="I232" s="20">
        <f t="shared" si="10"/>
        <v>945.85420799999997</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3">
      <c r="A233" s="90"/>
      <c r="B233" s="91"/>
      <c r="C233" s="81">
        <v>5</v>
      </c>
      <c r="D233" s="82"/>
      <c r="E233" s="20" t="s">
        <v>219</v>
      </c>
      <c r="F233" s="81">
        <f>62.39*10.764</f>
        <v>671.56596000000002</v>
      </c>
      <c r="G233" s="82"/>
      <c r="H233" s="20">
        <v>0</v>
      </c>
      <c r="I233" s="20">
        <f t="shared" si="10"/>
        <v>1074.5055360000001</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3">
      <c r="A234" s="90"/>
      <c r="B234" s="91"/>
      <c r="C234" s="81">
        <v>6</v>
      </c>
      <c r="D234" s="82"/>
      <c r="E234" s="20" t="s">
        <v>219</v>
      </c>
      <c r="F234" s="81">
        <f>62.39*10.764</f>
        <v>671.56596000000002</v>
      </c>
      <c r="G234" s="82"/>
      <c r="H234" s="20">
        <v>0</v>
      </c>
      <c r="I234" s="20">
        <f t="shared" si="10"/>
        <v>1074.5055360000001</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3">
      <c r="A235" s="90"/>
      <c r="B235" s="91"/>
      <c r="C235" s="81">
        <v>7</v>
      </c>
      <c r="D235" s="82"/>
      <c r="E235" s="20" t="s">
        <v>219</v>
      </c>
      <c r="F235" s="81">
        <f>54.92*10.764</f>
        <v>591.15887999999995</v>
      </c>
      <c r="G235" s="82"/>
      <c r="H235" s="20">
        <v>0</v>
      </c>
      <c r="I235" s="20">
        <f t="shared" si="10"/>
        <v>945.85420799999997</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3">
      <c r="A236" s="92"/>
      <c r="B236" s="93"/>
      <c r="C236" s="81">
        <v>8</v>
      </c>
      <c r="D236" s="82"/>
      <c r="E236" s="20" t="s">
        <v>219</v>
      </c>
      <c r="F236" s="81">
        <f>49.79*10.764</f>
        <v>535.93955999999991</v>
      </c>
      <c r="G236" s="82"/>
      <c r="H236" s="20">
        <v>0</v>
      </c>
      <c r="I236" s="20">
        <f t="shared" si="10"/>
        <v>857.50329599999986</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1" x14ac:dyDescent="0.3">
      <c r="A237" s="83" t="s">
        <v>264</v>
      </c>
      <c r="B237" s="84"/>
      <c r="C237" s="84"/>
      <c r="D237" s="84"/>
      <c r="E237" s="84"/>
      <c r="F237" s="84"/>
      <c r="G237" s="84"/>
      <c r="H237" s="84"/>
      <c r="I237" s="85"/>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1" x14ac:dyDescent="0.3">
      <c r="A238" s="83" t="s">
        <v>280</v>
      </c>
      <c r="B238" s="84"/>
      <c r="C238" s="84"/>
      <c r="D238" s="84"/>
      <c r="E238" s="84"/>
      <c r="F238" s="84"/>
      <c r="G238" s="84"/>
      <c r="H238" s="84"/>
      <c r="I238" s="85"/>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88" t="str">
        <f>A238</f>
        <v xml:space="preserve">7th, 14th, 21st &amp; 28th Floor (Part Refuge Area) </v>
      </c>
      <c r="B239" s="89"/>
      <c r="C239" s="81">
        <v>1</v>
      </c>
      <c r="D239" s="82"/>
      <c r="E239" s="20" t="s">
        <v>218</v>
      </c>
      <c r="F239" s="81">
        <f>43.31*10.764</f>
        <v>466.18883999999997</v>
      </c>
      <c r="G239" s="82"/>
      <c r="H239" s="20">
        <v>0</v>
      </c>
      <c r="I239" s="20">
        <f t="shared" ref="I239:I244" si="11">F239*(($I$152)+1)+H239</f>
        <v>745.90214400000002</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90"/>
      <c r="B240" s="91"/>
      <c r="C240" s="81">
        <v>2</v>
      </c>
      <c r="D240" s="82"/>
      <c r="E240" s="20" t="s">
        <v>218</v>
      </c>
      <c r="F240" s="81">
        <f>43.31*10.764</f>
        <v>466.18883999999997</v>
      </c>
      <c r="G240" s="82"/>
      <c r="H240" s="20">
        <v>0</v>
      </c>
      <c r="I240" s="20">
        <f t="shared" si="11"/>
        <v>745.90214400000002</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90"/>
      <c r="B241" s="91"/>
      <c r="C241" s="81">
        <v>3</v>
      </c>
      <c r="D241" s="82"/>
      <c r="E241" s="20" t="s">
        <v>219</v>
      </c>
      <c r="F241" s="81">
        <f>49.79*10.764</f>
        <v>535.93955999999991</v>
      </c>
      <c r="G241" s="82"/>
      <c r="H241" s="20">
        <v>0</v>
      </c>
      <c r="I241" s="20">
        <f t="shared" si="11"/>
        <v>857.50329599999986</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90"/>
      <c r="B242" s="91"/>
      <c r="C242" s="81">
        <v>4</v>
      </c>
      <c r="D242" s="82"/>
      <c r="E242" s="20" t="s">
        <v>219</v>
      </c>
      <c r="F242" s="81">
        <f>54.92*10.764</f>
        <v>591.15887999999995</v>
      </c>
      <c r="G242" s="82"/>
      <c r="H242" s="20">
        <v>0</v>
      </c>
      <c r="I242" s="20">
        <f t="shared" si="11"/>
        <v>945.85420799999997</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3">
      <c r="A243" s="90"/>
      <c r="B243" s="91"/>
      <c r="C243" s="81">
        <v>5</v>
      </c>
      <c r="D243" s="82"/>
      <c r="E243" s="20" t="s">
        <v>219</v>
      </c>
      <c r="F243" s="81">
        <f>62.39*10.764</f>
        <v>671.56596000000002</v>
      </c>
      <c r="G243" s="82"/>
      <c r="H243" s="20">
        <v>0</v>
      </c>
      <c r="I243" s="20">
        <f t="shared" si="11"/>
        <v>1074.5055360000001</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3">
      <c r="A244" s="90"/>
      <c r="B244" s="91"/>
      <c r="C244" s="81">
        <v>6</v>
      </c>
      <c r="D244" s="82"/>
      <c r="E244" s="20" t="s">
        <v>219</v>
      </c>
      <c r="F244" s="81">
        <f>62.39*10.764</f>
        <v>671.56596000000002</v>
      </c>
      <c r="G244" s="82"/>
      <c r="H244" s="20">
        <v>0</v>
      </c>
      <c r="I244" s="20">
        <f t="shared" si="11"/>
        <v>1074.5055360000001</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3">
      <c r="A245" s="90"/>
      <c r="B245" s="91"/>
      <c r="C245" s="81">
        <v>7</v>
      </c>
      <c r="D245" s="82"/>
      <c r="E245" s="88" t="s">
        <v>213</v>
      </c>
      <c r="F245" s="104"/>
      <c r="G245" s="104"/>
      <c r="H245" s="104"/>
      <c r="I245" s="89"/>
      <c r="J245" s="1"/>
      <c r="K245" s="1"/>
      <c r="L245" s="1"/>
      <c r="M245" s="1"/>
      <c r="N245" s="1"/>
      <c r="O245" s="1"/>
      <c r="P245" s="1"/>
      <c r="Q245" s="1"/>
      <c r="R245" s="1"/>
      <c r="S245" s="1"/>
      <c r="T245" s="1"/>
      <c r="U245" s="41" t="str">
        <f t="shared" ref="U245:U246" si="12">V245&amp;""&amp;",..,"&amp;""&amp;W245</f>
        <v>1,..,1</v>
      </c>
      <c r="V245" s="41">
        <f t="shared" ref="V245:W245" si="13">V244+1</f>
        <v>1</v>
      </c>
      <c r="W245" s="41">
        <f t="shared" si="13"/>
        <v>1</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92"/>
      <c r="B246" s="93"/>
      <c r="C246" s="81">
        <v>8</v>
      </c>
      <c r="D246" s="82"/>
      <c r="E246" s="92"/>
      <c r="F246" s="105"/>
      <c r="G246" s="105"/>
      <c r="H246" s="105"/>
      <c r="I246" s="93"/>
      <c r="J246" s="1"/>
      <c r="K246" s="1"/>
      <c r="L246" s="1"/>
      <c r="M246" s="1"/>
      <c r="N246" s="1"/>
      <c r="O246" s="1"/>
      <c r="P246" s="1"/>
      <c r="Q246" s="1"/>
      <c r="R246" s="1"/>
      <c r="S246" s="1"/>
      <c r="T246" s="1"/>
      <c r="U246" s="41" t="str">
        <f t="shared" si="12"/>
        <v>2,..,2</v>
      </c>
      <c r="V246" s="41">
        <f t="shared" ref="V246:W246" si="14">V245+1</f>
        <v>2</v>
      </c>
      <c r="W246" s="41">
        <f t="shared" si="14"/>
        <v>2</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1" x14ac:dyDescent="0.3">
      <c r="A247" s="83" t="s">
        <v>287</v>
      </c>
      <c r="B247" s="84"/>
      <c r="C247" s="84"/>
      <c r="D247" s="84"/>
      <c r="E247" s="84"/>
      <c r="F247" s="84"/>
      <c r="G247" s="84"/>
      <c r="H247" s="84"/>
      <c r="I247" s="8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88" t="str">
        <f>A247</f>
        <v xml:space="preserve">31st to 34th &amp; 36th To 41st, 43rd to 48th &amp; 50th Floor </v>
      </c>
      <c r="B248" s="89"/>
      <c r="C248" s="81">
        <v>1</v>
      </c>
      <c r="D248" s="82"/>
      <c r="E248" s="20" t="s">
        <v>218</v>
      </c>
      <c r="F248" s="81">
        <f>43.7*10.764</f>
        <v>470.38679999999999</v>
      </c>
      <c r="G248" s="82"/>
      <c r="H248" s="20">
        <v>0</v>
      </c>
      <c r="I248" s="20">
        <f t="shared" ref="I248:I255" si="15">F248*(($I$152)+1)+H248</f>
        <v>752.61887999999999</v>
      </c>
      <c r="J248" s="1">
        <f>12800000/I248</f>
        <v>17007.279966189526</v>
      </c>
      <c r="K248" s="1">
        <f>12800000/F248</f>
        <v>27211.647945903245</v>
      </c>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90"/>
      <c r="B249" s="91"/>
      <c r="C249" s="81">
        <v>2</v>
      </c>
      <c r="D249" s="82"/>
      <c r="E249" s="20" t="s">
        <v>218</v>
      </c>
      <c r="F249" s="81">
        <f>43.7*10.764</f>
        <v>470.38679999999999</v>
      </c>
      <c r="G249" s="82"/>
      <c r="H249" s="20">
        <v>0</v>
      </c>
      <c r="I249" s="20">
        <f t="shared" si="15"/>
        <v>752.61887999999999</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3">
      <c r="A250" s="90"/>
      <c r="B250" s="91"/>
      <c r="C250" s="81">
        <v>3</v>
      </c>
      <c r="D250" s="82"/>
      <c r="E250" s="20" t="s">
        <v>219</v>
      </c>
      <c r="F250" s="81">
        <f>50.38*10.764</f>
        <v>542.29031999999995</v>
      </c>
      <c r="G250" s="82"/>
      <c r="H250" s="20">
        <v>0</v>
      </c>
      <c r="I250" s="20">
        <f t="shared" si="15"/>
        <v>867.66451199999995</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90"/>
      <c r="B251" s="91"/>
      <c r="C251" s="81">
        <v>4</v>
      </c>
      <c r="D251" s="82"/>
      <c r="E251" s="20" t="s">
        <v>219</v>
      </c>
      <c r="F251" s="81">
        <f>55.68*10.764</f>
        <v>599.33951999999999</v>
      </c>
      <c r="G251" s="82"/>
      <c r="H251" s="20">
        <v>0</v>
      </c>
      <c r="I251" s="20">
        <f t="shared" si="15"/>
        <v>958.94323200000008</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90"/>
      <c r="B252" s="91"/>
      <c r="C252" s="81">
        <v>5</v>
      </c>
      <c r="D252" s="82"/>
      <c r="E252" s="20" t="s">
        <v>219</v>
      </c>
      <c r="F252" s="81">
        <f>63.42*10.764</f>
        <v>682.65287999999998</v>
      </c>
      <c r="G252" s="82"/>
      <c r="H252" s="20">
        <v>0</v>
      </c>
      <c r="I252" s="20">
        <f t="shared" si="15"/>
        <v>1092.244608</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90"/>
      <c r="B253" s="91"/>
      <c r="C253" s="81">
        <v>6</v>
      </c>
      <c r="D253" s="82"/>
      <c r="E253" s="20" t="s">
        <v>219</v>
      </c>
      <c r="F253" s="81">
        <f>63.42*10.764</f>
        <v>682.65287999999998</v>
      </c>
      <c r="G253" s="82"/>
      <c r="H253" s="20">
        <v>0</v>
      </c>
      <c r="I253" s="20">
        <f t="shared" si="15"/>
        <v>1092.244608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3">
      <c r="A254" s="90"/>
      <c r="B254" s="91"/>
      <c r="C254" s="81">
        <v>7</v>
      </c>
      <c r="D254" s="82"/>
      <c r="E254" s="20" t="s">
        <v>219</v>
      </c>
      <c r="F254" s="81">
        <f>55.38*10.764</f>
        <v>596.11032</v>
      </c>
      <c r="G254" s="82"/>
      <c r="H254" s="20">
        <v>0</v>
      </c>
      <c r="I254" s="20">
        <f t="shared" si="15"/>
        <v>953.77651200000003</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92"/>
      <c r="B255" s="93"/>
      <c r="C255" s="81">
        <v>8</v>
      </c>
      <c r="D255" s="82"/>
      <c r="E255" s="20" t="s">
        <v>219</v>
      </c>
      <c r="F255" s="81">
        <f>50.38*10.764</f>
        <v>542.29031999999995</v>
      </c>
      <c r="G255" s="82"/>
      <c r="H255" s="20">
        <v>0</v>
      </c>
      <c r="I255" s="20">
        <f t="shared" si="15"/>
        <v>867.66451199999995</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1" x14ac:dyDescent="0.3">
      <c r="A256" s="83" t="s">
        <v>279</v>
      </c>
      <c r="B256" s="84"/>
      <c r="C256" s="84"/>
      <c r="D256" s="84"/>
      <c r="E256" s="84"/>
      <c r="F256" s="84"/>
      <c r="G256" s="84"/>
      <c r="H256" s="84"/>
      <c r="I256" s="8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3">
      <c r="A257" s="88" t="str">
        <f>A256</f>
        <v xml:space="preserve">35th, 42nd &amp; 49th Floor (Part Refuge Area) </v>
      </c>
      <c r="B257" s="89"/>
      <c r="C257" s="81">
        <v>1</v>
      </c>
      <c r="D257" s="82"/>
      <c r="E257" s="20" t="s">
        <v>218</v>
      </c>
      <c r="F257" s="81">
        <f>43.7*10.764</f>
        <v>470.38679999999999</v>
      </c>
      <c r="G257" s="82"/>
      <c r="H257" s="20">
        <v>0</v>
      </c>
      <c r="I257" s="20">
        <f t="shared" ref="I257:I262" si="16">F257*(($I$152)+1)+H257</f>
        <v>752.61887999999999</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90"/>
      <c r="B258" s="91"/>
      <c r="C258" s="81">
        <v>2</v>
      </c>
      <c r="D258" s="82"/>
      <c r="E258" s="20" t="s">
        <v>218</v>
      </c>
      <c r="F258" s="81">
        <f>43.7*10.764</f>
        <v>470.38679999999999</v>
      </c>
      <c r="G258" s="82"/>
      <c r="H258" s="20">
        <v>0</v>
      </c>
      <c r="I258" s="20">
        <f t="shared" si="16"/>
        <v>752.61887999999999</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3">
      <c r="A259" s="90"/>
      <c r="B259" s="91"/>
      <c r="C259" s="81">
        <v>3</v>
      </c>
      <c r="D259" s="82"/>
      <c r="E259" s="20" t="s">
        <v>219</v>
      </c>
      <c r="F259" s="81">
        <f>50.38*10.764</f>
        <v>542.29031999999995</v>
      </c>
      <c r="G259" s="82"/>
      <c r="H259" s="20">
        <v>0</v>
      </c>
      <c r="I259" s="20">
        <f t="shared" si="16"/>
        <v>867.66451199999995</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90"/>
      <c r="B260" s="91"/>
      <c r="C260" s="81">
        <v>4</v>
      </c>
      <c r="D260" s="82"/>
      <c r="E260" s="20" t="s">
        <v>219</v>
      </c>
      <c r="F260" s="81">
        <f>55.68*10.764</f>
        <v>599.33951999999999</v>
      </c>
      <c r="G260" s="82"/>
      <c r="H260" s="20">
        <v>0</v>
      </c>
      <c r="I260" s="20">
        <f t="shared" si="16"/>
        <v>958.94323200000008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90"/>
      <c r="B261" s="91"/>
      <c r="C261" s="81">
        <v>5</v>
      </c>
      <c r="D261" s="82"/>
      <c r="E261" s="20" t="s">
        <v>219</v>
      </c>
      <c r="F261" s="81">
        <f>63.42*10.764</f>
        <v>682.65287999999998</v>
      </c>
      <c r="G261" s="82"/>
      <c r="H261" s="20">
        <v>0</v>
      </c>
      <c r="I261" s="20">
        <f t="shared" si="16"/>
        <v>1092.244608</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90"/>
      <c r="B262" s="91"/>
      <c r="C262" s="81">
        <v>6</v>
      </c>
      <c r="D262" s="82"/>
      <c r="E262" s="20" t="s">
        <v>219</v>
      </c>
      <c r="F262" s="81">
        <f>63.42*10.764</f>
        <v>682.65287999999998</v>
      </c>
      <c r="G262" s="82"/>
      <c r="H262" s="20">
        <v>0</v>
      </c>
      <c r="I262" s="20">
        <f t="shared" si="16"/>
        <v>1092.244608</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3">
      <c r="A263" s="90"/>
      <c r="B263" s="91"/>
      <c r="C263" s="81">
        <v>7</v>
      </c>
      <c r="D263" s="82"/>
      <c r="E263" s="88" t="s">
        <v>213</v>
      </c>
      <c r="F263" s="104"/>
      <c r="G263" s="104"/>
      <c r="H263" s="104"/>
      <c r="I263" s="89"/>
      <c r="J263" s="1"/>
      <c r="K263" s="1"/>
      <c r="L263" s="1"/>
      <c r="M263" s="1"/>
      <c r="N263" s="1"/>
      <c r="O263" s="1"/>
      <c r="P263" s="1"/>
      <c r="Q263" s="1"/>
      <c r="R263" s="1"/>
      <c r="S263" s="1"/>
      <c r="T263" s="1"/>
      <c r="U263" s="41" t="str">
        <f t="shared" ref="U263:U264" si="17">V263&amp;""&amp;",..,"&amp;""&amp;W263</f>
        <v>1,..,1</v>
      </c>
      <c r="V263" s="41">
        <f t="shared" ref="V263:W263" si="18">V262+1</f>
        <v>1</v>
      </c>
      <c r="W263" s="41">
        <f t="shared" si="18"/>
        <v>1</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3">
      <c r="A264" s="92"/>
      <c r="B264" s="93"/>
      <c r="C264" s="81">
        <v>8</v>
      </c>
      <c r="D264" s="82"/>
      <c r="E264" s="92"/>
      <c r="F264" s="105"/>
      <c r="G264" s="105"/>
      <c r="H264" s="105"/>
      <c r="I264" s="93"/>
      <c r="J264" s="1"/>
      <c r="K264" s="1"/>
      <c r="L264" s="1"/>
      <c r="M264" s="1"/>
      <c r="N264" s="1"/>
      <c r="O264" s="1"/>
      <c r="P264" s="1"/>
      <c r="Q264" s="1"/>
      <c r="R264" s="1"/>
      <c r="S264" s="1"/>
      <c r="T264" s="1"/>
      <c r="U264" s="41" t="str">
        <f t="shared" si="17"/>
        <v>2,..,2</v>
      </c>
      <c r="V264" s="41">
        <f t="shared" ref="V264:W264" si="19">V263+1</f>
        <v>2</v>
      </c>
      <c r="W264" s="41">
        <f t="shared" si="19"/>
        <v>2</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1" x14ac:dyDescent="0.3">
      <c r="A265" s="83" t="s">
        <v>226</v>
      </c>
      <c r="B265" s="84"/>
      <c r="C265" s="84"/>
      <c r="D265" s="84"/>
      <c r="E265" s="84"/>
      <c r="F265" s="84"/>
      <c r="G265" s="84"/>
      <c r="H265" s="84"/>
      <c r="I265" s="85"/>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1" x14ac:dyDescent="0.3">
      <c r="A266" s="83" t="s">
        <v>221</v>
      </c>
      <c r="B266" s="84"/>
      <c r="C266" s="84"/>
      <c r="D266" s="84"/>
      <c r="E266" s="84"/>
      <c r="F266" s="84"/>
      <c r="G266" s="84"/>
      <c r="H266" s="84"/>
      <c r="I266" s="8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3">
      <c r="A267" s="83" t="s">
        <v>262</v>
      </c>
      <c r="B267" s="84"/>
      <c r="C267" s="84"/>
      <c r="D267" s="84"/>
      <c r="E267" s="84"/>
      <c r="F267" s="84"/>
      <c r="G267" s="84"/>
      <c r="H267" s="84"/>
      <c r="I267" s="8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3">
      <c r="A268" s="88" t="str">
        <f>A267</f>
        <v>Ground Floor For Part Residential</v>
      </c>
      <c r="B268" s="89"/>
      <c r="C268" s="81">
        <v>1</v>
      </c>
      <c r="D268" s="82"/>
      <c r="E268" s="81" t="s">
        <v>220</v>
      </c>
      <c r="F268" s="87"/>
      <c r="G268" s="87"/>
      <c r="H268" s="87"/>
      <c r="I268" s="87"/>
      <c r="J268" s="1"/>
      <c r="K268" s="1"/>
      <c r="L268" s="1"/>
      <c r="M268" s="1"/>
      <c r="N268" s="1"/>
      <c r="O268" s="1"/>
      <c r="P268" s="1"/>
      <c r="Q268" s="1"/>
      <c r="R268" s="1"/>
      <c r="S268" s="1"/>
      <c r="T268" s="1"/>
      <c r="U268" s="41"/>
      <c r="V268" s="41"/>
      <c r="W268" s="4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3">
      <c r="A269" s="90"/>
      <c r="B269" s="91"/>
      <c r="C269" s="81">
        <v>2</v>
      </c>
      <c r="D269" s="82"/>
      <c r="E269" s="20" t="s">
        <v>219</v>
      </c>
      <c r="F269" s="81">
        <f>(57.64+4.18)*10.764</f>
        <v>665.43047999999999</v>
      </c>
      <c r="G269" s="82"/>
      <c r="H269" s="20">
        <v>0</v>
      </c>
      <c r="I269" s="20">
        <f>F269*(($I$152)+1)+H269</f>
        <v>1064.688768</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3">
      <c r="A270" s="90"/>
      <c r="B270" s="91"/>
      <c r="C270" s="81">
        <v>3</v>
      </c>
      <c r="D270" s="82"/>
      <c r="E270" s="20" t="s">
        <v>218</v>
      </c>
      <c r="F270" s="81">
        <f>47.51*10.764</f>
        <v>511.39763999999997</v>
      </c>
      <c r="G270" s="82"/>
      <c r="H270" s="20">
        <v>0</v>
      </c>
      <c r="I270" s="20">
        <f>F270*(($I$152)+1)+H270</f>
        <v>818.23622399999999</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3">
      <c r="A271" s="90"/>
      <c r="B271" s="91"/>
      <c r="C271" s="81">
        <v>4</v>
      </c>
      <c r="D271" s="82"/>
      <c r="E271" s="20" t="s">
        <v>218</v>
      </c>
      <c r="F271" s="81">
        <f>47.51*10.764</f>
        <v>511.39763999999997</v>
      </c>
      <c r="G271" s="82"/>
      <c r="H271" s="20">
        <v>0</v>
      </c>
      <c r="I271" s="20">
        <f>F271*(($I$152)+1)+H271</f>
        <v>818.23622399999999</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1" x14ac:dyDescent="0.3">
      <c r="A272" s="90"/>
      <c r="B272" s="91"/>
      <c r="C272" s="173">
        <v>5</v>
      </c>
      <c r="D272" s="173"/>
      <c r="E272" s="20" t="s">
        <v>219</v>
      </c>
      <c r="F272" s="173">
        <f>(57.88+3.05*1.22)*10.764</f>
        <v>663.07316399999991</v>
      </c>
      <c r="G272" s="173"/>
      <c r="H272" s="20">
        <v>0</v>
      </c>
      <c r="I272" s="20">
        <f>F272*(($I$152)+1)+H272</f>
        <v>1060.9170623999998</v>
      </c>
      <c r="J272" s="1"/>
      <c r="K272" s="1">
        <f>2.43*1.05+3.35*2.13+3.05*5.49+2.74*3.05+3.05*3.5+1.37*0.99+2.13*1.37+1.37*2.13+1.67*0.99</f>
        <v>54.3093</v>
      </c>
      <c r="L272" s="1">
        <f>3.05*1.22</f>
        <v>3.7209999999999996</v>
      </c>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3">
      <c r="A273" s="90"/>
      <c r="B273" s="91"/>
      <c r="C273" s="81">
        <v>6</v>
      </c>
      <c r="D273" s="82"/>
      <c r="E273" s="81" t="s">
        <v>209</v>
      </c>
      <c r="F273" s="87">
        <f>59.92*10.764</f>
        <v>644.97888</v>
      </c>
      <c r="G273" s="87"/>
      <c r="H273" s="87">
        <v>0</v>
      </c>
      <c r="I273" s="82">
        <f>F273*(($I$152)+1)+H273</f>
        <v>1031.9662080000001</v>
      </c>
      <c r="J273" s="1"/>
      <c r="K273" s="1">
        <f>K272+L272</f>
        <v>58.030299999999997</v>
      </c>
      <c r="L273" s="1"/>
      <c r="M273" s="1"/>
      <c r="N273" s="1"/>
      <c r="O273" s="1"/>
      <c r="P273" s="1"/>
      <c r="Q273" s="1"/>
      <c r="R273" s="1"/>
      <c r="S273" s="1"/>
      <c r="T273" s="1"/>
      <c r="U273" s="41"/>
      <c r="V273" s="41"/>
      <c r="W273" s="4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3">
      <c r="A274" s="90"/>
      <c r="B274" s="91"/>
      <c r="C274" s="81">
        <v>7</v>
      </c>
      <c r="D274" s="82"/>
      <c r="E274" s="88" t="s">
        <v>255</v>
      </c>
      <c r="F274" s="104"/>
      <c r="G274" s="104"/>
      <c r="H274" s="104"/>
      <c r="I274" s="89"/>
      <c r="J274" s="1"/>
      <c r="K274" s="1"/>
      <c r="L274" s="1"/>
      <c r="M274" s="1"/>
      <c r="N274" s="1"/>
      <c r="O274" s="1"/>
      <c r="P274" s="1"/>
      <c r="Q274" s="1"/>
      <c r="R274" s="1"/>
      <c r="S274" s="1"/>
      <c r="T274" s="1"/>
      <c r="U274" s="41"/>
      <c r="V274" s="41"/>
      <c r="W274" s="4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3">
      <c r="A275" s="92"/>
      <c r="B275" s="93"/>
      <c r="C275" s="81">
        <v>8</v>
      </c>
      <c r="D275" s="82"/>
      <c r="E275" s="92"/>
      <c r="F275" s="105"/>
      <c r="G275" s="105"/>
      <c r="H275" s="105"/>
      <c r="I275" s="93"/>
      <c r="J275" s="1"/>
      <c r="K275" s="1"/>
      <c r="L275" s="1"/>
      <c r="M275" s="1"/>
      <c r="N275" s="1"/>
      <c r="O275" s="1"/>
      <c r="P275" s="1"/>
      <c r="Q275" s="1"/>
      <c r="R275" s="1"/>
      <c r="S275" s="1"/>
      <c r="T275" s="1"/>
      <c r="U275" s="41"/>
      <c r="V275" s="41"/>
      <c r="W275" s="4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1" x14ac:dyDescent="0.3">
      <c r="A276" s="174" t="s">
        <v>216</v>
      </c>
      <c r="B276" s="174"/>
      <c r="C276" s="174"/>
      <c r="D276" s="174"/>
      <c r="E276" s="174"/>
      <c r="F276" s="174"/>
      <c r="G276" s="174"/>
      <c r="H276" s="174"/>
      <c r="I276" s="174"/>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88" t="str">
        <f>A276</f>
        <v xml:space="preserve">1st  Podium Level Floor </v>
      </c>
      <c r="B277" s="89"/>
      <c r="C277" s="81">
        <v>1</v>
      </c>
      <c r="D277" s="82"/>
      <c r="E277" s="20" t="s">
        <v>219</v>
      </c>
      <c r="F277" s="81">
        <f>57.64*10.764</f>
        <v>620.43696</v>
      </c>
      <c r="G277" s="82"/>
      <c r="H277" s="20">
        <v>0</v>
      </c>
      <c r="I277" s="20">
        <f t="shared" ref="I277:I282" si="20">F277*(($I$152)+1)+H277</f>
        <v>992.69913600000007</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3">
      <c r="A278" s="90"/>
      <c r="B278" s="91"/>
      <c r="C278" s="81">
        <v>2</v>
      </c>
      <c r="D278" s="82"/>
      <c r="E278" s="20" t="s">
        <v>219</v>
      </c>
      <c r="F278" s="81">
        <f>61.82*10.764</f>
        <v>665.43047999999999</v>
      </c>
      <c r="G278" s="82"/>
      <c r="H278" s="20">
        <v>0</v>
      </c>
      <c r="I278" s="20">
        <f t="shared" si="20"/>
        <v>1064.688768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3">
      <c r="A279" s="90"/>
      <c r="B279" s="91"/>
      <c r="C279" s="81">
        <v>3</v>
      </c>
      <c r="D279" s="82"/>
      <c r="E279" s="20" t="s">
        <v>218</v>
      </c>
      <c r="F279" s="81">
        <f>47.51*10.764</f>
        <v>511.39763999999997</v>
      </c>
      <c r="G279" s="82"/>
      <c r="H279" s="20">
        <v>0</v>
      </c>
      <c r="I279" s="20">
        <f t="shared" si="20"/>
        <v>818.23622399999999</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3">
      <c r="A280" s="90"/>
      <c r="B280" s="91"/>
      <c r="C280" s="81">
        <v>4</v>
      </c>
      <c r="D280" s="82"/>
      <c r="E280" s="20" t="s">
        <v>218</v>
      </c>
      <c r="F280" s="81">
        <f>47.51*10.764</f>
        <v>511.39763999999997</v>
      </c>
      <c r="G280" s="82"/>
      <c r="H280" s="20">
        <v>0</v>
      </c>
      <c r="I280" s="20">
        <f t="shared" si="20"/>
        <v>818.23622399999999</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3">
      <c r="A281" s="90"/>
      <c r="B281" s="91"/>
      <c r="C281" s="81">
        <v>5</v>
      </c>
      <c r="D281" s="82"/>
      <c r="E281" s="20" t="s">
        <v>219</v>
      </c>
      <c r="F281" s="81">
        <f>61.88*10.764</f>
        <v>666.07632000000001</v>
      </c>
      <c r="G281" s="82"/>
      <c r="H281" s="20">
        <v>0</v>
      </c>
      <c r="I281" s="20">
        <f t="shared" si="20"/>
        <v>1065.7221120000002</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3">
      <c r="A282" s="90"/>
      <c r="B282" s="91"/>
      <c r="C282" s="81">
        <v>6</v>
      </c>
      <c r="D282" s="82"/>
      <c r="E282" s="20" t="s">
        <v>219</v>
      </c>
      <c r="F282" s="81">
        <f>57.64*10.764</f>
        <v>620.43696</v>
      </c>
      <c r="G282" s="82"/>
      <c r="H282" s="20">
        <v>0</v>
      </c>
      <c r="I282" s="20">
        <f t="shared" si="20"/>
        <v>992.69913600000007</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3">
      <c r="A283" s="90"/>
      <c r="B283" s="91"/>
      <c r="C283" s="81">
        <v>7</v>
      </c>
      <c r="D283" s="82"/>
      <c r="E283" s="88" t="s">
        <v>255</v>
      </c>
      <c r="F283" s="104"/>
      <c r="G283" s="104"/>
      <c r="H283" s="104"/>
      <c r="I283" s="89"/>
      <c r="J283" s="1"/>
      <c r="K283" s="1"/>
      <c r="L283" s="1"/>
      <c r="M283" s="1"/>
      <c r="N283" s="1"/>
      <c r="O283" s="1"/>
      <c r="P283" s="1"/>
      <c r="Q283" s="1"/>
      <c r="R283" s="1"/>
      <c r="S283" s="1"/>
      <c r="T283" s="1"/>
      <c r="U283" s="41"/>
      <c r="V283" s="41"/>
      <c r="W283" s="4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92"/>
      <c r="B284" s="93"/>
      <c r="C284" s="81">
        <v>8</v>
      </c>
      <c r="D284" s="82"/>
      <c r="E284" s="92"/>
      <c r="F284" s="105"/>
      <c r="G284" s="105"/>
      <c r="H284" s="105"/>
      <c r="I284" s="93"/>
      <c r="J284" s="1"/>
      <c r="K284" s="1"/>
      <c r="L284" s="1"/>
      <c r="M284" s="1"/>
      <c r="N284" s="1"/>
      <c r="O284" s="1"/>
      <c r="P284" s="1"/>
      <c r="Q284" s="1"/>
      <c r="R284" s="1"/>
      <c r="S284" s="1"/>
      <c r="T284" s="1"/>
      <c r="U284" s="41"/>
      <c r="V284" s="41"/>
      <c r="W284" s="4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1" x14ac:dyDescent="0.3">
      <c r="A285" s="83" t="s">
        <v>224</v>
      </c>
      <c r="B285" s="84"/>
      <c r="C285" s="84"/>
      <c r="D285" s="84"/>
      <c r="E285" s="84"/>
      <c r="F285" s="84"/>
      <c r="G285" s="84"/>
      <c r="H285" s="84"/>
      <c r="I285" s="8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3">
      <c r="A286" s="88" t="str">
        <f>A285</f>
        <v xml:space="preserve">1st to 6th, 8th to 13th &amp; 15th Floor </v>
      </c>
      <c r="B286" s="89"/>
      <c r="C286" s="81">
        <v>1</v>
      </c>
      <c r="D286" s="82"/>
      <c r="E286" s="20" t="s">
        <v>219</v>
      </c>
      <c r="F286" s="81">
        <f>57.64*10.764</f>
        <v>620.43696</v>
      </c>
      <c r="G286" s="82"/>
      <c r="H286" s="20">
        <v>0</v>
      </c>
      <c r="I286" s="20">
        <f t="shared" ref="I286:I293" si="21">F286*(($I$152)+1)+H286</f>
        <v>992.69913600000007</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3">
      <c r="A287" s="90"/>
      <c r="B287" s="91"/>
      <c r="C287" s="81">
        <v>2</v>
      </c>
      <c r="D287" s="82"/>
      <c r="E287" s="20" t="s">
        <v>219</v>
      </c>
      <c r="F287" s="81">
        <f>61.82*10.764</f>
        <v>665.43047999999999</v>
      </c>
      <c r="G287" s="82"/>
      <c r="H287" s="20">
        <v>0</v>
      </c>
      <c r="I287" s="20">
        <f t="shared" si="21"/>
        <v>1064.688768</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3">
      <c r="A288" s="90"/>
      <c r="B288" s="91"/>
      <c r="C288" s="81">
        <v>3</v>
      </c>
      <c r="D288" s="82"/>
      <c r="E288" s="20" t="s">
        <v>218</v>
      </c>
      <c r="F288" s="81">
        <f>47.51*10.764</f>
        <v>511.39763999999997</v>
      </c>
      <c r="G288" s="82"/>
      <c r="H288" s="20">
        <v>0</v>
      </c>
      <c r="I288" s="20">
        <f t="shared" si="21"/>
        <v>818.23622399999999</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3">
      <c r="A289" s="90"/>
      <c r="B289" s="91"/>
      <c r="C289" s="81">
        <v>4</v>
      </c>
      <c r="D289" s="82"/>
      <c r="E289" s="20" t="s">
        <v>218</v>
      </c>
      <c r="F289" s="81">
        <f>47.51*10.764</f>
        <v>511.39763999999997</v>
      </c>
      <c r="G289" s="82"/>
      <c r="H289" s="20">
        <v>0</v>
      </c>
      <c r="I289" s="20">
        <f t="shared" si="21"/>
        <v>818.23622399999999</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3">
      <c r="A290" s="90"/>
      <c r="B290" s="91"/>
      <c r="C290" s="81">
        <v>5</v>
      </c>
      <c r="D290" s="82"/>
      <c r="E290" s="20" t="s">
        <v>219</v>
      </c>
      <c r="F290" s="81">
        <f>61.86*10.764</f>
        <v>665.86104</v>
      </c>
      <c r="G290" s="82"/>
      <c r="H290" s="20">
        <v>0</v>
      </c>
      <c r="I290" s="20">
        <f t="shared" si="21"/>
        <v>1065.3776640000001</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90"/>
      <c r="B291" s="91"/>
      <c r="C291" s="81">
        <v>6</v>
      </c>
      <c r="D291" s="82"/>
      <c r="E291" s="20" t="s">
        <v>219</v>
      </c>
      <c r="F291" s="81">
        <f>57.64*10.764</f>
        <v>620.43696</v>
      </c>
      <c r="G291" s="82"/>
      <c r="H291" s="20">
        <v>0</v>
      </c>
      <c r="I291" s="20">
        <f t="shared" si="21"/>
        <v>992.69913600000007</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3">
      <c r="A292" s="90"/>
      <c r="B292" s="91"/>
      <c r="C292" s="81">
        <v>7</v>
      </c>
      <c r="D292" s="82"/>
      <c r="E292" s="20" t="s">
        <v>223</v>
      </c>
      <c r="F292" s="81">
        <f>40.27*10.764</f>
        <v>433.46627999999998</v>
      </c>
      <c r="G292" s="82"/>
      <c r="H292" s="20">
        <v>0</v>
      </c>
      <c r="I292" s="20">
        <f t="shared" si="21"/>
        <v>693.54604800000004</v>
      </c>
      <c r="J292" s="1">
        <f>9500000/F292</f>
        <v>21916.352985980826</v>
      </c>
      <c r="K292" s="1">
        <f>9500000/I292</f>
        <v>13697.720616238013</v>
      </c>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3">
      <c r="A293" s="92"/>
      <c r="B293" s="93"/>
      <c r="C293" s="81">
        <v>8</v>
      </c>
      <c r="D293" s="82"/>
      <c r="E293" s="20" t="s">
        <v>223</v>
      </c>
      <c r="F293" s="81">
        <f>40.27*10.764</f>
        <v>433.46627999999998</v>
      </c>
      <c r="G293" s="82"/>
      <c r="H293" s="20">
        <v>0</v>
      </c>
      <c r="I293" s="20">
        <f t="shared" si="21"/>
        <v>693.54604800000004</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1" x14ac:dyDescent="0.3">
      <c r="A294" s="83" t="s">
        <v>222</v>
      </c>
      <c r="B294" s="84"/>
      <c r="C294" s="84"/>
      <c r="D294" s="84"/>
      <c r="E294" s="84"/>
      <c r="F294" s="84"/>
      <c r="G294" s="84"/>
      <c r="H294" s="84"/>
      <c r="I294" s="8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88" t="str">
        <f>A294</f>
        <v>7th &amp; 14th Floor (Part Refuge Area)</v>
      </c>
      <c r="B295" s="89"/>
      <c r="C295" s="81">
        <v>1</v>
      </c>
      <c r="D295" s="82"/>
      <c r="E295" s="88" t="s">
        <v>213</v>
      </c>
      <c r="F295" s="104">
        <f>43.31*10.764</f>
        <v>466.18883999999997</v>
      </c>
      <c r="G295" s="104"/>
      <c r="H295" s="104">
        <v>0</v>
      </c>
      <c r="I295" s="89">
        <f t="shared" ref="I295:I300" si="22">F295*(($I$152)+1)+H295</f>
        <v>745.90214400000002</v>
      </c>
      <c r="J295" s="1"/>
      <c r="K295" s="1"/>
      <c r="L295" s="1"/>
      <c r="M295" s="1"/>
      <c r="N295" s="1"/>
      <c r="O295" s="1"/>
      <c r="P295" s="1"/>
      <c r="Q295" s="1"/>
      <c r="R295" s="1"/>
      <c r="S295" s="1"/>
      <c r="T295" s="1"/>
      <c r="U295" s="41"/>
      <c r="V295" s="41"/>
      <c r="W295" s="4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90"/>
      <c r="B296" s="91"/>
      <c r="C296" s="81">
        <v>2</v>
      </c>
      <c r="D296" s="82"/>
      <c r="E296" s="92" t="s">
        <v>218</v>
      </c>
      <c r="F296" s="105">
        <f>43.31*10.764</f>
        <v>466.18883999999997</v>
      </c>
      <c r="G296" s="105"/>
      <c r="H296" s="105">
        <v>0</v>
      </c>
      <c r="I296" s="93">
        <f t="shared" si="22"/>
        <v>745.90214400000002</v>
      </c>
      <c r="J296" s="1"/>
      <c r="K296" s="1"/>
      <c r="L296" s="1"/>
      <c r="M296" s="1"/>
      <c r="N296" s="1"/>
      <c r="O296" s="1"/>
      <c r="P296" s="1"/>
      <c r="Q296" s="1"/>
      <c r="R296" s="1"/>
      <c r="S296" s="1"/>
      <c r="T296" s="1"/>
      <c r="U296" s="41"/>
      <c r="V296" s="41"/>
      <c r="W296" s="4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90"/>
      <c r="B297" s="91"/>
      <c r="C297" s="81">
        <v>3</v>
      </c>
      <c r="D297" s="82"/>
      <c r="E297" s="20" t="s">
        <v>218</v>
      </c>
      <c r="F297" s="81">
        <f>47.51*10.764</f>
        <v>511.39763999999997</v>
      </c>
      <c r="G297" s="82"/>
      <c r="H297" s="20">
        <v>0</v>
      </c>
      <c r="I297" s="20">
        <f t="shared" si="22"/>
        <v>818.23622399999999</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90"/>
      <c r="B298" s="91"/>
      <c r="C298" s="81">
        <v>4</v>
      </c>
      <c r="D298" s="82"/>
      <c r="E298" s="20" t="s">
        <v>218</v>
      </c>
      <c r="F298" s="81">
        <f>47.51*10.764</f>
        <v>511.39763999999997</v>
      </c>
      <c r="G298" s="82"/>
      <c r="H298" s="20">
        <v>0</v>
      </c>
      <c r="I298" s="20">
        <f t="shared" si="22"/>
        <v>818.23622399999999</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3">
      <c r="A299" s="90"/>
      <c r="B299" s="91"/>
      <c r="C299" s="81">
        <v>5</v>
      </c>
      <c r="D299" s="82"/>
      <c r="E299" s="20" t="s">
        <v>219</v>
      </c>
      <c r="F299" s="81">
        <f>61.86*10.764</f>
        <v>665.86104</v>
      </c>
      <c r="G299" s="82"/>
      <c r="H299" s="20">
        <v>0</v>
      </c>
      <c r="I299" s="20">
        <f t="shared" si="22"/>
        <v>1065.3776640000001</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3">
      <c r="A300" s="90"/>
      <c r="B300" s="91"/>
      <c r="C300" s="81">
        <v>6</v>
      </c>
      <c r="D300" s="82"/>
      <c r="E300" s="20" t="s">
        <v>219</v>
      </c>
      <c r="F300" s="81">
        <f>57.64*10.764</f>
        <v>620.43696</v>
      </c>
      <c r="G300" s="82"/>
      <c r="H300" s="20">
        <v>0</v>
      </c>
      <c r="I300" s="20">
        <f t="shared" si="22"/>
        <v>992.69913600000007</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90"/>
      <c r="B301" s="91"/>
      <c r="C301" s="81">
        <v>7</v>
      </c>
      <c r="D301" s="82"/>
      <c r="E301" s="20" t="s">
        <v>223</v>
      </c>
      <c r="F301" s="81">
        <f>40.27*10.764</f>
        <v>433.46627999999998</v>
      </c>
      <c r="G301" s="82"/>
      <c r="H301" s="20">
        <v>0</v>
      </c>
      <c r="I301" s="20">
        <f>F301*(($I$152)+1)+H301</f>
        <v>693.54604800000004</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92"/>
      <c r="B302" s="93"/>
      <c r="C302" s="81">
        <v>8</v>
      </c>
      <c r="D302" s="82"/>
      <c r="E302" s="20" t="s">
        <v>223</v>
      </c>
      <c r="F302" s="81">
        <f>40.27*10.764</f>
        <v>433.46627999999998</v>
      </c>
      <c r="G302" s="82"/>
      <c r="H302" s="20">
        <v>0</v>
      </c>
      <c r="I302" s="20">
        <f>F302*(($I$152)+1)+H302</f>
        <v>693.54604800000004</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1" x14ac:dyDescent="0.3">
      <c r="A303" s="83" t="s">
        <v>272</v>
      </c>
      <c r="B303" s="84"/>
      <c r="C303" s="84"/>
      <c r="D303" s="84"/>
      <c r="E303" s="84"/>
      <c r="F303" s="84"/>
      <c r="G303" s="84"/>
      <c r="H303" s="84"/>
      <c r="I303" s="8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3">
      <c r="A304" s="88" t="str">
        <f>A303</f>
        <v xml:space="preserve">16th to 20th &amp; 22nd to 27th &amp; 29th, &amp; 30th Floor </v>
      </c>
      <c r="B304" s="89"/>
      <c r="C304" s="81">
        <v>1</v>
      </c>
      <c r="D304" s="82"/>
      <c r="E304" s="20" t="s">
        <v>219</v>
      </c>
      <c r="F304" s="81">
        <f>57.69*10.764</f>
        <v>620.97515999999996</v>
      </c>
      <c r="G304" s="82"/>
      <c r="H304" s="20">
        <v>0</v>
      </c>
      <c r="I304" s="20">
        <f t="shared" ref="I304:I311" si="23">F304*(($I$152)+1)+H304</f>
        <v>993.56025599999998</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3">
      <c r="A305" s="90"/>
      <c r="B305" s="91"/>
      <c r="C305" s="81">
        <v>2</v>
      </c>
      <c r="D305" s="82"/>
      <c r="E305" s="20" t="s">
        <v>219</v>
      </c>
      <c r="F305" s="81">
        <f>61.87*10.764</f>
        <v>665.96867999999995</v>
      </c>
      <c r="G305" s="82"/>
      <c r="H305" s="20">
        <v>0</v>
      </c>
      <c r="I305" s="20">
        <f t="shared" si="23"/>
        <v>1065.549888</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3">
      <c r="A306" s="90"/>
      <c r="B306" s="91"/>
      <c r="C306" s="81">
        <v>3</v>
      </c>
      <c r="D306" s="82"/>
      <c r="E306" s="20" t="s">
        <v>218</v>
      </c>
      <c r="F306" s="81">
        <f>47.51*10.764</f>
        <v>511.39763999999997</v>
      </c>
      <c r="G306" s="82"/>
      <c r="H306" s="20">
        <v>0</v>
      </c>
      <c r="I306" s="20">
        <f t="shared" si="23"/>
        <v>818.23622399999999</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90"/>
      <c r="B307" s="91"/>
      <c r="C307" s="81">
        <v>4</v>
      </c>
      <c r="D307" s="82"/>
      <c r="E307" s="20" t="s">
        <v>218</v>
      </c>
      <c r="F307" s="81">
        <f>47.51*10.764</f>
        <v>511.39763999999997</v>
      </c>
      <c r="G307" s="82"/>
      <c r="H307" s="20">
        <v>0</v>
      </c>
      <c r="I307" s="20">
        <f t="shared" si="23"/>
        <v>818.23622399999999</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3">
      <c r="A308" s="90"/>
      <c r="B308" s="91"/>
      <c r="C308" s="81">
        <v>5</v>
      </c>
      <c r="D308" s="82"/>
      <c r="E308" s="20" t="s">
        <v>219</v>
      </c>
      <c r="F308" s="81">
        <f>61.91*10.764</f>
        <v>666.39923999999996</v>
      </c>
      <c r="G308" s="82"/>
      <c r="H308" s="20">
        <v>0</v>
      </c>
      <c r="I308" s="20">
        <f t="shared" si="23"/>
        <v>1066.2387839999999</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3">
      <c r="A309" s="90"/>
      <c r="B309" s="91"/>
      <c r="C309" s="81">
        <v>6</v>
      </c>
      <c r="D309" s="82"/>
      <c r="E309" s="20" t="s">
        <v>219</v>
      </c>
      <c r="F309" s="81">
        <f>57.69*10.764</f>
        <v>620.97515999999996</v>
      </c>
      <c r="G309" s="82"/>
      <c r="H309" s="20">
        <v>0</v>
      </c>
      <c r="I309" s="20">
        <f t="shared" si="23"/>
        <v>993.56025599999998</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3">
      <c r="A310" s="90"/>
      <c r="B310" s="91"/>
      <c r="C310" s="81">
        <v>7</v>
      </c>
      <c r="D310" s="82"/>
      <c r="E310" s="20" t="s">
        <v>223</v>
      </c>
      <c r="F310" s="81">
        <f>40.3*10.764</f>
        <v>433.78919999999994</v>
      </c>
      <c r="G310" s="82"/>
      <c r="H310" s="20">
        <v>0</v>
      </c>
      <c r="I310" s="20">
        <f t="shared" si="23"/>
        <v>694.0627199999999</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3">
      <c r="A311" s="92"/>
      <c r="B311" s="93"/>
      <c r="C311" s="81">
        <v>8</v>
      </c>
      <c r="D311" s="82"/>
      <c r="E311" s="20" t="s">
        <v>223</v>
      </c>
      <c r="F311" s="81">
        <f>40.3*10.764</f>
        <v>433.78919999999994</v>
      </c>
      <c r="G311" s="82"/>
      <c r="H311" s="20">
        <v>0</v>
      </c>
      <c r="I311" s="20">
        <f t="shared" si="23"/>
        <v>694.0627199999999</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1" x14ac:dyDescent="0.3">
      <c r="A312" s="83" t="s">
        <v>264</v>
      </c>
      <c r="B312" s="84"/>
      <c r="C312" s="84"/>
      <c r="D312" s="84"/>
      <c r="E312" s="84"/>
      <c r="F312" s="84"/>
      <c r="G312" s="84"/>
      <c r="H312" s="84"/>
      <c r="I312" s="8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1" x14ac:dyDescent="0.3">
      <c r="A313" s="83" t="s">
        <v>273</v>
      </c>
      <c r="B313" s="84"/>
      <c r="C313" s="84"/>
      <c r="D313" s="84"/>
      <c r="E313" s="84"/>
      <c r="F313" s="84"/>
      <c r="G313" s="84"/>
      <c r="H313" s="84"/>
      <c r="I313" s="85"/>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3">
      <c r="A314" s="88" t="str">
        <f>A313</f>
        <v>21st &amp; 28th Floor (Part Refuge Area)</v>
      </c>
      <c r="B314" s="89"/>
      <c r="C314" s="81">
        <v>1</v>
      </c>
      <c r="D314" s="82"/>
      <c r="E314" s="88" t="s">
        <v>213</v>
      </c>
      <c r="F314" s="104">
        <f>43.31*10.764</f>
        <v>466.18883999999997</v>
      </c>
      <c r="G314" s="104"/>
      <c r="H314" s="104">
        <v>0</v>
      </c>
      <c r="I314" s="89">
        <f t="shared" ref="I314:I321" si="24">F314*(($I$152)+1)+H314</f>
        <v>745.90214400000002</v>
      </c>
      <c r="J314" s="1"/>
      <c r="K314" s="1"/>
      <c r="L314" s="1"/>
      <c r="M314" s="1"/>
      <c r="N314" s="1"/>
      <c r="O314" s="1"/>
      <c r="P314" s="1"/>
      <c r="Q314" s="1"/>
      <c r="R314" s="1"/>
      <c r="S314" s="1"/>
      <c r="T314" s="1"/>
      <c r="U314" s="41"/>
      <c r="V314" s="41"/>
      <c r="W314" s="4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3">
      <c r="A315" s="90"/>
      <c r="B315" s="91"/>
      <c r="C315" s="81">
        <v>2</v>
      </c>
      <c r="D315" s="82"/>
      <c r="E315" s="92" t="s">
        <v>218</v>
      </c>
      <c r="F315" s="105">
        <f>43.31*10.764</f>
        <v>466.18883999999997</v>
      </c>
      <c r="G315" s="105"/>
      <c r="H315" s="105">
        <v>0</v>
      </c>
      <c r="I315" s="93">
        <f t="shared" si="24"/>
        <v>745.90214400000002</v>
      </c>
      <c r="J315" s="1"/>
      <c r="K315" s="1"/>
      <c r="L315" s="1"/>
      <c r="M315" s="1"/>
      <c r="N315" s="1"/>
      <c r="O315" s="1"/>
      <c r="P315" s="1"/>
      <c r="Q315" s="1"/>
      <c r="R315" s="1"/>
      <c r="S315" s="1"/>
      <c r="T315" s="1"/>
      <c r="U315" s="41"/>
      <c r="V315" s="41"/>
      <c r="W315" s="4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3">
      <c r="A316" s="90"/>
      <c r="B316" s="91"/>
      <c r="C316" s="81">
        <v>3</v>
      </c>
      <c r="D316" s="82"/>
      <c r="E316" s="20" t="s">
        <v>218</v>
      </c>
      <c r="F316" s="81">
        <f>47.51*10.764</f>
        <v>511.39763999999997</v>
      </c>
      <c r="G316" s="82"/>
      <c r="H316" s="20">
        <v>0</v>
      </c>
      <c r="I316" s="20">
        <f t="shared" si="24"/>
        <v>818.23622399999999</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3">
      <c r="A317" s="90"/>
      <c r="B317" s="91"/>
      <c r="C317" s="81">
        <v>4</v>
      </c>
      <c r="D317" s="82"/>
      <c r="E317" s="20" t="s">
        <v>218</v>
      </c>
      <c r="F317" s="81">
        <f>47.51*10.764</f>
        <v>511.39763999999997</v>
      </c>
      <c r="G317" s="82"/>
      <c r="H317" s="20">
        <v>0</v>
      </c>
      <c r="I317" s="20">
        <f t="shared" si="24"/>
        <v>818.23622399999999</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3">
      <c r="A318" s="90"/>
      <c r="B318" s="91"/>
      <c r="C318" s="81">
        <v>5</v>
      </c>
      <c r="D318" s="82"/>
      <c r="E318" s="20" t="s">
        <v>219</v>
      </c>
      <c r="F318" s="81">
        <f>61.86*10.764</f>
        <v>665.86104</v>
      </c>
      <c r="G318" s="82"/>
      <c r="H318" s="20">
        <v>0</v>
      </c>
      <c r="I318" s="20">
        <f t="shared" si="24"/>
        <v>1065.3776640000001</v>
      </c>
      <c r="J318" s="1">
        <f>17000000/F318</f>
        <v>25530.852503399208</v>
      </c>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3">
      <c r="A319" s="90"/>
      <c r="B319" s="91"/>
      <c r="C319" s="81">
        <v>6</v>
      </c>
      <c r="D319" s="82"/>
      <c r="E319" s="20" t="s">
        <v>219</v>
      </c>
      <c r="F319" s="81">
        <f>57.69*10.764</f>
        <v>620.97515999999996</v>
      </c>
      <c r="G319" s="82"/>
      <c r="H319" s="20">
        <v>0</v>
      </c>
      <c r="I319" s="20">
        <f t="shared" si="24"/>
        <v>993.56025599999998</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3">
      <c r="A320" s="90"/>
      <c r="B320" s="91"/>
      <c r="C320" s="81">
        <v>7</v>
      </c>
      <c r="D320" s="82"/>
      <c r="E320" s="20" t="s">
        <v>223</v>
      </c>
      <c r="F320" s="81">
        <f>40.3*10.764</f>
        <v>433.78919999999994</v>
      </c>
      <c r="G320" s="82"/>
      <c r="H320" s="20">
        <v>0</v>
      </c>
      <c r="I320" s="20">
        <f t="shared" si="24"/>
        <v>694.0627199999999</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3">
      <c r="A321" s="92"/>
      <c r="B321" s="93"/>
      <c r="C321" s="81">
        <v>8</v>
      </c>
      <c r="D321" s="82"/>
      <c r="E321" s="20" t="s">
        <v>223</v>
      </c>
      <c r="F321" s="81">
        <f>40.3*10.764</f>
        <v>433.78919999999994</v>
      </c>
      <c r="G321" s="82"/>
      <c r="H321" s="20">
        <v>0</v>
      </c>
      <c r="I321" s="20">
        <f t="shared" si="24"/>
        <v>694.0627199999999</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1" x14ac:dyDescent="0.3">
      <c r="A322" s="83" t="s">
        <v>274</v>
      </c>
      <c r="B322" s="84"/>
      <c r="C322" s="84"/>
      <c r="D322" s="84"/>
      <c r="E322" s="84"/>
      <c r="F322" s="84"/>
      <c r="G322" s="84"/>
      <c r="H322" s="84"/>
      <c r="I322" s="8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3">
      <c r="A323" s="88" t="str">
        <f>A322</f>
        <v xml:space="preserve">31st to 34th &amp; 36th to 40th Floor </v>
      </c>
      <c r="B323" s="89"/>
      <c r="C323" s="81">
        <v>1</v>
      </c>
      <c r="D323" s="82"/>
      <c r="E323" s="20" t="s">
        <v>219</v>
      </c>
      <c r="F323" s="81">
        <f>58.25*10.764</f>
        <v>627.00299999999993</v>
      </c>
      <c r="G323" s="82"/>
      <c r="H323" s="20">
        <v>0</v>
      </c>
      <c r="I323" s="20">
        <f t="shared" ref="I323:I330" si="25">F323*(($I$152)+1)+H323</f>
        <v>1003.2048</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3">
      <c r="A324" s="90"/>
      <c r="B324" s="91"/>
      <c r="C324" s="81">
        <v>2</v>
      </c>
      <c r="D324" s="82"/>
      <c r="E324" s="20" t="s">
        <v>219</v>
      </c>
      <c r="F324" s="81">
        <f>62.14*10.764</f>
        <v>668.87495999999999</v>
      </c>
      <c r="G324" s="82"/>
      <c r="H324" s="20">
        <v>0</v>
      </c>
      <c r="I324" s="20">
        <f t="shared" si="25"/>
        <v>1070.199936</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3">
      <c r="A325" s="90"/>
      <c r="B325" s="91"/>
      <c r="C325" s="81">
        <v>3</v>
      </c>
      <c r="D325" s="82"/>
      <c r="E325" s="20" t="s">
        <v>218</v>
      </c>
      <c r="F325" s="81">
        <f>48.01*10.764</f>
        <v>516.77963999999997</v>
      </c>
      <c r="G325" s="82"/>
      <c r="H325" s="20">
        <v>0</v>
      </c>
      <c r="I325" s="20">
        <f t="shared" si="25"/>
        <v>826.84742400000005</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3">
      <c r="A326" s="90"/>
      <c r="B326" s="91"/>
      <c r="C326" s="81">
        <v>4</v>
      </c>
      <c r="D326" s="82"/>
      <c r="E326" s="20" t="s">
        <v>218</v>
      </c>
      <c r="F326" s="81">
        <f>48.01*10.764</f>
        <v>516.77963999999997</v>
      </c>
      <c r="G326" s="82"/>
      <c r="H326" s="20">
        <v>0</v>
      </c>
      <c r="I326" s="20">
        <f t="shared" si="25"/>
        <v>826.84742400000005</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3">
      <c r="A327" s="90"/>
      <c r="B327" s="91"/>
      <c r="C327" s="81">
        <v>5</v>
      </c>
      <c r="D327" s="82"/>
      <c r="E327" s="20" t="s">
        <v>219</v>
      </c>
      <c r="F327" s="81">
        <f>62.49*10.764</f>
        <v>672.64235999999994</v>
      </c>
      <c r="G327" s="82"/>
      <c r="H327" s="20">
        <v>0</v>
      </c>
      <c r="I327" s="20">
        <f t="shared" si="25"/>
        <v>1076.2277759999999</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3">
      <c r="A328" s="90"/>
      <c r="B328" s="91"/>
      <c r="C328" s="81">
        <v>6</v>
      </c>
      <c r="D328" s="82"/>
      <c r="E328" s="20" t="s">
        <v>219</v>
      </c>
      <c r="F328" s="81">
        <f>58.25*10.764</f>
        <v>627.00299999999993</v>
      </c>
      <c r="G328" s="82"/>
      <c r="H328" s="20">
        <v>0</v>
      </c>
      <c r="I328" s="20">
        <f t="shared" si="25"/>
        <v>1003.2048</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3">
      <c r="A329" s="90"/>
      <c r="B329" s="91"/>
      <c r="C329" s="81">
        <v>7</v>
      </c>
      <c r="D329" s="82"/>
      <c r="E329" s="20" t="s">
        <v>223</v>
      </c>
      <c r="F329" s="81">
        <f>40.67*10.764</f>
        <v>437.77188000000001</v>
      </c>
      <c r="G329" s="82"/>
      <c r="H329" s="20">
        <v>0</v>
      </c>
      <c r="I329" s="20">
        <f t="shared" si="25"/>
        <v>700.43500800000004</v>
      </c>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3">
      <c r="A330" s="92"/>
      <c r="B330" s="93"/>
      <c r="C330" s="81">
        <v>8</v>
      </c>
      <c r="D330" s="82"/>
      <c r="E330" s="20" t="s">
        <v>223</v>
      </c>
      <c r="F330" s="81">
        <f>40.67*10.764</f>
        <v>437.77188000000001</v>
      </c>
      <c r="G330" s="82"/>
      <c r="H330" s="20">
        <v>0</v>
      </c>
      <c r="I330" s="20">
        <f t="shared" si="25"/>
        <v>700.43500800000004</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1" x14ac:dyDescent="0.3">
      <c r="A331" s="83" t="s">
        <v>275</v>
      </c>
      <c r="B331" s="84"/>
      <c r="C331" s="84"/>
      <c r="D331" s="84"/>
      <c r="E331" s="84"/>
      <c r="F331" s="84"/>
      <c r="G331" s="84"/>
      <c r="H331" s="84"/>
      <c r="I331" s="85"/>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3">
      <c r="A332" s="88" t="str">
        <f>A331</f>
        <v>35th Floor (Part Refuge Area)</v>
      </c>
      <c r="B332" s="89"/>
      <c r="C332" s="81">
        <v>1</v>
      </c>
      <c r="D332" s="82"/>
      <c r="E332" s="88" t="s">
        <v>213</v>
      </c>
      <c r="F332" s="104">
        <f>43.31*10.764</f>
        <v>466.18883999999997</v>
      </c>
      <c r="G332" s="104"/>
      <c r="H332" s="104">
        <v>0</v>
      </c>
      <c r="I332" s="89">
        <f t="shared" ref="I332:I339" si="26">F332*(($I$152)+1)+H332</f>
        <v>745.90214400000002</v>
      </c>
      <c r="J332" s="1"/>
      <c r="K332" s="1"/>
      <c r="L332" s="1"/>
      <c r="M332" s="1"/>
      <c r="N332" s="1"/>
      <c r="O332" s="1"/>
      <c r="P332" s="1"/>
      <c r="Q332" s="1"/>
      <c r="R332" s="1"/>
      <c r="S332" s="1"/>
      <c r="T332" s="1"/>
      <c r="U332" s="41"/>
      <c r="V332" s="41"/>
      <c r="W332" s="4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3">
      <c r="A333" s="90"/>
      <c r="B333" s="91"/>
      <c r="C333" s="81">
        <v>2</v>
      </c>
      <c r="D333" s="82"/>
      <c r="E333" s="92" t="s">
        <v>218</v>
      </c>
      <c r="F333" s="105">
        <f>43.31*10.764</f>
        <v>466.18883999999997</v>
      </c>
      <c r="G333" s="105"/>
      <c r="H333" s="105">
        <v>0</v>
      </c>
      <c r="I333" s="93">
        <f t="shared" si="26"/>
        <v>745.90214400000002</v>
      </c>
      <c r="J333" s="1"/>
      <c r="K333" s="1"/>
      <c r="L333" s="1"/>
      <c r="M333" s="1"/>
      <c r="N333" s="1"/>
      <c r="O333" s="1"/>
      <c r="P333" s="1"/>
      <c r="Q333" s="1"/>
      <c r="R333" s="1"/>
      <c r="S333" s="1"/>
      <c r="T333" s="1"/>
      <c r="U333" s="41"/>
      <c r="V333" s="41"/>
      <c r="W333" s="4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3">
      <c r="A334" s="90"/>
      <c r="B334" s="91"/>
      <c r="C334" s="81">
        <v>3</v>
      </c>
      <c r="D334" s="82"/>
      <c r="E334" s="20" t="s">
        <v>218</v>
      </c>
      <c r="F334" s="81">
        <f>48.01*10.764</f>
        <v>516.77963999999997</v>
      </c>
      <c r="G334" s="82"/>
      <c r="H334" s="20">
        <v>0</v>
      </c>
      <c r="I334" s="20">
        <f t="shared" si="26"/>
        <v>826.84742400000005</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3">
      <c r="A335" s="90"/>
      <c r="B335" s="91"/>
      <c r="C335" s="81">
        <v>4</v>
      </c>
      <c r="D335" s="82"/>
      <c r="E335" s="20" t="s">
        <v>218</v>
      </c>
      <c r="F335" s="81">
        <f>48.01*10.764</f>
        <v>516.77963999999997</v>
      </c>
      <c r="G335" s="82"/>
      <c r="H335" s="20">
        <v>0</v>
      </c>
      <c r="I335" s="20">
        <f t="shared" si="26"/>
        <v>826.84742400000005</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3">
      <c r="A336" s="90"/>
      <c r="B336" s="91"/>
      <c r="C336" s="81">
        <v>5</v>
      </c>
      <c r="D336" s="82"/>
      <c r="E336" s="20" t="s">
        <v>219</v>
      </c>
      <c r="F336" s="81">
        <f>62.49*10.764</f>
        <v>672.64235999999994</v>
      </c>
      <c r="G336" s="82"/>
      <c r="H336" s="20">
        <v>0</v>
      </c>
      <c r="I336" s="20">
        <f t="shared" si="26"/>
        <v>1076.2277759999999</v>
      </c>
      <c r="J336" s="1">
        <f>17000000/F336</f>
        <v>25273.460327416789</v>
      </c>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3">
      <c r="A337" s="90"/>
      <c r="B337" s="91"/>
      <c r="C337" s="81">
        <v>6</v>
      </c>
      <c r="D337" s="82"/>
      <c r="E337" s="20" t="s">
        <v>219</v>
      </c>
      <c r="F337" s="81">
        <f>58.25*10.764</f>
        <v>627.00299999999993</v>
      </c>
      <c r="G337" s="82"/>
      <c r="H337" s="20">
        <v>0</v>
      </c>
      <c r="I337" s="20">
        <f t="shared" si="26"/>
        <v>1003.2048</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3">
      <c r="A338" s="90"/>
      <c r="B338" s="91"/>
      <c r="C338" s="81">
        <v>7</v>
      </c>
      <c r="D338" s="82"/>
      <c r="E338" s="20" t="s">
        <v>223</v>
      </c>
      <c r="F338" s="81">
        <f>40.67*10.764</f>
        <v>437.77188000000001</v>
      </c>
      <c r="G338" s="82"/>
      <c r="H338" s="20">
        <v>0</v>
      </c>
      <c r="I338" s="20">
        <f t="shared" si="26"/>
        <v>700.43500800000004</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3">
      <c r="A339" s="92"/>
      <c r="B339" s="93"/>
      <c r="C339" s="81">
        <v>8</v>
      </c>
      <c r="D339" s="82"/>
      <c r="E339" s="20" t="s">
        <v>223</v>
      </c>
      <c r="F339" s="81">
        <f>40.67*10.764</f>
        <v>437.77188000000001</v>
      </c>
      <c r="G339" s="82"/>
      <c r="H339" s="20">
        <v>0</v>
      </c>
      <c r="I339" s="20">
        <f t="shared" si="26"/>
        <v>700.43500800000004</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1" x14ac:dyDescent="0.3">
      <c r="A340" s="83" t="s">
        <v>276</v>
      </c>
      <c r="B340" s="84"/>
      <c r="C340" s="84"/>
      <c r="D340" s="84"/>
      <c r="E340" s="84"/>
      <c r="F340" s="84"/>
      <c r="G340" s="84"/>
      <c r="H340" s="84"/>
      <c r="I340" s="85"/>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3">
      <c r="A341" s="88" t="str">
        <f>A340</f>
        <v xml:space="preserve">41st &amp; 43rd Floor </v>
      </c>
      <c r="B341" s="89"/>
      <c r="C341" s="81">
        <v>1</v>
      </c>
      <c r="D341" s="82"/>
      <c r="E341" s="20" t="s">
        <v>219</v>
      </c>
      <c r="F341" s="81">
        <f>58.25*10.764</f>
        <v>627.00299999999993</v>
      </c>
      <c r="G341" s="82"/>
      <c r="H341" s="20">
        <v>0</v>
      </c>
      <c r="I341" s="20">
        <f t="shared" ref="I341:I348" si="27">F341*(($I$152)+1)+H341</f>
        <v>1003.2048</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3">
      <c r="A342" s="90"/>
      <c r="B342" s="91"/>
      <c r="C342" s="81">
        <v>2</v>
      </c>
      <c r="D342" s="82"/>
      <c r="E342" s="20" t="s">
        <v>219</v>
      </c>
      <c r="F342" s="81">
        <f>62.49*10.764</f>
        <v>672.64235999999994</v>
      </c>
      <c r="G342" s="82"/>
      <c r="H342" s="20">
        <v>0</v>
      </c>
      <c r="I342" s="20">
        <f t="shared" si="27"/>
        <v>1076.2277759999999</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3">
      <c r="A343" s="90"/>
      <c r="B343" s="91"/>
      <c r="C343" s="81">
        <v>3</v>
      </c>
      <c r="D343" s="82"/>
      <c r="E343" s="20" t="s">
        <v>218</v>
      </c>
      <c r="F343" s="81">
        <f>48.01*10.764</f>
        <v>516.77963999999997</v>
      </c>
      <c r="G343" s="82"/>
      <c r="H343" s="20">
        <v>0</v>
      </c>
      <c r="I343" s="20">
        <f t="shared" si="27"/>
        <v>826.84742400000005</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3">
      <c r="A344" s="90"/>
      <c r="B344" s="91"/>
      <c r="C344" s="81">
        <v>4</v>
      </c>
      <c r="D344" s="82"/>
      <c r="E344" s="20" t="s">
        <v>218</v>
      </c>
      <c r="F344" s="81">
        <f>48.01*10.764</f>
        <v>516.77963999999997</v>
      </c>
      <c r="G344" s="82"/>
      <c r="H344" s="20">
        <v>0</v>
      </c>
      <c r="I344" s="20">
        <f t="shared" si="27"/>
        <v>826.84742400000005</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3">
      <c r="A345" s="90"/>
      <c r="B345" s="91"/>
      <c r="C345" s="81">
        <v>5</v>
      </c>
      <c r="D345" s="82"/>
      <c r="E345" s="20" t="s">
        <v>219</v>
      </c>
      <c r="F345" s="81">
        <f>62.49*10.764</f>
        <v>672.64235999999994</v>
      </c>
      <c r="G345" s="82"/>
      <c r="H345" s="20">
        <v>0</v>
      </c>
      <c r="I345" s="20">
        <f t="shared" si="27"/>
        <v>1076.2277759999999</v>
      </c>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3">
      <c r="A346" s="90"/>
      <c r="B346" s="91"/>
      <c r="C346" s="81">
        <v>6</v>
      </c>
      <c r="D346" s="82"/>
      <c r="E346" s="20" t="s">
        <v>219</v>
      </c>
      <c r="F346" s="81">
        <f>58.25*10.764</f>
        <v>627.00299999999993</v>
      </c>
      <c r="G346" s="82"/>
      <c r="H346" s="20">
        <v>0</v>
      </c>
      <c r="I346" s="20">
        <f t="shared" si="27"/>
        <v>1003.2048</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customHeight="1" x14ac:dyDescent="0.3">
      <c r="A347" s="90"/>
      <c r="B347" s="91"/>
      <c r="C347" s="81">
        <v>7</v>
      </c>
      <c r="D347" s="82"/>
      <c r="E347" s="20" t="s">
        <v>223</v>
      </c>
      <c r="F347" s="81">
        <f>40.67*10.764</f>
        <v>437.77188000000001</v>
      </c>
      <c r="G347" s="82"/>
      <c r="H347" s="20">
        <v>0</v>
      </c>
      <c r="I347" s="20">
        <f t="shared" si="27"/>
        <v>700.43500800000004</v>
      </c>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3">
      <c r="A348" s="92"/>
      <c r="B348" s="93"/>
      <c r="C348" s="81">
        <v>8</v>
      </c>
      <c r="D348" s="82"/>
      <c r="E348" s="20" t="s">
        <v>223</v>
      </c>
      <c r="F348" s="81">
        <f>40.67*10.764</f>
        <v>437.77188000000001</v>
      </c>
      <c r="G348" s="82"/>
      <c r="H348" s="20">
        <v>0</v>
      </c>
      <c r="I348" s="20">
        <f t="shared" si="27"/>
        <v>700.43500800000004</v>
      </c>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1" x14ac:dyDescent="0.3">
      <c r="A349" s="83" t="s">
        <v>277</v>
      </c>
      <c r="B349" s="84"/>
      <c r="C349" s="84"/>
      <c r="D349" s="84"/>
      <c r="E349" s="84"/>
      <c r="F349" s="84"/>
      <c r="G349" s="84"/>
      <c r="H349" s="84"/>
      <c r="I349" s="8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customHeight="1" x14ac:dyDescent="0.3">
      <c r="A350" s="88" t="str">
        <f>A349</f>
        <v>42nd Floor (Part Refuge Area)</v>
      </c>
      <c r="B350" s="89"/>
      <c r="C350" s="81">
        <v>1</v>
      </c>
      <c r="D350" s="82"/>
      <c r="E350" s="88" t="s">
        <v>213</v>
      </c>
      <c r="F350" s="104">
        <f>43.31*10.764</f>
        <v>466.18883999999997</v>
      </c>
      <c r="G350" s="104"/>
      <c r="H350" s="104">
        <v>0</v>
      </c>
      <c r="I350" s="89">
        <f t="shared" ref="I350:I357" si="28">F350*(($I$152)+1)+H350</f>
        <v>745.90214400000002</v>
      </c>
      <c r="J350" s="1"/>
      <c r="K350" s="1"/>
      <c r="L350" s="1"/>
      <c r="M350" s="1"/>
      <c r="N350" s="1"/>
      <c r="O350" s="1"/>
      <c r="P350" s="1"/>
      <c r="Q350" s="1"/>
      <c r="R350" s="1"/>
      <c r="S350" s="1"/>
      <c r="T350" s="1"/>
      <c r="U350" s="41"/>
      <c r="V350" s="41"/>
      <c r="W350" s="4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3">
      <c r="A351" s="90"/>
      <c r="B351" s="91"/>
      <c r="C351" s="81">
        <v>2</v>
      </c>
      <c r="D351" s="82"/>
      <c r="E351" s="92" t="s">
        <v>218</v>
      </c>
      <c r="F351" s="105">
        <f>43.31*10.764</f>
        <v>466.18883999999997</v>
      </c>
      <c r="G351" s="105"/>
      <c r="H351" s="105">
        <v>0</v>
      </c>
      <c r="I351" s="93">
        <f t="shared" si="28"/>
        <v>745.90214400000002</v>
      </c>
      <c r="J351" s="1"/>
      <c r="K351" s="1"/>
      <c r="L351" s="1"/>
      <c r="M351" s="1"/>
      <c r="N351" s="1"/>
      <c r="O351" s="1"/>
      <c r="P351" s="1"/>
      <c r="Q351" s="1"/>
      <c r="R351" s="1"/>
      <c r="S351" s="1"/>
      <c r="T351" s="1"/>
      <c r="U351" s="41"/>
      <c r="V351" s="41"/>
      <c r="W351" s="4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3">
      <c r="A352" s="90"/>
      <c r="B352" s="91"/>
      <c r="C352" s="81">
        <v>3</v>
      </c>
      <c r="D352" s="82"/>
      <c r="E352" s="20" t="s">
        <v>218</v>
      </c>
      <c r="F352" s="81">
        <f>48.01*10.764</f>
        <v>516.77963999999997</v>
      </c>
      <c r="G352" s="82"/>
      <c r="H352" s="20">
        <v>0</v>
      </c>
      <c r="I352" s="20">
        <f t="shared" si="28"/>
        <v>826.84742400000005</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3">
      <c r="A353" s="90"/>
      <c r="B353" s="91"/>
      <c r="C353" s="81">
        <v>4</v>
      </c>
      <c r="D353" s="82"/>
      <c r="E353" s="20" t="s">
        <v>218</v>
      </c>
      <c r="F353" s="81">
        <f>48.01*10.764</f>
        <v>516.77963999999997</v>
      </c>
      <c r="G353" s="82"/>
      <c r="H353" s="20">
        <v>0</v>
      </c>
      <c r="I353" s="20">
        <f t="shared" si="28"/>
        <v>826.84742400000005</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customHeight="1" x14ac:dyDescent="0.3">
      <c r="A354" s="90"/>
      <c r="B354" s="91"/>
      <c r="C354" s="81">
        <v>5</v>
      </c>
      <c r="D354" s="82"/>
      <c r="E354" s="20" t="s">
        <v>219</v>
      </c>
      <c r="F354" s="81">
        <f>62.49*10.764</f>
        <v>672.64235999999994</v>
      </c>
      <c r="G354" s="82"/>
      <c r="H354" s="20">
        <v>0</v>
      </c>
      <c r="I354" s="20">
        <f t="shared" si="28"/>
        <v>1076.2277759999999</v>
      </c>
      <c r="J354" s="1">
        <f>17000000/F354</f>
        <v>25273.460327416789</v>
      </c>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3">
      <c r="A355" s="90"/>
      <c r="B355" s="91"/>
      <c r="C355" s="81">
        <v>6</v>
      </c>
      <c r="D355" s="82"/>
      <c r="E355" s="20" t="s">
        <v>219</v>
      </c>
      <c r="F355" s="81">
        <f>58.25*10.764</f>
        <v>627.00299999999993</v>
      </c>
      <c r="G355" s="82"/>
      <c r="H355" s="20">
        <v>0</v>
      </c>
      <c r="I355" s="20">
        <f t="shared" si="28"/>
        <v>1003.2048</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3">
      <c r="A356" s="90"/>
      <c r="B356" s="91"/>
      <c r="C356" s="81">
        <v>7</v>
      </c>
      <c r="D356" s="82"/>
      <c r="E356" s="20" t="s">
        <v>223</v>
      </c>
      <c r="F356" s="81">
        <f>40.67*10.764</f>
        <v>437.77188000000001</v>
      </c>
      <c r="G356" s="82"/>
      <c r="H356" s="20">
        <v>0</v>
      </c>
      <c r="I356" s="20">
        <f t="shared" si="28"/>
        <v>700.43500800000004</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3">
      <c r="A357" s="92"/>
      <c r="B357" s="93"/>
      <c r="C357" s="81">
        <v>8</v>
      </c>
      <c r="D357" s="82"/>
      <c r="E357" s="20" t="s">
        <v>223</v>
      </c>
      <c r="F357" s="81">
        <f>40.67*10.764</f>
        <v>437.77188000000001</v>
      </c>
      <c r="G357" s="82"/>
      <c r="H357" s="20">
        <v>0</v>
      </c>
      <c r="I357" s="20">
        <f t="shared" si="28"/>
        <v>700.43500800000004</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1" x14ac:dyDescent="0.3">
      <c r="A358" s="83" t="s">
        <v>288</v>
      </c>
      <c r="B358" s="84"/>
      <c r="C358" s="84"/>
      <c r="D358" s="84"/>
      <c r="E358" s="84"/>
      <c r="F358" s="84"/>
      <c r="G358" s="84"/>
      <c r="H358" s="84"/>
      <c r="I358" s="85"/>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3">
      <c r="A359" s="88" t="str">
        <f>A358</f>
        <v xml:space="preserve">44th to 47th Floor </v>
      </c>
      <c r="B359" s="89"/>
      <c r="C359" s="81">
        <v>1</v>
      </c>
      <c r="D359" s="82"/>
      <c r="E359" s="20" t="s">
        <v>219</v>
      </c>
      <c r="F359" s="81">
        <f>58.25*10.764</f>
        <v>627.00299999999993</v>
      </c>
      <c r="G359" s="82"/>
      <c r="H359" s="20">
        <v>0</v>
      </c>
      <c r="I359" s="20">
        <f t="shared" ref="I359:I366" si="29">F359*(($I$152)+1)+H359</f>
        <v>1003.2048</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3">
      <c r="A360" s="90"/>
      <c r="B360" s="91"/>
      <c r="C360" s="81">
        <v>2</v>
      </c>
      <c r="D360" s="82"/>
      <c r="E360" s="20" t="s">
        <v>219</v>
      </c>
      <c r="F360" s="81">
        <f>62.49*10.764</f>
        <v>672.64235999999994</v>
      </c>
      <c r="G360" s="82"/>
      <c r="H360" s="20">
        <v>0</v>
      </c>
      <c r="I360" s="20">
        <f t="shared" si="29"/>
        <v>1076.2277759999999</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customHeight="1" x14ac:dyDescent="0.3">
      <c r="A361" s="90"/>
      <c r="B361" s="91"/>
      <c r="C361" s="81">
        <v>3</v>
      </c>
      <c r="D361" s="82"/>
      <c r="E361" s="20" t="s">
        <v>218</v>
      </c>
      <c r="F361" s="81">
        <f>51.78*10.764</f>
        <v>557.35991999999999</v>
      </c>
      <c r="G361" s="82"/>
      <c r="H361" s="20">
        <v>0</v>
      </c>
      <c r="I361" s="20">
        <f t="shared" si="29"/>
        <v>891.77587200000005</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customHeight="1" x14ac:dyDescent="0.3">
      <c r="A362" s="90"/>
      <c r="B362" s="91"/>
      <c r="C362" s="81">
        <v>4</v>
      </c>
      <c r="D362" s="82"/>
      <c r="E362" s="20" t="s">
        <v>218</v>
      </c>
      <c r="F362" s="81">
        <f>51.78*10.764</f>
        <v>557.35991999999999</v>
      </c>
      <c r="G362" s="82"/>
      <c r="H362" s="20">
        <v>0</v>
      </c>
      <c r="I362" s="20">
        <f t="shared" si="29"/>
        <v>891.77587200000005</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3">
      <c r="A363" s="90"/>
      <c r="B363" s="91"/>
      <c r="C363" s="81">
        <v>5</v>
      </c>
      <c r="D363" s="82"/>
      <c r="E363" s="20" t="s">
        <v>219</v>
      </c>
      <c r="F363" s="81">
        <f>62.49*10.764</f>
        <v>672.64235999999994</v>
      </c>
      <c r="G363" s="82"/>
      <c r="H363" s="20">
        <v>0</v>
      </c>
      <c r="I363" s="20">
        <f t="shared" si="29"/>
        <v>1076.2277759999999</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3">
      <c r="A364" s="90"/>
      <c r="B364" s="91"/>
      <c r="C364" s="81">
        <v>6</v>
      </c>
      <c r="D364" s="82"/>
      <c r="E364" s="20" t="s">
        <v>219</v>
      </c>
      <c r="F364" s="81">
        <f>58.25*10.764</f>
        <v>627.00299999999993</v>
      </c>
      <c r="G364" s="82"/>
      <c r="H364" s="20">
        <v>0</v>
      </c>
      <c r="I364" s="20">
        <f t="shared" si="29"/>
        <v>1003.2048</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3">
      <c r="A365" s="90"/>
      <c r="B365" s="91"/>
      <c r="C365" s="81">
        <v>7</v>
      </c>
      <c r="D365" s="82"/>
      <c r="E365" s="20" t="s">
        <v>223</v>
      </c>
      <c r="F365" s="81">
        <f>40.67*10.764</f>
        <v>437.77188000000001</v>
      </c>
      <c r="G365" s="82"/>
      <c r="H365" s="20">
        <v>0</v>
      </c>
      <c r="I365" s="20">
        <f t="shared" si="29"/>
        <v>700.43500800000004</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3">
      <c r="A366" s="92"/>
      <c r="B366" s="93"/>
      <c r="C366" s="81">
        <v>8</v>
      </c>
      <c r="D366" s="82"/>
      <c r="E366" s="20" t="s">
        <v>223</v>
      </c>
      <c r="F366" s="81">
        <f>40.67*10.764</f>
        <v>437.77188000000001</v>
      </c>
      <c r="G366" s="82"/>
      <c r="H366" s="20">
        <v>0</v>
      </c>
      <c r="I366" s="20">
        <f t="shared" si="29"/>
        <v>700.43500800000004</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ht="21" x14ac:dyDescent="0.3">
      <c r="A367" s="76" t="s">
        <v>71</v>
      </c>
      <c r="B367" s="76"/>
      <c r="C367" s="76"/>
      <c r="D367" s="76"/>
      <c r="E367" s="76"/>
      <c r="F367" s="76"/>
      <c r="G367" s="76"/>
      <c r="H367" s="76"/>
      <c r="I367" s="76"/>
    </row>
    <row r="368" spans="1:151 16227:16384" ht="288.75" customHeight="1" x14ac:dyDescent="0.3">
      <c r="A368" s="9" t="s">
        <v>79</v>
      </c>
      <c r="B368" s="12" t="s">
        <v>4</v>
      </c>
      <c r="C368" s="103" t="s">
        <v>308</v>
      </c>
      <c r="D368" s="103"/>
      <c r="E368" s="103"/>
      <c r="F368" s="103"/>
      <c r="G368" s="103"/>
      <c r="H368" s="103"/>
      <c r="I368" s="103"/>
      <c r="J368" s="58" t="s">
        <v>289</v>
      </c>
    </row>
    <row r="369" spans="1:9" ht="21" x14ac:dyDescent="0.3">
      <c r="A369" s="146" t="s">
        <v>80</v>
      </c>
      <c r="B369" s="146"/>
      <c r="C369" s="146"/>
      <c r="D369" s="146"/>
      <c r="E369" s="146"/>
      <c r="F369" s="146"/>
      <c r="G369" s="146"/>
      <c r="H369" s="146"/>
      <c r="I369" s="146"/>
    </row>
    <row r="370" spans="1:9" ht="21" x14ac:dyDescent="0.3">
      <c r="A370" s="124" t="s">
        <v>72</v>
      </c>
      <c r="B370" s="124"/>
      <c r="C370" s="124"/>
      <c r="D370" s="2" t="s">
        <v>4</v>
      </c>
      <c r="E370" s="62" t="str">
        <f>E3</f>
        <v>Runwal Forest Tower 8, 9, 10 &amp; 11</v>
      </c>
      <c r="F370" s="63"/>
      <c r="G370" s="63"/>
      <c r="H370" s="63"/>
      <c r="I370" s="64"/>
    </row>
    <row r="371" spans="1:9" ht="40.5" customHeight="1" x14ac:dyDescent="0.3">
      <c r="A371" s="124" t="s">
        <v>131</v>
      </c>
      <c r="B371" s="124"/>
      <c r="C371" s="124"/>
      <c r="D371" s="2" t="s">
        <v>4</v>
      </c>
      <c r="E371" s="62" t="str">
        <f>E9</f>
        <v>Lal Bahadur Shastri Rd, near Mangatram Petrol Pump, Ambedkar Nagar, Kanjurmarg West, Bhandup West, Mumbai, Maharashtra 400078</v>
      </c>
      <c r="F371" s="63"/>
      <c r="G371" s="63"/>
      <c r="H371" s="63"/>
      <c r="I371" s="64"/>
    </row>
    <row r="372" spans="1:9" ht="20.25" customHeight="1" x14ac:dyDescent="0.3">
      <c r="A372" s="156" t="s">
        <v>137</v>
      </c>
      <c r="B372" s="156"/>
      <c r="C372" s="156"/>
      <c r="D372" s="16" t="s">
        <v>4</v>
      </c>
      <c r="E372" s="157" t="str">
        <f>I3</f>
        <v>03/07/2025 @ 12.18 PM</v>
      </c>
      <c r="F372" s="63"/>
      <c r="G372" s="63"/>
      <c r="H372" s="63"/>
      <c r="I372" s="64"/>
    </row>
    <row r="373" spans="1:9" ht="21" x14ac:dyDescent="0.3">
      <c r="A373" s="28"/>
      <c r="B373" s="29"/>
      <c r="C373" s="29"/>
      <c r="D373" s="29"/>
      <c r="E373" s="29"/>
      <c r="F373" s="29"/>
      <c r="G373" s="29"/>
      <c r="H373" s="29"/>
      <c r="I373" s="25"/>
    </row>
    <row r="374" spans="1:9" ht="21" x14ac:dyDescent="0.3">
      <c r="A374" s="30"/>
      <c r="B374" s="31"/>
      <c r="C374" s="31"/>
      <c r="D374" s="31"/>
      <c r="E374" s="31"/>
      <c r="F374" s="31"/>
      <c r="G374" s="31"/>
      <c r="H374" s="31"/>
      <c r="I374" s="26"/>
    </row>
    <row r="375" spans="1:9" ht="21" x14ac:dyDescent="0.3">
      <c r="A375" s="30"/>
      <c r="B375" s="31"/>
      <c r="C375" s="31"/>
      <c r="D375" s="31"/>
      <c r="E375" s="31"/>
      <c r="F375" s="31"/>
      <c r="G375" s="31"/>
      <c r="H375" s="31"/>
      <c r="I375" s="26"/>
    </row>
    <row r="376" spans="1:9" ht="21" x14ac:dyDescent="0.3">
      <c r="A376" s="30"/>
      <c r="B376" s="31"/>
      <c r="C376" s="31"/>
      <c r="D376" s="31"/>
      <c r="E376" s="31"/>
      <c r="F376" s="31"/>
      <c r="G376" s="31"/>
      <c r="H376" s="31"/>
      <c r="I376" s="26"/>
    </row>
    <row r="377" spans="1:9" ht="21" x14ac:dyDescent="0.3">
      <c r="A377" s="30"/>
      <c r="B377" s="31"/>
      <c r="C377" s="31"/>
      <c r="D377" s="31"/>
      <c r="E377" s="31"/>
      <c r="F377" s="31"/>
      <c r="G377" s="31"/>
      <c r="H377" s="31"/>
      <c r="I377" s="26"/>
    </row>
    <row r="378" spans="1:9" ht="21" x14ac:dyDescent="0.3">
      <c r="A378" s="30"/>
      <c r="B378" s="31"/>
      <c r="C378" s="31"/>
      <c r="D378" s="31"/>
      <c r="E378" s="31"/>
      <c r="F378" s="31"/>
      <c r="G378" s="31"/>
      <c r="H378" s="31"/>
      <c r="I378" s="26"/>
    </row>
    <row r="379" spans="1:9" ht="21" x14ac:dyDescent="0.3">
      <c r="A379" s="30"/>
      <c r="B379" s="31"/>
      <c r="C379" s="31"/>
      <c r="D379" s="31"/>
      <c r="E379" s="31"/>
      <c r="F379" s="31"/>
      <c r="G379" s="31"/>
      <c r="H379" s="31"/>
      <c r="I379" s="26"/>
    </row>
    <row r="380" spans="1:9" ht="21" x14ac:dyDescent="0.3">
      <c r="A380" s="30"/>
      <c r="B380" s="31"/>
      <c r="C380" s="31"/>
      <c r="D380" s="31"/>
      <c r="E380" s="31"/>
      <c r="F380" s="31"/>
      <c r="G380" s="31"/>
      <c r="H380" s="31"/>
      <c r="I380" s="26"/>
    </row>
    <row r="381" spans="1:9" ht="21" x14ac:dyDescent="0.3">
      <c r="A381" s="30"/>
      <c r="B381" s="31"/>
      <c r="C381" s="31"/>
      <c r="D381" s="31"/>
      <c r="E381" s="31"/>
      <c r="F381" s="31"/>
      <c r="G381" s="31"/>
      <c r="H381" s="31"/>
      <c r="I381" s="26"/>
    </row>
    <row r="382" spans="1:9" ht="21" x14ac:dyDescent="0.3">
      <c r="A382" s="30"/>
      <c r="B382" s="31"/>
      <c r="C382" s="31"/>
      <c r="D382" s="31"/>
      <c r="E382" s="31"/>
      <c r="F382" s="31"/>
      <c r="G382" s="31"/>
      <c r="H382" s="31"/>
      <c r="I382" s="26"/>
    </row>
    <row r="383" spans="1:9" ht="21" x14ac:dyDescent="0.3">
      <c r="A383" s="30"/>
      <c r="B383" s="31"/>
      <c r="C383" s="31"/>
      <c r="D383" s="31"/>
      <c r="E383" s="31"/>
      <c r="F383" s="31"/>
      <c r="G383" s="31"/>
      <c r="H383" s="31"/>
      <c r="I383" s="26"/>
    </row>
    <row r="384" spans="1:9" ht="21" x14ac:dyDescent="0.3">
      <c r="A384" s="30"/>
      <c r="B384" s="31"/>
      <c r="C384" s="31"/>
      <c r="D384" s="31"/>
      <c r="E384" s="31"/>
      <c r="F384" s="31"/>
      <c r="G384" s="31"/>
      <c r="H384" s="31"/>
      <c r="I384" s="26"/>
    </row>
    <row r="385" spans="1:9" ht="21" x14ac:dyDescent="0.3">
      <c r="A385" s="30"/>
      <c r="B385" s="31"/>
      <c r="C385" s="31"/>
      <c r="D385" s="31"/>
      <c r="E385" s="31"/>
      <c r="F385" s="31"/>
      <c r="G385" s="31"/>
      <c r="H385" s="31"/>
      <c r="I385" s="26"/>
    </row>
    <row r="386" spans="1:9" ht="21" x14ac:dyDescent="0.3">
      <c r="A386" s="30"/>
      <c r="B386" s="31"/>
      <c r="C386" s="31"/>
      <c r="D386" s="31"/>
      <c r="E386" s="31"/>
      <c r="F386" s="31"/>
      <c r="G386" s="31"/>
      <c r="H386" s="31"/>
      <c r="I386" s="26"/>
    </row>
    <row r="387" spans="1:9" ht="21" x14ac:dyDescent="0.3">
      <c r="A387" s="30"/>
      <c r="B387" s="31"/>
      <c r="C387" s="31"/>
      <c r="D387" s="31"/>
      <c r="E387" s="31"/>
      <c r="F387" s="31"/>
      <c r="G387" s="31"/>
      <c r="H387" s="31"/>
      <c r="I387" s="26"/>
    </row>
    <row r="388" spans="1:9" ht="21" x14ac:dyDescent="0.3">
      <c r="A388" s="30"/>
      <c r="B388" s="31"/>
      <c r="C388" s="31"/>
      <c r="D388" s="31"/>
      <c r="E388" s="31"/>
      <c r="F388" s="31"/>
      <c r="G388" s="31"/>
      <c r="H388" s="31"/>
      <c r="I388" s="26"/>
    </row>
    <row r="389" spans="1:9" ht="21" x14ac:dyDescent="0.3">
      <c r="A389" s="30"/>
      <c r="B389" s="31"/>
      <c r="C389" s="31"/>
      <c r="D389" s="31"/>
      <c r="E389" s="31"/>
      <c r="F389" s="31"/>
      <c r="G389" s="31"/>
      <c r="H389" s="31"/>
      <c r="I389" s="26"/>
    </row>
    <row r="390" spans="1:9" ht="21" x14ac:dyDescent="0.3">
      <c r="A390" s="30"/>
      <c r="B390" s="31"/>
      <c r="C390" s="31"/>
      <c r="D390" s="31"/>
      <c r="E390" s="31"/>
      <c r="F390" s="31"/>
      <c r="G390" s="31"/>
      <c r="H390" s="31"/>
      <c r="I390" s="26"/>
    </row>
    <row r="391" spans="1:9" ht="21" x14ac:dyDescent="0.3">
      <c r="A391" s="30"/>
      <c r="B391" s="31"/>
      <c r="C391" s="31"/>
      <c r="D391" s="31"/>
      <c r="E391" s="31"/>
      <c r="F391" s="31"/>
      <c r="G391" s="31"/>
      <c r="H391" s="31"/>
      <c r="I391" s="26"/>
    </row>
    <row r="392" spans="1:9" ht="21" x14ac:dyDescent="0.3">
      <c r="A392" s="30"/>
      <c r="B392" s="31"/>
      <c r="C392" s="31"/>
      <c r="D392" s="31"/>
      <c r="E392" s="31"/>
      <c r="F392" s="31"/>
      <c r="G392" s="31"/>
      <c r="H392" s="31"/>
      <c r="I392" s="26"/>
    </row>
    <row r="393" spans="1:9" ht="21" x14ac:dyDescent="0.3">
      <c r="A393" s="30"/>
      <c r="B393" s="31"/>
      <c r="C393" s="31"/>
      <c r="D393" s="31"/>
      <c r="E393" s="31"/>
      <c r="F393" s="31"/>
      <c r="G393" s="31"/>
      <c r="H393" s="31"/>
      <c r="I393" s="26"/>
    </row>
    <row r="394" spans="1:9" ht="21" x14ac:dyDescent="0.3">
      <c r="A394" s="30"/>
      <c r="B394" s="31"/>
      <c r="C394" s="31"/>
      <c r="D394" s="31"/>
      <c r="E394" s="31"/>
      <c r="F394" s="31"/>
      <c r="G394" s="31"/>
      <c r="H394" s="31"/>
      <c r="I394" s="26"/>
    </row>
    <row r="395" spans="1:9" ht="21" x14ac:dyDescent="0.3">
      <c r="A395" s="30"/>
      <c r="B395" s="31"/>
      <c r="C395" s="31"/>
      <c r="D395" s="31"/>
      <c r="E395" s="31"/>
      <c r="F395" s="31"/>
      <c r="G395" s="31"/>
      <c r="H395" s="31"/>
      <c r="I395" s="26"/>
    </row>
    <row r="396" spans="1:9" ht="21" x14ac:dyDescent="0.3">
      <c r="A396" s="30"/>
      <c r="B396" s="31"/>
      <c r="C396" s="31"/>
      <c r="D396" s="31"/>
      <c r="E396" s="31"/>
      <c r="F396" s="31"/>
      <c r="G396" s="31"/>
      <c r="H396" s="31"/>
      <c r="I396" s="26"/>
    </row>
    <row r="397" spans="1:9" ht="21" x14ac:dyDescent="0.3">
      <c r="A397" s="30"/>
      <c r="B397" s="31"/>
      <c r="C397" s="31"/>
      <c r="D397" s="31"/>
      <c r="E397" s="31"/>
      <c r="F397" s="31"/>
      <c r="G397" s="31"/>
      <c r="H397" s="31"/>
      <c r="I397" s="26"/>
    </row>
    <row r="398" spans="1:9" ht="21" x14ac:dyDescent="0.3">
      <c r="A398" s="30"/>
      <c r="B398" s="31"/>
      <c r="C398" s="31"/>
      <c r="D398" s="31"/>
      <c r="E398" s="31"/>
      <c r="F398" s="31"/>
      <c r="G398" s="31"/>
      <c r="H398" s="31"/>
      <c r="I398" s="26"/>
    </row>
    <row r="399" spans="1:9" ht="21" x14ac:dyDescent="0.3">
      <c r="A399" s="30"/>
      <c r="B399" s="31"/>
      <c r="C399" s="31"/>
      <c r="D399" s="31"/>
      <c r="E399" s="31"/>
      <c r="F399" s="31"/>
      <c r="G399" s="31"/>
      <c r="H399" s="31"/>
      <c r="I399" s="26"/>
    </row>
    <row r="400" spans="1:9" ht="21" x14ac:dyDescent="0.3">
      <c r="A400" s="30"/>
      <c r="B400" s="31"/>
      <c r="C400" s="31"/>
      <c r="D400" s="31"/>
      <c r="E400" s="31"/>
      <c r="F400" s="31"/>
      <c r="G400" s="31"/>
      <c r="H400" s="31"/>
      <c r="I400" s="26"/>
    </row>
    <row r="401" spans="1:9" ht="21" x14ac:dyDescent="0.3">
      <c r="A401" s="30"/>
      <c r="B401" s="31"/>
      <c r="C401" s="31"/>
      <c r="D401" s="31"/>
      <c r="E401" s="31"/>
      <c r="F401" s="31"/>
      <c r="G401" s="31"/>
      <c r="H401" s="31"/>
      <c r="I401" s="26"/>
    </row>
    <row r="402" spans="1:9" ht="21" x14ac:dyDescent="0.3">
      <c r="A402" s="30"/>
      <c r="B402" s="31"/>
      <c r="C402" s="31"/>
      <c r="D402" s="31"/>
      <c r="E402" s="31"/>
      <c r="F402" s="31"/>
      <c r="G402" s="31"/>
      <c r="H402" s="31"/>
      <c r="I402" s="26"/>
    </row>
    <row r="403" spans="1:9" ht="21" x14ac:dyDescent="0.3">
      <c r="A403" s="30"/>
      <c r="B403" s="31"/>
      <c r="C403" s="31"/>
      <c r="D403" s="31"/>
      <c r="E403" s="31"/>
      <c r="F403" s="31"/>
      <c r="G403" s="31"/>
      <c r="H403" s="31"/>
      <c r="I403" s="26"/>
    </row>
    <row r="404" spans="1:9" ht="21" x14ac:dyDescent="0.3">
      <c r="A404" s="30"/>
      <c r="B404" s="31"/>
      <c r="C404" s="31"/>
      <c r="D404" s="31"/>
      <c r="E404" s="31"/>
      <c r="F404" s="31"/>
      <c r="G404" s="31"/>
      <c r="H404" s="31"/>
      <c r="I404" s="26"/>
    </row>
    <row r="405" spans="1:9" ht="21" x14ac:dyDescent="0.3">
      <c r="A405" s="30"/>
      <c r="B405" s="31"/>
      <c r="C405" s="31"/>
      <c r="D405" s="31"/>
      <c r="E405" s="31"/>
      <c r="F405" s="31"/>
      <c r="G405" s="31"/>
      <c r="H405" s="31"/>
      <c r="I405" s="26"/>
    </row>
    <row r="406" spans="1:9" ht="21" x14ac:dyDescent="0.3">
      <c r="A406" s="30"/>
      <c r="B406" s="31"/>
      <c r="C406" s="31"/>
      <c r="D406" s="31"/>
      <c r="E406" s="31"/>
      <c r="F406" s="31"/>
      <c r="G406" s="31"/>
      <c r="H406" s="31"/>
      <c r="I406" s="26"/>
    </row>
    <row r="407" spans="1:9" ht="21" x14ac:dyDescent="0.3">
      <c r="A407" s="30"/>
      <c r="B407" s="31"/>
      <c r="C407" s="31"/>
      <c r="D407" s="31"/>
      <c r="E407" s="31"/>
      <c r="F407" s="31"/>
      <c r="G407" s="31"/>
      <c r="H407" s="31"/>
      <c r="I407" s="26"/>
    </row>
    <row r="408" spans="1:9" ht="21" x14ac:dyDescent="0.3">
      <c r="A408" s="30"/>
      <c r="B408" s="31"/>
      <c r="C408" s="31"/>
      <c r="D408" s="31"/>
      <c r="E408" s="31"/>
      <c r="F408" s="31"/>
      <c r="G408" s="31"/>
      <c r="H408" s="31"/>
      <c r="I408" s="26"/>
    </row>
    <row r="409" spans="1:9" ht="21" x14ac:dyDescent="0.3">
      <c r="A409" s="30"/>
      <c r="B409" s="31"/>
      <c r="C409" s="31"/>
      <c r="D409" s="31"/>
      <c r="E409" s="31"/>
      <c r="F409" s="31"/>
      <c r="G409" s="31"/>
      <c r="H409" s="31"/>
      <c r="I409" s="26"/>
    </row>
    <row r="410" spans="1:9" ht="21" x14ac:dyDescent="0.3">
      <c r="A410" s="30"/>
      <c r="B410" s="31"/>
      <c r="C410" s="31"/>
      <c r="D410" s="31"/>
      <c r="E410" s="31"/>
      <c r="F410" s="31"/>
      <c r="G410" s="31"/>
      <c r="H410" s="31"/>
      <c r="I410" s="26"/>
    </row>
    <row r="411" spans="1:9" ht="21" x14ac:dyDescent="0.3">
      <c r="A411" s="30"/>
      <c r="B411" s="31"/>
      <c r="C411" s="31"/>
      <c r="D411" s="31"/>
      <c r="E411" s="31"/>
      <c r="F411" s="31"/>
      <c r="G411" s="31"/>
      <c r="H411" s="31"/>
      <c r="I411" s="26"/>
    </row>
    <row r="412" spans="1:9" ht="21" x14ac:dyDescent="0.3">
      <c r="A412" s="30"/>
      <c r="B412" s="31"/>
      <c r="C412" s="31"/>
      <c r="D412" s="31"/>
      <c r="E412" s="31"/>
      <c r="F412" s="31"/>
      <c r="G412" s="31"/>
      <c r="H412" s="31"/>
      <c r="I412" s="26"/>
    </row>
    <row r="413" spans="1:9" ht="21" x14ac:dyDescent="0.3">
      <c r="A413" s="30"/>
      <c r="B413" s="31"/>
      <c r="C413" s="31"/>
      <c r="D413" s="31"/>
      <c r="E413" s="31"/>
      <c r="F413" s="31"/>
      <c r="G413" s="31"/>
      <c r="H413" s="31"/>
      <c r="I413" s="26"/>
    </row>
    <row r="414" spans="1:9" ht="21" x14ac:dyDescent="0.3">
      <c r="A414" s="30"/>
      <c r="B414" s="31"/>
      <c r="C414" s="31"/>
      <c r="D414" s="31"/>
      <c r="E414" s="31"/>
      <c r="F414" s="31"/>
      <c r="G414" s="31"/>
      <c r="H414" s="31"/>
      <c r="I414" s="26"/>
    </row>
    <row r="415" spans="1:9" ht="21" x14ac:dyDescent="0.3">
      <c r="A415" s="30"/>
      <c r="B415" s="31"/>
      <c r="C415" s="31"/>
      <c r="D415" s="31"/>
      <c r="E415" s="31"/>
      <c r="F415" s="31"/>
      <c r="G415" s="31"/>
      <c r="H415" s="31"/>
      <c r="I415" s="26"/>
    </row>
    <row r="416" spans="1:9" ht="21" x14ac:dyDescent="0.3">
      <c r="A416" s="59"/>
      <c r="B416" s="60"/>
      <c r="C416" s="60"/>
      <c r="D416" s="60"/>
      <c r="E416" s="60"/>
      <c r="F416" s="60"/>
      <c r="G416" s="60"/>
      <c r="H416" s="60"/>
      <c r="I416" s="61"/>
    </row>
    <row r="417" spans="1:9" ht="21" hidden="1" x14ac:dyDescent="0.3">
      <c r="A417" s="30"/>
      <c r="B417" s="31"/>
      <c r="C417" s="31"/>
      <c r="D417" s="31"/>
      <c r="E417" s="31"/>
      <c r="F417" s="31"/>
      <c r="G417" s="31"/>
      <c r="H417" s="31"/>
      <c r="I417" s="26"/>
    </row>
    <row r="418" spans="1:9" ht="21" hidden="1" x14ac:dyDescent="0.3">
      <c r="A418" s="30"/>
      <c r="B418" s="31"/>
      <c r="C418" s="31"/>
      <c r="D418" s="31"/>
      <c r="E418" s="31"/>
      <c r="F418" s="31"/>
      <c r="G418" s="31"/>
      <c r="H418" s="31"/>
      <c r="I418" s="26"/>
    </row>
    <row r="419" spans="1:9" ht="21" hidden="1" x14ac:dyDescent="0.3">
      <c r="A419" s="30"/>
      <c r="B419" s="31"/>
      <c r="C419" s="31"/>
      <c r="D419" s="31"/>
      <c r="E419" s="31"/>
      <c r="F419" s="31"/>
      <c r="G419" s="31"/>
      <c r="H419" s="31"/>
      <c r="I419" s="26"/>
    </row>
    <row r="420" spans="1:9" ht="21" hidden="1" x14ac:dyDescent="0.3">
      <c r="A420" s="30"/>
      <c r="B420" s="31"/>
      <c r="C420" s="31"/>
      <c r="D420" s="31"/>
      <c r="E420" s="31"/>
      <c r="F420" s="31"/>
      <c r="G420" s="31"/>
      <c r="H420" s="31"/>
      <c r="I420" s="26"/>
    </row>
    <row r="421" spans="1:9" ht="21" hidden="1" x14ac:dyDescent="0.3">
      <c r="A421" s="30"/>
      <c r="B421" s="31"/>
      <c r="C421" s="31"/>
      <c r="D421" s="31"/>
      <c r="E421" s="31"/>
      <c r="F421" s="31"/>
      <c r="G421" s="31"/>
      <c r="H421" s="31"/>
      <c r="I421" s="26"/>
    </row>
    <row r="422" spans="1:9" ht="21" hidden="1" x14ac:dyDescent="0.3">
      <c r="A422" s="30"/>
      <c r="B422" s="31"/>
      <c r="C422" s="31"/>
      <c r="D422" s="31"/>
      <c r="E422" s="31"/>
      <c r="F422" s="31"/>
      <c r="G422" s="31"/>
      <c r="H422" s="31"/>
      <c r="I422" s="26"/>
    </row>
    <row r="423" spans="1:9" ht="21" hidden="1" x14ac:dyDescent="0.3">
      <c r="A423" s="30"/>
      <c r="B423" s="31"/>
      <c r="C423" s="31"/>
      <c r="D423" s="31"/>
      <c r="E423" s="31"/>
      <c r="F423" s="31"/>
      <c r="G423" s="31"/>
      <c r="H423" s="31"/>
      <c r="I423" s="26"/>
    </row>
    <row r="424" spans="1:9" ht="21" hidden="1" x14ac:dyDescent="0.3">
      <c r="A424" s="30"/>
      <c r="B424" s="31"/>
      <c r="C424" s="31"/>
      <c r="D424" s="31"/>
      <c r="E424" s="31"/>
      <c r="F424" s="31"/>
      <c r="G424" s="31"/>
      <c r="H424" s="31"/>
      <c r="I424" s="26"/>
    </row>
    <row r="425" spans="1:9" ht="21" x14ac:dyDescent="0.3">
      <c r="A425" s="125" t="s">
        <v>81</v>
      </c>
      <c r="B425" s="126"/>
      <c r="C425" s="126"/>
      <c r="D425" s="126"/>
      <c r="E425" s="126"/>
      <c r="F425" s="126"/>
      <c r="G425" s="126"/>
      <c r="H425" s="126"/>
      <c r="I425" s="127"/>
    </row>
    <row r="426" spans="1:9" ht="21" x14ac:dyDescent="0.3">
      <c r="A426" s="28"/>
      <c r="B426" s="29"/>
      <c r="C426" s="29"/>
      <c r="D426" s="29"/>
      <c r="E426" s="29"/>
      <c r="F426" s="29"/>
      <c r="G426" s="29"/>
      <c r="H426" s="29"/>
      <c r="I426" s="25"/>
    </row>
    <row r="427" spans="1:9" ht="21" x14ac:dyDescent="0.3">
      <c r="A427" s="30"/>
      <c r="B427" s="31"/>
      <c r="C427" s="31"/>
      <c r="D427" s="31"/>
      <c r="E427" s="31"/>
      <c r="F427" s="31"/>
      <c r="G427" s="31"/>
      <c r="H427" s="31"/>
      <c r="I427" s="26"/>
    </row>
    <row r="428" spans="1:9" ht="21" x14ac:dyDescent="0.3">
      <c r="A428" s="30"/>
      <c r="B428" s="31"/>
      <c r="C428" s="31"/>
      <c r="D428" s="31"/>
      <c r="E428" s="31"/>
      <c r="F428" s="31"/>
      <c r="G428" s="31"/>
      <c r="H428" s="31"/>
      <c r="I428" s="26"/>
    </row>
    <row r="429" spans="1:9" ht="21" x14ac:dyDescent="0.3">
      <c r="A429" s="30"/>
      <c r="B429" s="31"/>
      <c r="C429" s="31"/>
      <c r="D429" s="31"/>
      <c r="E429" s="31"/>
      <c r="F429" s="31"/>
      <c r="G429" s="31"/>
      <c r="H429" s="31"/>
      <c r="I429" s="26"/>
    </row>
    <row r="430" spans="1:9" ht="21" x14ac:dyDescent="0.3">
      <c r="A430" s="30"/>
      <c r="B430" s="31"/>
      <c r="C430" s="31"/>
      <c r="D430" s="31"/>
      <c r="E430" s="31"/>
      <c r="F430" s="31"/>
      <c r="G430" s="31"/>
      <c r="H430" s="31"/>
      <c r="I430" s="26"/>
    </row>
    <row r="431" spans="1:9" ht="21" x14ac:dyDescent="0.3">
      <c r="A431" s="30"/>
      <c r="B431" s="31"/>
      <c r="C431" s="31"/>
      <c r="D431" s="31"/>
      <c r="E431" s="31"/>
      <c r="F431" s="31"/>
      <c r="G431" s="31"/>
      <c r="H431" s="31"/>
      <c r="I431" s="26"/>
    </row>
    <row r="432" spans="1:9" ht="21" x14ac:dyDescent="0.3">
      <c r="A432" s="30"/>
      <c r="B432" s="31"/>
      <c r="C432" s="31"/>
      <c r="D432" s="31"/>
      <c r="E432" s="31"/>
      <c r="F432" s="31"/>
      <c r="G432" s="31"/>
      <c r="H432" s="31"/>
      <c r="I432" s="26"/>
    </row>
    <row r="433" spans="1:9" ht="21" x14ac:dyDescent="0.3">
      <c r="A433" s="30"/>
      <c r="B433" s="31"/>
      <c r="C433" s="31"/>
      <c r="D433" s="31"/>
      <c r="E433" s="31"/>
      <c r="F433" s="31"/>
      <c r="G433" s="31"/>
      <c r="H433" s="31"/>
      <c r="I433" s="26"/>
    </row>
    <row r="434" spans="1:9" ht="21" x14ac:dyDescent="0.3">
      <c r="A434" s="30"/>
      <c r="B434" s="31"/>
      <c r="C434" s="31"/>
      <c r="D434" s="31"/>
      <c r="E434" s="31"/>
      <c r="F434" s="31"/>
      <c r="G434" s="31"/>
      <c r="H434" s="31"/>
      <c r="I434" s="26"/>
    </row>
    <row r="435" spans="1:9" ht="21" x14ac:dyDescent="0.3">
      <c r="A435" s="30"/>
      <c r="B435" s="31"/>
      <c r="C435" s="31"/>
      <c r="D435" s="31"/>
      <c r="E435" s="31"/>
      <c r="F435" s="31"/>
      <c r="G435" s="31"/>
      <c r="H435" s="31"/>
      <c r="I435" s="26"/>
    </row>
    <row r="436" spans="1:9" ht="21" x14ac:dyDescent="0.3">
      <c r="A436" s="30"/>
      <c r="B436" s="31"/>
      <c r="C436" s="31"/>
      <c r="D436" s="31"/>
      <c r="E436" s="31"/>
      <c r="F436" s="31"/>
      <c r="G436" s="31"/>
      <c r="H436" s="31"/>
      <c r="I436" s="26"/>
    </row>
    <row r="437" spans="1:9" ht="21" x14ac:dyDescent="0.3">
      <c r="A437" s="30"/>
      <c r="B437" s="31"/>
      <c r="C437" s="31"/>
      <c r="D437" s="31"/>
      <c r="E437" s="31"/>
      <c r="F437" s="31"/>
      <c r="G437" s="31"/>
      <c r="H437" s="31"/>
      <c r="I437" s="26"/>
    </row>
    <row r="438" spans="1:9" ht="21" x14ac:dyDescent="0.3">
      <c r="A438" s="30"/>
      <c r="B438" s="31"/>
      <c r="C438" s="31"/>
      <c r="D438" s="31"/>
      <c r="E438" s="31"/>
      <c r="F438" s="31"/>
      <c r="G438" s="31"/>
      <c r="H438" s="31"/>
      <c r="I438" s="26"/>
    </row>
    <row r="439" spans="1:9" ht="21" x14ac:dyDescent="0.3">
      <c r="A439" s="30"/>
      <c r="B439" s="31"/>
      <c r="C439" s="31"/>
      <c r="D439" s="31"/>
      <c r="E439" s="31"/>
      <c r="F439" s="31"/>
      <c r="G439" s="31"/>
      <c r="H439" s="31"/>
      <c r="I439" s="26"/>
    </row>
    <row r="440" spans="1:9" ht="21" x14ac:dyDescent="0.3">
      <c r="A440" s="30"/>
      <c r="B440" s="31"/>
      <c r="C440" s="31"/>
      <c r="D440" s="31"/>
      <c r="E440" s="31"/>
      <c r="F440" s="31"/>
      <c r="G440" s="31"/>
      <c r="H440" s="31"/>
      <c r="I440" s="26"/>
    </row>
    <row r="441" spans="1:9" ht="21" x14ac:dyDescent="0.3">
      <c r="A441" s="30"/>
      <c r="B441" s="31"/>
      <c r="C441" s="31"/>
      <c r="D441" s="31"/>
      <c r="E441" s="31"/>
      <c r="F441" s="31"/>
      <c r="G441" s="31"/>
      <c r="H441" s="31"/>
      <c r="I441" s="26"/>
    </row>
    <row r="442" spans="1:9" ht="21" x14ac:dyDescent="0.3">
      <c r="A442" s="30"/>
      <c r="B442" s="31"/>
      <c r="C442" s="31"/>
      <c r="D442" s="31"/>
      <c r="E442" s="31"/>
      <c r="F442" s="31"/>
      <c r="G442" s="31"/>
      <c r="H442" s="31"/>
      <c r="I442" s="26"/>
    </row>
    <row r="443" spans="1:9" ht="21" x14ac:dyDescent="0.3">
      <c r="A443" s="30"/>
      <c r="B443" s="31"/>
      <c r="C443" s="31"/>
      <c r="D443" s="31"/>
      <c r="E443" s="31"/>
      <c r="F443" s="31"/>
      <c r="G443" s="31"/>
      <c r="H443" s="31"/>
      <c r="I443" s="26"/>
    </row>
    <row r="444" spans="1:9" ht="21" x14ac:dyDescent="0.3">
      <c r="A444" s="30"/>
      <c r="B444" s="31"/>
      <c r="C444" s="31"/>
      <c r="D444" s="31"/>
      <c r="E444" s="31"/>
      <c r="F444" s="31"/>
      <c r="G444" s="31"/>
      <c r="H444" s="31"/>
      <c r="I444" s="26"/>
    </row>
    <row r="445" spans="1:9" ht="21" x14ac:dyDescent="0.3">
      <c r="A445" s="30"/>
      <c r="B445" s="31"/>
      <c r="C445" s="31"/>
      <c r="D445" s="31"/>
      <c r="E445" s="31"/>
      <c r="F445" s="31"/>
      <c r="G445" s="31"/>
      <c r="H445" s="31"/>
      <c r="I445" s="26"/>
    </row>
    <row r="446" spans="1:9" ht="21" x14ac:dyDescent="0.3">
      <c r="A446" s="30"/>
      <c r="B446" s="31"/>
      <c r="C446" s="31"/>
      <c r="D446" s="31"/>
      <c r="E446" s="31"/>
      <c r="F446" s="31"/>
      <c r="G446" s="31"/>
      <c r="H446" s="31"/>
      <c r="I446" s="26"/>
    </row>
    <row r="447" spans="1:9" ht="21" x14ac:dyDescent="0.3">
      <c r="A447" s="30"/>
      <c r="B447" s="31"/>
      <c r="C447" s="31"/>
      <c r="D447" s="31"/>
      <c r="E447" s="31"/>
      <c r="F447" s="31"/>
      <c r="G447" s="31"/>
      <c r="H447" s="31"/>
      <c r="I447" s="26"/>
    </row>
    <row r="448" spans="1:9" ht="21" x14ac:dyDescent="0.3">
      <c r="A448" s="30"/>
      <c r="B448" s="31"/>
      <c r="C448" s="31"/>
      <c r="D448" s="31"/>
      <c r="E448" s="31"/>
      <c r="F448" s="31"/>
      <c r="G448" s="31"/>
      <c r="H448" s="31"/>
      <c r="I448" s="26"/>
    </row>
    <row r="449" spans="1:9" ht="21" x14ac:dyDescent="0.3">
      <c r="A449" s="30"/>
      <c r="B449" s="31"/>
      <c r="C449" s="31"/>
      <c r="D449" s="31"/>
      <c r="E449" s="31"/>
      <c r="F449" s="31"/>
      <c r="G449" s="31"/>
      <c r="H449" s="31"/>
      <c r="I449" s="26"/>
    </row>
    <row r="450" spans="1:9" ht="21" x14ac:dyDescent="0.3">
      <c r="A450" s="30"/>
      <c r="B450" s="31"/>
      <c r="C450" s="31"/>
      <c r="D450" s="31"/>
      <c r="E450" s="31"/>
      <c r="F450" s="31"/>
      <c r="G450" s="31"/>
      <c r="H450" s="31"/>
      <c r="I450" s="26"/>
    </row>
    <row r="451" spans="1:9" ht="21" x14ac:dyDescent="0.3">
      <c r="A451" s="30"/>
      <c r="B451" s="31"/>
      <c r="C451" s="31"/>
      <c r="D451" s="31"/>
      <c r="E451" s="31"/>
      <c r="F451" s="31"/>
      <c r="G451" s="31"/>
      <c r="H451" s="31"/>
      <c r="I451" s="26"/>
    </row>
    <row r="452" spans="1:9" ht="21" x14ac:dyDescent="0.3">
      <c r="A452" s="30"/>
      <c r="B452" s="31"/>
      <c r="C452" s="31"/>
      <c r="D452" s="31"/>
      <c r="E452" s="31"/>
      <c r="F452" s="31"/>
      <c r="G452" s="31"/>
      <c r="H452" s="31"/>
      <c r="I452" s="26"/>
    </row>
    <row r="453" spans="1:9" ht="21" x14ac:dyDescent="0.3">
      <c r="A453" s="30"/>
      <c r="B453" s="31"/>
      <c r="C453" s="31"/>
      <c r="D453" s="31"/>
      <c r="E453" s="31"/>
      <c r="F453" s="31"/>
      <c r="G453" s="31"/>
      <c r="H453" s="31"/>
      <c r="I453" s="26"/>
    </row>
    <row r="454" spans="1:9" ht="21" x14ac:dyDescent="0.3">
      <c r="A454" s="30"/>
      <c r="B454" s="31"/>
      <c r="C454" s="31"/>
      <c r="D454" s="31"/>
      <c r="E454" s="31"/>
      <c r="F454" s="31"/>
      <c r="G454" s="31"/>
      <c r="H454" s="31"/>
      <c r="I454" s="26"/>
    </row>
    <row r="455" spans="1:9" ht="21" x14ac:dyDescent="0.3">
      <c r="A455" s="30"/>
      <c r="B455" s="31"/>
      <c r="C455" s="31"/>
      <c r="D455" s="31"/>
      <c r="E455" s="31"/>
      <c r="F455" s="31"/>
      <c r="G455" s="31"/>
      <c r="H455" s="31"/>
      <c r="I455" s="26"/>
    </row>
    <row r="456" spans="1:9" ht="21" x14ac:dyDescent="0.3">
      <c r="A456" s="76" t="s">
        <v>27</v>
      </c>
      <c r="B456" s="76"/>
      <c r="C456" s="76"/>
      <c r="D456" s="76"/>
      <c r="E456" s="76"/>
      <c r="F456" s="76"/>
      <c r="G456" s="76"/>
      <c r="H456" s="76"/>
      <c r="I456" s="76"/>
    </row>
    <row r="457" spans="1:9" ht="21" x14ac:dyDescent="0.3">
      <c r="A457" s="147" t="s">
        <v>83</v>
      </c>
      <c r="B457" s="148"/>
      <c r="C457" s="148"/>
      <c r="D457" s="148"/>
      <c r="E457" s="148"/>
      <c r="F457" s="148"/>
      <c r="G457" s="148"/>
      <c r="H457" s="148"/>
      <c r="I457" s="149"/>
    </row>
    <row r="458" spans="1:9" ht="21" x14ac:dyDescent="0.3">
      <c r="A458" s="150" t="s">
        <v>84</v>
      </c>
      <c r="B458" s="151"/>
      <c r="C458" s="151"/>
      <c r="D458" s="151"/>
      <c r="E458" s="151"/>
      <c r="F458" s="151"/>
      <c r="G458" s="151"/>
      <c r="H458" s="151"/>
      <c r="I458" s="152"/>
    </row>
    <row r="459" spans="1:9" ht="45" customHeight="1" x14ac:dyDescent="0.3">
      <c r="A459" s="150" t="s">
        <v>85</v>
      </c>
      <c r="B459" s="151"/>
      <c r="C459" s="151"/>
      <c r="D459" s="151"/>
      <c r="E459" s="151"/>
      <c r="F459" s="151"/>
      <c r="G459" s="151"/>
      <c r="H459" s="151"/>
      <c r="I459" s="152"/>
    </row>
    <row r="460" spans="1:9" ht="42.75" customHeight="1" x14ac:dyDescent="0.3">
      <c r="A460" s="150" t="s">
        <v>86</v>
      </c>
      <c r="B460" s="151"/>
      <c r="C460" s="151"/>
      <c r="D460" s="151"/>
      <c r="E460" s="151"/>
      <c r="F460" s="151"/>
      <c r="G460" s="151"/>
      <c r="H460" s="151"/>
      <c r="I460" s="152"/>
    </row>
    <row r="461" spans="1:9" ht="21" x14ac:dyDescent="0.3">
      <c r="A461" s="150" t="s">
        <v>87</v>
      </c>
      <c r="B461" s="151"/>
      <c r="C461" s="151"/>
      <c r="D461" s="151"/>
      <c r="E461" s="151"/>
      <c r="F461" s="151"/>
      <c r="G461" s="151"/>
      <c r="H461" s="151"/>
      <c r="I461" s="152"/>
    </row>
    <row r="462" spans="1:9" ht="21" x14ac:dyDescent="0.3">
      <c r="A462" s="150" t="s">
        <v>88</v>
      </c>
      <c r="B462" s="151"/>
      <c r="C462" s="151"/>
      <c r="D462" s="151"/>
      <c r="E462" s="151"/>
      <c r="F462" s="151"/>
      <c r="G462" s="151"/>
      <c r="H462" s="151"/>
      <c r="I462" s="152"/>
    </row>
    <row r="463" spans="1:9" ht="45" customHeight="1" x14ac:dyDescent="0.3">
      <c r="A463" s="150" t="s">
        <v>89</v>
      </c>
      <c r="B463" s="151"/>
      <c r="C463" s="151"/>
      <c r="D463" s="151"/>
      <c r="E463" s="151"/>
      <c r="F463" s="151"/>
      <c r="G463" s="151"/>
      <c r="H463" s="151"/>
      <c r="I463" s="152"/>
    </row>
    <row r="464" spans="1:9" ht="45" hidden="1" customHeight="1" x14ac:dyDescent="0.3">
      <c r="A464" s="150" t="s">
        <v>90</v>
      </c>
      <c r="B464" s="151"/>
      <c r="C464" s="151"/>
      <c r="D464" s="151"/>
      <c r="E464" s="151"/>
      <c r="F464" s="151"/>
      <c r="G464" s="151"/>
      <c r="H464" s="151"/>
      <c r="I464" s="152"/>
    </row>
    <row r="465" spans="1:9" ht="21" hidden="1" x14ac:dyDescent="0.3">
      <c r="A465" s="153" t="s">
        <v>91</v>
      </c>
      <c r="B465" s="154"/>
      <c r="C465" s="154"/>
      <c r="D465" s="154"/>
      <c r="E465" s="154"/>
      <c r="F465" s="154"/>
      <c r="G465" s="154"/>
      <c r="H465" s="154"/>
      <c r="I465" s="155"/>
    </row>
    <row r="466" spans="1:9" ht="70.5" customHeight="1" x14ac:dyDescent="0.3">
      <c r="A466" s="145" t="s">
        <v>33</v>
      </c>
      <c r="B466" s="145"/>
      <c r="C466" s="145"/>
      <c r="D466" s="2" t="s">
        <v>4</v>
      </c>
      <c r="E466" s="50" t="s">
        <v>256</v>
      </c>
      <c r="F466" s="13" t="s">
        <v>10</v>
      </c>
      <c r="G466" s="2" t="s">
        <v>4</v>
      </c>
      <c r="H466" s="136"/>
      <c r="I466" s="136"/>
    </row>
  </sheetData>
  <mergeCells count="737">
    <mergeCell ref="A358:I358"/>
    <mergeCell ref="A359:B366"/>
    <mergeCell ref="C359:D359"/>
    <mergeCell ref="F359:G359"/>
    <mergeCell ref="C360:D360"/>
    <mergeCell ref="F360:G360"/>
    <mergeCell ref="C361:D361"/>
    <mergeCell ref="F361:G361"/>
    <mergeCell ref="C362:D362"/>
    <mergeCell ref="F362:G362"/>
    <mergeCell ref="C363:D363"/>
    <mergeCell ref="F363:G363"/>
    <mergeCell ref="C364:D364"/>
    <mergeCell ref="F364:G364"/>
    <mergeCell ref="C365:D365"/>
    <mergeCell ref="F365:G365"/>
    <mergeCell ref="C366:D366"/>
    <mergeCell ref="F366:G366"/>
    <mergeCell ref="A349:I349"/>
    <mergeCell ref="A350:B357"/>
    <mergeCell ref="C350:D350"/>
    <mergeCell ref="E350:I351"/>
    <mergeCell ref="C351:D351"/>
    <mergeCell ref="C352:D352"/>
    <mergeCell ref="F352:G352"/>
    <mergeCell ref="C353:D353"/>
    <mergeCell ref="F353:G353"/>
    <mergeCell ref="C354:D354"/>
    <mergeCell ref="F354:G354"/>
    <mergeCell ref="C355:D355"/>
    <mergeCell ref="F355:G355"/>
    <mergeCell ref="C356:D356"/>
    <mergeCell ref="F356:G356"/>
    <mergeCell ref="C357:D357"/>
    <mergeCell ref="F357:G357"/>
    <mergeCell ref="A340:I340"/>
    <mergeCell ref="A341:B348"/>
    <mergeCell ref="C341:D341"/>
    <mergeCell ref="F341:G341"/>
    <mergeCell ref="C342:D342"/>
    <mergeCell ref="F342:G342"/>
    <mergeCell ref="C343:D343"/>
    <mergeCell ref="F343:G343"/>
    <mergeCell ref="C344:D344"/>
    <mergeCell ref="F344:G344"/>
    <mergeCell ref="C345:D345"/>
    <mergeCell ref="F345:G345"/>
    <mergeCell ref="C346:D346"/>
    <mergeCell ref="F346:G346"/>
    <mergeCell ref="C347:D347"/>
    <mergeCell ref="F347:G347"/>
    <mergeCell ref="C348:D348"/>
    <mergeCell ref="F348:G348"/>
    <mergeCell ref="A331:I331"/>
    <mergeCell ref="A332:B339"/>
    <mergeCell ref="C332:D332"/>
    <mergeCell ref="E332:I333"/>
    <mergeCell ref="C333:D333"/>
    <mergeCell ref="C334:D334"/>
    <mergeCell ref="F334:G334"/>
    <mergeCell ref="C335:D335"/>
    <mergeCell ref="F335:G335"/>
    <mergeCell ref="C336:D336"/>
    <mergeCell ref="F336:G336"/>
    <mergeCell ref="C337:D337"/>
    <mergeCell ref="F337:G337"/>
    <mergeCell ref="C338:D338"/>
    <mergeCell ref="F338:G338"/>
    <mergeCell ref="C339:D339"/>
    <mergeCell ref="F339:G339"/>
    <mergeCell ref="A323:B330"/>
    <mergeCell ref="C323:D323"/>
    <mergeCell ref="C324:D324"/>
    <mergeCell ref="C325:D325"/>
    <mergeCell ref="F325:G325"/>
    <mergeCell ref="C326:D326"/>
    <mergeCell ref="F326:G326"/>
    <mergeCell ref="C327:D327"/>
    <mergeCell ref="F327:G327"/>
    <mergeCell ref="C328:D328"/>
    <mergeCell ref="F328:G328"/>
    <mergeCell ref="C329:D329"/>
    <mergeCell ref="F329:G329"/>
    <mergeCell ref="C330:D330"/>
    <mergeCell ref="F330:G330"/>
    <mergeCell ref="F323:G323"/>
    <mergeCell ref="F324:G324"/>
    <mergeCell ref="A322:I322"/>
    <mergeCell ref="A247:I247"/>
    <mergeCell ref="A248:B255"/>
    <mergeCell ref="C248:D248"/>
    <mergeCell ref="F248:G248"/>
    <mergeCell ref="C249:D249"/>
    <mergeCell ref="F249:G249"/>
    <mergeCell ref="C250:D250"/>
    <mergeCell ref="F250:G250"/>
    <mergeCell ref="C251:D251"/>
    <mergeCell ref="F251:G251"/>
    <mergeCell ref="C252:D252"/>
    <mergeCell ref="F252:G252"/>
    <mergeCell ref="C253:D253"/>
    <mergeCell ref="F253:G253"/>
    <mergeCell ref="C254:D254"/>
    <mergeCell ref="F259:G259"/>
    <mergeCell ref="C260:D260"/>
    <mergeCell ref="F260:G260"/>
    <mergeCell ref="C261:D261"/>
    <mergeCell ref="F261:G261"/>
    <mergeCell ref="C262:D262"/>
    <mergeCell ref="F262:G262"/>
    <mergeCell ref="C263:D263"/>
    <mergeCell ref="A132:C132"/>
    <mergeCell ref="A143:B143"/>
    <mergeCell ref="C273:D273"/>
    <mergeCell ref="C229:D229"/>
    <mergeCell ref="F229:G229"/>
    <mergeCell ref="C230:D230"/>
    <mergeCell ref="F230:G230"/>
    <mergeCell ref="C231:D231"/>
    <mergeCell ref="E263:I264"/>
    <mergeCell ref="C264:D264"/>
    <mergeCell ref="A237:I237"/>
    <mergeCell ref="C271:D271"/>
    <mergeCell ref="F271:G271"/>
    <mergeCell ref="C245:D245"/>
    <mergeCell ref="C246:D246"/>
    <mergeCell ref="F206:G206"/>
    <mergeCell ref="C207:D207"/>
    <mergeCell ref="F207:G207"/>
    <mergeCell ref="E205:I205"/>
    <mergeCell ref="C227:D227"/>
    <mergeCell ref="F231:G231"/>
    <mergeCell ref="F301:G301"/>
    <mergeCell ref="A312:I312"/>
    <mergeCell ref="C315:D315"/>
    <mergeCell ref="C316:D316"/>
    <mergeCell ref="C320:D320"/>
    <mergeCell ref="F235:G235"/>
    <mergeCell ref="C236:D236"/>
    <mergeCell ref="C300:D300"/>
    <mergeCell ref="F300:G300"/>
    <mergeCell ref="A268:B275"/>
    <mergeCell ref="A286:B293"/>
    <mergeCell ref="A295:B302"/>
    <mergeCell ref="F269:G269"/>
    <mergeCell ref="F270:G270"/>
    <mergeCell ref="E268:I268"/>
    <mergeCell ref="E273:I273"/>
    <mergeCell ref="C274:D274"/>
    <mergeCell ref="E274:I275"/>
    <mergeCell ref="C275:D275"/>
    <mergeCell ref="F254:G254"/>
    <mergeCell ref="C255:D255"/>
    <mergeCell ref="F255:G255"/>
    <mergeCell ref="A256:I256"/>
    <mergeCell ref="A257:B264"/>
    <mergeCell ref="C317:D317"/>
    <mergeCell ref="F281:G281"/>
    <mergeCell ref="F299:G299"/>
    <mergeCell ref="A267:I267"/>
    <mergeCell ref="C304:D304"/>
    <mergeCell ref="A314:B321"/>
    <mergeCell ref="A304:B311"/>
    <mergeCell ref="A277:B284"/>
    <mergeCell ref="C283:D283"/>
    <mergeCell ref="E283:I284"/>
    <mergeCell ref="C284:D284"/>
    <mergeCell ref="C281:D281"/>
    <mergeCell ref="C321:D321"/>
    <mergeCell ref="F321:G321"/>
    <mergeCell ref="F277:G277"/>
    <mergeCell ref="F317:G317"/>
    <mergeCell ref="C318:D318"/>
    <mergeCell ref="F318:G318"/>
    <mergeCell ref="C319:D319"/>
    <mergeCell ref="F319:G319"/>
    <mergeCell ref="A313:I313"/>
    <mergeCell ref="C314:D314"/>
    <mergeCell ref="E314:I315"/>
    <mergeCell ref="C301:D301"/>
    <mergeCell ref="F320:G320"/>
    <mergeCell ref="A266:I266"/>
    <mergeCell ref="F292:G292"/>
    <mergeCell ref="C293:D293"/>
    <mergeCell ref="F293:G293"/>
    <mergeCell ref="C298:D298"/>
    <mergeCell ref="F298:G298"/>
    <mergeCell ref="C299:D299"/>
    <mergeCell ref="F316:G316"/>
    <mergeCell ref="C302:D302"/>
    <mergeCell ref="F302:G302"/>
    <mergeCell ref="C270:D270"/>
    <mergeCell ref="C269:D269"/>
    <mergeCell ref="C268:D268"/>
    <mergeCell ref="E295:I296"/>
    <mergeCell ref="A276:I276"/>
    <mergeCell ref="C277:D277"/>
    <mergeCell ref="C278:D278"/>
    <mergeCell ref="F278:G278"/>
    <mergeCell ref="F304:G304"/>
    <mergeCell ref="F291:G291"/>
    <mergeCell ref="C305:D305"/>
    <mergeCell ref="F305:G305"/>
    <mergeCell ref="C306:D306"/>
    <mergeCell ref="C272:D272"/>
    <mergeCell ref="F272:G272"/>
    <mergeCell ref="E245:I246"/>
    <mergeCell ref="F241:G241"/>
    <mergeCell ref="C242:D242"/>
    <mergeCell ref="F242:G242"/>
    <mergeCell ref="C243:D243"/>
    <mergeCell ref="F243:G243"/>
    <mergeCell ref="F236:G236"/>
    <mergeCell ref="C258:D258"/>
    <mergeCell ref="F258:G258"/>
    <mergeCell ref="C259:D259"/>
    <mergeCell ref="C234:D234"/>
    <mergeCell ref="F234:G234"/>
    <mergeCell ref="A265:I265"/>
    <mergeCell ref="C239:D239"/>
    <mergeCell ref="F239:G239"/>
    <mergeCell ref="C240:D240"/>
    <mergeCell ref="F240:G240"/>
    <mergeCell ref="C241:D241"/>
    <mergeCell ref="A239:B246"/>
    <mergeCell ref="A229:B236"/>
    <mergeCell ref="F233:G233"/>
    <mergeCell ref="C257:D257"/>
    <mergeCell ref="F257:G257"/>
    <mergeCell ref="C235:D235"/>
    <mergeCell ref="H14:I14"/>
    <mergeCell ref="G38:H38"/>
    <mergeCell ref="A39:C39"/>
    <mergeCell ref="A45:B45"/>
    <mergeCell ref="C45:D45"/>
    <mergeCell ref="E45:G45"/>
    <mergeCell ref="C28:E28"/>
    <mergeCell ref="H16:I16"/>
    <mergeCell ref="H17:I17"/>
    <mergeCell ref="H15:I15"/>
    <mergeCell ref="H18:I18"/>
    <mergeCell ref="H19:I19"/>
    <mergeCell ref="H31:I31"/>
    <mergeCell ref="H22:I22"/>
    <mergeCell ref="G39:H39"/>
    <mergeCell ref="C29:E29"/>
    <mergeCell ref="C30:E30"/>
    <mergeCell ref="C31:E31"/>
    <mergeCell ref="C32:I32"/>
    <mergeCell ref="A34:C34"/>
    <mergeCell ref="H34:I34"/>
    <mergeCell ref="C23:I23"/>
    <mergeCell ref="H36:I36"/>
    <mergeCell ref="A36:C36"/>
    <mergeCell ref="C368:I368"/>
    <mergeCell ref="A367:I367"/>
    <mergeCell ref="A128:I128"/>
    <mergeCell ref="A129:C129"/>
    <mergeCell ref="H129:I129"/>
    <mergeCell ref="C167:D167"/>
    <mergeCell ref="A63:I63"/>
    <mergeCell ref="A114:B114"/>
    <mergeCell ref="F113:G113"/>
    <mergeCell ref="A165:I165"/>
    <mergeCell ref="C166:D166"/>
    <mergeCell ref="F166:G166"/>
    <mergeCell ref="C223:D223"/>
    <mergeCell ref="F223:G223"/>
    <mergeCell ref="C224:D224"/>
    <mergeCell ref="F224:G224"/>
    <mergeCell ref="A219:I219"/>
    <mergeCell ref="C244:D244"/>
    <mergeCell ref="F244:G244"/>
    <mergeCell ref="A238:I238"/>
    <mergeCell ref="C279:D279"/>
    <mergeCell ref="F279:G279"/>
    <mergeCell ref="C280:D280"/>
    <mergeCell ref="F280:G280"/>
    <mergeCell ref="G3:H3"/>
    <mergeCell ref="G4:H4"/>
    <mergeCell ref="H46:I46"/>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14:E14"/>
    <mergeCell ref="C15:E15"/>
    <mergeCell ref="C24:I24"/>
    <mergeCell ref="A1:I1"/>
    <mergeCell ref="A4:C4"/>
    <mergeCell ref="A370:C370"/>
    <mergeCell ref="H27:I27"/>
    <mergeCell ref="H28:I28"/>
    <mergeCell ref="A37:I37"/>
    <mergeCell ref="H61:I61"/>
    <mergeCell ref="A42:I42"/>
    <mergeCell ref="A48:I48"/>
    <mergeCell ref="A142:I142"/>
    <mergeCell ref="H140:I140"/>
    <mergeCell ref="A2:C2"/>
    <mergeCell ref="E2:F2"/>
    <mergeCell ref="A41:C41"/>
    <mergeCell ref="H41:I41"/>
    <mergeCell ref="E4:F4"/>
    <mergeCell ref="E12:I12"/>
    <mergeCell ref="A6:C6"/>
    <mergeCell ref="A7:C7"/>
    <mergeCell ref="A8:C8"/>
    <mergeCell ref="E8:I8"/>
    <mergeCell ref="H7:I7"/>
    <mergeCell ref="E9:I9"/>
    <mergeCell ref="G2:H2"/>
    <mergeCell ref="A466:C466"/>
    <mergeCell ref="H466:I466"/>
    <mergeCell ref="A369:I369"/>
    <mergeCell ref="E371:I371"/>
    <mergeCell ref="A457:I457"/>
    <mergeCell ref="A463:I463"/>
    <mergeCell ref="A464:I464"/>
    <mergeCell ref="A465:I465"/>
    <mergeCell ref="A458:I458"/>
    <mergeCell ref="A459:I459"/>
    <mergeCell ref="A460:I460"/>
    <mergeCell ref="A461:I461"/>
    <mergeCell ref="A371:C371"/>
    <mergeCell ref="A456:I456"/>
    <mergeCell ref="A462:I462"/>
    <mergeCell ref="A425:I425"/>
    <mergeCell ref="E370:I370"/>
    <mergeCell ref="A372:C372"/>
    <mergeCell ref="E372:I372"/>
    <mergeCell ref="H35:I35"/>
    <mergeCell ref="C26:E26"/>
    <mergeCell ref="C27:E27"/>
    <mergeCell ref="C16:E16"/>
    <mergeCell ref="C17:E17"/>
    <mergeCell ref="C18:E18"/>
    <mergeCell ref="C19:E19"/>
    <mergeCell ref="A35:C35"/>
    <mergeCell ref="C20:E20"/>
    <mergeCell ref="C21:E21"/>
    <mergeCell ref="C22:E22"/>
    <mergeCell ref="H45:I45"/>
    <mergeCell ref="H44:I44"/>
    <mergeCell ref="A43:B43"/>
    <mergeCell ref="A44:B44"/>
    <mergeCell ref="A70:B70"/>
    <mergeCell ref="C70:D70"/>
    <mergeCell ref="A71:B71"/>
    <mergeCell ref="C71:D71"/>
    <mergeCell ref="A72:B72"/>
    <mergeCell ref="A47:B47"/>
    <mergeCell ref="C47:D47"/>
    <mergeCell ref="E47:G47"/>
    <mergeCell ref="C61:E61"/>
    <mergeCell ref="H67:I78"/>
    <mergeCell ref="A68:B68"/>
    <mergeCell ref="C68:D68"/>
    <mergeCell ref="A69:B69"/>
    <mergeCell ref="A64:C65"/>
    <mergeCell ref="D64:D65"/>
    <mergeCell ref="C72:D72"/>
    <mergeCell ref="A73:B73"/>
    <mergeCell ref="C73:D73"/>
    <mergeCell ref="F64:G64"/>
    <mergeCell ref="H62:I62"/>
    <mergeCell ref="A40:C40"/>
    <mergeCell ref="A38:C38"/>
    <mergeCell ref="A46:B46"/>
    <mergeCell ref="E44:G44"/>
    <mergeCell ref="E43:G43"/>
    <mergeCell ref="E46:G46"/>
    <mergeCell ref="C43:D43"/>
    <mergeCell ref="C44:D44"/>
    <mergeCell ref="C46:D46"/>
    <mergeCell ref="A138:I138"/>
    <mergeCell ref="A134:C134"/>
    <mergeCell ref="H134:I134"/>
    <mergeCell ref="A135:C135"/>
    <mergeCell ref="H135:I135"/>
    <mergeCell ref="A136:C136"/>
    <mergeCell ref="H136:I136"/>
    <mergeCell ref="A137:C137"/>
    <mergeCell ref="H137:I137"/>
    <mergeCell ref="A130:C130"/>
    <mergeCell ref="H130:I130"/>
    <mergeCell ref="H132:I132"/>
    <mergeCell ref="A133:C133"/>
    <mergeCell ref="C62:E62"/>
    <mergeCell ref="A76:B76"/>
    <mergeCell ref="C76:D76"/>
    <mergeCell ref="A77:B77"/>
    <mergeCell ref="C77:D77"/>
    <mergeCell ref="A78:B78"/>
    <mergeCell ref="C78:D78"/>
    <mergeCell ref="C69:D69"/>
    <mergeCell ref="A95:I95"/>
    <mergeCell ref="A115:B115"/>
    <mergeCell ref="A75:B75"/>
    <mergeCell ref="C84:D84"/>
    <mergeCell ref="A96:C97"/>
    <mergeCell ref="F97:G97"/>
    <mergeCell ref="A98:B98"/>
    <mergeCell ref="C98:D98"/>
    <mergeCell ref="F98:G98"/>
    <mergeCell ref="A99:B99"/>
    <mergeCell ref="C99:D99"/>
    <mergeCell ref="F99:G110"/>
    <mergeCell ref="F143:G143"/>
    <mergeCell ref="F144:G144"/>
    <mergeCell ref="F146:G146"/>
    <mergeCell ref="F148:G148"/>
    <mergeCell ref="A140:F140"/>
    <mergeCell ref="A141:F141"/>
    <mergeCell ref="A127:G127"/>
    <mergeCell ref="H127:I127"/>
    <mergeCell ref="H133:I133"/>
    <mergeCell ref="A131:C131"/>
    <mergeCell ref="H131:I131"/>
    <mergeCell ref="H141:I141"/>
    <mergeCell ref="H139:I139"/>
    <mergeCell ref="C143:D143"/>
    <mergeCell ref="A144:B144"/>
    <mergeCell ref="C144:D144"/>
    <mergeCell ref="A146:B146"/>
    <mergeCell ref="C146:D146"/>
    <mergeCell ref="A148:B148"/>
    <mergeCell ref="A139:F139"/>
    <mergeCell ref="C148:D148"/>
    <mergeCell ref="A145:B145"/>
    <mergeCell ref="C145:D145"/>
    <mergeCell ref="F145:G145"/>
    <mergeCell ref="E163:I163"/>
    <mergeCell ref="A156:B159"/>
    <mergeCell ref="A161:B164"/>
    <mergeCell ref="C174:D174"/>
    <mergeCell ref="F156:G156"/>
    <mergeCell ref="C157:D157"/>
    <mergeCell ref="C158:D158"/>
    <mergeCell ref="C173:D173"/>
    <mergeCell ref="C162:D162"/>
    <mergeCell ref="F162:G162"/>
    <mergeCell ref="A166:B169"/>
    <mergeCell ref="A171:B174"/>
    <mergeCell ref="F173:G173"/>
    <mergeCell ref="F161:G161"/>
    <mergeCell ref="C159:D159"/>
    <mergeCell ref="F159:G159"/>
    <mergeCell ref="E157:I157"/>
    <mergeCell ref="E158:I158"/>
    <mergeCell ref="A170:I170"/>
    <mergeCell ref="F167:G167"/>
    <mergeCell ref="C163:D163"/>
    <mergeCell ref="C164:D164"/>
    <mergeCell ref="A175:I175"/>
    <mergeCell ref="C176:D176"/>
    <mergeCell ref="C295:D295"/>
    <mergeCell ref="C296:D296"/>
    <mergeCell ref="C297:D297"/>
    <mergeCell ref="F297:G297"/>
    <mergeCell ref="A285:I285"/>
    <mergeCell ref="C286:D286"/>
    <mergeCell ref="F286:G286"/>
    <mergeCell ref="C287:D287"/>
    <mergeCell ref="F287:G287"/>
    <mergeCell ref="C288:D288"/>
    <mergeCell ref="F288:G288"/>
    <mergeCell ref="C292:D292"/>
    <mergeCell ref="C282:D282"/>
    <mergeCell ref="F282:G282"/>
    <mergeCell ref="C289:D289"/>
    <mergeCell ref="F289:G289"/>
    <mergeCell ref="C290:D290"/>
    <mergeCell ref="F290:G290"/>
    <mergeCell ref="F176:G176"/>
    <mergeCell ref="C291:D291"/>
    <mergeCell ref="F232:G232"/>
    <mergeCell ref="C233:D233"/>
    <mergeCell ref="F306:G306"/>
    <mergeCell ref="E177:I177"/>
    <mergeCell ref="F222:G222"/>
    <mergeCell ref="C220:D220"/>
    <mergeCell ref="C221:D221"/>
    <mergeCell ref="C222:D222"/>
    <mergeCell ref="A208:I208"/>
    <mergeCell ref="C179:D179"/>
    <mergeCell ref="A210:I210"/>
    <mergeCell ref="C217:D217"/>
    <mergeCell ref="F217:G217"/>
    <mergeCell ref="E211:I212"/>
    <mergeCell ref="E213:I213"/>
    <mergeCell ref="F179:G179"/>
    <mergeCell ref="C215:D215"/>
    <mergeCell ref="F215:G215"/>
    <mergeCell ref="C216:D216"/>
    <mergeCell ref="F216:G216"/>
    <mergeCell ref="C211:D211"/>
    <mergeCell ref="C212:D212"/>
    <mergeCell ref="C213:D213"/>
    <mergeCell ref="C214:D214"/>
    <mergeCell ref="A294:I294"/>
    <mergeCell ref="C232:D232"/>
    <mergeCell ref="C310:D310"/>
    <mergeCell ref="F310:G310"/>
    <mergeCell ref="C311:D311"/>
    <mergeCell ref="F311:G311"/>
    <mergeCell ref="H47:I47"/>
    <mergeCell ref="F112:G112"/>
    <mergeCell ref="A119:B119"/>
    <mergeCell ref="A120:B120"/>
    <mergeCell ref="A121:B121"/>
    <mergeCell ref="A122:B122"/>
    <mergeCell ref="A123:B123"/>
    <mergeCell ref="C307:D307"/>
    <mergeCell ref="F307:G307"/>
    <mergeCell ref="C308:D308"/>
    <mergeCell ref="F308:G308"/>
    <mergeCell ref="C309:D309"/>
    <mergeCell ref="F309:G309"/>
    <mergeCell ref="A303:I303"/>
    <mergeCell ref="C225:D225"/>
    <mergeCell ref="F225:G225"/>
    <mergeCell ref="C226:D226"/>
    <mergeCell ref="F226:G226"/>
    <mergeCell ref="E220:I221"/>
    <mergeCell ref="A228:I228"/>
    <mergeCell ref="H151:H152"/>
    <mergeCell ref="F151:G152"/>
    <mergeCell ref="A180:I180"/>
    <mergeCell ref="A181:I181"/>
    <mergeCell ref="A182:I182"/>
    <mergeCell ref="C183:D183"/>
    <mergeCell ref="C202:D202"/>
    <mergeCell ref="F202:G202"/>
    <mergeCell ref="F168:G168"/>
    <mergeCell ref="F174:G174"/>
    <mergeCell ref="A160:I160"/>
    <mergeCell ref="C161:D161"/>
    <mergeCell ref="A155:I155"/>
    <mergeCell ref="C156:D156"/>
    <mergeCell ref="E151:E152"/>
    <mergeCell ref="C151:D152"/>
    <mergeCell ref="A151:B152"/>
    <mergeCell ref="C169:D169"/>
    <mergeCell ref="F169:G169"/>
    <mergeCell ref="C168:D168"/>
    <mergeCell ref="C189:D189"/>
    <mergeCell ref="F189:G189"/>
    <mergeCell ref="C190:D190"/>
    <mergeCell ref="E190:I190"/>
    <mergeCell ref="A147:B147"/>
    <mergeCell ref="C147:D147"/>
    <mergeCell ref="F227:G227"/>
    <mergeCell ref="F147:G147"/>
    <mergeCell ref="A154:I154"/>
    <mergeCell ref="A209:I209"/>
    <mergeCell ref="A153:I153"/>
    <mergeCell ref="A150:I150"/>
    <mergeCell ref="F164:G164"/>
    <mergeCell ref="A220:B227"/>
    <mergeCell ref="C218:D218"/>
    <mergeCell ref="A211:B218"/>
    <mergeCell ref="E218:I218"/>
    <mergeCell ref="F214:G214"/>
    <mergeCell ref="A203:I203"/>
    <mergeCell ref="A204:B207"/>
    <mergeCell ref="C204:D204"/>
    <mergeCell ref="F204:G204"/>
    <mergeCell ref="C205:D205"/>
    <mergeCell ref="C206:D206"/>
    <mergeCell ref="A188:B191"/>
    <mergeCell ref="A193:B196"/>
    <mergeCell ref="A199:B202"/>
    <mergeCell ref="C201:D201"/>
    <mergeCell ref="F201:G201"/>
    <mergeCell ref="C171:D171"/>
    <mergeCell ref="F171:G171"/>
    <mergeCell ref="C172:D172"/>
    <mergeCell ref="C185:D185"/>
    <mergeCell ref="E185:I185"/>
    <mergeCell ref="C186:D186"/>
    <mergeCell ref="F186:G186"/>
    <mergeCell ref="A187:I187"/>
    <mergeCell ref="F183:G183"/>
    <mergeCell ref="C184:D184"/>
    <mergeCell ref="E184:I184"/>
    <mergeCell ref="E172:I172"/>
    <mergeCell ref="A176:B179"/>
    <mergeCell ref="A183:B186"/>
    <mergeCell ref="C177:D177"/>
    <mergeCell ref="C178:D178"/>
    <mergeCell ref="F178:G178"/>
    <mergeCell ref="C188:D188"/>
    <mergeCell ref="F188:G188"/>
    <mergeCell ref="A192:I192"/>
    <mergeCell ref="F199:G199"/>
    <mergeCell ref="C200:D200"/>
    <mergeCell ref="E200:I200"/>
    <mergeCell ref="C193:D193"/>
    <mergeCell ref="F193:G193"/>
    <mergeCell ref="C194:D194"/>
    <mergeCell ref="F194:G194"/>
    <mergeCell ref="C195:D195"/>
    <mergeCell ref="F195:G195"/>
    <mergeCell ref="C196:D196"/>
    <mergeCell ref="F196:G196"/>
    <mergeCell ref="A198:I198"/>
    <mergeCell ref="C199:D199"/>
    <mergeCell ref="A197:I197"/>
    <mergeCell ref="A149:I149"/>
    <mergeCell ref="H57:I57"/>
    <mergeCell ref="C58:I58"/>
    <mergeCell ref="H55:I55"/>
    <mergeCell ref="C56:I56"/>
    <mergeCell ref="C57:E57"/>
    <mergeCell ref="C55:E55"/>
    <mergeCell ref="A125:B125"/>
    <mergeCell ref="C125:D125"/>
    <mergeCell ref="A126:B126"/>
    <mergeCell ref="F65:G65"/>
    <mergeCell ref="A66:B66"/>
    <mergeCell ref="C66:D66"/>
    <mergeCell ref="F66:G66"/>
    <mergeCell ref="A67:B67"/>
    <mergeCell ref="C67:D67"/>
    <mergeCell ref="F67:G78"/>
    <mergeCell ref="A74:B74"/>
    <mergeCell ref="C74:D74"/>
    <mergeCell ref="D96:D97"/>
    <mergeCell ref="F96:G96"/>
    <mergeCell ref="C191:D191"/>
    <mergeCell ref="F191:G191"/>
    <mergeCell ref="H99:I110"/>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06:B106"/>
    <mergeCell ref="C106:D106"/>
    <mergeCell ref="A107:B107"/>
    <mergeCell ref="C107:D107"/>
    <mergeCell ref="A108:B108"/>
    <mergeCell ref="C108:D108"/>
    <mergeCell ref="A109:B109"/>
    <mergeCell ref="C109:D109"/>
    <mergeCell ref="A110:B110"/>
    <mergeCell ref="C110:D110"/>
    <mergeCell ref="A111:I111"/>
    <mergeCell ref="A112:C113"/>
    <mergeCell ref="D112:D113"/>
    <mergeCell ref="C114:D114"/>
    <mergeCell ref="F114:G114"/>
    <mergeCell ref="C115:D115"/>
    <mergeCell ref="F115:G126"/>
    <mergeCell ref="H115:I126"/>
    <mergeCell ref="A116:B116"/>
    <mergeCell ref="C116:D116"/>
    <mergeCell ref="A117:B117"/>
    <mergeCell ref="C117:D117"/>
    <mergeCell ref="A118:B118"/>
    <mergeCell ref="C118:D118"/>
    <mergeCell ref="C119:D119"/>
    <mergeCell ref="C120:D120"/>
    <mergeCell ref="C121:D121"/>
    <mergeCell ref="C122:D122"/>
    <mergeCell ref="C123:D123"/>
    <mergeCell ref="A124:B124"/>
    <mergeCell ref="C124:D124"/>
    <mergeCell ref="C126:D126"/>
    <mergeCell ref="A92:B92"/>
    <mergeCell ref="C92:D92"/>
    <mergeCell ref="C75:D75"/>
    <mergeCell ref="A79:I79"/>
    <mergeCell ref="A80:C81"/>
    <mergeCell ref="D80:D81"/>
    <mergeCell ref="F80:G80"/>
    <mergeCell ref="F81:G81"/>
    <mergeCell ref="A82:B82"/>
    <mergeCell ref="C82:D82"/>
    <mergeCell ref="F82:G82"/>
    <mergeCell ref="A83:B83"/>
    <mergeCell ref="C83:D83"/>
    <mergeCell ref="F83:G94"/>
    <mergeCell ref="H83:I94"/>
    <mergeCell ref="A84:B84"/>
    <mergeCell ref="A93:B93"/>
    <mergeCell ref="C93:D93"/>
    <mergeCell ref="A94:B94"/>
    <mergeCell ref="C94:D94"/>
    <mergeCell ref="A85:B85"/>
    <mergeCell ref="C85:D85"/>
    <mergeCell ref="A86:B86"/>
    <mergeCell ref="C86:D86"/>
    <mergeCell ref="C53:I53"/>
    <mergeCell ref="C54:I54"/>
    <mergeCell ref="C51:I51"/>
    <mergeCell ref="C50:I50"/>
    <mergeCell ref="C49:I49"/>
    <mergeCell ref="C52:I52"/>
    <mergeCell ref="A90:B90"/>
    <mergeCell ref="C90:D90"/>
    <mergeCell ref="A91:B91"/>
    <mergeCell ref="C91:D91"/>
    <mergeCell ref="A87:B87"/>
    <mergeCell ref="C87:D87"/>
    <mergeCell ref="A88:B88"/>
    <mergeCell ref="C88:D88"/>
    <mergeCell ref="A89:B89"/>
    <mergeCell ref="C89:D89"/>
    <mergeCell ref="A55:A56"/>
    <mergeCell ref="A57:A58"/>
    <mergeCell ref="A59:A60"/>
    <mergeCell ref="C59:E59"/>
    <mergeCell ref="H59:I59"/>
    <mergeCell ref="C60:I60"/>
  </mergeCells>
  <hyperlinks>
    <hyperlink ref="C23" r:id="rId1" xr:uid="{00000000-0004-0000-0000-000000000000}"/>
  </hyperlinks>
  <printOptions horizontalCentered="1"/>
  <pageMargins left="0.39370078740157483" right="0.39370078740157483" top="0.78740157480314965" bottom="0.78740157480314965" header="0.15748031496062992" footer="0.15748031496062992"/>
  <pageSetup paperSize="2" scale="63" fitToHeight="0" orientation="portrait" r:id="rId2"/>
  <headerFooter>
    <oddHeader>&amp;C&amp;25&amp;G</oddHeader>
    <oddFooter>&amp;L&amp;"Times New Roman,Bold"&amp;16Ref No: &amp;F&amp;R&amp;"Times New Roman,Bold"&amp;16&amp;P</oddFooter>
  </headerFooter>
  <rowBreaks count="4" manualBreakCount="4">
    <brk id="78" max="16383" man="1"/>
    <brk id="110" max="16383" man="1"/>
    <brk id="368" max="8" man="1"/>
    <brk id="42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H19" sqref="H19"/>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2025-07-10T10:31:55Z</cp:lastPrinted>
  <dcterms:created xsi:type="dcterms:W3CDTF">2010-11-23T11:42:48Z</dcterms:created>
  <dcterms:modified xsi:type="dcterms:W3CDTF">2025-07-10T10:31:56Z</dcterms:modified>
</cp:coreProperties>
</file>